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drawings/drawing1.xml" ContentType="application/vnd.openxmlformats-officedocument.drawing+xml"/>
  <Override PartName="/xl/drawings/drawing2.xml" ContentType="application/vnd.openxmlformats-officedocument.drawing+xml"/>
  <Override PartName="/xl/tables/table10.xml" ContentType="application/vnd.openxmlformats-officedocument.spreadsheetml.table+xml"/>
  <Override PartName="/xl/drawings/drawing3.xml" ContentType="application/vnd.openxmlformats-officedocument.drawing+xml"/>
  <Override PartName="/xl/tables/table11.xml" ContentType="application/vnd.openxmlformats-officedocument.spreadsheetml.table+xml"/>
  <Override PartName="/xl/drawings/drawing4.xml" ContentType="application/vnd.openxmlformats-officedocument.drawing+xml"/>
  <Override PartName="/xl/tables/table12.xml" ContentType="application/vnd.openxmlformats-officedocument.spreadsheetml.table+xml"/>
  <Override PartName="/xl/drawings/drawing5.xml" ContentType="application/vnd.openxmlformats-officedocument.drawing+xml"/>
  <Override PartName="/xl/tables/table13.xml" ContentType="application/vnd.openxmlformats-officedocument.spreadsheetml.table+xml"/>
  <Override PartName="/xl/drawings/drawing6.xml" ContentType="application/vnd.openxmlformats-officedocument.drawing+xml"/>
  <Override PartName="/xl/tables/table14.xml" ContentType="application/vnd.openxmlformats-officedocument.spreadsheetml.table+xml"/>
  <Override PartName="/xl/drawings/drawing7.xml" ContentType="application/vnd.openxmlformats-officedocument.drawing+xml"/>
  <Override PartName="/xl/tables/table15.xml" ContentType="application/vnd.openxmlformats-officedocument.spreadsheetml.table+xml"/>
  <Override PartName="/xl/drawings/drawing8.xml" ContentType="application/vnd.openxmlformats-officedocument.drawing+xml"/>
  <Override PartName="/xl/tables/table16.xml" ContentType="application/vnd.openxmlformats-officedocument.spreadsheetml.table+xml"/>
  <Override PartName="/xl/tables/table17.xml" ContentType="application/vnd.openxmlformats-officedocument.spreadsheetml.table+xml"/>
  <Override PartName="/xl/drawings/drawing9.xml" ContentType="application/vnd.openxmlformats-officedocument.drawing+xml"/>
  <Override PartName="/xl/tables/table18.xml" ContentType="application/vnd.openxmlformats-officedocument.spreadsheetml.table+xml"/>
  <Override PartName="/xl/drawings/drawing10.xml" ContentType="application/vnd.openxmlformats-officedocument.drawing+xml"/>
  <Override PartName="/xl/tables/table19.xml" ContentType="application/vnd.openxmlformats-officedocument.spreadsheetml.table+xml"/>
  <Override PartName="/xl/drawings/drawing11.xml" ContentType="application/vnd.openxmlformats-officedocument.drawing+xml"/>
  <Override PartName="/xl/tables/table20.xml" ContentType="application/vnd.openxmlformats-officedocument.spreadsheetml.table+xml"/>
  <Override PartName="/xl/drawings/drawing12.xml" ContentType="application/vnd.openxmlformats-officedocument.drawing+xml"/>
  <Override PartName="/xl/tables/table21.xml" ContentType="application/vnd.openxmlformats-officedocument.spreadsheetml.table+xml"/>
  <Override PartName="/xl/tables/table22.xml" ContentType="application/vnd.openxmlformats-officedocument.spreadsheetml.table+xml"/>
  <Override PartName="/xl/tables/table23.xml" ContentType="application/vnd.openxmlformats-officedocument.spreadsheetml.table+xml"/>
  <Override PartName="/xl/tables/table24.xml" ContentType="application/vnd.openxmlformats-officedocument.spreadsheetml.table+xml"/>
  <Override PartName="/xl/tables/table25.xml" ContentType="application/vnd.openxmlformats-officedocument.spreadsheetml.table+xml"/>
  <Override PartName="/xl/tables/table26.xml" ContentType="application/vnd.openxmlformats-officedocument.spreadsheetml.table+xml"/>
  <Override PartName="/xl/tables/table27.xml" ContentType="application/vnd.openxmlformats-officedocument.spreadsheetml.table+xml"/>
  <Override PartName="/xl/tables/table28.xml" ContentType="application/vnd.openxmlformats-officedocument.spreadsheetml.table+xml"/>
  <Override PartName="/xl/tables/table29.xml" ContentType="application/vnd.openxmlformats-officedocument.spreadsheetml.table+xml"/>
  <Override PartName="/xl/tables/table30.xml" ContentType="application/vnd.openxmlformats-officedocument.spreadsheetml.table+xml"/>
  <Override PartName="/xl/tables/table31.xml" ContentType="application/vnd.openxmlformats-officedocument.spreadsheetml.table+xml"/>
  <Override PartName="/xl/tables/table32.xml" ContentType="application/vnd.openxmlformats-officedocument.spreadsheetml.table+xml"/>
  <Override PartName="/xl/tables/table33.xml" ContentType="application/vnd.openxmlformats-officedocument.spreadsheetml.table+xml"/>
  <Override PartName="/xl/tables/table34.xml" ContentType="application/vnd.openxmlformats-officedocument.spreadsheetml.table+xml"/>
  <Override PartName="/xl/tables/table35.xml" ContentType="application/vnd.openxmlformats-officedocument.spreadsheetml.table+xml"/>
  <Override PartName="/xl/tables/table36.xml" ContentType="application/vnd.openxmlformats-officedocument.spreadsheetml.table+xml"/>
  <Override PartName="/xl/tables/table37.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628"/>
  <workbookPr updateLinks="never" codeName="ThisWorkbook" defaultThemeVersion="124226"/>
  <mc:AlternateContent xmlns:mc="http://schemas.openxmlformats.org/markup-compatibility/2006">
    <mc:Choice Requires="x15">
      <x15ac:absPath xmlns:x15ac="http://schemas.microsoft.com/office/spreadsheetml/2010/11/ac" url="https://bailit.sharepoint.com/CGT/Shared Documents/Connecticut/2022-2023/Data Submission Templates/Insurer Submission Template/"/>
    </mc:Choice>
  </mc:AlternateContent>
  <xr:revisionPtr revIDLastSave="5296" documentId="8_{05400C65-107F-4D48-A526-3C5F3A68F5B8}" xr6:coauthVersionLast="47" xr6:coauthVersionMax="47" xr10:uidLastSave="{17F05AC9-3161-4775-BF75-998DBECD8E55}"/>
  <workbookProtection workbookAlgorithmName="SHA-512" workbookHashValue="y3pFAQbr4q7wbpvJPHe6J0wnTumXAyx3ORsQEe/BVqbh7FpFljqW4PL6uM1Viy2JunTC4BaxYh8hgsc9WmBliw==" workbookSaltValue="e8vGDEdCFVQJgjrA5yb62A==" workbookSpinCount="100000" lockStructure="1"/>
  <bookViews>
    <workbookView xWindow="-120" yWindow="-120" windowWidth="29040" windowHeight="15720" tabRatio="929" activeTab="1" xr2:uid="{C6523F09-6EEC-437D-9DBA-337F62A88BCD}"/>
  </bookViews>
  <sheets>
    <sheet name="Contents" sheetId="7" r:id="rId1"/>
    <sheet name="Reference Tables" sheetId="5" r:id="rId2"/>
    <sheet name="Definitions" sheetId="12" r:id="rId3"/>
    <sheet name="HD-TME - 2022" sheetId="21" r:id="rId4"/>
    <sheet name="HD-TME - 2023" sheetId="22" r:id="rId5"/>
    <sheet name="Advanced Network - 2022" sheetId="23" r:id="rId6"/>
    <sheet name="Advanced Network - 2023" sheetId="24" r:id="rId7"/>
    <sheet name="RX Rebates - 2022" sheetId="30" r:id="rId8"/>
    <sheet name="RX Rebates - 2023" sheetId="31" r:id="rId9"/>
    <sheet name="LOB Enrollment" sheetId="18" r:id="rId10"/>
    <sheet name="Standard Deviation - 2022" sheetId="25" r:id="rId11"/>
    <sheet name="Standard Deviation - 2023" sheetId="26" r:id="rId12"/>
    <sheet name="Age_Sex Factors - 2022" sheetId="28" r:id="rId13"/>
    <sheet name="Age_Sex Factors - 2023" sheetId="29" r:id="rId14"/>
    <sheet name="Mandatory Questions" sheetId="6" r:id="rId15"/>
    <sheet name="Validation by Market" sheetId="14" r:id="rId16"/>
    <sheet name="Validation by Provider" sheetId="15" r:id="rId17"/>
    <sheet name="Data Validation" sheetId="11" r:id="rId18"/>
    <sheet name="Data Validation Backup" sheetId="9" state="hidden" r:id="rId19"/>
  </sheets>
  <externalReferences>
    <externalReference r:id="rId20"/>
  </externalReferences>
  <definedNames>
    <definedName name="_AMO_UniqueIdentifier" hidden="1">"'b1cc02ed-c984-42fb-b62a-511c8fbc4dd9'"</definedName>
    <definedName name="AdvNet_MMs">'Data Validation'!$AF$82:$AF$305</definedName>
    <definedName name="Backtotop">'Data Validation'!$A$1</definedName>
    <definedName name="MMConsistencybyICC">'Data Validation'!$B$69:$J$76</definedName>
    <definedName name="MMConsistencybyMkt">'Data Validation'!$B$49:$I$66</definedName>
    <definedName name="ReasonablenessPMPMs">'Data Validation'!$B$350:$J$372</definedName>
    <definedName name="TruncSpendingSDbyMkt">'Data Validation'!$B$311:$X$346</definedName>
    <definedName name="TruncSpendMembersbyICC">'Data Validation'!$B$80:$AD$305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39" i="15" l="1"/>
  <c r="C38" i="15"/>
  <c r="C37" i="15"/>
  <c r="C36" i="15"/>
  <c r="C35" i="15"/>
  <c r="C34" i="15"/>
  <c r="C33" i="15"/>
  <c r="C32" i="15"/>
  <c r="C31" i="15"/>
  <c r="C30" i="15"/>
  <c r="C29" i="15"/>
  <c r="C28" i="15"/>
  <c r="C27" i="15"/>
  <c r="C26" i="15"/>
  <c r="C25" i="15"/>
  <c r="C24" i="15"/>
  <c r="C23" i="15"/>
  <c r="C22" i="15"/>
  <c r="C21" i="15"/>
  <c r="C20" i="15"/>
  <c r="C19" i="15"/>
  <c r="C18" i="15"/>
  <c r="C17" i="15"/>
  <c r="C16" i="15"/>
  <c r="C15" i="15"/>
  <c r="C14" i="15"/>
  <c r="C13" i="15"/>
  <c r="C12" i="15"/>
  <c r="C11" i="15"/>
  <c r="C10" i="15"/>
  <c r="C9" i="15"/>
  <c r="C8" i="15"/>
  <c r="C267" i="15"/>
  <c r="C266" i="15"/>
  <c r="C265" i="15"/>
  <c r="C264" i="15"/>
  <c r="C263" i="15"/>
  <c r="C262" i="15"/>
  <c r="C261" i="15"/>
  <c r="C260" i="15"/>
  <c r="C259" i="15"/>
  <c r="C258" i="15"/>
  <c r="C257" i="15"/>
  <c r="C256" i="15"/>
  <c r="C255" i="15"/>
  <c r="C254" i="15"/>
  <c r="C253" i="15"/>
  <c r="C252" i="15"/>
  <c r="C251" i="15"/>
  <c r="C250" i="15"/>
  <c r="C249" i="15"/>
  <c r="C248" i="15"/>
  <c r="C247" i="15"/>
  <c r="C246" i="15"/>
  <c r="C245" i="15"/>
  <c r="C244" i="15"/>
  <c r="C243" i="15"/>
  <c r="C242" i="15"/>
  <c r="C241" i="15"/>
  <c r="C240" i="15"/>
  <c r="C239" i="15"/>
  <c r="C238" i="15"/>
  <c r="C237" i="15"/>
  <c r="C236" i="15"/>
  <c r="C229" i="15"/>
  <c r="C228" i="15"/>
  <c r="C227" i="15"/>
  <c r="C226" i="15"/>
  <c r="C225" i="15"/>
  <c r="C224" i="15"/>
  <c r="C223" i="15"/>
  <c r="C222" i="15"/>
  <c r="C221" i="15"/>
  <c r="C220" i="15"/>
  <c r="C219" i="15"/>
  <c r="C218" i="15"/>
  <c r="C217" i="15"/>
  <c r="C216" i="15"/>
  <c r="C215" i="15"/>
  <c r="C214" i="15"/>
  <c r="C213" i="15"/>
  <c r="C212" i="15"/>
  <c r="C211" i="15"/>
  <c r="C210" i="15"/>
  <c r="C209" i="15"/>
  <c r="C208" i="15"/>
  <c r="C207" i="15"/>
  <c r="C206" i="15"/>
  <c r="C205" i="15"/>
  <c r="C204" i="15"/>
  <c r="C203" i="15"/>
  <c r="C202" i="15"/>
  <c r="C201" i="15"/>
  <c r="C200" i="15"/>
  <c r="C199" i="15"/>
  <c r="C198" i="15"/>
  <c r="C191" i="15"/>
  <c r="C190" i="15"/>
  <c r="C189" i="15"/>
  <c r="C188" i="15"/>
  <c r="C187" i="15"/>
  <c r="C186" i="15"/>
  <c r="C185" i="15"/>
  <c r="C184" i="15"/>
  <c r="C183" i="15"/>
  <c r="C182" i="15"/>
  <c r="C181" i="15"/>
  <c r="C180" i="15"/>
  <c r="C179" i="15"/>
  <c r="C178" i="15"/>
  <c r="C177" i="15"/>
  <c r="C176" i="15"/>
  <c r="C175" i="15"/>
  <c r="C174" i="15"/>
  <c r="C173" i="15"/>
  <c r="C172" i="15"/>
  <c r="C171" i="15"/>
  <c r="C170" i="15"/>
  <c r="C169" i="15"/>
  <c r="C168" i="15"/>
  <c r="C167" i="15"/>
  <c r="C166" i="15"/>
  <c r="C165" i="15"/>
  <c r="C164" i="15"/>
  <c r="C163" i="15"/>
  <c r="C162" i="15"/>
  <c r="C161" i="15"/>
  <c r="C160" i="15"/>
  <c r="C153" i="15"/>
  <c r="C152" i="15"/>
  <c r="C151" i="15"/>
  <c r="C150" i="15"/>
  <c r="C149" i="15"/>
  <c r="C148" i="15"/>
  <c r="C147" i="15"/>
  <c r="C146" i="15"/>
  <c r="C145" i="15"/>
  <c r="C144" i="15"/>
  <c r="C143" i="15"/>
  <c r="C142" i="15"/>
  <c r="C141" i="15"/>
  <c r="C140" i="15"/>
  <c r="C139" i="15"/>
  <c r="C138" i="15"/>
  <c r="C137" i="15"/>
  <c r="C136" i="15"/>
  <c r="C135" i="15"/>
  <c r="C134" i="15"/>
  <c r="C133" i="15"/>
  <c r="C132" i="15"/>
  <c r="C131" i="15"/>
  <c r="C130" i="15"/>
  <c r="C129" i="15"/>
  <c r="C128" i="15"/>
  <c r="C127" i="15"/>
  <c r="C126" i="15"/>
  <c r="C125" i="15"/>
  <c r="C124" i="15"/>
  <c r="C123" i="15"/>
  <c r="C122" i="15"/>
  <c r="C115" i="15"/>
  <c r="C114" i="15"/>
  <c r="C113" i="15"/>
  <c r="C112" i="15"/>
  <c r="C111" i="15"/>
  <c r="C110" i="15"/>
  <c r="C109" i="15"/>
  <c r="C108" i="15"/>
  <c r="C107" i="15"/>
  <c r="C106" i="15"/>
  <c r="C105" i="15"/>
  <c r="C104" i="15"/>
  <c r="C103" i="15"/>
  <c r="C102" i="15"/>
  <c r="C101" i="15"/>
  <c r="C100" i="15"/>
  <c r="C99" i="15"/>
  <c r="C98" i="15"/>
  <c r="C97" i="15"/>
  <c r="C96" i="15"/>
  <c r="C95" i="15"/>
  <c r="C94" i="15"/>
  <c r="C93" i="15"/>
  <c r="C92" i="15"/>
  <c r="C91" i="15"/>
  <c r="C90" i="15"/>
  <c r="C89" i="15"/>
  <c r="C88" i="15"/>
  <c r="C87" i="15"/>
  <c r="C86" i="15"/>
  <c r="C85" i="15"/>
  <c r="C84" i="15"/>
  <c r="C77" i="15"/>
  <c r="C76" i="15"/>
  <c r="C75" i="15"/>
  <c r="C74" i="15"/>
  <c r="C73" i="15"/>
  <c r="C72" i="15"/>
  <c r="C71" i="15"/>
  <c r="C70" i="15"/>
  <c r="C69" i="15"/>
  <c r="C68" i="15"/>
  <c r="C67" i="15"/>
  <c r="C66" i="15"/>
  <c r="C65" i="15"/>
  <c r="C64" i="15"/>
  <c r="C63" i="15"/>
  <c r="C62" i="15"/>
  <c r="C61" i="15"/>
  <c r="C60" i="15"/>
  <c r="C59" i="15"/>
  <c r="C58" i="15"/>
  <c r="C57" i="15"/>
  <c r="C56" i="15"/>
  <c r="C55" i="15"/>
  <c r="C54" i="15"/>
  <c r="C53" i="15"/>
  <c r="C52" i="15"/>
  <c r="C51" i="15"/>
  <c r="C50" i="15"/>
  <c r="C49" i="15"/>
  <c r="C48" i="15"/>
  <c r="C47" i="15"/>
  <c r="C46" i="15"/>
  <c r="AE11" i="24"/>
  <c r="C25" i="11" l="1"/>
  <c r="C26" i="11"/>
  <c r="D25" i="11"/>
  <c r="J1109" i="29"/>
  <c r="J1110" i="29"/>
  <c r="J1111" i="29"/>
  <c r="J1112" i="29"/>
  <c r="J1113" i="29"/>
  <c r="J1114" i="29"/>
  <c r="J1115" i="29"/>
  <c r="J1116" i="29"/>
  <c r="J1117" i="29"/>
  <c r="J1118" i="29"/>
  <c r="J1119" i="29"/>
  <c r="J1120" i="29"/>
  <c r="J1121" i="29"/>
  <c r="J1122" i="29"/>
  <c r="J1123" i="29"/>
  <c r="J1124" i="29"/>
  <c r="J1125" i="29"/>
  <c r="J1126" i="29"/>
  <c r="J1127" i="29"/>
  <c r="J1128" i="29"/>
  <c r="J1129" i="29"/>
  <c r="J1130" i="29"/>
  <c r="J1131" i="29"/>
  <c r="J1132" i="29"/>
  <c r="J1133" i="29"/>
  <c r="J1134" i="29"/>
  <c r="J1135" i="29"/>
  <c r="J1136" i="29"/>
  <c r="J1137" i="29"/>
  <c r="J1138" i="29"/>
  <c r="J1139" i="29"/>
  <c r="J1140" i="29"/>
  <c r="J1141" i="29"/>
  <c r="J1142" i="29"/>
  <c r="J1143" i="29"/>
  <c r="J1144" i="29"/>
  <c r="J1145" i="29"/>
  <c r="J1146" i="29"/>
  <c r="J1147" i="29"/>
  <c r="J1148" i="29"/>
  <c r="J1149" i="29"/>
  <c r="J1150" i="29"/>
  <c r="J1151" i="29"/>
  <c r="J1152" i="29"/>
  <c r="J1153" i="29"/>
  <c r="J1154" i="29"/>
  <c r="J1155" i="29"/>
  <c r="J1156" i="29"/>
  <c r="J1157" i="29"/>
  <c r="J1158" i="29"/>
  <c r="J1159" i="29"/>
  <c r="J1160" i="29"/>
  <c r="J1161" i="29"/>
  <c r="J1162" i="29"/>
  <c r="J1163" i="29"/>
  <c r="J1164" i="29"/>
  <c r="J1165" i="29"/>
  <c r="J1166" i="29"/>
  <c r="J1167" i="29"/>
  <c r="J1168" i="29"/>
  <c r="J1169" i="29"/>
  <c r="J1170" i="29"/>
  <c r="J1171" i="29"/>
  <c r="J1172" i="29"/>
  <c r="J1173" i="29"/>
  <c r="J1174" i="29"/>
  <c r="J1175" i="29"/>
  <c r="J1176" i="29"/>
  <c r="J1177" i="29"/>
  <c r="J1178" i="29"/>
  <c r="J1179" i="29"/>
  <c r="J1180" i="29"/>
  <c r="J1181" i="29"/>
  <c r="J1182" i="29"/>
  <c r="J1183" i="29"/>
  <c r="J1184" i="29"/>
  <c r="J1185" i="29"/>
  <c r="J1186" i="29"/>
  <c r="J1187" i="29"/>
  <c r="J1188" i="29"/>
  <c r="J1189" i="29"/>
  <c r="J1190" i="29"/>
  <c r="J1191" i="29"/>
  <c r="J1192" i="29"/>
  <c r="J1193" i="29"/>
  <c r="J1194" i="29"/>
  <c r="J1195" i="29"/>
  <c r="J1196" i="29"/>
  <c r="J1197" i="29"/>
  <c r="J1198" i="29"/>
  <c r="J1199" i="29"/>
  <c r="J1200" i="29"/>
  <c r="J1201" i="29"/>
  <c r="J1202" i="29"/>
  <c r="J1203" i="29"/>
  <c r="J1204" i="29"/>
  <c r="J1205" i="29"/>
  <c r="J1206" i="29"/>
  <c r="J1207" i="29"/>
  <c r="J1208" i="29"/>
  <c r="J1209" i="29"/>
  <c r="J1210" i="29"/>
  <c r="J1211" i="29"/>
  <c r="J1212" i="29"/>
  <c r="J1213" i="29"/>
  <c r="J1214" i="29"/>
  <c r="J1215" i="29"/>
  <c r="J1216" i="29"/>
  <c r="J1217" i="29"/>
  <c r="J1218" i="29"/>
  <c r="J1219" i="29"/>
  <c r="J1220" i="29"/>
  <c r="J1221" i="29"/>
  <c r="J1222" i="29"/>
  <c r="J1223" i="29"/>
  <c r="J1224" i="29"/>
  <c r="J1225" i="29"/>
  <c r="J1226" i="29"/>
  <c r="J1227" i="29"/>
  <c r="J1228" i="29"/>
  <c r="J1229" i="29"/>
  <c r="J1230" i="29"/>
  <c r="J1231" i="29"/>
  <c r="J1232" i="29"/>
  <c r="J1233" i="29"/>
  <c r="J1234" i="29"/>
  <c r="J1235" i="29"/>
  <c r="J1236" i="29"/>
  <c r="J1237" i="29"/>
  <c r="J1238" i="29"/>
  <c r="J1239" i="29"/>
  <c r="J1240" i="29"/>
  <c r="J1241" i="29"/>
  <c r="J1242" i="29"/>
  <c r="J1243" i="29"/>
  <c r="J1244" i="29"/>
  <c r="J1245" i="29"/>
  <c r="J1246" i="29"/>
  <c r="J1247" i="29"/>
  <c r="J1248" i="29"/>
  <c r="J1249" i="29"/>
  <c r="J1250" i="29"/>
  <c r="J1251" i="29"/>
  <c r="J1252" i="29"/>
  <c r="J1253" i="29"/>
  <c r="J1254" i="29"/>
  <c r="J1255" i="29"/>
  <c r="J1256" i="29"/>
  <c r="J1257" i="29"/>
  <c r="J1258" i="29"/>
  <c r="J1259" i="29"/>
  <c r="J1260" i="29"/>
  <c r="J1261" i="29"/>
  <c r="J1262" i="29"/>
  <c r="J1263" i="29"/>
  <c r="J1264" i="29"/>
  <c r="J1265" i="29"/>
  <c r="J1266" i="29"/>
  <c r="J1267" i="29"/>
  <c r="J1268" i="29"/>
  <c r="J1269" i="29"/>
  <c r="J1270" i="29"/>
  <c r="J1271" i="29"/>
  <c r="J1272" i="29"/>
  <c r="J1273" i="29"/>
  <c r="J1274" i="29"/>
  <c r="J1275" i="29"/>
  <c r="J1276" i="29"/>
  <c r="J1277" i="29"/>
  <c r="J1278" i="29"/>
  <c r="J1279" i="29"/>
  <c r="J1280" i="29"/>
  <c r="J1281" i="29"/>
  <c r="J1282" i="29"/>
  <c r="J1283" i="29"/>
  <c r="J1284" i="29"/>
  <c r="J1285" i="29"/>
  <c r="J1286" i="29"/>
  <c r="J1287" i="29"/>
  <c r="J1288" i="29"/>
  <c r="J1289" i="29"/>
  <c r="J1290" i="29"/>
  <c r="J1291" i="29"/>
  <c r="J1292" i="29"/>
  <c r="J1293" i="29"/>
  <c r="J1294" i="29"/>
  <c r="J1295" i="29"/>
  <c r="J1296" i="29"/>
  <c r="J1297" i="29"/>
  <c r="J1298" i="29"/>
  <c r="J1299" i="29"/>
  <c r="J1300" i="29"/>
  <c r="J1301" i="29"/>
  <c r="J1302" i="29"/>
  <c r="J1303" i="29"/>
  <c r="J1304" i="29"/>
  <c r="J1305" i="29"/>
  <c r="J1306" i="29"/>
  <c r="J1307" i="29"/>
  <c r="J1308" i="29"/>
  <c r="J1309" i="29"/>
  <c r="J1310" i="29"/>
  <c r="J1311" i="29"/>
  <c r="J1312" i="29"/>
  <c r="J1313" i="29"/>
  <c r="J1314" i="29"/>
  <c r="J1315" i="29"/>
  <c r="J1316" i="29"/>
  <c r="J1317" i="29"/>
  <c r="J1318" i="29"/>
  <c r="J1319" i="29"/>
  <c r="J1320" i="29"/>
  <c r="J1321" i="29"/>
  <c r="J1322" i="29"/>
  <c r="J1323" i="29"/>
  <c r="J1324" i="29"/>
  <c r="J1325" i="29"/>
  <c r="J1326" i="29"/>
  <c r="J1327" i="29"/>
  <c r="J1328" i="29"/>
  <c r="J1329" i="29"/>
  <c r="J1330" i="29"/>
  <c r="J1331" i="29"/>
  <c r="J1332" i="29"/>
  <c r="J1333" i="29"/>
  <c r="J1334" i="29"/>
  <c r="J1335" i="29"/>
  <c r="J1336" i="29"/>
  <c r="J1337" i="29"/>
  <c r="J1338" i="29"/>
  <c r="J1339" i="29"/>
  <c r="J1340" i="29"/>
  <c r="J1341" i="29"/>
  <c r="J1342" i="29"/>
  <c r="J1343" i="29"/>
  <c r="J1344" i="29"/>
  <c r="J1345" i="29"/>
  <c r="J1346" i="29"/>
  <c r="J1347" i="29"/>
  <c r="J1348" i="29"/>
  <c r="J1349" i="29"/>
  <c r="J1350" i="29"/>
  <c r="J1351" i="29"/>
  <c r="J1352" i="29"/>
  <c r="J1353" i="29"/>
  <c r="J1354" i="29"/>
  <c r="J1355" i="29"/>
  <c r="J1356" i="29"/>
  <c r="J1357" i="29"/>
  <c r="J1358" i="29"/>
  <c r="J1359" i="29"/>
  <c r="J1360" i="29"/>
  <c r="J1361" i="29"/>
  <c r="J1362" i="29"/>
  <c r="J1363" i="29"/>
  <c r="J1364" i="29"/>
  <c r="J1365" i="29"/>
  <c r="J1366" i="29"/>
  <c r="J1367" i="29"/>
  <c r="J1368" i="29"/>
  <c r="J1369" i="29"/>
  <c r="J1370" i="29"/>
  <c r="J1371" i="29"/>
  <c r="J1372" i="29"/>
  <c r="J1373" i="29"/>
  <c r="J1374" i="29"/>
  <c r="J1375" i="29"/>
  <c r="J1376" i="29"/>
  <c r="J1377" i="29"/>
  <c r="J1378" i="29"/>
  <c r="J1379" i="29"/>
  <c r="J1380" i="29"/>
  <c r="J1381" i="29"/>
  <c r="J1382" i="29"/>
  <c r="J1383" i="29"/>
  <c r="J1384" i="29"/>
  <c r="J1385" i="29"/>
  <c r="J1386" i="29"/>
  <c r="J1387" i="29"/>
  <c r="J1388" i="29"/>
  <c r="J1389" i="29"/>
  <c r="J1390" i="29"/>
  <c r="J1391" i="29"/>
  <c r="J1392" i="29"/>
  <c r="J1393" i="29"/>
  <c r="J1394" i="29"/>
  <c r="J1395" i="29"/>
  <c r="J1396" i="29"/>
  <c r="J1397" i="29"/>
  <c r="J1398" i="29"/>
  <c r="J1399" i="29"/>
  <c r="J1400" i="29"/>
  <c r="J1401" i="29"/>
  <c r="J1402" i="29"/>
  <c r="J1403" i="29"/>
  <c r="J1404" i="29"/>
  <c r="J1405" i="29"/>
  <c r="J1406" i="29"/>
  <c r="J1407" i="29"/>
  <c r="J1408" i="29"/>
  <c r="J1409" i="29"/>
  <c r="J1410" i="29"/>
  <c r="J1411" i="29"/>
  <c r="J1412" i="29"/>
  <c r="J1413" i="29"/>
  <c r="J1414" i="29"/>
  <c r="J1415" i="29"/>
  <c r="J1416" i="29"/>
  <c r="J1417" i="29"/>
  <c r="J1418" i="29"/>
  <c r="J1419" i="29"/>
  <c r="J1420" i="29"/>
  <c r="J1421" i="29"/>
  <c r="J1422" i="29"/>
  <c r="J1423" i="29"/>
  <c r="J1424" i="29"/>
  <c r="J1425" i="29"/>
  <c r="J1426" i="29"/>
  <c r="J1427" i="29"/>
  <c r="J1428" i="29"/>
  <c r="J1429" i="29"/>
  <c r="J1430" i="29"/>
  <c r="J1431" i="29"/>
  <c r="J1432" i="29"/>
  <c r="J1433" i="29"/>
  <c r="J1434" i="29"/>
  <c r="J1435" i="29"/>
  <c r="J1436" i="29"/>
  <c r="J1437" i="29"/>
  <c r="J1438" i="29"/>
  <c r="J1439" i="29"/>
  <c r="J1440" i="29"/>
  <c r="J1441" i="29"/>
  <c r="J1442" i="29"/>
  <c r="J1443" i="29"/>
  <c r="J1444" i="29"/>
  <c r="J1445" i="29"/>
  <c r="J1446" i="29"/>
  <c r="J1447" i="29"/>
  <c r="J1448" i="29"/>
  <c r="J1449" i="29"/>
  <c r="J1450" i="29"/>
  <c r="J1451" i="29"/>
  <c r="J1452" i="29"/>
  <c r="J1453" i="29"/>
  <c r="J1454" i="29"/>
  <c r="J1455" i="29"/>
  <c r="J1456" i="29"/>
  <c r="J1457" i="29"/>
  <c r="J1458" i="29"/>
  <c r="J1459" i="29"/>
  <c r="J1460" i="29"/>
  <c r="J1461" i="29"/>
  <c r="J1462" i="29"/>
  <c r="J1463" i="29"/>
  <c r="J1464" i="29"/>
  <c r="J1465" i="29"/>
  <c r="J1466" i="29"/>
  <c r="J1467" i="29"/>
  <c r="J1468" i="29"/>
  <c r="J1469" i="29"/>
  <c r="J1470" i="29"/>
  <c r="J1471" i="29"/>
  <c r="J1472" i="29"/>
  <c r="J1473" i="29"/>
  <c r="J1474" i="29"/>
  <c r="J1475" i="29"/>
  <c r="J1476" i="29"/>
  <c r="J1477" i="29"/>
  <c r="J1478" i="29"/>
  <c r="J1479" i="29"/>
  <c r="J1480" i="29"/>
  <c r="J1481" i="29"/>
  <c r="J1482" i="29"/>
  <c r="J1483" i="29"/>
  <c r="J1484" i="29"/>
  <c r="J1485" i="29"/>
  <c r="J1486" i="29"/>
  <c r="J1487" i="29"/>
  <c r="J1488" i="29"/>
  <c r="J1489" i="29"/>
  <c r="J1490" i="29"/>
  <c r="J1491" i="29"/>
  <c r="J1492" i="29"/>
  <c r="J1493" i="29"/>
  <c r="J1494" i="29"/>
  <c r="J1495" i="29"/>
  <c r="J1496" i="29"/>
  <c r="J1497" i="29"/>
  <c r="J1498" i="29"/>
  <c r="J1499" i="29"/>
  <c r="J1500" i="29"/>
  <c r="J1501" i="29"/>
  <c r="J1502" i="29"/>
  <c r="J1503" i="29"/>
  <c r="J1504" i="29"/>
  <c r="J1505" i="29"/>
  <c r="J1506" i="29"/>
  <c r="J1507" i="29"/>
  <c r="J1508" i="29"/>
  <c r="J1509" i="29"/>
  <c r="J1510" i="29"/>
  <c r="J1511" i="29"/>
  <c r="J1512" i="29"/>
  <c r="J1513" i="29"/>
  <c r="J1514" i="29"/>
  <c r="J1515" i="29"/>
  <c r="J1516" i="29"/>
  <c r="J1517" i="29"/>
  <c r="J1518" i="29"/>
  <c r="J1519" i="29"/>
  <c r="J1520" i="29"/>
  <c r="J1521" i="29"/>
  <c r="J1522" i="29"/>
  <c r="J1523" i="29"/>
  <c r="J1524" i="29"/>
  <c r="J1525" i="29"/>
  <c r="J1526" i="29"/>
  <c r="J1527" i="29"/>
  <c r="J1528" i="29"/>
  <c r="J1529" i="29"/>
  <c r="J1530" i="29"/>
  <c r="J1531" i="29"/>
  <c r="J1532" i="29"/>
  <c r="J1533" i="29"/>
  <c r="J1534" i="29"/>
  <c r="J1535" i="29"/>
  <c r="J1536" i="29"/>
  <c r="J1537" i="29"/>
  <c r="J1538" i="29"/>
  <c r="J1539" i="29"/>
  <c r="J1540" i="29"/>
  <c r="J1541" i="29"/>
  <c r="J1542" i="29"/>
  <c r="J1543" i="29"/>
  <c r="J1544" i="29"/>
  <c r="J1545" i="29"/>
  <c r="J1546" i="29"/>
  <c r="J1547" i="29"/>
  <c r="J1548" i="29"/>
  <c r="J1549" i="29"/>
  <c r="J1550" i="29"/>
  <c r="J1551" i="29"/>
  <c r="J1552" i="29"/>
  <c r="J1553" i="29"/>
  <c r="J1554" i="29"/>
  <c r="J1555" i="29"/>
  <c r="J1556" i="29"/>
  <c r="J1557" i="29"/>
  <c r="J1558" i="29"/>
  <c r="J1559" i="29"/>
  <c r="J1560" i="29"/>
  <c r="J1561" i="29"/>
  <c r="J1562" i="29"/>
  <c r="J1563" i="29"/>
  <c r="J1564" i="29"/>
  <c r="J1565" i="29"/>
  <c r="J1566" i="29"/>
  <c r="J1567" i="29"/>
  <c r="J1568" i="29"/>
  <c r="J1569" i="29"/>
  <c r="J1570" i="29"/>
  <c r="J1571" i="29"/>
  <c r="J1572" i="29"/>
  <c r="J1573" i="29"/>
  <c r="J1574" i="29"/>
  <c r="J1575" i="29"/>
  <c r="J1576" i="29"/>
  <c r="J1577" i="29"/>
  <c r="J1578" i="29"/>
  <c r="J1579" i="29"/>
  <c r="J1580" i="29"/>
  <c r="J1581" i="29"/>
  <c r="J1582" i="29"/>
  <c r="J1583" i="29"/>
  <c r="J1584" i="29"/>
  <c r="J1585" i="29"/>
  <c r="J1586" i="29"/>
  <c r="J1587" i="29"/>
  <c r="J1588" i="29"/>
  <c r="J1589" i="29"/>
  <c r="J1590" i="29"/>
  <c r="J1591" i="29"/>
  <c r="J1592" i="29"/>
  <c r="J1593" i="29"/>
  <c r="J1594" i="29"/>
  <c r="J1595" i="29"/>
  <c r="J1596" i="29"/>
  <c r="J1597" i="29"/>
  <c r="J1598" i="29"/>
  <c r="J1599" i="29"/>
  <c r="J1600" i="29"/>
  <c r="J1601" i="29"/>
  <c r="J1602" i="29"/>
  <c r="J1603" i="29"/>
  <c r="J1604" i="29"/>
  <c r="J1605" i="29"/>
  <c r="J1606" i="29"/>
  <c r="J1607" i="29"/>
  <c r="J1608" i="29"/>
  <c r="J1609" i="29"/>
  <c r="J1610" i="29"/>
  <c r="J1611" i="29"/>
  <c r="J1612" i="29"/>
  <c r="J1613" i="29"/>
  <c r="J1614" i="29"/>
  <c r="J1615" i="29"/>
  <c r="J1616" i="29"/>
  <c r="J1617" i="29"/>
  <c r="J1618" i="29"/>
  <c r="J1619" i="29"/>
  <c r="J1620" i="29"/>
  <c r="J1621" i="29"/>
  <c r="J1622" i="29"/>
  <c r="J1623" i="29"/>
  <c r="J1624" i="29"/>
  <c r="J1625" i="29"/>
  <c r="J1626" i="29"/>
  <c r="J1627" i="29"/>
  <c r="J1628" i="29"/>
  <c r="J1629" i="29"/>
  <c r="J1630" i="29"/>
  <c r="J1631" i="29"/>
  <c r="J1632" i="29"/>
  <c r="J1633" i="29"/>
  <c r="J1634" i="29"/>
  <c r="J1635" i="29"/>
  <c r="J1636" i="29"/>
  <c r="J1637" i="29"/>
  <c r="J1638" i="29"/>
  <c r="J1639" i="29"/>
  <c r="J1640" i="29"/>
  <c r="J1641" i="29"/>
  <c r="J1642" i="29"/>
  <c r="J1643" i="29"/>
  <c r="J1644" i="29"/>
  <c r="J1645" i="29"/>
  <c r="J1646" i="29"/>
  <c r="J1647" i="29"/>
  <c r="J1648" i="29"/>
  <c r="J1649" i="29"/>
  <c r="J1650" i="29"/>
  <c r="J1651" i="29"/>
  <c r="J1652" i="29"/>
  <c r="J1653" i="29"/>
  <c r="J1654" i="29"/>
  <c r="J1655" i="29"/>
  <c r="J1656" i="29"/>
  <c r="J1657" i="29"/>
  <c r="J1658" i="29"/>
  <c r="J1659" i="29"/>
  <c r="J1660" i="29"/>
  <c r="J1661" i="29"/>
  <c r="J1662" i="29"/>
  <c r="J1663" i="29"/>
  <c r="J1664" i="29"/>
  <c r="J1665" i="29"/>
  <c r="J1666" i="29"/>
  <c r="J1667" i="29"/>
  <c r="J1668" i="29"/>
  <c r="J1669" i="29"/>
  <c r="J1670" i="29"/>
  <c r="J1671" i="29"/>
  <c r="J1672" i="29"/>
  <c r="J1673" i="29"/>
  <c r="J1674" i="29"/>
  <c r="J1675" i="29"/>
  <c r="J1676" i="29"/>
  <c r="J1677" i="29"/>
  <c r="J1678" i="29"/>
  <c r="J1679" i="29"/>
  <c r="J1680" i="29"/>
  <c r="J1681" i="29"/>
  <c r="J1682" i="29"/>
  <c r="J1683" i="29"/>
  <c r="J1684" i="29"/>
  <c r="J1685" i="29"/>
  <c r="J1686" i="29"/>
  <c r="J1687" i="29"/>
  <c r="J1688" i="29"/>
  <c r="J1689" i="29"/>
  <c r="J1690" i="29"/>
  <c r="J1691" i="29"/>
  <c r="J1692" i="29"/>
  <c r="J1693" i="29"/>
  <c r="J1694" i="29"/>
  <c r="J1695" i="29"/>
  <c r="J1696" i="29"/>
  <c r="J1697" i="29"/>
  <c r="J1698" i="29"/>
  <c r="J1699" i="29"/>
  <c r="J1700" i="29"/>
  <c r="J1701" i="29"/>
  <c r="J1702" i="29"/>
  <c r="J1703" i="29"/>
  <c r="J1704" i="29"/>
  <c r="J1705" i="29"/>
  <c r="J1706" i="29"/>
  <c r="J1707" i="29"/>
  <c r="J1708" i="29"/>
  <c r="J1709" i="29"/>
  <c r="J1710" i="29"/>
  <c r="J1711" i="29"/>
  <c r="J1712" i="29"/>
  <c r="J1713" i="29"/>
  <c r="J1714" i="29"/>
  <c r="J1715" i="29"/>
  <c r="J1716" i="29"/>
  <c r="J1717" i="29"/>
  <c r="J1718" i="29"/>
  <c r="J1719" i="29"/>
  <c r="J1720" i="29"/>
  <c r="J1721" i="29"/>
  <c r="J1722" i="29"/>
  <c r="J1723" i="29"/>
  <c r="J1724" i="29"/>
  <c r="J1725" i="29"/>
  <c r="J1726" i="29"/>
  <c r="J1727" i="29"/>
  <c r="J1728" i="29"/>
  <c r="J1729" i="29"/>
  <c r="J1730" i="29"/>
  <c r="J1731" i="29"/>
  <c r="J1732" i="29"/>
  <c r="J1733" i="29"/>
  <c r="J1734" i="29"/>
  <c r="J1735" i="29"/>
  <c r="J1736" i="29"/>
  <c r="J1737" i="29"/>
  <c r="J1738" i="29"/>
  <c r="J1739" i="29"/>
  <c r="J1740" i="29"/>
  <c r="J1741" i="29"/>
  <c r="J1742" i="29"/>
  <c r="J1743" i="29"/>
  <c r="J1744" i="29"/>
  <c r="J1745" i="29"/>
  <c r="J1746" i="29"/>
  <c r="J1747" i="29"/>
  <c r="J1748" i="29"/>
  <c r="J1749" i="29"/>
  <c r="J1750" i="29"/>
  <c r="J1751" i="29"/>
  <c r="J1752" i="29"/>
  <c r="J1753" i="29"/>
  <c r="J1754" i="29"/>
  <c r="J1755" i="29"/>
  <c r="J1756" i="29"/>
  <c r="J1757" i="29"/>
  <c r="J1758" i="29"/>
  <c r="J1759" i="29"/>
  <c r="J1760" i="29"/>
  <c r="J1761" i="29"/>
  <c r="J1762" i="29"/>
  <c r="J1763" i="29"/>
  <c r="J1764" i="29"/>
  <c r="J1765" i="29"/>
  <c r="J1766" i="29"/>
  <c r="J1767" i="29"/>
  <c r="J1768" i="29"/>
  <c r="J1769" i="29"/>
  <c r="J1770" i="29"/>
  <c r="J1771" i="29"/>
  <c r="J1772" i="29"/>
  <c r="J1773" i="29"/>
  <c r="J1774" i="29"/>
  <c r="J1775" i="29"/>
  <c r="J1776" i="29"/>
  <c r="J1777" i="29"/>
  <c r="J1778" i="29"/>
  <c r="J1779" i="29"/>
  <c r="J1780" i="29"/>
  <c r="J1781" i="29"/>
  <c r="J1782" i="29"/>
  <c r="J1783" i="29"/>
  <c r="J1784" i="29"/>
  <c r="J1785" i="29"/>
  <c r="J1786" i="29"/>
  <c r="J1787" i="29"/>
  <c r="J1788" i="29"/>
  <c r="J1789" i="29"/>
  <c r="J1790" i="29"/>
  <c r="J1791" i="29"/>
  <c r="J1792" i="29"/>
  <c r="J1793" i="29"/>
  <c r="J1794" i="29"/>
  <c r="J1795" i="29"/>
  <c r="J1796" i="29"/>
  <c r="J1797" i="29"/>
  <c r="J1798" i="29"/>
  <c r="J1799" i="29"/>
  <c r="J1800" i="29"/>
  <c r="J1801" i="29"/>
  <c r="J1802" i="29"/>
  <c r="J1803" i="29"/>
  <c r="J1804" i="29"/>
  <c r="J1805" i="29"/>
  <c r="J1806" i="29"/>
  <c r="J1807" i="29"/>
  <c r="J1808" i="29"/>
  <c r="J1809" i="29"/>
  <c r="J1810" i="29"/>
  <c r="J1811" i="29"/>
  <c r="J1812" i="29"/>
  <c r="J1813" i="29"/>
  <c r="J1814" i="29"/>
  <c r="J1815" i="29"/>
  <c r="J1816" i="29"/>
  <c r="J1817" i="29"/>
  <c r="J1818" i="29"/>
  <c r="J1819" i="29"/>
  <c r="J1820" i="29"/>
  <c r="J1821" i="29"/>
  <c r="J1822" i="29"/>
  <c r="J1823" i="29"/>
  <c r="J1824" i="29"/>
  <c r="J1825" i="29"/>
  <c r="J1826" i="29"/>
  <c r="J1827" i="29"/>
  <c r="J1828" i="29"/>
  <c r="J1829" i="29"/>
  <c r="J1830" i="29"/>
  <c r="J1831" i="29"/>
  <c r="J1832" i="29"/>
  <c r="J1833" i="29"/>
  <c r="J1834" i="29"/>
  <c r="J1835" i="29"/>
  <c r="J1836" i="29"/>
  <c r="J1837" i="29"/>
  <c r="J1838" i="29"/>
  <c r="J1839" i="29"/>
  <c r="J1840" i="29"/>
  <c r="J1841" i="29"/>
  <c r="J1842" i="29"/>
  <c r="J1843" i="29"/>
  <c r="J1844" i="29"/>
  <c r="J1845" i="29"/>
  <c r="J1846" i="29"/>
  <c r="J1847" i="29"/>
  <c r="J1848" i="29"/>
  <c r="J1849" i="29"/>
  <c r="J1850" i="29"/>
  <c r="J1851" i="29"/>
  <c r="J1852" i="29"/>
  <c r="J1853" i="29"/>
  <c r="J1854" i="29"/>
  <c r="J1855" i="29"/>
  <c r="J1856" i="29"/>
  <c r="J1857" i="29"/>
  <c r="J1858" i="29"/>
  <c r="J1859" i="29"/>
  <c r="J1860" i="29"/>
  <c r="J1861" i="29"/>
  <c r="J1862" i="29"/>
  <c r="J1863" i="29"/>
  <c r="J1864" i="29"/>
  <c r="J1865" i="29"/>
  <c r="J1866" i="29"/>
  <c r="J1867" i="29"/>
  <c r="J1868" i="29"/>
  <c r="J1869" i="29"/>
  <c r="J1870" i="29"/>
  <c r="J1871" i="29"/>
  <c r="J1872" i="29"/>
  <c r="J1873" i="29"/>
  <c r="J1874" i="29"/>
  <c r="J1875" i="29"/>
  <c r="J1876" i="29"/>
  <c r="J1877" i="29"/>
  <c r="J1878" i="29"/>
  <c r="J1879" i="29"/>
  <c r="J1880" i="29"/>
  <c r="J1881" i="29"/>
  <c r="J1882" i="29"/>
  <c r="J1883" i="29"/>
  <c r="J1884" i="29"/>
  <c r="J1885" i="29"/>
  <c r="J1886" i="29"/>
  <c r="J1887" i="29"/>
  <c r="J1888" i="29"/>
  <c r="J1889" i="29"/>
  <c r="J1890" i="29"/>
  <c r="J1891" i="29"/>
  <c r="J1892" i="29"/>
  <c r="J1893" i="29"/>
  <c r="J1894" i="29"/>
  <c r="J1895" i="29"/>
  <c r="J1896" i="29"/>
  <c r="J1897" i="29"/>
  <c r="J1898" i="29"/>
  <c r="J1899" i="29"/>
  <c r="J1900" i="29"/>
  <c r="J1901" i="29"/>
  <c r="J1902" i="29"/>
  <c r="J1903" i="29"/>
  <c r="J1904" i="29"/>
  <c r="J1905" i="29"/>
  <c r="J1906" i="29"/>
  <c r="J1907" i="29"/>
  <c r="J1908" i="29"/>
  <c r="J1909" i="29"/>
  <c r="J1910" i="29"/>
  <c r="J1911" i="29"/>
  <c r="J1912" i="29"/>
  <c r="J1913" i="29"/>
  <c r="J1914" i="29"/>
  <c r="J1915" i="29"/>
  <c r="J1916" i="29"/>
  <c r="J1917" i="29"/>
  <c r="J1918" i="29"/>
  <c r="J1919" i="29"/>
  <c r="J1920" i="29"/>
  <c r="J1921" i="29"/>
  <c r="J1922" i="29"/>
  <c r="J1923" i="29"/>
  <c r="J1924" i="29"/>
  <c r="J1925" i="29"/>
  <c r="J1926" i="29"/>
  <c r="J1927" i="29"/>
  <c r="J1928" i="29"/>
  <c r="J1929" i="29"/>
  <c r="J1930" i="29"/>
  <c r="J1931" i="29"/>
  <c r="J1932" i="29"/>
  <c r="J1933" i="29"/>
  <c r="J1934" i="29"/>
  <c r="J1935" i="29"/>
  <c r="J1936" i="29"/>
  <c r="J1937" i="29"/>
  <c r="J1938" i="29"/>
  <c r="J1939" i="29"/>
  <c r="J1940" i="29"/>
  <c r="J1941" i="29"/>
  <c r="J1942" i="29"/>
  <c r="J1943" i="29"/>
  <c r="J1944" i="29"/>
  <c r="J1945" i="29"/>
  <c r="J1946" i="29"/>
  <c r="J1947" i="29"/>
  <c r="J1948" i="29"/>
  <c r="J1949" i="29"/>
  <c r="J1950" i="29"/>
  <c r="J1951" i="29"/>
  <c r="J1952" i="29"/>
  <c r="J1953" i="29"/>
  <c r="J1954" i="29"/>
  <c r="J1955" i="29"/>
  <c r="J1956" i="29"/>
  <c r="J1957" i="29"/>
  <c r="J1958" i="29"/>
  <c r="J1959" i="29"/>
  <c r="J1960" i="29"/>
  <c r="J1961" i="29"/>
  <c r="J1962" i="29"/>
  <c r="J1963" i="29"/>
  <c r="J1964" i="29"/>
  <c r="J1965" i="29"/>
  <c r="J1966" i="29"/>
  <c r="J1967" i="29"/>
  <c r="J1968" i="29"/>
  <c r="J1969" i="29"/>
  <c r="J1970" i="29"/>
  <c r="J1971" i="29"/>
  <c r="J1972" i="29"/>
  <c r="J1973" i="29"/>
  <c r="J1974" i="29"/>
  <c r="J1975" i="29"/>
  <c r="J1976" i="29"/>
  <c r="J1977" i="29"/>
  <c r="J1978" i="29"/>
  <c r="J1979" i="29"/>
  <c r="J1980" i="29"/>
  <c r="J1981" i="29"/>
  <c r="J1982" i="29"/>
  <c r="J1983" i="29"/>
  <c r="J1984" i="29"/>
  <c r="J1985" i="29"/>
  <c r="J1986" i="29"/>
  <c r="J1987" i="29"/>
  <c r="J1988" i="29"/>
  <c r="J1989" i="29"/>
  <c r="J1990" i="29"/>
  <c r="J1991" i="29"/>
  <c r="J1992" i="29"/>
  <c r="J1993" i="29"/>
  <c r="J1994" i="29"/>
  <c r="J1995" i="29"/>
  <c r="J1996" i="29"/>
  <c r="J1997" i="29"/>
  <c r="J1998" i="29"/>
  <c r="J1999" i="29"/>
  <c r="J2000" i="29"/>
  <c r="J2001" i="29"/>
  <c r="J2002" i="29"/>
  <c r="J2003" i="29"/>
  <c r="J2004" i="29"/>
  <c r="J2005" i="29"/>
  <c r="J2006" i="29"/>
  <c r="J2007" i="29"/>
  <c r="J2008" i="29"/>
  <c r="J2009" i="29"/>
  <c r="J2010" i="29"/>
  <c r="J1107" i="28"/>
  <c r="J1108" i="28"/>
  <c r="J1109" i="28"/>
  <c r="J1110" i="28"/>
  <c r="J1111" i="28"/>
  <c r="J1112" i="28"/>
  <c r="J1113" i="28"/>
  <c r="J1114" i="28"/>
  <c r="J1115" i="28"/>
  <c r="J1116" i="28"/>
  <c r="J1117" i="28"/>
  <c r="J1118" i="28"/>
  <c r="J1119" i="28"/>
  <c r="J1120" i="28"/>
  <c r="J1121" i="28"/>
  <c r="J1122" i="28"/>
  <c r="J1123" i="28"/>
  <c r="J1124" i="28"/>
  <c r="J1125" i="28"/>
  <c r="J1126" i="28"/>
  <c r="J1127" i="28"/>
  <c r="J1128" i="28"/>
  <c r="J1129" i="28"/>
  <c r="J1130" i="28"/>
  <c r="J1131" i="28"/>
  <c r="J1132" i="28"/>
  <c r="J1133" i="28"/>
  <c r="J1134" i="28"/>
  <c r="J1135" i="28"/>
  <c r="J1136" i="28"/>
  <c r="J1137" i="28"/>
  <c r="J1138" i="28"/>
  <c r="J1139" i="28"/>
  <c r="J1140" i="28"/>
  <c r="J1141" i="28"/>
  <c r="J1142" i="28"/>
  <c r="J1143" i="28"/>
  <c r="J1144" i="28"/>
  <c r="J1145" i="28"/>
  <c r="J1146" i="28"/>
  <c r="J1147" i="28"/>
  <c r="J1148" i="28"/>
  <c r="J1149" i="28"/>
  <c r="J1150" i="28"/>
  <c r="J1151" i="28"/>
  <c r="J1152" i="28"/>
  <c r="J1153" i="28"/>
  <c r="J1154" i="28"/>
  <c r="J1155" i="28"/>
  <c r="J1156" i="28"/>
  <c r="J1157" i="28"/>
  <c r="J1158" i="28"/>
  <c r="J1159" i="28"/>
  <c r="J1160" i="28"/>
  <c r="J1161" i="28"/>
  <c r="J1162" i="28"/>
  <c r="J1163" i="28"/>
  <c r="J1164" i="28"/>
  <c r="J1165" i="28"/>
  <c r="J1166" i="28"/>
  <c r="J1167" i="28"/>
  <c r="J1168" i="28"/>
  <c r="J1169" i="28"/>
  <c r="J1170" i="28"/>
  <c r="J1171" i="28"/>
  <c r="J1172" i="28"/>
  <c r="J1173" i="28"/>
  <c r="J1174" i="28"/>
  <c r="J1175" i="28"/>
  <c r="J1176" i="28"/>
  <c r="J1177" i="28"/>
  <c r="J1178" i="28"/>
  <c r="J1179" i="28"/>
  <c r="J1180" i="28"/>
  <c r="J1181" i="28"/>
  <c r="J1182" i="28"/>
  <c r="J1183" i="28"/>
  <c r="J1184" i="28"/>
  <c r="J1185" i="28"/>
  <c r="J1186" i="28"/>
  <c r="J1187" i="28"/>
  <c r="J1188" i="28"/>
  <c r="J1189" i="28"/>
  <c r="J1190" i="28"/>
  <c r="J1191" i="28"/>
  <c r="J1192" i="28"/>
  <c r="J1193" i="28"/>
  <c r="J1194" i="28"/>
  <c r="J1195" i="28"/>
  <c r="J1196" i="28"/>
  <c r="J1197" i="28"/>
  <c r="J1198" i="28"/>
  <c r="J1199" i="28"/>
  <c r="J1200" i="28"/>
  <c r="J1201" i="28"/>
  <c r="J1202" i="28"/>
  <c r="J1203" i="28"/>
  <c r="J1204" i="28"/>
  <c r="J1205" i="28"/>
  <c r="J1206" i="28"/>
  <c r="J1207" i="28"/>
  <c r="J1208" i="28"/>
  <c r="J1209" i="28"/>
  <c r="J1210" i="28"/>
  <c r="J1211" i="28"/>
  <c r="J1212" i="28"/>
  <c r="J1213" i="28"/>
  <c r="J1214" i="28"/>
  <c r="J1215" i="28"/>
  <c r="J1216" i="28"/>
  <c r="J1217" i="28"/>
  <c r="J1218" i="28"/>
  <c r="J1219" i="28"/>
  <c r="J1220" i="28"/>
  <c r="J1221" i="28"/>
  <c r="J1222" i="28"/>
  <c r="J1223" i="28"/>
  <c r="J1224" i="28"/>
  <c r="J1225" i="28"/>
  <c r="J1226" i="28"/>
  <c r="J1227" i="28"/>
  <c r="J1228" i="28"/>
  <c r="J1229" i="28"/>
  <c r="J1230" i="28"/>
  <c r="J1231" i="28"/>
  <c r="J1232" i="28"/>
  <c r="J1233" i="28"/>
  <c r="J1234" i="28"/>
  <c r="J1235" i="28"/>
  <c r="J1236" i="28"/>
  <c r="J1237" i="28"/>
  <c r="J1238" i="28"/>
  <c r="J1239" i="28"/>
  <c r="J1240" i="28"/>
  <c r="J1241" i="28"/>
  <c r="J1242" i="28"/>
  <c r="J1243" i="28"/>
  <c r="J1244" i="28"/>
  <c r="J1245" i="28"/>
  <c r="J1246" i="28"/>
  <c r="J1247" i="28"/>
  <c r="J1248" i="28"/>
  <c r="J1249" i="28"/>
  <c r="J1250" i="28"/>
  <c r="J1251" i="28"/>
  <c r="J1252" i="28"/>
  <c r="J1253" i="28"/>
  <c r="J1254" i="28"/>
  <c r="J1255" i="28"/>
  <c r="J1256" i="28"/>
  <c r="J1257" i="28"/>
  <c r="J1258" i="28"/>
  <c r="J1259" i="28"/>
  <c r="J1260" i="28"/>
  <c r="J1261" i="28"/>
  <c r="J1262" i="28"/>
  <c r="J1263" i="28"/>
  <c r="J1264" i="28"/>
  <c r="J1265" i="28"/>
  <c r="J1266" i="28"/>
  <c r="J1267" i="28"/>
  <c r="J1268" i="28"/>
  <c r="J1269" i="28"/>
  <c r="J1270" i="28"/>
  <c r="J1271" i="28"/>
  <c r="J1272" i="28"/>
  <c r="J1273" i="28"/>
  <c r="J1274" i="28"/>
  <c r="J1275" i="28"/>
  <c r="J1276" i="28"/>
  <c r="J1277" i="28"/>
  <c r="J1278" i="28"/>
  <c r="J1279" i="28"/>
  <c r="J1280" i="28"/>
  <c r="J1281" i="28"/>
  <c r="J1282" i="28"/>
  <c r="J1283" i="28"/>
  <c r="J1284" i="28"/>
  <c r="J1285" i="28"/>
  <c r="J1286" i="28"/>
  <c r="J1287" i="28"/>
  <c r="J1288" i="28"/>
  <c r="J1289" i="28"/>
  <c r="J1290" i="28"/>
  <c r="J1291" i="28"/>
  <c r="J1292" i="28"/>
  <c r="J1293" i="28"/>
  <c r="J1294" i="28"/>
  <c r="J1295" i="28"/>
  <c r="J1296" i="28"/>
  <c r="J1297" i="28"/>
  <c r="J1298" i="28"/>
  <c r="J1299" i="28"/>
  <c r="J1300" i="28"/>
  <c r="J1301" i="28"/>
  <c r="J1302" i="28"/>
  <c r="J1303" i="28"/>
  <c r="J1304" i="28"/>
  <c r="J1305" i="28"/>
  <c r="J1306" i="28"/>
  <c r="J1307" i="28"/>
  <c r="J1308" i="28"/>
  <c r="J1309" i="28"/>
  <c r="J1310" i="28"/>
  <c r="J1311" i="28"/>
  <c r="J1312" i="28"/>
  <c r="J1313" i="28"/>
  <c r="J1314" i="28"/>
  <c r="J1315" i="28"/>
  <c r="J1316" i="28"/>
  <c r="J1317" i="28"/>
  <c r="J1318" i="28"/>
  <c r="J1319" i="28"/>
  <c r="J1320" i="28"/>
  <c r="J1321" i="28"/>
  <c r="J1322" i="28"/>
  <c r="J1323" i="28"/>
  <c r="J1324" i="28"/>
  <c r="J1325" i="28"/>
  <c r="J1326" i="28"/>
  <c r="J1327" i="28"/>
  <c r="J1328" i="28"/>
  <c r="J1329" i="28"/>
  <c r="J1330" i="28"/>
  <c r="J1331" i="28"/>
  <c r="J1332" i="28"/>
  <c r="J1333" i="28"/>
  <c r="J1334" i="28"/>
  <c r="J1335" i="28"/>
  <c r="J1336" i="28"/>
  <c r="J1337" i="28"/>
  <c r="J1338" i="28"/>
  <c r="J1339" i="28"/>
  <c r="J1340" i="28"/>
  <c r="J1341" i="28"/>
  <c r="J1342" i="28"/>
  <c r="J1343" i="28"/>
  <c r="J1344" i="28"/>
  <c r="J1345" i="28"/>
  <c r="J1346" i="28"/>
  <c r="J1347" i="28"/>
  <c r="J1348" i="28"/>
  <c r="J1349" i="28"/>
  <c r="J1350" i="28"/>
  <c r="J1351" i="28"/>
  <c r="J1352" i="28"/>
  <c r="J1353" i="28"/>
  <c r="J1354" i="28"/>
  <c r="J1355" i="28"/>
  <c r="J1356" i="28"/>
  <c r="J1357" i="28"/>
  <c r="J1358" i="28"/>
  <c r="J1359" i="28"/>
  <c r="J1360" i="28"/>
  <c r="J1361" i="28"/>
  <c r="J1362" i="28"/>
  <c r="J1363" i="28"/>
  <c r="J1364" i="28"/>
  <c r="J1365" i="28"/>
  <c r="J1366" i="28"/>
  <c r="J1367" i="28"/>
  <c r="J1368" i="28"/>
  <c r="J1369" i="28"/>
  <c r="J1370" i="28"/>
  <c r="J1371" i="28"/>
  <c r="J1372" i="28"/>
  <c r="J1373" i="28"/>
  <c r="J1374" i="28"/>
  <c r="J1375" i="28"/>
  <c r="J1376" i="28"/>
  <c r="J1377" i="28"/>
  <c r="J1378" i="28"/>
  <c r="J1379" i="28"/>
  <c r="J1380" i="28"/>
  <c r="J1381" i="28"/>
  <c r="J1382" i="28"/>
  <c r="J1383" i="28"/>
  <c r="J1384" i="28"/>
  <c r="J1385" i="28"/>
  <c r="J1386" i="28"/>
  <c r="J1387" i="28"/>
  <c r="J1388" i="28"/>
  <c r="J1389" i="28"/>
  <c r="J1390" i="28"/>
  <c r="J1391" i="28"/>
  <c r="J1392" i="28"/>
  <c r="J1393" i="28"/>
  <c r="J1394" i="28"/>
  <c r="J1395" i="28"/>
  <c r="J1396" i="28"/>
  <c r="J1397" i="28"/>
  <c r="J1398" i="28"/>
  <c r="J1399" i="28"/>
  <c r="J1400" i="28"/>
  <c r="J1401" i="28"/>
  <c r="J1402" i="28"/>
  <c r="J1403" i="28"/>
  <c r="J1404" i="28"/>
  <c r="J1405" i="28"/>
  <c r="J1406" i="28"/>
  <c r="J1407" i="28"/>
  <c r="J1408" i="28"/>
  <c r="J1409" i="28"/>
  <c r="J1410" i="28"/>
  <c r="J1411" i="28"/>
  <c r="J1412" i="28"/>
  <c r="J1413" i="28"/>
  <c r="J1414" i="28"/>
  <c r="J1415" i="28"/>
  <c r="J1416" i="28"/>
  <c r="J1417" i="28"/>
  <c r="J1418" i="28"/>
  <c r="J1419" i="28"/>
  <c r="J1420" i="28"/>
  <c r="J1421" i="28"/>
  <c r="J1422" i="28"/>
  <c r="J1423" i="28"/>
  <c r="J1424" i="28"/>
  <c r="J1425" i="28"/>
  <c r="J1426" i="28"/>
  <c r="J1427" i="28"/>
  <c r="J1428" i="28"/>
  <c r="J1429" i="28"/>
  <c r="J1430" i="28"/>
  <c r="J1431" i="28"/>
  <c r="J1432" i="28"/>
  <c r="J1433" i="28"/>
  <c r="J1434" i="28"/>
  <c r="J1435" i="28"/>
  <c r="J1436" i="28"/>
  <c r="J1437" i="28"/>
  <c r="J1438" i="28"/>
  <c r="J1439" i="28"/>
  <c r="J1440" i="28"/>
  <c r="J1441" i="28"/>
  <c r="J1442" i="28"/>
  <c r="J1443" i="28"/>
  <c r="J1444" i="28"/>
  <c r="J1445" i="28"/>
  <c r="J1446" i="28"/>
  <c r="J1447" i="28"/>
  <c r="J1448" i="28"/>
  <c r="J1449" i="28"/>
  <c r="J1450" i="28"/>
  <c r="J1451" i="28"/>
  <c r="J1452" i="28"/>
  <c r="J1453" i="28"/>
  <c r="J1454" i="28"/>
  <c r="J1455" i="28"/>
  <c r="J1456" i="28"/>
  <c r="J1457" i="28"/>
  <c r="J1458" i="28"/>
  <c r="J1459" i="28"/>
  <c r="J1460" i="28"/>
  <c r="J1461" i="28"/>
  <c r="J1462" i="28"/>
  <c r="J1463" i="28"/>
  <c r="J1464" i="28"/>
  <c r="J1465" i="28"/>
  <c r="J1466" i="28"/>
  <c r="J1467" i="28"/>
  <c r="J1468" i="28"/>
  <c r="J1469" i="28"/>
  <c r="J1470" i="28"/>
  <c r="J1471" i="28"/>
  <c r="J1472" i="28"/>
  <c r="J1473" i="28"/>
  <c r="J1474" i="28"/>
  <c r="J1475" i="28"/>
  <c r="J1476" i="28"/>
  <c r="J1477" i="28"/>
  <c r="J1478" i="28"/>
  <c r="J1479" i="28"/>
  <c r="J1480" i="28"/>
  <c r="J1481" i="28"/>
  <c r="J1482" i="28"/>
  <c r="J1483" i="28"/>
  <c r="J1484" i="28"/>
  <c r="J1485" i="28"/>
  <c r="J1486" i="28"/>
  <c r="J1487" i="28"/>
  <c r="J1488" i="28"/>
  <c r="J1489" i="28"/>
  <c r="J1490" i="28"/>
  <c r="J1491" i="28"/>
  <c r="J1492" i="28"/>
  <c r="J1493" i="28"/>
  <c r="J1494" i="28"/>
  <c r="J1495" i="28"/>
  <c r="J1496" i="28"/>
  <c r="J1497" i="28"/>
  <c r="J1498" i="28"/>
  <c r="J1499" i="28"/>
  <c r="J1500" i="28"/>
  <c r="J1501" i="28"/>
  <c r="J1502" i="28"/>
  <c r="J1503" i="28"/>
  <c r="J1504" i="28"/>
  <c r="J1505" i="28"/>
  <c r="J1506" i="28"/>
  <c r="J1507" i="28"/>
  <c r="J1508" i="28"/>
  <c r="J1509" i="28"/>
  <c r="J1510" i="28"/>
  <c r="J1511" i="28"/>
  <c r="J1512" i="28"/>
  <c r="J1513" i="28"/>
  <c r="J1514" i="28"/>
  <c r="J1515" i="28"/>
  <c r="J1516" i="28"/>
  <c r="J1517" i="28"/>
  <c r="J1518" i="28"/>
  <c r="J1519" i="28"/>
  <c r="J1520" i="28"/>
  <c r="J1521" i="28"/>
  <c r="J1522" i="28"/>
  <c r="J1523" i="28"/>
  <c r="J1524" i="28"/>
  <c r="J1525" i="28"/>
  <c r="J1526" i="28"/>
  <c r="J1527" i="28"/>
  <c r="J1528" i="28"/>
  <c r="J1529" i="28"/>
  <c r="J1530" i="28"/>
  <c r="J1531" i="28"/>
  <c r="J1532" i="28"/>
  <c r="J1533" i="28"/>
  <c r="J1534" i="28"/>
  <c r="J1535" i="28"/>
  <c r="J1536" i="28"/>
  <c r="J1537" i="28"/>
  <c r="J1538" i="28"/>
  <c r="J1539" i="28"/>
  <c r="J1540" i="28"/>
  <c r="J1541" i="28"/>
  <c r="J1542" i="28"/>
  <c r="J1543" i="28"/>
  <c r="J1544" i="28"/>
  <c r="J1545" i="28"/>
  <c r="J1546" i="28"/>
  <c r="J1547" i="28"/>
  <c r="J1548" i="28"/>
  <c r="J1549" i="28"/>
  <c r="J1550" i="28"/>
  <c r="J1551" i="28"/>
  <c r="J1552" i="28"/>
  <c r="J1553" i="28"/>
  <c r="J1554" i="28"/>
  <c r="J1555" i="28"/>
  <c r="J1556" i="28"/>
  <c r="J1557" i="28"/>
  <c r="J1558" i="28"/>
  <c r="J1559" i="28"/>
  <c r="J1560" i="28"/>
  <c r="J1561" i="28"/>
  <c r="J1562" i="28"/>
  <c r="J1563" i="28"/>
  <c r="J1564" i="28"/>
  <c r="J1565" i="28"/>
  <c r="J1566" i="28"/>
  <c r="J1567" i="28"/>
  <c r="J1568" i="28"/>
  <c r="J1569" i="28"/>
  <c r="J1570" i="28"/>
  <c r="J1571" i="28"/>
  <c r="J1572" i="28"/>
  <c r="J1573" i="28"/>
  <c r="J1574" i="28"/>
  <c r="J1575" i="28"/>
  <c r="J1576" i="28"/>
  <c r="J1577" i="28"/>
  <c r="J1578" i="28"/>
  <c r="J1579" i="28"/>
  <c r="J1580" i="28"/>
  <c r="J1581" i="28"/>
  <c r="J1582" i="28"/>
  <c r="J1583" i="28"/>
  <c r="J1584" i="28"/>
  <c r="J1585" i="28"/>
  <c r="J1586" i="28"/>
  <c r="J1587" i="28"/>
  <c r="J1588" i="28"/>
  <c r="J1589" i="28"/>
  <c r="J1590" i="28"/>
  <c r="J1591" i="28"/>
  <c r="J1592" i="28"/>
  <c r="J1593" i="28"/>
  <c r="J1594" i="28"/>
  <c r="J1595" i="28"/>
  <c r="J1596" i="28"/>
  <c r="J1597" i="28"/>
  <c r="J1598" i="28"/>
  <c r="J1599" i="28"/>
  <c r="J1600" i="28"/>
  <c r="J1601" i="28"/>
  <c r="J1602" i="28"/>
  <c r="J1603" i="28"/>
  <c r="J1604" i="28"/>
  <c r="J1605" i="28"/>
  <c r="J1606" i="28"/>
  <c r="J1607" i="28"/>
  <c r="J1608" i="28"/>
  <c r="J1609" i="28"/>
  <c r="J1610" i="28"/>
  <c r="J1611" i="28"/>
  <c r="J1612" i="28"/>
  <c r="J1613" i="28"/>
  <c r="J1614" i="28"/>
  <c r="J1615" i="28"/>
  <c r="J1616" i="28"/>
  <c r="J1617" i="28"/>
  <c r="J1618" i="28"/>
  <c r="J1619" i="28"/>
  <c r="J1620" i="28"/>
  <c r="J1621" i="28"/>
  <c r="J1622" i="28"/>
  <c r="J1623" i="28"/>
  <c r="J1624" i="28"/>
  <c r="J1625" i="28"/>
  <c r="J1626" i="28"/>
  <c r="J1627" i="28"/>
  <c r="J1628" i="28"/>
  <c r="J1629" i="28"/>
  <c r="J1630" i="28"/>
  <c r="J1631" i="28"/>
  <c r="J1632" i="28"/>
  <c r="J1633" i="28"/>
  <c r="J1634" i="28"/>
  <c r="J1635" i="28"/>
  <c r="J1636" i="28"/>
  <c r="J1637" i="28"/>
  <c r="J1638" i="28"/>
  <c r="J1639" i="28"/>
  <c r="J1640" i="28"/>
  <c r="J1641" i="28"/>
  <c r="J1642" i="28"/>
  <c r="J1643" i="28"/>
  <c r="J1644" i="28"/>
  <c r="J1645" i="28"/>
  <c r="J1646" i="28"/>
  <c r="J1647" i="28"/>
  <c r="J1648" i="28"/>
  <c r="J1649" i="28"/>
  <c r="J1650" i="28"/>
  <c r="J1651" i="28"/>
  <c r="J1652" i="28"/>
  <c r="J1653" i="28"/>
  <c r="J1654" i="28"/>
  <c r="J1655" i="28"/>
  <c r="J1656" i="28"/>
  <c r="J1657" i="28"/>
  <c r="J1658" i="28"/>
  <c r="J1659" i="28"/>
  <c r="J1660" i="28"/>
  <c r="J1661" i="28"/>
  <c r="J1662" i="28"/>
  <c r="J1663" i="28"/>
  <c r="J1664" i="28"/>
  <c r="J1665" i="28"/>
  <c r="J1666" i="28"/>
  <c r="J1667" i="28"/>
  <c r="J1668" i="28"/>
  <c r="J1669" i="28"/>
  <c r="J1670" i="28"/>
  <c r="J1671" i="28"/>
  <c r="J1672" i="28"/>
  <c r="J1673" i="28"/>
  <c r="J1674" i="28"/>
  <c r="J1675" i="28"/>
  <c r="J1676" i="28"/>
  <c r="J1677" i="28"/>
  <c r="J1678" i="28"/>
  <c r="J1679" i="28"/>
  <c r="J1680" i="28"/>
  <c r="J1681" i="28"/>
  <c r="J1682" i="28"/>
  <c r="J1683" i="28"/>
  <c r="J1684" i="28"/>
  <c r="J1685" i="28"/>
  <c r="J1686" i="28"/>
  <c r="J1687" i="28"/>
  <c r="J1688" i="28"/>
  <c r="J1689" i="28"/>
  <c r="J1690" i="28"/>
  <c r="J1691" i="28"/>
  <c r="J1692" i="28"/>
  <c r="J1693" i="28"/>
  <c r="J1694" i="28"/>
  <c r="J1695" i="28"/>
  <c r="J1696" i="28"/>
  <c r="J1697" i="28"/>
  <c r="J1698" i="28"/>
  <c r="J1699" i="28"/>
  <c r="J1700" i="28"/>
  <c r="J1701" i="28"/>
  <c r="J1702" i="28"/>
  <c r="J1703" i="28"/>
  <c r="J1704" i="28"/>
  <c r="J1705" i="28"/>
  <c r="J1706" i="28"/>
  <c r="J1707" i="28"/>
  <c r="J1708" i="28"/>
  <c r="J1709" i="28"/>
  <c r="J1710" i="28"/>
  <c r="J1711" i="28"/>
  <c r="J1712" i="28"/>
  <c r="J1713" i="28"/>
  <c r="J1714" i="28"/>
  <c r="J1715" i="28"/>
  <c r="J1716" i="28"/>
  <c r="J1717" i="28"/>
  <c r="J1718" i="28"/>
  <c r="J1719" i="28"/>
  <c r="J1720" i="28"/>
  <c r="J1721" i="28"/>
  <c r="J1722" i="28"/>
  <c r="J1723" i="28"/>
  <c r="J1724" i="28"/>
  <c r="J1725" i="28"/>
  <c r="J1726" i="28"/>
  <c r="J1727" i="28"/>
  <c r="J1728" i="28"/>
  <c r="J1729" i="28"/>
  <c r="J1730" i="28"/>
  <c r="J1731" i="28"/>
  <c r="J1732" i="28"/>
  <c r="J1733" i="28"/>
  <c r="J1734" i="28"/>
  <c r="J1735" i="28"/>
  <c r="J1736" i="28"/>
  <c r="J1737" i="28"/>
  <c r="J1738" i="28"/>
  <c r="J1739" i="28"/>
  <c r="J1740" i="28"/>
  <c r="J1741" i="28"/>
  <c r="J1742" i="28"/>
  <c r="J1743" i="28"/>
  <c r="J1744" i="28"/>
  <c r="J1745" i="28"/>
  <c r="J1746" i="28"/>
  <c r="J1747" i="28"/>
  <c r="J1748" i="28"/>
  <c r="J1749" i="28"/>
  <c r="J1750" i="28"/>
  <c r="J1751" i="28"/>
  <c r="J1752" i="28"/>
  <c r="J1753" i="28"/>
  <c r="J1754" i="28"/>
  <c r="J1755" i="28"/>
  <c r="J1756" i="28"/>
  <c r="J1757" i="28"/>
  <c r="J1758" i="28"/>
  <c r="J1759" i="28"/>
  <c r="J1760" i="28"/>
  <c r="J1761" i="28"/>
  <c r="J1762" i="28"/>
  <c r="J1763" i="28"/>
  <c r="J1764" i="28"/>
  <c r="J1765" i="28"/>
  <c r="J1766" i="28"/>
  <c r="J1767" i="28"/>
  <c r="J1768" i="28"/>
  <c r="J1769" i="28"/>
  <c r="J1770" i="28"/>
  <c r="J1771" i="28"/>
  <c r="J1772" i="28"/>
  <c r="J1773" i="28"/>
  <c r="J1774" i="28"/>
  <c r="J1775" i="28"/>
  <c r="J1776" i="28"/>
  <c r="J1777" i="28"/>
  <c r="J1778" i="28"/>
  <c r="J1779" i="28"/>
  <c r="J1780" i="28"/>
  <c r="J1781" i="28"/>
  <c r="J1782" i="28"/>
  <c r="J1783" i="28"/>
  <c r="J1784" i="28"/>
  <c r="J1785" i="28"/>
  <c r="J1786" i="28"/>
  <c r="J1787" i="28"/>
  <c r="J1788" i="28"/>
  <c r="J1789" i="28"/>
  <c r="J1790" i="28"/>
  <c r="J1791" i="28"/>
  <c r="J1792" i="28"/>
  <c r="J1793" i="28"/>
  <c r="J1794" i="28"/>
  <c r="J1795" i="28"/>
  <c r="J1796" i="28"/>
  <c r="J1797" i="28"/>
  <c r="J1798" i="28"/>
  <c r="J1799" i="28"/>
  <c r="J1800" i="28"/>
  <c r="J1801" i="28"/>
  <c r="J1802" i="28"/>
  <c r="J1803" i="28"/>
  <c r="J1804" i="28"/>
  <c r="J1805" i="28"/>
  <c r="J1806" i="28"/>
  <c r="J1807" i="28"/>
  <c r="J1808" i="28"/>
  <c r="J1809" i="28"/>
  <c r="J1810" i="28"/>
  <c r="J1811" i="28"/>
  <c r="J1812" i="28"/>
  <c r="J1813" i="28"/>
  <c r="J1814" i="28"/>
  <c r="J1815" i="28"/>
  <c r="J1816" i="28"/>
  <c r="J1817" i="28"/>
  <c r="J1818" i="28"/>
  <c r="J1819" i="28"/>
  <c r="J1820" i="28"/>
  <c r="J1821" i="28"/>
  <c r="J1822" i="28"/>
  <c r="J1823" i="28"/>
  <c r="J1824" i="28"/>
  <c r="J1825" i="28"/>
  <c r="J1826" i="28"/>
  <c r="J1827" i="28"/>
  <c r="J1828" i="28"/>
  <c r="J1829" i="28"/>
  <c r="J1830" i="28"/>
  <c r="J1831" i="28"/>
  <c r="J1832" i="28"/>
  <c r="J1833" i="28"/>
  <c r="J1834" i="28"/>
  <c r="J1835" i="28"/>
  <c r="J1836" i="28"/>
  <c r="J1837" i="28"/>
  <c r="J1838" i="28"/>
  <c r="J1839" i="28"/>
  <c r="J1840" i="28"/>
  <c r="J1841" i="28"/>
  <c r="J1842" i="28"/>
  <c r="J1843" i="28"/>
  <c r="J1844" i="28"/>
  <c r="J1845" i="28"/>
  <c r="J1846" i="28"/>
  <c r="J1847" i="28"/>
  <c r="J1848" i="28"/>
  <c r="J1849" i="28"/>
  <c r="J1850" i="28"/>
  <c r="J1851" i="28"/>
  <c r="J1852" i="28"/>
  <c r="J1853" i="28"/>
  <c r="J1854" i="28"/>
  <c r="J1855" i="28"/>
  <c r="J1856" i="28"/>
  <c r="J1857" i="28"/>
  <c r="J1858" i="28"/>
  <c r="J1859" i="28"/>
  <c r="J1860" i="28"/>
  <c r="J1861" i="28"/>
  <c r="J1862" i="28"/>
  <c r="J1863" i="28"/>
  <c r="J1864" i="28"/>
  <c r="J1865" i="28"/>
  <c r="J1866" i="28"/>
  <c r="J1867" i="28"/>
  <c r="J1868" i="28"/>
  <c r="J1869" i="28"/>
  <c r="J1870" i="28"/>
  <c r="J1871" i="28"/>
  <c r="J1872" i="28"/>
  <c r="J1873" i="28"/>
  <c r="J1874" i="28"/>
  <c r="J1875" i="28"/>
  <c r="J1876" i="28"/>
  <c r="J1877" i="28"/>
  <c r="J1878" i="28"/>
  <c r="J1879" i="28"/>
  <c r="J1880" i="28"/>
  <c r="J1881" i="28"/>
  <c r="J1882" i="28"/>
  <c r="J1883" i="28"/>
  <c r="J1884" i="28"/>
  <c r="J1885" i="28"/>
  <c r="J1886" i="28"/>
  <c r="J1887" i="28"/>
  <c r="J1888" i="28"/>
  <c r="J1889" i="28"/>
  <c r="J1890" i="28"/>
  <c r="J1891" i="28"/>
  <c r="J1892" i="28"/>
  <c r="J1893" i="28"/>
  <c r="J1894" i="28"/>
  <c r="J1895" i="28"/>
  <c r="J1896" i="28"/>
  <c r="J1897" i="28"/>
  <c r="J1898" i="28"/>
  <c r="J1899" i="28"/>
  <c r="J1900" i="28"/>
  <c r="J1901" i="28"/>
  <c r="J1902" i="28"/>
  <c r="J1903" i="28"/>
  <c r="J1904" i="28"/>
  <c r="J1905" i="28"/>
  <c r="J1906" i="28"/>
  <c r="J1907" i="28"/>
  <c r="J1908" i="28"/>
  <c r="J1909" i="28"/>
  <c r="J1910" i="28"/>
  <c r="J1911" i="28"/>
  <c r="J1912" i="28"/>
  <c r="J1913" i="28"/>
  <c r="J1914" i="28"/>
  <c r="J1915" i="28"/>
  <c r="J1916" i="28"/>
  <c r="J1917" i="28"/>
  <c r="J1918" i="28"/>
  <c r="J1919" i="28"/>
  <c r="J1920" i="28"/>
  <c r="J1921" i="28"/>
  <c r="J1922" i="28"/>
  <c r="J1923" i="28"/>
  <c r="J1924" i="28"/>
  <c r="J1925" i="28"/>
  <c r="J1926" i="28"/>
  <c r="J1927" i="28"/>
  <c r="J1928" i="28"/>
  <c r="J1929" i="28"/>
  <c r="J1930" i="28"/>
  <c r="J1931" i="28"/>
  <c r="J1932" i="28"/>
  <c r="J1933" i="28"/>
  <c r="J1934" i="28"/>
  <c r="J1935" i="28"/>
  <c r="J1936" i="28"/>
  <c r="J1937" i="28"/>
  <c r="J1938" i="28"/>
  <c r="J1939" i="28"/>
  <c r="J1940" i="28"/>
  <c r="J1941" i="28"/>
  <c r="J1942" i="28"/>
  <c r="J1943" i="28"/>
  <c r="J1944" i="28"/>
  <c r="J1945" i="28"/>
  <c r="J1946" i="28"/>
  <c r="J1947" i="28"/>
  <c r="J1948" i="28"/>
  <c r="J1949" i="28"/>
  <c r="J1950" i="28"/>
  <c r="J1951" i="28"/>
  <c r="J1952" i="28"/>
  <c r="J1953" i="28"/>
  <c r="J1954" i="28"/>
  <c r="J1955" i="28"/>
  <c r="J1956" i="28"/>
  <c r="J1957" i="28"/>
  <c r="J1958" i="28"/>
  <c r="J1959" i="28"/>
  <c r="J1960" i="28"/>
  <c r="J1961" i="28"/>
  <c r="J1962" i="28"/>
  <c r="J1963" i="28"/>
  <c r="J1964" i="28"/>
  <c r="J1965" i="28"/>
  <c r="J1966" i="28"/>
  <c r="J1967" i="28"/>
  <c r="J1968" i="28"/>
  <c r="J1969" i="28"/>
  <c r="J1970" i="28"/>
  <c r="J1971" i="28"/>
  <c r="J1972" i="28"/>
  <c r="J1973" i="28"/>
  <c r="J1974" i="28"/>
  <c r="J1975" i="28"/>
  <c r="J1976" i="28"/>
  <c r="J1977" i="28"/>
  <c r="J1978" i="28"/>
  <c r="J1979" i="28"/>
  <c r="J1980" i="28"/>
  <c r="J1981" i="28"/>
  <c r="J1982" i="28"/>
  <c r="J1983" i="28"/>
  <c r="J1984" i="28"/>
  <c r="J1985" i="28"/>
  <c r="J1986" i="28"/>
  <c r="J1987" i="28"/>
  <c r="J1988" i="28"/>
  <c r="J1989" i="28"/>
  <c r="J1990" i="28"/>
  <c r="J1991" i="28"/>
  <c r="J1992" i="28"/>
  <c r="J1993" i="28"/>
  <c r="J1994" i="28"/>
  <c r="J1995" i="28"/>
  <c r="J1996" i="28"/>
  <c r="J1997" i="28"/>
  <c r="J1998" i="28"/>
  <c r="J1999" i="28"/>
  <c r="J2000" i="28"/>
  <c r="J2001" i="28"/>
  <c r="J2002" i="28"/>
  <c r="J2003" i="28"/>
  <c r="J2004" i="28"/>
  <c r="J2005" i="28"/>
  <c r="J2006" i="28"/>
  <c r="J2007" i="28"/>
  <c r="J2008" i="28"/>
  <c r="J2009" i="28"/>
  <c r="J2010" i="28"/>
  <c r="X135" i="24"/>
  <c r="AF135" i="24" s="1"/>
  <c r="Y135" i="24"/>
  <c r="Z135" i="24"/>
  <c r="AA135" i="24" s="1"/>
  <c r="AC135" i="24" s="1"/>
  <c r="AE135" i="24"/>
  <c r="X136" i="24"/>
  <c r="AF136" i="24" s="1"/>
  <c r="Y136" i="24"/>
  <c r="AB136" i="24" s="1"/>
  <c r="AD136" i="24" s="1"/>
  <c r="Z136" i="24"/>
  <c r="AE136" i="24"/>
  <c r="X137" i="24"/>
  <c r="Y137" i="24" s="1"/>
  <c r="Z137" i="24"/>
  <c r="AE137" i="24"/>
  <c r="AF137" i="24"/>
  <c r="X138" i="24"/>
  <c r="Y138" i="24" s="1"/>
  <c r="Z138" i="24"/>
  <c r="AE138" i="24"/>
  <c r="X139" i="24"/>
  <c r="AF139" i="24" s="1"/>
  <c r="Y139" i="24"/>
  <c r="Z139" i="24"/>
  <c r="AA139" i="24" s="1"/>
  <c r="AC139" i="24" s="1"/>
  <c r="AE139" i="24"/>
  <c r="X140" i="24"/>
  <c r="Y140" i="24" s="1"/>
  <c r="Z140" i="24"/>
  <c r="AA140" i="24"/>
  <c r="AC140" i="24" s="1"/>
  <c r="AE140" i="24"/>
  <c r="X141" i="24"/>
  <c r="Z141" i="24"/>
  <c r="AE141" i="24"/>
  <c r="X142" i="24"/>
  <c r="AF142" i="24" s="1"/>
  <c r="Z142" i="24"/>
  <c r="AA142" i="24"/>
  <c r="AC142" i="24" s="1"/>
  <c r="AE142" i="24"/>
  <c r="X143" i="24"/>
  <c r="AF143" i="24" s="1"/>
  <c r="Y143" i="24"/>
  <c r="Z143" i="24"/>
  <c r="AA143" i="24"/>
  <c r="AC143" i="24" s="1"/>
  <c r="AE143" i="24"/>
  <c r="X144" i="24"/>
  <c r="AF144" i="24" s="1"/>
  <c r="Y144" i="24"/>
  <c r="Z144" i="24"/>
  <c r="AA144" i="24"/>
  <c r="AC144" i="24" s="1"/>
  <c r="AB144" i="24"/>
  <c r="AD144" i="24" s="1"/>
  <c r="AE144" i="24"/>
  <c r="X145" i="24"/>
  <c r="AA145" i="24" s="1"/>
  <c r="AC145" i="24" s="1"/>
  <c r="Y145" i="24"/>
  <c r="AB145" i="24" s="1"/>
  <c r="AD145" i="24" s="1"/>
  <c r="Z145" i="24"/>
  <c r="AE145" i="24"/>
  <c r="X146" i="24"/>
  <c r="Y146" i="24" s="1"/>
  <c r="Z146" i="24"/>
  <c r="AE146" i="24"/>
  <c r="X147" i="24"/>
  <c r="AF147" i="24" s="1"/>
  <c r="Y147" i="24"/>
  <c r="Z147" i="24"/>
  <c r="AA147" i="24" s="1"/>
  <c r="AC147" i="24" s="1"/>
  <c r="AE147" i="24"/>
  <c r="X148" i="24"/>
  <c r="Y148" i="24"/>
  <c r="Z148" i="24"/>
  <c r="AE148" i="24"/>
  <c r="X149" i="24"/>
  <c r="Y149" i="24"/>
  <c r="Z149" i="24"/>
  <c r="AE149" i="24"/>
  <c r="X150" i="24"/>
  <c r="AF150" i="24" s="1"/>
  <c r="Z150" i="24"/>
  <c r="AA150" i="24" s="1"/>
  <c r="AC150" i="24" s="1"/>
  <c r="AE150" i="24"/>
  <c r="X151" i="24"/>
  <c r="Y151" i="24"/>
  <c r="Z151" i="24"/>
  <c r="AE151" i="24"/>
  <c r="AF151" i="24"/>
  <c r="X152" i="24"/>
  <c r="Y152" i="24" s="1"/>
  <c r="Z152" i="24"/>
  <c r="AE152" i="24"/>
  <c r="X153" i="24"/>
  <c r="Y153" i="24" s="1"/>
  <c r="Z153" i="24"/>
  <c r="AE153" i="24"/>
  <c r="X154" i="24"/>
  <c r="AF154" i="24" s="1"/>
  <c r="Z154" i="24"/>
  <c r="AE154" i="24"/>
  <c r="X155" i="24"/>
  <c r="AF155" i="24" s="1"/>
  <c r="Y155" i="24"/>
  <c r="Z155" i="24"/>
  <c r="AA155" i="24"/>
  <c r="AC155" i="24" s="1"/>
  <c r="AE155" i="24"/>
  <c r="X156" i="24"/>
  <c r="Y156" i="24"/>
  <c r="Z156" i="24"/>
  <c r="AA156" i="24"/>
  <c r="AC156" i="24" s="1"/>
  <c r="AE156" i="24"/>
  <c r="AF156" i="24"/>
  <c r="X157" i="24"/>
  <c r="AF157" i="24" s="1"/>
  <c r="Z157" i="24"/>
  <c r="AE157" i="24"/>
  <c r="X158" i="24"/>
  <c r="AF158" i="24" s="1"/>
  <c r="Y158" i="24"/>
  <c r="Z158" i="24"/>
  <c r="AB158" i="24"/>
  <c r="AD158" i="24" s="1"/>
  <c r="AE158" i="24"/>
  <c r="X159" i="24"/>
  <c r="Y159" i="24"/>
  <c r="Z159" i="24"/>
  <c r="AA159" i="24" s="1"/>
  <c r="AC159" i="24" s="1"/>
  <c r="AE159" i="24"/>
  <c r="AF159" i="24"/>
  <c r="X160" i="24"/>
  <c r="Y160" i="24"/>
  <c r="Z160" i="24"/>
  <c r="AE160" i="24"/>
  <c r="X161" i="24"/>
  <c r="Y161" i="24" s="1"/>
  <c r="Z161" i="24"/>
  <c r="AE161" i="24"/>
  <c r="X162" i="24"/>
  <c r="AF162" i="24" s="1"/>
  <c r="Y162" i="24"/>
  <c r="Z162" i="24"/>
  <c r="AE162" i="24"/>
  <c r="X163" i="24"/>
  <c r="Y163" i="24" s="1"/>
  <c r="Z163" i="24"/>
  <c r="AA163" i="24"/>
  <c r="AC163" i="24" s="1"/>
  <c r="AE163" i="24"/>
  <c r="AF163" i="24"/>
  <c r="X164" i="24"/>
  <c r="Y164" i="24" s="1"/>
  <c r="Z164" i="24"/>
  <c r="AE164" i="24"/>
  <c r="X165" i="24"/>
  <c r="AF165" i="24" s="1"/>
  <c r="Z165" i="24"/>
  <c r="AE165" i="24"/>
  <c r="X166" i="24"/>
  <c r="Y166" i="24"/>
  <c r="Z166" i="24"/>
  <c r="AE166" i="24"/>
  <c r="AF166" i="24"/>
  <c r="X167" i="24"/>
  <c r="AF167" i="24" s="1"/>
  <c r="Z167" i="24"/>
  <c r="AE167" i="24"/>
  <c r="X168" i="24"/>
  <c r="Y168" i="24"/>
  <c r="Z168" i="24"/>
  <c r="AE168" i="24"/>
  <c r="X169" i="24"/>
  <c r="AF169" i="24" s="1"/>
  <c r="Z169" i="24"/>
  <c r="AE169" i="24"/>
  <c r="X170" i="24"/>
  <c r="AF170" i="24" s="1"/>
  <c r="Z170" i="24"/>
  <c r="AA170" i="24"/>
  <c r="AC170" i="24" s="1"/>
  <c r="AE170" i="24"/>
  <c r="X171" i="24"/>
  <c r="Y171" i="24" s="1"/>
  <c r="Z171" i="24"/>
  <c r="AE171" i="24"/>
  <c r="X172" i="24"/>
  <c r="Y172" i="24" s="1"/>
  <c r="Z172" i="24"/>
  <c r="AE172" i="24"/>
  <c r="X173" i="24"/>
  <c r="AF173" i="24" s="1"/>
  <c r="Y173" i="24"/>
  <c r="Z173" i="24"/>
  <c r="AE173" i="24"/>
  <c r="X174" i="24"/>
  <c r="Y174" i="24" s="1"/>
  <c r="AB174" i="24" s="1"/>
  <c r="AD174" i="24" s="1"/>
  <c r="Z174" i="24"/>
  <c r="AE174" i="24"/>
  <c r="X175" i="24"/>
  <c r="AF175" i="24" s="1"/>
  <c r="Y175" i="24"/>
  <c r="Z175" i="24"/>
  <c r="AB175" i="24"/>
  <c r="AD175" i="24" s="1"/>
  <c r="AE175" i="24"/>
  <c r="X176" i="24"/>
  <c r="Y176" i="24" s="1"/>
  <c r="Z176" i="24"/>
  <c r="AE176" i="24"/>
  <c r="X177" i="24"/>
  <c r="Y177" i="24"/>
  <c r="Z177" i="24"/>
  <c r="AE177" i="24"/>
  <c r="X178" i="24"/>
  <c r="AF178" i="24" s="1"/>
  <c r="Z178" i="24"/>
  <c r="AE178" i="24"/>
  <c r="X179" i="24"/>
  <c r="AF179" i="24" s="1"/>
  <c r="Z179" i="24"/>
  <c r="AA179" i="24"/>
  <c r="AC179" i="24" s="1"/>
  <c r="AE179" i="24"/>
  <c r="X180" i="24"/>
  <c r="Y180" i="24" s="1"/>
  <c r="Z180" i="24"/>
  <c r="AE180" i="24"/>
  <c r="X181" i="24"/>
  <c r="AF181" i="24" s="1"/>
  <c r="Z181" i="24"/>
  <c r="AE181" i="24"/>
  <c r="X182" i="24"/>
  <c r="AF182" i="24" s="1"/>
  <c r="Y182" i="24"/>
  <c r="Z182" i="24"/>
  <c r="AE182" i="24"/>
  <c r="X183" i="24"/>
  <c r="Y183" i="24"/>
  <c r="Z183" i="24"/>
  <c r="AE183" i="24"/>
  <c r="AF183" i="24"/>
  <c r="X184" i="24"/>
  <c r="Y184" i="24"/>
  <c r="Z184" i="24"/>
  <c r="AE184" i="24"/>
  <c r="X185" i="24"/>
  <c r="Y185" i="24" s="1"/>
  <c r="Z185" i="24"/>
  <c r="AE185" i="24"/>
  <c r="X186" i="24"/>
  <c r="AF186" i="24" s="1"/>
  <c r="Z186" i="24"/>
  <c r="AA186" i="24"/>
  <c r="AC186" i="24" s="1"/>
  <c r="AE186" i="24"/>
  <c r="X187" i="24"/>
  <c r="Y187" i="24"/>
  <c r="Z187" i="24"/>
  <c r="AE187" i="24"/>
  <c r="AF187" i="24"/>
  <c r="X188" i="24"/>
  <c r="Y188" i="24"/>
  <c r="Z188" i="24"/>
  <c r="AE188" i="24"/>
  <c r="X189" i="24"/>
  <c r="AF189" i="24" s="1"/>
  <c r="Y189" i="24"/>
  <c r="Z189" i="24"/>
  <c r="AE189" i="24"/>
  <c r="X190" i="24"/>
  <c r="Y190" i="24" s="1"/>
  <c r="Z190" i="24"/>
  <c r="AA190" i="24" s="1"/>
  <c r="AC190" i="24" s="1"/>
  <c r="AE190" i="24"/>
  <c r="AF190" i="24"/>
  <c r="X191" i="24"/>
  <c r="Y191" i="24"/>
  <c r="Z191" i="24"/>
  <c r="AA191" i="24" s="1"/>
  <c r="AC191" i="24" s="1"/>
  <c r="AE191" i="24"/>
  <c r="AF191" i="24"/>
  <c r="X192" i="24"/>
  <c r="Z192" i="24"/>
  <c r="AE192" i="24"/>
  <c r="X193" i="24"/>
  <c r="AF193" i="24" s="1"/>
  <c r="Y193" i="24"/>
  <c r="Z193" i="24"/>
  <c r="AE193" i="24"/>
  <c r="X194" i="24"/>
  <c r="AF194" i="24" s="1"/>
  <c r="Z194" i="24"/>
  <c r="AE194" i="24"/>
  <c r="X195" i="24"/>
  <c r="Y195" i="24"/>
  <c r="Z195" i="24"/>
  <c r="AA195" i="24"/>
  <c r="AC195" i="24" s="1"/>
  <c r="AE195" i="24"/>
  <c r="AF195" i="24"/>
  <c r="X196" i="24"/>
  <c r="Y196" i="24" s="1"/>
  <c r="Z196" i="24"/>
  <c r="AE196" i="24"/>
  <c r="X197" i="24"/>
  <c r="AF197" i="24" s="1"/>
  <c r="Z197" i="24"/>
  <c r="AA197" i="24"/>
  <c r="AC197" i="24" s="1"/>
  <c r="AE197" i="24"/>
  <c r="X198" i="24"/>
  <c r="AF198" i="24" s="1"/>
  <c r="Z198" i="24"/>
  <c r="AA198" i="24"/>
  <c r="AC198" i="24" s="1"/>
  <c r="AE198" i="24"/>
  <c r="X199" i="24"/>
  <c r="AF199" i="24" s="1"/>
  <c r="Y199" i="24"/>
  <c r="Z199" i="24"/>
  <c r="AA199" i="24" s="1"/>
  <c r="AC199" i="24" s="1"/>
  <c r="AE199" i="24"/>
  <c r="X200" i="24"/>
  <c r="Y200" i="24"/>
  <c r="Z200" i="24"/>
  <c r="AE200" i="24"/>
  <c r="X151" i="23"/>
  <c r="AA151" i="23" s="1"/>
  <c r="AC151" i="23" s="1"/>
  <c r="Y151" i="23"/>
  <c r="Z151" i="23"/>
  <c r="AE151" i="23"/>
  <c r="X152" i="23"/>
  <c r="Y152" i="23"/>
  <c r="Z152" i="23"/>
  <c r="AA152" i="23" s="1"/>
  <c r="AC152" i="23" s="1"/>
  <c r="AB152" i="23"/>
  <c r="AD152" i="23" s="1"/>
  <c r="AE152" i="23"/>
  <c r="AF152" i="23"/>
  <c r="X153" i="23"/>
  <c r="Y153" i="23"/>
  <c r="AB153" i="23" s="1"/>
  <c r="AD153" i="23" s="1"/>
  <c r="Z153" i="23"/>
  <c r="AA153" i="23" s="1"/>
  <c r="AC153" i="23" s="1"/>
  <c r="AE153" i="23"/>
  <c r="AF153" i="23"/>
  <c r="X154" i="23"/>
  <c r="Y154" i="23" s="1"/>
  <c r="Z154" i="23"/>
  <c r="AE154" i="23"/>
  <c r="X155" i="23"/>
  <c r="Y155" i="23" s="1"/>
  <c r="AB155" i="23" s="1"/>
  <c r="AD155" i="23" s="1"/>
  <c r="Z155" i="23"/>
  <c r="AE155" i="23"/>
  <c r="AF155" i="23"/>
  <c r="X156" i="23"/>
  <c r="Y156" i="23"/>
  <c r="Z156" i="23"/>
  <c r="AA156" i="23"/>
  <c r="AC156" i="23" s="1"/>
  <c r="AE156" i="23"/>
  <c r="AF156" i="23"/>
  <c r="X157" i="23"/>
  <c r="Y157" i="23" s="1"/>
  <c r="AB157" i="23" s="1"/>
  <c r="AD157" i="23" s="1"/>
  <c r="Z157" i="23"/>
  <c r="AE157" i="23"/>
  <c r="AF157" i="23"/>
  <c r="X158" i="23"/>
  <c r="AF158" i="23" s="1"/>
  <c r="Z158" i="23"/>
  <c r="AE158" i="23"/>
  <c r="X159" i="23"/>
  <c r="AF159" i="23" s="1"/>
  <c r="Y159" i="23"/>
  <c r="Z159" i="23"/>
  <c r="AA159" i="23"/>
  <c r="AB159" i="23"/>
  <c r="AC159" i="23"/>
  <c r="AD159" i="23"/>
  <c r="AE159" i="23"/>
  <c r="X160" i="23"/>
  <c r="AF160" i="23" s="1"/>
  <c r="Y160" i="23"/>
  <c r="Z160" i="23"/>
  <c r="AA160" i="23" s="1"/>
  <c r="AC160" i="23" s="1"/>
  <c r="AE160" i="23"/>
  <c r="X161" i="23"/>
  <c r="AF161" i="23" s="1"/>
  <c r="Y161" i="23"/>
  <c r="Z161" i="23"/>
  <c r="AB161" i="23"/>
  <c r="AD161" i="23" s="1"/>
  <c r="AE161" i="23"/>
  <c r="X162" i="23"/>
  <c r="Y162" i="23" s="1"/>
  <c r="Z162" i="23"/>
  <c r="AE162" i="23"/>
  <c r="X163" i="23"/>
  <c r="Y163" i="23"/>
  <c r="Z163" i="23"/>
  <c r="AE163" i="23"/>
  <c r="X164" i="23"/>
  <c r="Y164" i="23" s="1"/>
  <c r="Z164" i="23"/>
  <c r="AE164" i="23"/>
  <c r="AF164" i="23"/>
  <c r="X165" i="23"/>
  <c r="AA165" i="23" s="1"/>
  <c r="AC165" i="23" s="1"/>
  <c r="Z165" i="23"/>
  <c r="AE165" i="23"/>
  <c r="X166" i="23"/>
  <c r="Y166" i="23"/>
  <c r="AB166" i="23" s="1"/>
  <c r="AD166" i="23" s="1"/>
  <c r="Z166" i="23"/>
  <c r="AA166" i="23"/>
  <c r="AC166" i="23" s="1"/>
  <c r="AE166" i="23"/>
  <c r="AF166" i="23"/>
  <c r="X167" i="23"/>
  <c r="AF167" i="23" s="1"/>
  <c r="Y167" i="23"/>
  <c r="Z167" i="23"/>
  <c r="AA167" i="23"/>
  <c r="AB167" i="23"/>
  <c r="AD167" i="23" s="1"/>
  <c r="AC167" i="23"/>
  <c r="AE167" i="23"/>
  <c r="X168" i="23"/>
  <c r="AF168" i="23" s="1"/>
  <c r="Y168" i="23"/>
  <c r="AB168" i="23" s="1"/>
  <c r="AD168" i="23" s="1"/>
  <c r="Z168" i="23"/>
  <c r="AE168" i="23"/>
  <c r="X169" i="23"/>
  <c r="Y169" i="23" s="1"/>
  <c r="AB169" i="23" s="1"/>
  <c r="AD169" i="23" s="1"/>
  <c r="Z169" i="23"/>
  <c r="AA169" i="23"/>
  <c r="AC169" i="23"/>
  <c r="AE169" i="23"/>
  <c r="AF169" i="23"/>
  <c r="X170" i="23"/>
  <c r="Y170" i="23" s="1"/>
  <c r="Z170" i="23"/>
  <c r="AE170" i="23"/>
  <c r="X171" i="23"/>
  <c r="AA171" i="23" s="1"/>
  <c r="AC171" i="23" s="1"/>
  <c r="Z171" i="23"/>
  <c r="AE171" i="23"/>
  <c r="X172" i="23"/>
  <c r="AF172" i="23" s="1"/>
  <c r="Z172" i="23"/>
  <c r="AA172" i="23"/>
  <c r="AC172" i="23" s="1"/>
  <c r="AE172" i="23"/>
  <c r="X173" i="23"/>
  <c r="Y173" i="23"/>
  <c r="Z173" i="23"/>
  <c r="AE173" i="23"/>
  <c r="X174" i="23"/>
  <c r="Y174" i="23"/>
  <c r="AB174" i="23" s="1"/>
  <c r="AD174" i="23" s="1"/>
  <c r="Z174" i="23"/>
  <c r="AE174" i="23"/>
  <c r="X175" i="23"/>
  <c r="AF175" i="23" s="1"/>
  <c r="Z175" i="23"/>
  <c r="AE175" i="23"/>
  <c r="X176" i="23"/>
  <c r="AF176" i="23" s="1"/>
  <c r="Y176" i="23"/>
  <c r="AB176" i="23" s="1"/>
  <c r="AD176" i="23" s="1"/>
  <c r="Z176" i="23"/>
  <c r="AE176" i="23"/>
  <c r="X177" i="23"/>
  <c r="Y177" i="23"/>
  <c r="Z177" i="23"/>
  <c r="AA177" i="23" s="1"/>
  <c r="AC177" i="23" s="1"/>
  <c r="AE177" i="23"/>
  <c r="AF177" i="23"/>
  <c r="X178" i="23"/>
  <c r="Y178" i="23" s="1"/>
  <c r="AB178" i="23" s="1"/>
  <c r="AD178" i="23" s="1"/>
  <c r="Z178" i="23"/>
  <c r="AE178" i="23"/>
  <c r="X179" i="23"/>
  <c r="AA179" i="23" s="1"/>
  <c r="AC179" i="23" s="1"/>
  <c r="Z179" i="23"/>
  <c r="AE179" i="23"/>
  <c r="X180" i="23"/>
  <c r="Y180" i="23"/>
  <c r="Z180" i="23"/>
  <c r="AA180" i="23"/>
  <c r="AC180" i="23"/>
  <c r="AE180" i="23"/>
  <c r="AF180" i="23"/>
  <c r="X181" i="23"/>
  <c r="Y181" i="23" s="1"/>
  <c r="AB181" i="23" s="1"/>
  <c r="AD181" i="23" s="1"/>
  <c r="Z181" i="23"/>
  <c r="AE181" i="23"/>
  <c r="X182" i="23"/>
  <c r="AA182" i="23" s="1"/>
  <c r="AC182" i="23" s="1"/>
  <c r="Z182" i="23"/>
  <c r="AE182" i="23"/>
  <c r="X183" i="23"/>
  <c r="AF183" i="23" s="1"/>
  <c r="Y183" i="23"/>
  <c r="Z183" i="23"/>
  <c r="AB183" i="23"/>
  <c r="AD183" i="23" s="1"/>
  <c r="AE183" i="23"/>
  <c r="X184" i="23"/>
  <c r="Y184" i="23" s="1"/>
  <c r="AB184" i="23" s="1"/>
  <c r="AD184" i="23" s="1"/>
  <c r="Z184" i="23"/>
  <c r="AA184" i="23"/>
  <c r="AC184" i="23" s="1"/>
  <c r="AE184" i="23"/>
  <c r="AF184" i="23"/>
  <c r="X185" i="23"/>
  <c r="AF185" i="23" s="1"/>
  <c r="Z185" i="23"/>
  <c r="AA185" i="23"/>
  <c r="AC185" i="23" s="1"/>
  <c r="AE185" i="23"/>
  <c r="X186" i="23"/>
  <c r="Y186" i="23"/>
  <c r="AB186" i="23" s="1"/>
  <c r="AD186" i="23" s="1"/>
  <c r="Z186" i="23"/>
  <c r="AA186" i="23" s="1"/>
  <c r="AC186" i="23" s="1"/>
  <c r="AE186" i="23"/>
  <c r="AF186" i="23"/>
  <c r="X187" i="23"/>
  <c r="Y187" i="23" s="1"/>
  <c r="Z187" i="23"/>
  <c r="AA187" i="23" s="1"/>
  <c r="AC187" i="23" s="1"/>
  <c r="AE187" i="23"/>
  <c r="AF187" i="23"/>
  <c r="X188" i="23"/>
  <c r="Y188" i="23"/>
  <c r="Z188" i="23"/>
  <c r="AA188" i="23" s="1"/>
  <c r="AC188" i="23" s="1"/>
  <c r="AE188" i="23"/>
  <c r="AF188" i="23"/>
  <c r="X189" i="23"/>
  <c r="Y189" i="23" s="1"/>
  <c r="AB189" i="23" s="1"/>
  <c r="AD189" i="23" s="1"/>
  <c r="Z189" i="23"/>
  <c r="AE189" i="23"/>
  <c r="AF189" i="23"/>
  <c r="X190" i="23"/>
  <c r="Y190" i="23" s="1"/>
  <c r="AB190" i="23" s="1"/>
  <c r="AD190" i="23" s="1"/>
  <c r="Z190" i="23"/>
  <c r="AE190" i="23"/>
  <c r="AF190" i="23"/>
  <c r="X191" i="23"/>
  <c r="AF191" i="23" s="1"/>
  <c r="Y191" i="23"/>
  <c r="AB191" i="23" s="1"/>
  <c r="AD191" i="23" s="1"/>
  <c r="Z191" i="23"/>
  <c r="AA191" i="23"/>
  <c r="AC191" i="23" s="1"/>
  <c r="AE191" i="23"/>
  <c r="X192" i="23"/>
  <c r="Y192" i="23"/>
  <c r="Z192" i="23"/>
  <c r="AE192" i="23"/>
  <c r="AF192" i="23"/>
  <c r="X193" i="23"/>
  <c r="AF193" i="23" s="1"/>
  <c r="Z193" i="23"/>
  <c r="AE193" i="23"/>
  <c r="X194" i="23"/>
  <c r="AF194" i="23" s="1"/>
  <c r="Y194" i="23"/>
  <c r="AB194" i="23" s="1"/>
  <c r="AD194" i="23" s="1"/>
  <c r="Z194" i="23"/>
  <c r="AE194" i="23"/>
  <c r="X195" i="23"/>
  <c r="Y195" i="23" s="1"/>
  <c r="Z195" i="23"/>
  <c r="AA195" i="23" s="1"/>
  <c r="AC195" i="23" s="1"/>
  <c r="AE195" i="23"/>
  <c r="AF195" i="23"/>
  <c r="X196" i="23"/>
  <c r="AF196" i="23" s="1"/>
  <c r="Z196" i="23"/>
  <c r="AA196" i="23"/>
  <c r="AC196" i="23" s="1"/>
  <c r="AE196" i="23"/>
  <c r="X197" i="23"/>
  <c r="AF197" i="23" s="1"/>
  <c r="Y197" i="23"/>
  <c r="Z197" i="23"/>
  <c r="AE197" i="23"/>
  <c r="X198" i="23"/>
  <c r="Y198" i="23" s="1"/>
  <c r="Z198" i="23"/>
  <c r="AE198" i="23"/>
  <c r="AF198" i="23"/>
  <c r="X199" i="23"/>
  <c r="Y199" i="23"/>
  <c r="Z199" i="23"/>
  <c r="AE199" i="23"/>
  <c r="X200" i="23"/>
  <c r="Y200" i="23"/>
  <c r="AB200" i="23" s="1"/>
  <c r="AD200" i="23" s="1"/>
  <c r="Z200" i="23"/>
  <c r="AE200" i="23"/>
  <c r="AF200" i="23"/>
  <c r="X135" i="23"/>
  <c r="AF135" i="23" s="1"/>
  <c r="Y135" i="23"/>
  <c r="AB135" i="23" s="1"/>
  <c r="AD135" i="23" s="1"/>
  <c r="Z135" i="23"/>
  <c r="AE135" i="23"/>
  <c r="X136" i="23"/>
  <c r="Y136" i="23" s="1"/>
  <c r="Z136" i="23"/>
  <c r="AE136" i="23"/>
  <c r="X137" i="23"/>
  <c r="Y137" i="23" s="1"/>
  <c r="AB137" i="23" s="1"/>
  <c r="AD137" i="23" s="1"/>
  <c r="Z137" i="23"/>
  <c r="AA137" i="23"/>
  <c r="AC137" i="23" s="1"/>
  <c r="AE137" i="23"/>
  <c r="AF137" i="23"/>
  <c r="X138" i="23"/>
  <c r="Y138" i="23" s="1"/>
  <c r="AB138" i="23" s="1"/>
  <c r="AD138" i="23" s="1"/>
  <c r="Z138" i="23"/>
  <c r="AE138" i="23"/>
  <c r="X139" i="23"/>
  <c r="Y139" i="23" s="1"/>
  <c r="Z139" i="23"/>
  <c r="AE139" i="23"/>
  <c r="X140" i="23"/>
  <c r="AA140" i="23" s="1"/>
  <c r="AC140" i="23" s="1"/>
  <c r="Y140" i="23"/>
  <c r="Z140" i="23"/>
  <c r="AE140" i="23"/>
  <c r="X141" i="23"/>
  <c r="Y141" i="23" s="1"/>
  <c r="AB141" i="23" s="1"/>
  <c r="AD141" i="23" s="1"/>
  <c r="Z141" i="23"/>
  <c r="AE141" i="23"/>
  <c r="X142" i="23"/>
  <c r="AA142" i="23" s="1"/>
  <c r="AC142" i="23" s="1"/>
  <c r="Z142" i="23"/>
  <c r="AE142" i="23"/>
  <c r="X143" i="23"/>
  <c r="Y143" i="23" s="1"/>
  <c r="Z143" i="23"/>
  <c r="AE143" i="23"/>
  <c r="X144" i="23"/>
  <c r="AA144" i="23" s="1"/>
  <c r="AC144" i="23" s="1"/>
  <c r="Y144" i="23"/>
  <c r="AB144" i="23" s="1"/>
  <c r="AD144" i="23" s="1"/>
  <c r="Z144" i="23"/>
  <c r="AE144" i="23"/>
  <c r="X145" i="23"/>
  <c r="Y145" i="23"/>
  <c r="Z145" i="23"/>
  <c r="AE145" i="23"/>
  <c r="X146" i="23"/>
  <c r="AF146" i="23" s="1"/>
  <c r="Y146" i="23"/>
  <c r="Z146" i="23"/>
  <c r="AA146" i="23"/>
  <c r="AB146" i="23"/>
  <c r="AD146" i="23" s="1"/>
  <c r="AC146" i="23"/>
  <c r="AE146" i="23"/>
  <c r="X147" i="23"/>
  <c r="Y147" i="23" s="1"/>
  <c r="Z147" i="23"/>
  <c r="AA147" i="23" s="1"/>
  <c r="AC147" i="23" s="1"/>
  <c r="AE147" i="23"/>
  <c r="X148" i="23"/>
  <c r="Y148" i="23" s="1"/>
  <c r="Z148" i="23"/>
  <c r="AE148" i="23"/>
  <c r="X149" i="23"/>
  <c r="Y149" i="23" s="1"/>
  <c r="Z149" i="23"/>
  <c r="AA149" i="23"/>
  <c r="AC149" i="23" s="1"/>
  <c r="AE149" i="23"/>
  <c r="AF149" i="23"/>
  <c r="X150" i="23"/>
  <c r="Y150" i="23" s="1"/>
  <c r="AB150" i="23" s="1"/>
  <c r="AD150" i="23" s="1"/>
  <c r="Z150" i="23"/>
  <c r="AE150" i="23"/>
  <c r="AF150" i="23"/>
  <c r="X121" i="24"/>
  <c r="D13" i="31"/>
  <c r="J20" i="29"/>
  <c r="J13" i="29"/>
  <c r="J14" i="29"/>
  <c r="J11" i="29"/>
  <c r="J12" i="29"/>
  <c r="J15" i="29"/>
  <c r="J16" i="29"/>
  <c r="J17" i="29"/>
  <c r="J18" i="29"/>
  <c r="J19" i="29"/>
  <c r="J21" i="29"/>
  <c r="J22" i="29"/>
  <c r="J23" i="29"/>
  <c r="J24" i="29"/>
  <c r="J25" i="29"/>
  <c r="J26" i="29"/>
  <c r="J27" i="29"/>
  <c r="J28" i="29"/>
  <c r="J29" i="29"/>
  <c r="J30" i="29"/>
  <c r="J31" i="29"/>
  <c r="J32" i="29"/>
  <c r="J33" i="29"/>
  <c r="J34" i="29"/>
  <c r="J35" i="29"/>
  <c r="J36" i="29"/>
  <c r="J37" i="29"/>
  <c r="J38" i="29"/>
  <c r="J39" i="29"/>
  <c r="J40" i="29"/>
  <c r="J41" i="29"/>
  <c r="J42" i="29"/>
  <c r="J43" i="29"/>
  <c r="J44" i="29"/>
  <c r="J45" i="29"/>
  <c r="J46" i="29"/>
  <c r="J47" i="29"/>
  <c r="J48" i="29"/>
  <c r="J49" i="29"/>
  <c r="J50" i="29"/>
  <c r="J51" i="29"/>
  <c r="J52" i="29"/>
  <c r="J53" i="29"/>
  <c r="J54" i="29"/>
  <c r="J55" i="29"/>
  <c r="J56" i="29"/>
  <c r="J57" i="29"/>
  <c r="J58" i="29"/>
  <c r="J59" i="29"/>
  <c r="J60" i="29"/>
  <c r="J61" i="29"/>
  <c r="J62" i="29"/>
  <c r="J63" i="29"/>
  <c r="J64" i="29"/>
  <c r="J65" i="29"/>
  <c r="J66" i="29"/>
  <c r="J67" i="29"/>
  <c r="J68" i="29"/>
  <c r="J69" i="29"/>
  <c r="J70" i="29"/>
  <c r="J71" i="29"/>
  <c r="J72" i="29"/>
  <c r="J73" i="29"/>
  <c r="J74" i="29"/>
  <c r="J75" i="29"/>
  <c r="J76" i="29"/>
  <c r="J77" i="29"/>
  <c r="J78" i="29"/>
  <c r="J79" i="29"/>
  <c r="J80" i="29"/>
  <c r="J81" i="29"/>
  <c r="J82" i="29"/>
  <c r="J83" i="29"/>
  <c r="J84" i="29"/>
  <c r="J85" i="29"/>
  <c r="J86" i="29"/>
  <c r="J87" i="29"/>
  <c r="J88" i="29"/>
  <c r="J89" i="29"/>
  <c r="J90" i="29"/>
  <c r="J91" i="29"/>
  <c r="J92" i="29"/>
  <c r="J93" i="29"/>
  <c r="J94" i="29"/>
  <c r="J95" i="29"/>
  <c r="J96" i="29"/>
  <c r="J97" i="29"/>
  <c r="J98" i="29"/>
  <c r="J99" i="29"/>
  <c r="J100" i="29"/>
  <c r="J101" i="29"/>
  <c r="J102" i="29"/>
  <c r="J103" i="29"/>
  <c r="J104" i="29"/>
  <c r="J105" i="29"/>
  <c r="J106" i="29"/>
  <c r="J107" i="29"/>
  <c r="J108" i="29"/>
  <c r="J109" i="29"/>
  <c r="J110" i="29"/>
  <c r="J111" i="29"/>
  <c r="J112" i="29"/>
  <c r="J113" i="29"/>
  <c r="J114" i="29"/>
  <c r="J115" i="29"/>
  <c r="J116" i="29"/>
  <c r="J117" i="29"/>
  <c r="J118" i="29"/>
  <c r="J119" i="29"/>
  <c r="J120" i="29"/>
  <c r="J121" i="29"/>
  <c r="J122" i="29"/>
  <c r="J123" i="29"/>
  <c r="J124" i="29"/>
  <c r="J125" i="29"/>
  <c r="J126" i="29"/>
  <c r="J127" i="29"/>
  <c r="J128" i="29"/>
  <c r="J129" i="29"/>
  <c r="J130" i="29"/>
  <c r="J131" i="29"/>
  <c r="J132" i="29"/>
  <c r="J133" i="29"/>
  <c r="J134" i="29"/>
  <c r="J135" i="29"/>
  <c r="J136" i="29"/>
  <c r="J137" i="29"/>
  <c r="J138" i="29"/>
  <c r="J139" i="29"/>
  <c r="J140" i="29"/>
  <c r="J141" i="29"/>
  <c r="J142" i="29"/>
  <c r="J143" i="29"/>
  <c r="J144" i="29"/>
  <c r="J145" i="29"/>
  <c r="J146" i="29"/>
  <c r="J147" i="29"/>
  <c r="J148" i="29"/>
  <c r="J149" i="29"/>
  <c r="J150" i="29"/>
  <c r="J151" i="29"/>
  <c r="J152" i="29"/>
  <c r="J153" i="29"/>
  <c r="J154" i="29"/>
  <c r="J155" i="29"/>
  <c r="J156" i="29"/>
  <c r="J157" i="29"/>
  <c r="J158" i="29"/>
  <c r="J159" i="29"/>
  <c r="J160" i="29"/>
  <c r="J161" i="29"/>
  <c r="J162" i="29"/>
  <c r="J163" i="29"/>
  <c r="J164" i="29"/>
  <c r="J165" i="29"/>
  <c r="J166" i="29"/>
  <c r="J167" i="29"/>
  <c r="J168" i="29"/>
  <c r="J169" i="29"/>
  <c r="J170" i="29"/>
  <c r="J171" i="29"/>
  <c r="J172" i="29"/>
  <c r="J173" i="29"/>
  <c r="J174" i="29"/>
  <c r="J175" i="29"/>
  <c r="J176" i="29"/>
  <c r="J177" i="29"/>
  <c r="J178" i="29"/>
  <c r="J179" i="29"/>
  <c r="J180" i="29"/>
  <c r="J181" i="29"/>
  <c r="J182" i="29"/>
  <c r="J183" i="29"/>
  <c r="J184" i="29"/>
  <c r="J185" i="29"/>
  <c r="J186" i="29"/>
  <c r="J187" i="29"/>
  <c r="J188" i="29"/>
  <c r="J189" i="29"/>
  <c r="J190" i="29"/>
  <c r="J191" i="29"/>
  <c r="J192" i="29"/>
  <c r="J193" i="29"/>
  <c r="J194" i="29"/>
  <c r="J195" i="29"/>
  <c r="J196" i="29"/>
  <c r="J197" i="29"/>
  <c r="J198" i="29"/>
  <c r="J199" i="29"/>
  <c r="J200" i="29"/>
  <c r="J201" i="29"/>
  <c r="J202" i="29"/>
  <c r="J203" i="29"/>
  <c r="J204" i="29"/>
  <c r="J205" i="29"/>
  <c r="J206" i="29"/>
  <c r="J207" i="29"/>
  <c r="J208" i="29"/>
  <c r="J209" i="29"/>
  <c r="J210" i="29"/>
  <c r="J211" i="29"/>
  <c r="J212" i="29"/>
  <c r="J213" i="29"/>
  <c r="J214" i="29"/>
  <c r="J215" i="29"/>
  <c r="J216" i="29"/>
  <c r="J217" i="29"/>
  <c r="J218" i="29"/>
  <c r="J219" i="29"/>
  <c r="J220" i="29"/>
  <c r="J221" i="29"/>
  <c r="J222" i="29"/>
  <c r="J223" i="29"/>
  <c r="J224" i="29"/>
  <c r="J225" i="29"/>
  <c r="J226" i="29"/>
  <c r="J227" i="29"/>
  <c r="J228" i="29"/>
  <c r="J229" i="29"/>
  <c r="J230" i="29"/>
  <c r="J231" i="29"/>
  <c r="J232" i="29"/>
  <c r="J233" i="29"/>
  <c r="J234" i="29"/>
  <c r="J235" i="29"/>
  <c r="J236" i="29"/>
  <c r="J237" i="29"/>
  <c r="J238" i="29"/>
  <c r="J239" i="29"/>
  <c r="J240" i="29"/>
  <c r="J241" i="29"/>
  <c r="J242" i="29"/>
  <c r="J243" i="29"/>
  <c r="J244" i="29"/>
  <c r="J245" i="29"/>
  <c r="J246" i="29"/>
  <c r="J247" i="29"/>
  <c r="J248" i="29"/>
  <c r="J249" i="29"/>
  <c r="J250" i="29"/>
  <c r="J251" i="29"/>
  <c r="J252" i="29"/>
  <c r="J253" i="29"/>
  <c r="J254" i="29"/>
  <c r="J255" i="29"/>
  <c r="J256" i="29"/>
  <c r="J257" i="29"/>
  <c r="J258" i="29"/>
  <c r="J259" i="29"/>
  <c r="J260" i="29"/>
  <c r="J261" i="29"/>
  <c r="J262" i="29"/>
  <c r="J263" i="29"/>
  <c r="J264" i="29"/>
  <c r="J265" i="29"/>
  <c r="J266" i="29"/>
  <c r="J267" i="29"/>
  <c r="J268" i="29"/>
  <c r="J269" i="29"/>
  <c r="J270" i="29"/>
  <c r="J271" i="29"/>
  <c r="J272" i="29"/>
  <c r="J273" i="29"/>
  <c r="J274" i="29"/>
  <c r="J275" i="29"/>
  <c r="J276" i="29"/>
  <c r="J277" i="29"/>
  <c r="J278" i="29"/>
  <c r="J279" i="29"/>
  <c r="J280" i="29"/>
  <c r="J281" i="29"/>
  <c r="J282" i="29"/>
  <c r="J283" i="29"/>
  <c r="J284" i="29"/>
  <c r="J285" i="29"/>
  <c r="J286" i="29"/>
  <c r="J287" i="29"/>
  <c r="J288" i="29"/>
  <c r="J289" i="29"/>
  <c r="J290" i="29"/>
  <c r="J291" i="29"/>
  <c r="J292" i="29"/>
  <c r="J293" i="29"/>
  <c r="J294" i="29"/>
  <c r="J295" i="29"/>
  <c r="J296" i="29"/>
  <c r="J297" i="29"/>
  <c r="J298" i="29"/>
  <c r="J299" i="29"/>
  <c r="J300" i="29"/>
  <c r="J301" i="29"/>
  <c r="J302" i="29"/>
  <c r="J303" i="29"/>
  <c r="J304" i="29"/>
  <c r="J305" i="29"/>
  <c r="J306" i="29"/>
  <c r="J307" i="29"/>
  <c r="J308" i="29"/>
  <c r="J309" i="29"/>
  <c r="J310" i="29"/>
  <c r="J311" i="29"/>
  <c r="J312" i="29"/>
  <c r="J313" i="29"/>
  <c r="J314" i="29"/>
  <c r="J315" i="29"/>
  <c r="J316" i="29"/>
  <c r="J317" i="29"/>
  <c r="J318" i="29"/>
  <c r="J319" i="29"/>
  <c r="J320" i="29"/>
  <c r="J321" i="29"/>
  <c r="J322" i="29"/>
  <c r="J323" i="29"/>
  <c r="J324" i="29"/>
  <c r="J325" i="29"/>
  <c r="J326" i="29"/>
  <c r="J327" i="29"/>
  <c r="J328" i="29"/>
  <c r="J329" i="29"/>
  <c r="J330" i="29"/>
  <c r="J331" i="29"/>
  <c r="J332" i="29"/>
  <c r="J333" i="29"/>
  <c r="J334" i="29"/>
  <c r="J335" i="29"/>
  <c r="J336" i="29"/>
  <c r="J337" i="29"/>
  <c r="J338" i="29"/>
  <c r="J339" i="29"/>
  <c r="J340" i="29"/>
  <c r="J341" i="29"/>
  <c r="J342" i="29"/>
  <c r="J343" i="29"/>
  <c r="J344" i="29"/>
  <c r="J345" i="29"/>
  <c r="J346" i="29"/>
  <c r="J347" i="29"/>
  <c r="J348" i="29"/>
  <c r="J349" i="29"/>
  <c r="J350" i="29"/>
  <c r="J351" i="29"/>
  <c r="J352" i="29"/>
  <c r="J353" i="29"/>
  <c r="J354" i="29"/>
  <c r="J355" i="29"/>
  <c r="J356" i="29"/>
  <c r="J357" i="29"/>
  <c r="J358" i="29"/>
  <c r="J359" i="29"/>
  <c r="J360" i="29"/>
  <c r="J361" i="29"/>
  <c r="J362" i="29"/>
  <c r="J363" i="29"/>
  <c r="J364" i="29"/>
  <c r="J365" i="29"/>
  <c r="J366" i="29"/>
  <c r="J367" i="29"/>
  <c r="J368" i="29"/>
  <c r="J369" i="29"/>
  <c r="J370" i="29"/>
  <c r="J371" i="29"/>
  <c r="J372" i="29"/>
  <c r="J373" i="29"/>
  <c r="J374" i="29"/>
  <c r="J375" i="29"/>
  <c r="J376" i="29"/>
  <c r="J377" i="29"/>
  <c r="J378" i="29"/>
  <c r="J379" i="29"/>
  <c r="J380" i="29"/>
  <c r="J381" i="29"/>
  <c r="J382" i="29"/>
  <c r="J383" i="29"/>
  <c r="J384" i="29"/>
  <c r="J385" i="29"/>
  <c r="J386" i="29"/>
  <c r="J387" i="29"/>
  <c r="J388" i="29"/>
  <c r="J389" i="29"/>
  <c r="J390" i="29"/>
  <c r="J391" i="29"/>
  <c r="J392" i="29"/>
  <c r="J393" i="29"/>
  <c r="J394" i="29"/>
  <c r="J395" i="29"/>
  <c r="J396" i="29"/>
  <c r="J397" i="29"/>
  <c r="J398" i="29"/>
  <c r="J399" i="29"/>
  <c r="J400" i="29"/>
  <c r="J401" i="29"/>
  <c r="J402" i="29"/>
  <c r="J403" i="29"/>
  <c r="J404" i="29"/>
  <c r="J405" i="29"/>
  <c r="J406" i="29"/>
  <c r="J407" i="29"/>
  <c r="J408" i="29"/>
  <c r="J409" i="29"/>
  <c r="J410" i="29"/>
  <c r="J411" i="29"/>
  <c r="J412" i="29"/>
  <c r="J413" i="29"/>
  <c r="J414" i="29"/>
  <c r="J415" i="29"/>
  <c r="J416" i="29"/>
  <c r="J417" i="29"/>
  <c r="J418" i="29"/>
  <c r="J419" i="29"/>
  <c r="J420" i="29"/>
  <c r="J421" i="29"/>
  <c r="J422" i="29"/>
  <c r="J423" i="29"/>
  <c r="J424" i="29"/>
  <c r="J425" i="29"/>
  <c r="J426" i="29"/>
  <c r="J427" i="29"/>
  <c r="J428" i="29"/>
  <c r="J429" i="29"/>
  <c r="J430" i="29"/>
  <c r="J431" i="29"/>
  <c r="J432" i="29"/>
  <c r="J433" i="29"/>
  <c r="J434" i="29"/>
  <c r="J435" i="29"/>
  <c r="J436" i="29"/>
  <c r="J437" i="29"/>
  <c r="J438" i="29"/>
  <c r="J439" i="29"/>
  <c r="J440" i="29"/>
  <c r="J441" i="29"/>
  <c r="J442" i="29"/>
  <c r="J443" i="29"/>
  <c r="J444" i="29"/>
  <c r="J445" i="29"/>
  <c r="J446" i="29"/>
  <c r="J447" i="29"/>
  <c r="J448" i="29"/>
  <c r="J449" i="29"/>
  <c r="J450" i="29"/>
  <c r="J451" i="29"/>
  <c r="J452" i="29"/>
  <c r="J453" i="29"/>
  <c r="J454" i="29"/>
  <c r="J455" i="29"/>
  <c r="J456" i="29"/>
  <c r="J457" i="29"/>
  <c r="J458" i="29"/>
  <c r="J459" i="29"/>
  <c r="J460" i="29"/>
  <c r="J461" i="29"/>
  <c r="J462" i="29"/>
  <c r="J463" i="29"/>
  <c r="J464" i="29"/>
  <c r="J465" i="29"/>
  <c r="J466" i="29"/>
  <c r="J467" i="29"/>
  <c r="J468" i="29"/>
  <c r="J469" i="29"/>
  <c r="J470" i="29"/>
  <c r="J471" i="29"/>
  <c r="J472" i="29"/>
  <c r="J473" i="29"/>
  <c r="J474" i="29"/>
  <c r="J475" i="29"/>
  <c r="J476" i="29"/>
  <c r="J477" i="29"/>
  <c r="J478" i="29"/>
  <c r="J479" i="29"/>
  <c r="J480" i="29"/>
  <c r="J481" i="29"/>
  <c r="J482" i="29"/>
  <c r="J483" i="29"/>
  <c r="J484" i="29"/>
  <c r="J485" i="29"/>
  <c r="J486" i="29"/>
  <c r="J487" i="29"/>
  <c r="J488" i="29"/>
  <c r="J489" i="29"/>
  <c r="J490" i="29"/>
  <c r="J491" i="29"/>
  <c r="J492" i="29"/>
  <c r="J493" i="29"/>
  <c r="J494" i="29"/>
  <c r="J495" i="29"/>
  <c r="J496" i="29"/>
  <c r="J497" i="29"/>
  <c r="J498" i="29"/>
  <c r="J499" i="29"/>
  <c r="J500" i="29"/>
  <c r="J501" i="29"/>
  <c r="J502" i="29"/>
  <c r="J503" i="29"/>
  <c r="J504" i="29"/>
  <c r="J505" i="29"/>
  <c r="J506" i="29"/>
  <c r="J507" i="29"/>
  <c r="J508" i="29"/>
  <c r="J509" i="29"/>
  <c r="J510" i="29"/>
  <c r="J511" i="29"/>
  <c r="J512" i="29"/>
  <c r="J513" i="29"/>
  <c r="J514" i="29"/>
  <c r="J515" i="29"/>
  <c r="J516" i="29"/>
  <c r="J517" i="29"/>
  <c r="J518" i="29"/>
  <c r="J519" i="29"/>
  <c r="J520" i="29"/>
  <c r="J521" i="29"/>
  <c r="J522" i="29"/>
  <c r="J523" i="29"/>
  <c r="J524" i="29"/>
  <c r="J525" i="29"/>
  <c r="J526" i="29"/>
  <c r="J527" i="29"/>
  <c r="J528" i="29"/>
  <c r="J529" i="29"/>
  <c r="J530" i="29"/>
  <c r="J531" i="29"/>
  <c r="J532" i="29"/>
  <c r="J533" i="29"/>
  <c r="J534" i="29"/>
  <c r="J535" i="29"/>
  <c r="J536" i="29"/>
  <c r="J537" i="29"/>
  <c r="J538" i="29"/>
  <c r="J539" i="29"/>
  <c r="J540" i="29"/>
  <c r="J541" i="29"/>
  <c r="J542" i="29"/>
  <c r="J543" i="29"/>
  <c r="J544" i="29"/>
  <c r="J545" i="29"/>
  <c r="J546" i="29"/>
  <c r="J547" i="29"/>
  <c r="J548" i="29"/>
  <c r="J549" i="29"/>
  <c r="J550" i="29"/>
  <c r="J551" i="29"/>
  <c r="J552" i="29"/>
  <c r="J553" i="29"/>
  <c r="J554" i="29"/>
  <c r="J555" i="29"/>
  <c r="J556" i="29"/>
  <c r="J557" i="29"/>
  <c r="J558" i="29"/>
  <c r="J559" i="29"/>
  <c r="J560" i="29"/>
  <c r="J561" i="29"/>
  <c r="J562" i="29"/>
  <c r="J563" i="29"/>
  <c r="J564" i="29"/>
  <c r="J565" i="29"/>
  <c r="J566" i="29"/>
  <c r="J567" i="29"/>
  <c r="J568" i="29"/>
  <c r="J569" i="29"/>
  <c r="J570" i="29"/>
  <c r="J571" i="29"/>
  <c r="J572" i="29"/>
  <c r="J573" i="29"/>
  <c r="J574" i="29"/>
  <c r="J575" i="29"/>
  <c r="J576" i="29"/>
  <c r="J577" i="29"/>
  <c r="J578" i="29"/>
  <c r="J579" i="29"/>
  <c r="J580" i="29"/>
  <c r="J581" i="29"/>
  <c r="J582" i="29"/>
  <c r="J583" i="29"/>
  <c r="J584" i="29"/>
  <c r="J585" i="29"/>
  <c r="J586" i="29"/>
  <c r="J587" i="29"/>
  <c r="J588" i="29"/>
  <c r="J589" i="29"/>
  <c r="J590" i="29"/>
  <c r="J591" i="29"/>
  <c r="J592" i="29"/>
  <c r="J593" i="29"/>
  <c r="J594" i="29"/>
  <c r="J595" i="29"/>
  <c r="J596" i="29"/>
  <c r="J597" i="29"/>
  <c r="J598" i="29"/>
  <c r="J599" i="29"/>
  <c r="J600" i="29"/>
  <c r="J601" i="29"/>
  <c r="J602" i="29"/>
  <c r="J603" i="29"/>
  <c r="J604" i="29"/>
  <c r="J605" i="29"/>
  <c r="J606" i="29"/>
  <c r="J607" i="29"/>
  <c r="J608" i="29"/>
  <c r="J609" i="29"/>
  <c r="J610" i="29"/>
  <c r="J611" i="29"/>
  <c r="J612" i="29"/>
  <c r="J613" i="29"/>
  <c r="J614" i="29"/>
  <c r="J615" i="29"/>
  <c r="J616" i="29"/>
  <c r="J617" i="29"/>
  <c r="J618" i="29"/>
  <c r="J619" i="29"/>
  <c r="J620" i="29"/>
  <c r="J621" i="29"/>
  <c r="J622" i="29"/>
  <c r="J623" i="29"/>
  <c r="J624" i="29"/>
  <c r="J625" i="29"/>
  <c r="J626" i="29"/>
  <c r="J627" i="29"/>
  <c r="J628" i="29"/>
  <c r="J629" i="29"/>
  <c r="J630" i="29"/>
  <c r="J631" i="29"/>
  <c r="J632" i="29"/>
  <c r="J633" i="29"/>
  <c r="J634" i="29"/>
  <c r="J635" i="29"/>
  <c r="J636" i="29"/>
  <c r="J637" i="29"/>
  <c r="J638" i="29"/>
  <c r="J639" i="29"/>
  <c r="J640" i="29"/>
  <c r="J641" i="29"/>
  <c r="J642" i="29"/>
  <c r="J643" i="29"/>
  <c r="J644" i="29"/>
  <c r="J645" i="29"/>
  <c r="J646" i="29"/>
  <c r="J647" i="29"/>
  <c r="J648" i="29"/>
  <c r="J649" i="29"/>
  <c r="J650" i="29"/>
  <c r="J651" i="29"/>
  <c r="J652" i="29"/>
  <c r="J653" i="29"/>
  <c r="J654" i="29"/>
  <c r="J655" i="29"/>
  <c r="J656" i="29"/>
  <c r="J657" i="29"/>
  <c r="J658" i="29"/>
  <c r="J659" i="29"/>
  <c r="J660" i="29"/>
  <c r="J661" i="29"/>
  <c r="J662" i="29"/>
  <c r="J663" i="29"/>
  <c r="J664" i="29"/>
  <c r="J665" i="29"/>
  <c r="J666" i="29"/>
  <c r="J667" i="29"/>
  <c r="J668" i="29"/>
  <c r="J669" i="29"/>
  <c r="J670" i="29"/>
  <c r="J671" i="29"/>
  <c r="J672" i="29"/>
  <c r="J673" i="29"/>
  <c r="J674" i="29"/>
  <c r="J675" i="29"/>
  <c r="J676" i="29"/>
  <c r="J677" i="29"/>
  <c r="J678" i="29"/>
  <c r="J679" i="29"/>
  <c r="J680" i="29"/>
  <c r="J681" i="29"/>
  <c r="J682" i="29"/>
  <c r="J683" i="29"/>
  <c r="J684" i="29"/>
  <c r="J685" i="29"/>
  <c r="J686" i="29"/>
  <c r="J687" i="29"/>
  <c r="J688" i="29"/>
  <c r="J689" i="29"/>
  <c r="J690" i="29"/>
  <c r="J691" i="29"/>
  <c r="J692" i="29"/>
  <c r="J693" i="29"/>
  <c r="J694" i="29"/>
  <c r="J695" i="29"/>
  <c r="J696" i="29"/>
  <c r="J697" i="29"/>
  <c r="J698" i="29"/>
  <c r="J699" i="29"/>
  <c r="J700" i="29"/>
  <c r="J701" i="29"/>
  <c r="J702" i="29"/>
  <c r="J703" i="29"/>
  <c r="J704" i="29"/>
  <c r="J705" i="29"/>
  <c r="J706" i="29"/>
  <c r="J707" i="29"/>
  <c r="J708" i="29"/>
  <c r="J709" i="29"/>
  <c r="J710" i="29"/>
  <c r="J711" i="29"/>
  <c r="J712" i="29"/>
  <c r="J713" i="29"/>
  <c r="J714" i="29"/>
  <c r="J715" i="29"/>
  <c r="J716" i="29"/>
  <c r="J717" i="29"/>
  <c r="J718" i="29"/>
  <c r="J719" i="29"/>
  <c r="J720" i="29"/>
  <c r="J721" i="29"/>
  <c r="J722" i="29"/>
  <c r="J723" i="29"/>
  <c r="J724" i="29"/>
  <c r="J725" i="29"/>
  <c r="J726" i="29"/>
  <c r="J727" i="29"/>
  <c r="J728" i="29"/>
  <c r="J729" i="29"/>
  <c r="J730" i="29"/>
  <c r="J731" i="29"/>
  <c r="J732" i="29"/>
  <c r="J733" i="29"/>
  <c r="J734" i="29"/>
  <c r="J735" i="29"/>
  <c r="J736" i="29"/>
  <c r="J737" i="29"/>
  <c r="J738" i="29"/>
  <c r="J739" i="29"/>
  <c r="J740" i="29"/>
  <c r="J741" i="29"/>
  <c r="J742" i="29"/>
  <c r="J743" i="29"/>
  <c r="J744" i="29"/>
  <c r="J745" i="29"/>
  <c r="J746" i="29"/>
  <c r="J747" i="29"/>
  <c r="J748" i="29"/>
  <c r="J749" i="29"/>
  <c r="J750" i="29"/>
  <c r="J751" i="29"/>
  <c r="J752" i="29"/>
  <c r="J753" i="29"/>
  <c r="J754" i="29"/>
  <c r="J755" i="29"/>
  <c r="J756" i="29"/>
  <c r="J757" i="29"/>
  <c r="J758" i="29"/>
  <c r="J759" i="29"/>
  <c r="J760" i="29"/>
  <c r="J761" i="29"/>
  <c r="J762" i="29"/>
  <c r="J763" i="29"/>
  <c r="J764" i="29"/>
  <c r="J765" i="29"/>
  <c r="J766" i="29"/>
  <c r="J767" i="29"/>
  <c r="J768" i="29"/>
  <c r="J769" i="29"/>
  <c r="J770" i="29"/>
  <c r="J771" i="29"/>
  <c r="J772" i="29"/>
  <c r="J773" i="29"/>
  <c r="J774" i="29"/>
  <c r="J775" i="29"/>
  <c r="J776" i="29"/>
  <c r="J777" i="29"/>
  <c r="J778" i="29"/>
  <c r="J779" i="29"/>
  <c r="J780" i="29"/>
  <c r="J781" i="29"/>
  <c r="J782" i="29"/>
  <c r="J783" i="29"/>
  <c r="J784" i="29"/>
  <c r="J785" i="29"/>
  <c r="J786" i="29"/>
  <c r="J787" i="29"/>
  <c r="J788" i="29"/>
  <c r="J789" i="29"/>
  <c r="J790" i="29"/>
  <c r="J791" i="29"/>
  <c r="J792" i="29"/>
  <c r="J793" i="29"/>
  <c r="J794" i="29"/>
  <c r="J795" i="29"/>
  <c r="J796" i="29"/>
  <c r="J797" i="29"/>
  <c r="J798" i="29"/>
  <c r="J799" i="29"/>
  <c r="J800" i="29"/>
  <c r="J801" i="29"/>
  <c r="J802" i="29"/>
  <c r="J803" i="29"/>
  <c r="J804" i="29"/>
  <c r="J805" i="29"/>
  <c r="J806" i="29"/>
  <c r="J807" i="29"/>
  <c r="J808" i="29"/>
  <c r="J809" i="29"/>
  <c r="J810" i="29"/>
  <c r="J811" i="29"/>
  <c r="J812" i="29"/>
  <c r="J813" i="29"/>
  <c r="J814" i="29"/>
  <c r="J815" i="29"/>
  <c r="J816" i="29"/>
  <c r="J817" i="29"/>
  <c r="J818" i="29"/>
  <c r="J819" i="29"/>
  <c r="J820" i="29"/>
  <c r="J821" i="29"/>
  <c r="J822" i="29"/>
  <c r="J823" i="29"/>
  <c r="J824" i="29"/>
  <c r="J825" i="29"/>
  <c r="J826" i="29"/>
  <c r="J827" i="29"/>
  <c r="J828" i="29"/>
  <c r="J829" i="29"/>
  <c r="J830" i="29"/>
  <c r="J831" i="29"/>
  <c r="J832" i="29"/>
  <c r="J833" i="29"/>
  <c r="J834" i="29"/>
  <c r="J835" i="29"/>
  <c r="J836" i="29"/>
  <c r="J837" i="29"/>
  <c r="J838" i="29"/>
  <c r="J839" i="29"/>
  <c r="J840" i="29"/>
  <c r="J841" i="29"/>
  <c r="J842" i="29"/>
  <c r="J843" i="29"/>
  <c r="J844" i="29"/>
  <c r="J845" i="29"/>
  <c r="J846" i="29"/>
  <c r="J847" i="29"/>
  <c r="J848" i="29"/>
  <c r="J849" i="29"/>
  <c r="J850" i="29"/>
  <c r="J851" i="29"/>
  <c r="J852" i="29"/>
  <c r="J853" i="29"/>
  <c r="J854" i="29"/>
  <c r="J855" i="29"/>
  <c r="J856" i="29"/>
  <c r="J857" i="29"/>
  <c r="J858" i="29"/>
  <c r="J859" i="29"/>
  <c r="J860" i="29"/>
  <c r="J861" i="29"/>
  <c r="J862" i="29"/>
  <c r="J863" i="29"/>
  <c r="J864" i="29"/>
  <c r="J865" i="29"/>
  <c r="J866" i="29"/>
  <c r="J867" i="29"/>
  <c r="J868" i="29"/>
  <c r="J869" i="29"/>
  <c r="J870" i="29"/>
  <c r="J871" i="29"/>
  <c r="J872" i="29"/>
  <c r="J873" i="29"/>
  <c r="J874" i="29"/>
  <c r="J875" i="29"/>
  <c r="J876" i="29"/>
  <c r="J877" i="29"/>
  <c r="J878" i="29"/>
  <c r="J879" i="29"/>
  <c r="J880" i="29"/>
  <c r="J881" i="29"/>
  <c r="J882" i="29"/>
  <c r="J883" i="29"/>
  <c r="J884" i="29"/>
  <c r="J885" i="29"/>
  <c r="J886" i="29"/>
  <c r="J887" i="29"/>
  <c r="J888" i="29"/>
  <c r="J889" i="29"/>
  <c r="J890" i="29"/>
  <c r="J891" i="29"/>
  <c r="J892" i="29"/>
  <c r="J893" i="29"/>
  <c r="J894" i="29"/>
  <c r="J895" i="29"/>
  <c r="J896" i="29"/>
  <c r="J897" i="29"/>
  <c r="J898" i="29"/>
  <c r="J899" i="29"/>
  <c r="J900" i="29"/>
  <c r="J901" i="29"/>
  <c r="J902" i="29"/>
  <c r="J903" i="29"/>
  <c r="J904" i="29"/>
  <c r="J905" i="29"/>
  <c r="J906" i="29"/>
  <c r="J907" i="29"/>
  <c r="J908" i="29"/>
  <c r="J909" i="29"/>
  <c r="J910" i="29"/>
  <c r="J911" i="29"/>
  <c r="J912" i="29"/>
  <c r="J913" i="29"/>
  <c r="J914" i="29"/>
  <c r="J915" i="29"/>
  <c r="J916" i="29"/>
  <c r="J917" i="29"/>
  <c r="J918" i="29"/>
  <c r="J919" i="29"/>
  <c r="J920" i="29"/>
  <c r="J921" i="29"/>
  <c r="J922" i="29"/>
  <c r="J923" i="29"/>
  <c r="J924" i="29"/>
  <c r="J925" i="29"/>
  <c r="J926" i="29"/>
  <c r="J927" i="29"/>
  <c r="J928" i="29"/>
  <c r="J929" i="29"/>
  <c r="J930" i="29"/>
  <c r="J931" i="29"/>
  <c r="J932" i="29"/>
  <c r="J933" i="29"/>
  <c r="J934" i="29"/>
  <c r="J935" i="29"/>
  <c r="J936" i="29"/>
  <c r="J937" i="29"/>
  <c r="J938" i="29"/>
  <c r="J939" i="29"/>
  <c r="J940" i="29"/>
  <c r="J941" i="29"/>
  <c r="J942" i="29"/>
  <c r="J943" i="29"/>
  <c r="J944" i="29"/>
  <c r="J945" i="29"/>
  <c r="J946" i="29"/>
  <c r="J947" i="29"/>
  <c r="J948" i="29"/>
  <c r="J949" i="29"/>
  <c r="J950" i="29"/>
  <c r="J951" i="29"/>
  <c r="J952" i="29"/>
  <c r="J953" i="29"/>
  <c r="J954" i="29"/>
  <c r="J955" i="29"/>
  <c r="J956" i="29"/>
  <c r="J957" i="29"/>
  <c r="J958" i="29"/>
  <c r="J959" i="29"/>
  <c r="J960" i="29"/>
  <c r="J961" i="29"/>
  <c r="J962" i="29"/>
  <c r="J963" i="29"/>
  <c r="J964" i="29"/>
  <c r="J965" i="29"/>
  <c r="J966" i="29"/>
  <c r="J967" i="29"/>
  <c r="J968" i="29"/>
  <c r="J969" i="29"/>
  <c r="J970" i="29"/>
  <c r="J971" i="29"/>
  <c r="J972" i="29"/>
  <c r="J973" i="29"/>
  <c r="J974" i="29"/>
  <c r="J975" i="29"/>
  <c r="J976" i="29"/>
  <c r="J977" i="29"/>
  <c r="J978" i="29"/>
  <c r="J979" i="29"/>
  <c r="J980" i="29"/>
  <c r="J981" i="29"/>
  <c r="J982" i="29"/>
  <c r="J983" i="29"/>
  <c r="J984" i="29"/>
  <c r="J985" i="29"/>
  <c r="J986" i="29"/>
  <c r="J987" i="29"/>
  <c r="J988" i="29"/>
  <c r="J989" i="29"/>
  <c r="J990" i="29"/>
  <c r="J991" i="29"/>
  <c r="J992" i="29"/>
  <c r="J993" i="29"/>
  <c r="J994" i="29"/>
  <c r="J995" i="29"/>
  <c r="J996" i="29"/>
  <c r="J997" i="29"/>
  <c r="J998" i="29"/>
  <c r="J999" i="29"/>
  <c r="J1000" i="29"/>
  <c r="J1001" i="29"/>
  <c r="J1002" i="29"/>
  <c r="J1003" i="29"/>
  <c r="J1004" i="29"/>
  <c r="J1005" i="29"/>
  <c r="J1006" i="29"/>
  <c r="J1007" i="29"/>
  <c r="J1008" i="29"/>
  <c r="J1009" i="29"/>
  <c r="J1010" i="29"/>
  <c r="J1011" i="29"/>
  <c r="J1012" i="29"/>
  <c r="J1013" i="29"/>
  <c r="J1014" i="29"/>
  <c r="J1015" i="29"/>
  <c r="J1016" i="29"/>
  <c r="J1017" i="29"/>
  <c r="J1018" i="29"/>
  <c r="J1019" i="29"/>
  <c r="J1020" i="29"/>
  <c r="J1021" i="29"/>
  <c r="J1022" i="29"/>
  <c r="J1023" i="29"/>
  <c r="J1024" i="29"/>
  <c r="J1025" i="29"/>
  <c r="J1026" i="29"/>
  <c r="J1027" i="29"/>
  <c r="J1028" i="29"/>
  <c r="J1029" i="29"/>
  <c r="J1030" i="29"/>
  <c r="J1031" i="29"/>
  <c r="J1032" i="29"/>
  <c r="J1033" i="29"/>
  <c r="J1034" i="29"/>
  <c r="J1035" i="29"/>
  <c r="J1036" i="29"/>
  <c r="J1037" i="29"/>
  <c r="J1038" i="29"/>
  <c r="J1039" i="29"/>
  <c r="J1040" i="29"/>
  <c r="J1041" i="29"/>
  <c r="J1042" i="29"/>
  <c r="J1043" i="29"/>
  <c r="J1044" i="29"/>
  <c r="J1045" i="29"/>
  <c r="J1046" i="29"/>
  <c r="J1047" i="29"/>
  <c r="J1048" i="29"/>
  <c r="J1049" i="29"/>
  <c r="J1050" i="29"/>
  <c r="J1051" i="29"/>
  <c r="J1052" i="29"/>
  <c r="J1053" i="29"/>
  <c r="J1054" i="29"/>
  <c r="J1055" i="29"/>
  <c r="J1056" i="29"/>
  <c r="J1057" i="29"/>
  <c r="J1058" i="29"/>
  <c r="J1059" i="29"/>
  <c r="J1060" i="29"/>
  <c r="J1061" i="29"/>
  <c r="J1062" i="29"/>
  <c r="J1063" i="29"/>
  <c r="J1064" i="29"/>
  <c r="J1065" i="29"/>
  <c r="J1066" i="29"/>
  <c r="J1067" i="29"/>
  <c r="J1068" i="29"/>
  <c r="J1069" i="29"/>
  <c r="J1070" i="29"/>
  <c r="J1071" i="29"/>
  <c r="J1072" i="29"/>
  <c r="J1073" i="29"/>
  <c r="J1074" i="29"/>
  <c r="J1075" i="29"/>
  <c r="J1076" i="29"/>
  <c r="J1077" i="29"/>
  <c r="J1078" i="29"/>
  <c r="J1079" i="29"/>
  <c r="J1080" i="29"/>
  <c r="J1081" i="29"/>
  <c r="J1082" i="29"/>
  <c r="J1083" i="29"/>
  <c r="J1084" i="29"/>
  <c r="J1085" i="29"/>
  <c r="J1086" i="29"/>
  <c r="J1087" i="29"/>
  <c r="J1088" i="29"/>
  <c r="J1089" i="29"/>
  <c r="J1090" i="29"/>
  <c r="J1091" i="29"/>
  <c r="J1092" i="29"/>
  <c r="J1093" i="29"/>
  <c r="J1094" i="29"/>
  <c r="J1095" i="29"/>
  <c r="J1096" i="29"/>
  <c r="J1097" i="29"/>
  <c r="J1098" i="29"/>
  <c r="J1099" i="29"/>
  <c r="J1100" i="29"/>
  <c r="J1101" i="29"/>
  <c r="J1102" i="29"/>
  <c r="J1103" i="29"/>
  <c r="J1104" i="29"/>
  <c r="J1105" i="29"/>
  <c r="J1106" i="29"/>
  <c r="J1107" i="29"/>
  <c r="J1108" i="29"/>
  <c r="C40" i="11"/>
  <c r="E415" i="11"/>
  <c r="F415" i="11" s="1"/>
  <c r="C415" i="11"/>
  <c r="D415" i="11" s="1"/>
  <c r="AF121" i="24"/>
  <c r="AE12" i="24"/>
  <c r="AE13" i="24"/>
  <c r="AE14" i="24"/>
  <c r="AE15" i="24"/>
  <c r="AE16" i="24"/>
  <c r="AE17" i="24"/>
  <c r="AE18" i="24"/>
  <c r="AE19" i="24"/>
  <c r="AE20" i="24"/>
  <c r="AE21" i="24"/>
  <c r="AE22" i="24"/>
  <c r="AE23" i="24"/>
  <c r="AE24" i="24"/>
  <c r="AE25" i="24"/>
  <c r="AE26" i="24"/>
  <c r="AE27" i="24"/>
  <c r="AE28" i="24"/>
  <c r="AE29" i="24"/>
  <c r="AE30" i="24"/>
  <c r="AE31" i="24"/>
  <c r="AE32" i="24"/>
  <c r="AE33" i="24"/>
  <c r="AE34" i="24"/>
  <c r="AE35" i="24"/>
  <c r="AE36" i="24"/>
  <c r="AE37" i="24"/>
  <c r="AE38" i="24"/>
  <c r="AE39" i="24"/>
  <c r="AE40" i="24"/>
  <c r="AE41" i="24"/>
  <c r="AE42" i="24"/>
  <c r="AE43" i="24"/>
  <c r="AE44" i="24"/>
  <c r="AE45" i="24"/>
  <c r="AE46" i="24"/>
  <c r="AE47" i="24"/>
  <c r="AE48" i="24"/>
  <c r="AE49" i="24"/>
  <c r="AE50" i="24"/>
  <c r="AE51" i="24"/>
  <c r="AE52" i="24"/>
  <c r="AE53" i="24"/>
  <c r="AE54" i="24"/>
  <c r="AE55" i="24"/>
  <c r="AE56" i="24"/>
  <c r="AE57" i="24"/>
  <c r="AE58" i="24"/>
  <c r="AE59" i="24"/>
  <c r="AE60" i="24"/>
  <c r="AE61" i="24"/>
  <c r="AE62" i="24"/>
  <c r="AE63" i="24"/>
  <c r="AE64" i="24"/>
  <c r="AE65" i="24"/>
  <c r="AE66" i="24"/>
  <c r="AE67" i="24"/>
  <c r="AE68" i="24"/>
  <c r="AE69" i="24"/>
  <c r="AE70" i="24"/>
  <c r="AE71" i="24"/>
  <c r="AE72" i="24"/>
  <c r="AE73" i="24"/>
  <c r="AE74" i="24"/>
  <c r="AE75" i="24"/>
  <c r="AE76" i="24"/>
  <c r="AE77" i="24"/>
  <c r="AE78" i="24"/>
  <c r="AE79" i="24"/>
  <c r="AE80" i="24"/>
  <c r="AE81" i="24"/>
  <c r="AE82" i="24"/>
  <c r="AE83" i="24"/>
  <c r="AE84" i="24"/>
  <c r="AE85" i="24"/>
  <c r="AE86" i="24"/>
  <c r="AE87" i="24"/>
  <c r="AE88" i="24"/>
  <c r="AE89" i="24"/>
  <c r="AE90" i="24"/>
  <c r="AE91" i="24"/>
  <c r="AE92" i="24"/>
  <c r="AE93" i="24"/>
  <c r="AE94" i="24"/>
  <c r="AE95" i="24"/>
  <c r="AE96" i="24"/>
  <c r="AE97" i="24"/>
  <c r="AE98" i="24"/>
  <c r="AE99" i="24"/>
  <c r="AE100" i="24"/>
  <c r="AE101" i="24"/>
  <c r="AE102" i="24"/>
  <c r="AE103" i="24"/>
  <c r="AE104" i="24"/>
  <c r="AE105" i="24"/>
  <c r="AE106" i="24"/>
  <c r="AE107" i="24"/>
  <c r="AE108" i="24"/>
  <c r="AE109" i="24"/>
  <c r="AE110" i="24"/>
  <c r="AE111" i="24"/>
  <c r="AE112" i="24"/>
  <c r="AE113" i="24"/>
  <c r="AE114" i="24"/>
  <c r="AE115" i="24"/>
  <c r="AE116" i="24"/>
  <c r="AE117" i="24"/>
  <c r="AE118" i="24"/>
  <c r="AE119" i="24"/>
  <c r="AE120" i="24"/>
  <c r="AE121" i="24"/>
  <c r="AE122" i="24"/>
  <c r="AE123" i="24"/>
  <c r="AE124" i="24"/>
  <c r="AE125" i="24"/>
  <c r="AE126" i="24"/>
  <c r="AE127" i="24"/>
  <c r="AE128" i="24"/>
  <c r="AE129" i="24"/>
  <c r="AE130" i="24"/>
  <c r="AE131" i="24"/>
  <c r="AE132" i="24"/>
  <c r="AE133" i="24"/>
  <c r="AE134" i="24"/>
  <c r="AE12" i="23"/>
  <c r="AE14" i="23"/>
  <c r="AE11" i="23"/>
  <c r="AE13" i="23"/>
  <c r="AE15" i="23"/>
  <c r="AE16" i="23"/>
  <c r="AE17" i="23"/>
  <c r="AE18" i="23"/>
  <c r="AE19" i="23"/>
  <c r="AE20" i="23"/>
  <c r="AE21" i="23"/>
  <c r="AE22" i="23"/>
  <c r="AE23" i="23"/>
  <c r="AE24" i="23"/>
  <c r="AE25" i="23"/>
  <c r="AE26" i="23"/>
  <c r="AE27" i="23"/>
  <c r="AE28" i="23"/>
  <c r="AE29" i="23"/>
  <c r="AE30" i="23"/>
  <c r="AE31" i="23"/>
  <c r="AE32" i="23"/>
  <c r="AE33" i="23"/>
  <c r="AE34" i="23"/>
  <c r="AE35" i="23"/>
  <c r="AE36" i="23"/>
  <c r="AE37" i="23"/>
  <c r="AE38" i="23"/>
  <c r="AE39" i="23"/>
  <c r="AE40" i="23"/>
  <c r="AE41" i="23"/>
  <c r="AE42" i="23"/>
  <c r="AE43" i="23"/>
  <c r="AE44" i="23"/>
  <c r="AE45" i="23"/>
  <c r="AE46" i="23"/>
  <c r="AE47" i="23"/>
  <c r="AE48" i="23"/>
  <c r="AE49" i="23"/>
  <c r="AE50" i="23"/>
  <c r="AE51" i="23"/>
  <c r="AE52" i="23"/>
  <c r="AE53" i="23"/>
  <c r="AE54" i="23"/>
  <c r="AE55" i="23"/>
  <c r="AE56" i="23"/>
  <c r="AE57" i="23"/>
  <c r="AE58" i="23"/>
  <c r="AE59" i="23"/>
  <c r="AE60" i="23"/>
  <c r="AE61" i="23"/>
  <c r="AE62" i="23"/>
  <c r="AE63" i="23"/>
  <c r="AE64" i="23"/>
  <c r="AE65" i="23"/>
  <c r="AE66" i="23"/>
  <c r="AE67" i="23"/>
  <c r="AE68" i="23"/>
  <c r="AE69" i="23"/>
  <c r="AE70" i="23"/>
  <c r="AE71" i="23"/>
  <c r="AE72" i="23"/>
  <c r="AE73" i="23"/>
  <c r="AE74" i="23"/>
  <c r="AE75" i="23"/>
  <c r="AE76" i="23"/>
  <c r="AE77" i="23"/>
  <c r="AE78" i="23"/>
  <c r="AE79" i="23"/>
  <c r="AE80" i="23"/>
  <c r="AE81" i="23"/>
  <c r="AE82" i="23"/>
  <c r="AE83" i="23"/>
  <c r="AE84" i="23"/>
  <c r="AE85" i="23"/>
  <c r="AE86" i="23"/>
  <c r="AE87" i="23"/>
  <c r="AE88" i="23"/>
  <c r="AE89" i="23"/>
  <c r="AE90" i="23"/>
  <c r="AE91" i="23"/>
  <c r="AE92" i="23"/>
  <c r="AE93" i="23"/>
  <c r="AE94" i="23"/>
  <c r="AE95" i="23"/>
  <c r="AE96" i="23"/>
  <c r="AE97" i="23"/>
  <c r="AE98" i="23"/>
  <c r="AE99" i="23"/>
  <c r="AE100" i="23"/>
  <c r="AE101" i="23"/>
  <c r="AE102" i="23"/>
  <c r="AE103" i="23"/>
  <c r="AE104" i="23"/>
  <c r="AE105" i="23"/>
  <c r="AE106" i="23"/>
  <c r="AE107" i="23"/>
  <c r="AE108" i="23"/>
  <c r="AE109" i="23"/>
  <c r="AE110" i="23"/>
  <c r="AE111" i="23"/>
  <c r="AE112" i="23"/>
  <c r="AE113" i="23"/>
  <c r="AE114" i="23"/>
  <c r="AE115" i="23"/>
  <c r="AE116" i="23"/>
  <c r="AE117" i="23"/>
  <c r="AE118" i="23"/>
  <c r="AE119" i="23"/>
  <c r="AE120" i="23"/>
  <c r="AE121" i="23"/>
  <c r="AE122" i="23"/>
  <c r="AE123" i="23"/>
  <c r="AE124" i="23"/>
  <c r="AE125" i="23"/>
  <c r="AE126" i="23"/>
  <c r="AE127" i="23"/>
  <c r="AE128" i="23"/>
  <c r="AE129" i="23"/>
  <c r="AE130" i="23"/>
  <c r="AE131" i="23"/>
  <c r="AE132" i="23"/>
  <c r="AE133" i="23"/>
  <c r="AE134" i="23"/>
  <c r="AB148" i="23" l="1"/>
  <c r="AD148" i="23" s="1"/>
  <c r="AA183" i="23"/>
  <c r="AC183" i="23" s="1"/>
  <c r="AA161" i="23"/>
  <c r="AC161" i="23" s="1"/>
  <c r="AA175" i="24"/>
  <c r="AC175" i="24" s="1"/>
  <c r="AA158" i="24"/>
  <c r="AC158" i="24" s="1"/>
  <c r="AF147" i="23"/>
  <c r="AF143" i="23"/>
  <c r="AA135" i="23"/>
  <c r="AC135" i="23" s="1"/>
  <c r="AA197" i="23"/>
  <c r="AC197" i="23" s="1"/>
  <c r="Y179" i="23"/>
  <c r="AB179" i="23" s="1"/>
  <c r="AD179" i="23" s="1"/>
  <c r="Y172" i="23"/>
  <c r="AA168" i="23"/>
  <c r="AC168" i="23" s="1"/>
  <c r="Y165" i="23"/>
  <c r="AB165" i="23" s="1"/>
  <c r="AD165" i="23" s="1"/>
  <c r="Y158" i="23"/>
  <c r="AB158" i="23" s="1"/>
  <c r="AD158" i="23" s="1"/>
  <c r="AB154" i="23"/>
  <c r="AD154" i="23" s="1"/>
  <c r="Y197" i="24"/>
  <c r="Y179" i="24"/>
  <c r="AB179" i="24" s="1"/>
  <c r="AD179" i="24" s="1"/>
  <c r="AA136" i="24"/>
  <c r="AC136" i="24" s="1"/>
  <c r="AA143" i="23"/>
  <c r="AC143" i="23" s="1"/>
  <c r="AF182" i="23"/>
  <c r="AF174" i="24"/>
  <c r="Y170" i="24"/>
  <c r="AB170" i="24" s="1"/>
  <c r="AD170" i="24" s="1"/>
  <c r="AA148" i="24"/>
  <c r="AC148" i="24" s="1"/>
  <c r="AA193" i="23"/>
  <c r="AC193" i="23" s="1"/>
  <c r="AA189" i="23"/>
  <c r="AC189" i="23" s="1"/>
  <c r="AA175" i="23"/>
  <c r="AC175" i="23" s="1"/>
  <c r="Y171" i="23"/>
  <c r="AB171" i="23" s="1"/>
  <c r="AD171" i="23" s="1"/>
  <c r="AA164" i="23"/>
  <c r="AC164" i="23" s="1"/>
  <c r="AA157" i="23"/>
  <c r="AC157" i="23" s="1"/>
  <c r="Y178" i="24"/>
  <c r="AB178" i="24" s="1"/>
  <c r="AD178" i="24" s="1"/>
  <c r="AB197" i="23"/>
  <c r="AD197" i="23" s="1"/>
  <c r="AB160" i="23"/>
  <c r="AD160" i="23" s="1"/>
  <c r="AB191" i="24"/>
  <c r="AD191" i="24" s="1"/>
  <c r="AA174" i="24"/>
  <c r="AC174" i="24" s="1"/>
  <c r="Y193" i="23"/>
  <c r="AB193" i="23" s="1"/>
  <c r="AD193" i="23" s="1"/>
  <c r="Y182" i="23"/>
  <c r="AB182" i="23" s="1"/>
  <c r="AD182" i="23" s="1"/>
  <c r="Y175" i="23"/>
  <c r="AB175" i="23" s="1"/>
  <c r="AD175" i="23" s="1"/>
  <c r="Y165" i="24"/>
  <c r="AB165" i="24" s="1"/>
  <c r="AD165" i="24" s="1"/>
  <c r="AA150" i="23"/>
  <c r="AC150" i="23" s="1"/>
  <c r="AA200" i="23"/>
  <c r="AC200" i="23" s="1"/>
  <c r="Y196" i="23"/>
  <c r="AB177" i="23"/>
  <c r="AD177" i="23" s="1"/>
  <c r="AB170" i="23"/>
  <c r="AD170" i="23" s="1"/>
  <c r="Y142" i="23"/>
  <c r="Y185" i="23"/>
  <c r="AB185" i="23" s="1"/>
  <c r="AD185" i="23" s="1"/>
  <c r="AB163" i="23"/>
  <c r="AD163" i="23" s="1"/>
  <c r="AB199" i="23"/>
  <c r="AD199" i="23" s="1"/>
  <c r="AB192" i="23"/>
  <c r="AD192" i="23" s="1"/>
  <c r="AA174" i="23"/>
  <c r="AC174" i="23" s="1"/>
  <c r="AA163" i="23"/>
  <c r="AC163" i="23" s="1"/>
  <c r="AA199" i="23"/>
  <c r="AC199" i="23" s="1"/>
  <c r="AA192" i="23"/>
  <c r="AC192" i="23" s="1"/>
  <c r="Y181" i="24"/>
  <c r="AB181" i="24" s="1"/>
  <c r="AD181" i="24" s="1"/>
  <c r="AF145" i="24"/>
  <c r="AB145" i="23"/>
  <c r="AD145" i="23" s="1"/>
  <c r="AF140" i="23"/>
  <c r="AB195" i="23"/>
  <c r="AD195" i="23" s="1"/>
  <c r="AB173" i="23"/>
  <c r="AD173" i="23" s="1"/>
  <c r="AB162" i="23"/>
  <c r="AD162" i="23" s="1"/>
  <c r="AB190" i="24"/>
  <c r="AD190" i="24" s="1"/>
  <c r="Y142" i="24"/>
  <c r="AA145" i="23"/>
  <c r="AC145" i="23" s="1"/>
  <c r="AA136" i="23"/>
  <c r="AC136" i="23" s="1"/>
  <c r="AA198" i="23"/>
  <c r="AC198" i="23" s="1"/>
  <c r="AA173" i="23"/>
  <c r="AC173" i="23" s="1"/>
  <c r="Y198" i="24"/>
  <c r="AB198" i="24" s="1"/>
  <c r="AD198" i="24" s="1"/>
  <c r="AA167" i="24"/>
  <c r="AC167" i="24" s="1"/>
  <c r="AA137" i="24"/>
  <c r="AC137" i="24" s="1"/>
  <c r="AB139" i="23"/>
  <c r="AD139" i="23" s="1"/>
  <c r="AA176" i="23"/>
  <c r="AC176" i="23" s="1"/>
  <c r="AA189" i="24"/>
  <c r="AC189" i="24" s="1"/>
  <c r="AB136" i="23"/>
  <c r="AD136" i="23" s="1"/>
  <c r="AB198" i="23"/>
  <c r="AD198" i="23" s="1"/>
  <c r="AA194" i="23"/>
  <c r="AC194" i="23" s="1"/>
  <c r="AB187" i="23"/>
  <c r="AD187" i="23" s="1"/>
  <c r="AF154" i="23"/>
  <c r="Y167" i="24"/>
  <c r="AB167" i="24" s="1"/>
  <c r="AD167" i="24" s="1"/>
  <c r="AB137" i="24"/>
  <c r="AD137" i="24" s="1"/>
  <c r="AB196" i="24"/>
  <c r="AD196" i="24" s="1"/>
  <c r="AA151" i="24"/>
  <c r="AC151" i="24" s="1"/>
  <c r="AA171" i="24"/>
  <c r="AC171" i="24" s="1"/>
  <c r="AA183" i="24"/>
  <c r="AC183" i="24" s="1"/>
  <c r="AB162" i="24"/>
  <c r="AD162" i="24" s="1"/>
  <c r="AB166" i="24"/>
  <c r="AD166" i="24" s="1"/>
  <c r="AB182" i="24"/>
  <c r="AD182" i="24" s="1"/>
  <c r="AA166" i="24"/>
  <c r="AC166" i="24" s="1"/>
  <c r="AB146" i="24"/>
  <c r="AD146" i="24" s="1"/>
  <c r="AA187" i="24"/>
  <c r="AC187" i="24" s="1"/>
  <c r="AF148" i="24"/>
  <c r="AA141" i="24"/>
  <c r="AC141" i="24" s="1"/>
  <c r="Y186" i="24"/>
  <c r="AB186" i="24" s="1"/>
  <c r="AD186" i="24" s="1"/>
  <c r="AA165" i="24"/>
  <c r="AC165" i="24" s="1"/>
  <c r="AF140" i="24"/>
  <c r="AA192" i="24"/>
  <c r="AC192" i="24" s="1"/>
  <c r="AA181" i="24"/>
  <c r="AC181" i="24" s="1"/>
  <c r="Y157" i="24"/>
  <c r="AB157" i="24" s="1"/>
  <c r="AD157" i="24" s="1"/>
  <c r="AB164" i="24"/>
  <c r="AD164" i="24" s="1"/>
  <c r="AB188" i="24"/>
  <c r="AD188" i="24" s="1"/>
  <c r="AA177" i="24"/>
  <c r="AC177" i="24" s="1"/>
  <c r="AB152" i="24"/>
  <c r="AD152" i="24" s="1"/>
  <c r="AA188" i="24"/>
  <c r="AC188" i="24" s="1"/>
  <c r="AA184" i="24"/>
  <c r="AC184" i="24" s="1"/>
  <c r="AB142" i="24"/>
  <c r="AD142" i="24" s="1"/>
  <c r="AB138" i="24"/>
  <c r="AD138" i="24" s="1"/>
  <c r="AA138" i="24"/>
  <c r="AC138" i="24" s="1"/>
  <c r="AA194" i="24"/>
  <c r="AC194" i="24" s="1"/>
  <c r="AB176" i="24"/>
  <c r="AD176" i="24" s="1"/>
  <c r="AB180" i="24"/>
  <c r="AD180" i="24" s="1"/>
  <c r="AA176" i="24"/>
  <c r="AC176" i="24" s="1"/>
  <c r="AA173" i="24"/>
  <c r="AC173" i="24" s="1"/>
  <c r="Y194" i="24"/>
  <c r="AB194" i="24" s="1"/>
  <c r="AD194" i="24" s="1"/>
  <c r="Y169" i="24"/>
  <c r="AB169" i="24" s="1"/>
  <c r="AD169" i="24" s="1"/>
  <c r="AA162" i="24"/>
  <c r="AC162" i="24" s="1"/>
  <c r="Y141" i="24"/>
  <c r="AB141" i="24" s="1"/>
  <c r="AD141" i="24" s="1"/>
  <c r="AA160" i="24"/>
  <c r="AC160" i="24" s="1"/>
  <c r="AA149" i="24"/>
  <c r="AC149" i="24" s="1"/>
  <c r="AB184" i="24"/>
  <c r="AD184" i="24" s="1"/>
  <c r="AB193" i="24"/>
  <c r="AD193" i="24" s="1"/>
  <c r="AB200" i="24"/>
  <c r="AD200" i="24" s="1"/>
  <c r="AA168" i="24"/>
  <c r="AC168" i="24" s="1"/>
  <c r="AA200" i="24"/>
  <c r="AC200" i="24" s="1"/>
  <c r="AF171" i="24"/>
  <c r="AA182" i="24"/>
  <c r="AC182" i="24" s="1"/>
  <c r="AA161" i="24"/>
  <c r="AC161" i="24" s="1"/>
  <c r="Y150" i="24"/>
  <c r="AB150" i="24" s="1"/>
  <c r="AD150" i="24" s="1"/>
  <c r="AB185" i="24"/>
  <c r="AD185" i="24" s="1"/>
  <c r="AB160" i="24"/>
  <c r="AD160" i="24" s="1"/>
  <c r="AA185" i="24"/>
  <c r="AC185" i="24" s="1"/>
  <c r="AB153" i="24"/>
  <c r="AD153" i="24" s="1"/>
  <c r="AB177" i="24"/>
  <c r="AD177" i="24" s="1"/>
  <c r="AB168" i="24"/>
  <c r="AD168" i="24" s="1"/>
  <c r="AB172" i="24"/>
  <c r="AD172" i="24" s="1"/>
  <c r="AB161" i="24"/>
  <c r="AD161" i="24" s="1"/>
  <c r="AA154" i="24"/>
  <c r="AC154" i="24" s="1"/>
  <c r="Y192" i="24"/>
  <c r="AB192" i="24" s="1"/>
  <c r="AD192" i="24" s="1"/>
  <c r="AA178" i="24"/>
  <c r="AC178" i="24" s="1"/>
  <c r="AF160" i="24"/>
  <c r="AA157" i="24"/>
  <c r="AC157" i="24" s="1"/>
  <c r="Y154" i="24"/>
  <c r="AB154" i="24" s="1"/>
  <c r="AD154" i="24" s="1"/>
  <c r="AA146" i="24"/>
  <c r="AC146" i="24" s="1"/>
  <c r="AF192" i="24"/>
  <c r="AF176" i="24"/>
  <c r="AB139" i="24"/>
  <c r="AD139" i="24" s="1"/>
  <c r="AF184" i="24"/>
  <c r="AF141" i="24"/>
  <c r="AF149" i="24"/>
  <c r="AF152" i="24"/>
  <c r="AF168" i="24"/>
  <c r="AF200" i="24"/>
  <c r="AB147" i="24"/>
  <c r="AD147" i="24" s="1"/>
  <c r="AB155" i="24"/>
  <c r="AD155" i="24" s="1"/>
  <c r="AF138" i="24"/>
  <c r="AB195" i="24"/>
  <c r="AD195" i="24" s="1"/>
  <c r="AB171" i="24"/>
  <c r="AD171" i="24" s="1"/>
  <c r="AB163" i="24"/>
  <c r="AD163" i="24" s="1"/>
  <c r="AF146" i="24"/>
  <c r="AB187" i="24"/>
  <c r="AD187" i="24" s="1"/>
  <c r="AA152" i="24"/>
  <c r="AC152" i="24" s="1"/>
  <c r="AB189" i="24"/>
  <c r="AD189" i="24" s="1"/>
  <c r="AB173" i="24"/>
  <c r="AD173" i="24" s="1"/>
  <c r="AF153" i="24"/>
  <c r="AF180" i="24"/>
  <c r="AF177" i="24"/>
  <c r="AF161" i="24"/>
  <c r="AF188" i="24"/>
  <c r="AF164" i="24"/>
  <c r="AB199" i="24"/>
  <c r="AD199" i="24" s="1"/>
  <c r="AA180" i="24"/>
  <c r="AC180" i="24" s="1"/>
  <c r="AA193" i="24"/>
  <c r="AC193" i="24" s="1"/>
  <c r="AA169" i="24"/>
  <c r="AC169" i="24" s="1"/>
  <c r="AB156" i="24"/>
  <c r="AD156" i="24" s="1"/>
  <c r="AB149" i="24"/>
  <c r="AD149" i="24" s="1"/>
  <c r="AB197" i="24"/>
  <c r="AD197" i="24" s="1"/>
  <c r="AB135" i="24"/>
  <c r="AD135" i="24" s="1"/>
  <c r="AF196" i="24"/>
  <c r="AB143" i="24"/>
  <c r="AD143" i="24" s="1"/>
  <c r="AF185" i="24"/>
  <c r="AF172" i="24"/>
  <c r="AB151" i="24"/>
  <c r="AD151" i="24" s="1"/>
  <c r="AB159" i="24"/>
  <c r="AD159" i="24" s="1"/>
  <c r="AB140" i="24"/>
  <c r="AD140" i="24" s="1"/>
  <c r="AA196" i="24"/>
  <c r="AC196" i="24" s="1"/>
  <c r="AB183" i="24"/>
  <c r="AD183" i="24" s="1"/>
  <c r="AA172" i="24"/>
  <c r="AC172" i="24" s="1"/>
  <c r="AA164" i="24"/>
  <c r="AC164" i="24" s="1"/>
  <c r="AA153" i="24"/>
  <c r="AC153" i="24" s="1"/>
  <c r="AB148" i="24"/>
  <c r="AD148" i="24" s="1"/>
  <c r="AB151" i="23"/>
  <c r="AD151" i="23" s="1"/>
  <c r="AB149" i="23"/>
  <c r="AD149" i="23" s="1"/>
  <c r="AB164" i="23"/>
  <c r="AD164" i="23" s="1"/>
  <c r="AF139" i="23"/>
  <c r="AF179" i="23"/>
  <c r="AF171" i="23"/>
  <c r="AF163" i="23"/>
  <c r="AA148" i="23"/>
  <c r="AC148" i="23" s="1"/>
  <c r="AF142" i="23"/>
  <c r="AA139" i="23"/>
  <c r="AC139" i="23" s="1"/>
  <c r="AF136" i="23"/>
  <c r="AA190" i="23"/>
  <c r="AC190" i="23" s="1"/>
  <c r="AA155" i="23"/>
  <c r="AC155" i="23" s="1"/>
  <c r="AB180" i="23"/>
  <c r="AD180" i="23" s="1"/>
  <c r="AF145" i="23"/>
  <c r="AA158" i="23"/>
  <c r="AC158" i="23" s="1"/>
  <c r="AB196" i="23"/>
  <c r="AD196" i="23" s="1"/>
  <c r="AF148" i="23"/>
  <c r="AB172" i="23"/>
  <c r="AD172" i="23" s="1"/>
  <c r="AB143" i="23"/>
  <c r="AD143" i="23" s="1"/>
  <c r="AF174" i="23"/>
  <c r="AB142" i="23"/>
  <c r="AD142" i="23" s="1"/>
  <c r="AF138" i="23"/>
  <c r="AF141" i="23"/>
  <c r="AF173" i="23"/>
  <c r="AA154" i="23"/>
  <c r="AC154" i="23" s="1"/>
  <c r="AF151" i="23"/>
  <c r="AB188" i="23"/>
  <c r="AD188" i="23" s="1"/>
  <c r="AB156" i="23"/>
  <c r="AD156" i="23" s="1"/>
  <c r="AB140" i="23"/>
  <c r="AD140" i="23" s="1"/>
  <c r="AF144" i="23"/>
  <c r="AF199" i="23"/>
  <c r="AF181" i="23"/>
  <c r="AF178" i="23"/>
  <c r="AF170" i="23"/>
  <c r="AF162" i="23"/>
  <c r="AF165" i="23"/>
  <c r="AB147" i="23"/>
  <c r="AD147" i="23" s="1"/>
  <c r="AA138" i="23"/>
  <c r="AC138" i="23" s="1"/>
  <c r="AA178" i="23"/>
  <c r="AC178" i="23" s="1"/>
  <c r="AA162" i="23"/>
  <c r="AC162" i="23" s="1"/>
  <c r="AA141" i="23"/>
  <c r="AC141" i="23" s="1"/>
  <c r="AA181" i="23"/>
  <c r="AC181" i="23" s="1"/>
  <c r="AA170" i="23"/>
  <c r="AC170" i="23" s="1"/>
  <c r="Z11" i="24"/>
  <c r="Z12" i="24"/>
  <c r="Z13" i="24"/>
  <c r="Z14" i="24"/>
  <c r="Z15" i="24"/>
  <c r="Z16" i="24"/>
  <c r="Z17" i="24"/>
  <c r="Z18" i="24"/>
  <c r="Z19" i="24"/>
  <c r="Z20" i="24"/>
  <c r="Z21" i="24"/>
  <c r="Z22" i="24"/>
  <c r="Z23" i="24"/>
  <c r="Z24" i="24"/>
  <c r="Z25" i="24"/>
  <c r="Z26" i="24"/>
  <c r="Z27" i="24"/>
  <c r="Z28" i="24"/>
  <c r="Z29" i="24"/>
  <c r="Z30" i="24"/>
  <c r="Z31" i="24"/>
  <c r="Z32" i="24"/>
  <c r="Z33" i="24"/>
  <c r="Z34" i="24"/>
  <c r="Z35" i="24"/>
  <c r="Z36" i="24"/>
  <c r="Z37" i="24"/>
  <c r="Z38" i="24"/>
  <c r="Z39" i="24"/>
  <c r="Z40" i="24"/>
  <c r="Z41" i="24"/>
  <c r="Z42" i="24"/>
  <c r="Z43" i="24"/>
  <c r="Z44" i="24"/>
  <c r="Z45" i="24"/>
  <c r="Z46" i="24"/>
  <c r="Z47" i="24"/>
  <c r="Z48" i="24"/>
  <c r="Z49" i="24"/>
  <c r="Z50" i="24"/>
  <c r="Z51" i="24"/>
  <c r="Z52" i="24"/>
  <c r="Z53" i="24"/>
  <c r="Z54" i="24"/>
  <c r="Z55" i="24"/>
  <c r="Z56" i="24"/>
  <c r="Z57" i="24"/>
  <c r="Z58" i="24"/>
  <c r="Z59" i="24"/>
  <c r="Z60" i="24"/>
  <c r="Z61" i="24"/>
  <c r="Z62" i="24"/>
  <c r="Z63" i="24"/>
  <c r="Z64" i="24"/>
  <c r="Z65" i="24"/>
  <c r="Z66" i="24"/>
  <c r="Z67" i="24"/>
  <c r="Z68" i="24"/>
  <c r="Z69" i="24"/>
  <c r="Z70" i="24"/>
  <c r="Z71" i="24"/>
  <c r="Z72" i="24"/>
  <c r="Z73" i="24"/>
  <c r="Z74" i="24"/>
  <c r="Z75" i="24"/>
  <c r="Z76" i="24"/>
  <c r="Z77" i="24"/>
  <c r="Z78" i="24"/>
  <c r="Z79" i="24"/>
  <c r="Z80" i="24"/>
  <c r="Z81" i="24"/>
  <c r="Z82" i="24"/>
  <c r="Z83" i="24"/>
  <c r="Z84" i="24"/>
  <c r="Z85" i="24"/>
  <c r="Z86" i="24"/>
  <c r="Z87" i="24"/>
  <c r="Z88" i="24"/>
  <c r="Z89" i="24"/>
  <c r="Z90" i="24"/>
  <c r="Z91" i="24"/>
  <c r="Z92" i="24"/>
  <c r="Z93" i="24"/>
  <c r="Z94" i="24"/>
  <c r="Z95" i="24"/>
  <c r="Z96" i="24"/>
  <c r="Z97" i="24"/>
  <c r="Z98" i="24"/>
  <c r="Z99" i="24"/>
  <c r="Z100" i="24"/>
  <c r="Z101" i="24"/>
  <c r="Z102" i="24"/>
  <c r="Z103" i="24"/>
  <c r="Z104" i="24"/>
  <c r="Z105" i="24"/>
  <c r="Z106" i="24"/>
  <c r="Z107" i="24"/>
  <c r="Z108" i="24"/>
  <c r="Z109" i="24"/>
  <c r="Z110" i="24"/>
  <c r="Z111" i="24"/>
  <c r="Z112" i="24"/>
  <c r="Z113" i="24"/>
  <c r="Z114" i="24"/>
  <c r="Z115" i="24"/>
  <c r="Z116" i="24"/>
  <c r="Z117" i="24"/>
  <c r="Z118" i="24"/>
  <c r="Z119" i="24"/>
  <c r="Z120" i="24"/>
  <c r="Z121" i="24"/>
  <c r="AA121" i="24" s="1"/>
  <c r="AC121" i="24" s="1"/>
  <c r="Z122" i="24"/>
  <c r="Z123" i="24"/>
  <c r="Z124" i="24"/>
  <c r="Z125" i="24"/>
  <c r="Z126" i="24"/>
  <c r="Z127" i="24"/>
  <c r="Z128" i="24"/>
  <c r="Z129" i="24"/>
  <c r="Z130" i="24"/>
  <c r="Z131" i="24"/>
  <c r="AA131" i="24" s="1"/>
  <c r="AC131" i="24" s="1"/>
  <c r="Z132" i="24"/>
  <c r="Z133" i="24"/>
  <c r="Z134" i="24"/>
  <c r="Z11" i="23"/>
  <c r="X11" i="23"/>
  <c r="AF11" i="23" s="1"/>
  <c r="X12" i="23"/>
  <c r="AF12" i="23" s="1"/>
  <c r="X13" i="23"/>
  <c r="AF13" i="23" s="1"/>
  <c r="X14" i="23"/>
  <c r="AF14" i="23" s="1"/>
  <c r="X15" i="23"/>
  <c r="AF15" i="23" s="1"/>
  <c r="X16" i="23"/>
  <c r="AF16" i="23" s="1"/>
  <c r="X17" i="23"/>
  <c r="AF17" i="23" s="1"/>
  <c r="X18" i="23"/>
  <c r="AF18" i="23" s="1"/>
  <c r="X19" i="23"/>
  <c r="AF19" i="23" s="1"/>
  <c r="X20" i="23"/>
  <c r="AF20" i="23" s="1"/>
  <c r="X21" i="23"/>
  <c r="AF21" i="23" s="1"/>
  <c r="X22" i="23"/>
  <c r="AF22" i="23" s="1"/>
  <c r="X23" i="23"/>
  <c r="AF23" i="23" s="1"/>
  <c r="X24" i="23"/>
  <c r="AF24" i="23" s="1"/>
  <c r="X25" i="23"/>
  <c r="AF25" i="23" s="1"/>
  <c r="X26" i="23"/>
  <c r="AF26" i="23" s="1"/>
  <c r="X27" i="23"/>
  <c r="AF27" i="23" s="1"/>
  <c r="X28" i="23"/>
  <c r="AF28" i="23" s="1"/>
  <c r="X29" i="23"/>
  <c r="AF29" i="23" s="1"/>
  <c r="X30" i="23"/>
  <c r="AF30" i="23" s="1"/>
  <c r="X31" i="23"/>
  <c r="AF31" i="23" s="1"/>
  <c r="X32" i="23"/>
  <c r="AF32" i="23" s="1"/>
  <c r="X33" i="23"/>
  <c r="AF33" i="23" s="1"/>
  <c r="X34" i="23"/>
  <c r="AF34" i="23" s="1"/>
  <c r="X35" i="23"/>
  <c r="AF35" i="23" s="1"/>
  <c r="X36" i="23"/>
  <c r="AF36" i="23" s="1"/>
  <c r="X37" i="23"/>
  <c r="AF37" i="23" s="1"/>
  <c r="X38" i="23"/>
  <c r="AF38" i="23" s="1"/>
  <c r="X39" i="23"/>
  <c r="AF39" i="23" s="1"/>
  <c r="X40" i="23"/>
  <c r="AF40" i="23" s="1"/>
  <c r="X41" i="23"/>
  <c r="AF41" i="23" s="1"/>
  <c r="X42" i="23"/>
  <c r="AF42" i="23" s="1"/>
  <c r="X43" i="23"/>
  <c r="AF43" i="23" s="1"/>
  <c r="X44" i="23"/>
  <c r="AF44" i="23" s="1"/>
  <c r="X45" i="23"/>
  <c r="AF45" i="23" s="1"/>
  <c r="X46" i="23"/>
  <c r="AF46" i="23" s="1"/>
  <c r="X47" i="23"/>
  <c r="AF47" i="23" s="1"/>
  <c r="X48" i="23"/>
  <c r="AF48" i="23" s="1"/>
  <c r="X49" i="23"/>
  <c r="AF49" i="23" s="1"/>
  <c r="X50" i="23"/>
  <c r="AF50" i="23" s="1"/>
  <c r="X51" i="23"/>
  <c r="AF51" i="23" s="1"/>
  <c r="X52" i="23"/>
  <c r="AF52" i="23" s="1"/>
  <c r="X53" i="23"/>
  <c r="AF53" i="23" s="1"/>
  <c r="X54" i="23"/>
  <c r="AF54" i="23" s="1"/>
  <c r="X55" i="23"/>
  <c r="AF55" i="23" s="1"/>
  <c r="X56" i="23"/>
  <c r="AF56" i="23" s="1"/>
  <c r="X57" i="23"/>
  <c r="AF57" i="23" s="1"/>
  <c r="X58" i="23"/>
  <c r="AF58" i="23" s="1"/>
  <c r="X59" i="23"/>
  <c r="AF59" i="23" s="1"/>
  <c r="X60" i="23"/>
  <c r="AF60" i="23" s="1"/>
  <c r="X61" i="23"/>
  <c r="AF61" i="23" s="1"/>
  <c r="X62" i="23"/>
  <c r="AF62" i="23" s="1"/>
  <c r="X63" i="23"/>
  <c r="AF63" i="23" s="1"/>
  <c r="X64" i="23"/>
  <c r="AF64" i="23" s="1"/>
  <c r="X65" i="23"/>
  <c r="AF65" i="23" s="1"/>
  <c r="X66" i="23"/>
  <c r="AF66" i="23" s="1"/>
  <c r="X67" i="23"/>
  <c r="AF67" i="23" s="1"/>
  <c r="X68" i="23"/>
  <c r="AF68" i="23" s="1"/>
  <c r="X69" i="23"/>
  <c r="AF69" i="23" s="1"/>
  <c r="X70" i="23"/>
  <c r="AF70" i="23" s="1"/>
  <c r="X71" i="23"/>
  <c r="AF71" i="23" s="1"/>
  <c r="X72" i="23"/>
  <c r="AF72" i="23" s="1"/>
  <c r="X73" i="23"/>
  <c r="AF73" i="23" s="1"/>
  <c r="X74" i="23"/>
  <c r="AF74" i="23" s="1"/>
  <c r="X75" i="23"/>
  <c r="AF75" i="23" s="1"/>
  <c r="X76" i="23"/>
  <c r="AF76" i="23" s="1"/>
  <c r="X77" i="23"/>
  <c r="AF77" i="23" s="1"/>
  <c r="X78" i="23"/>
  <c r="AF78" i="23" s="1"/>
  <c r="X79" i="23"/>
  <c r="AF79" i="23" s="1"/>
  <c r="X80" i="23"/>
  <c r="AF80" i="23" s="1"/>
  <c r="X81" i="23"/>
  <c r="AF81" i="23" s="1"/>
  <c r="X82" i="23"/>
  <c r="AF82" i="23" s="1"/>
  <c r="X83" i="23"/>
  <c r="AF83" i="23" s="1"/>
  <c r="X84" i="23"/>
  <c r="AF84" i="23" s="1"/>
  <c r="X85" i="23"/>
  <c r="AF85" i="23" s="1"/>
  <c r="X86" i="23"/>
  <c r="AF86" i="23" s="1"/>
  <c r="X87" i="23"/>
  <c r="AF87" i="23" s="1"/>
  <c r="X88" i="23"/>
  <c r="AF88" i="23" s="1"/>
  <c r="X89" i="23"/>
  <c r="AF89" i="23" s="1"/>
  <c r="X90" i="23"/>
  <c r="AF90" i="23" s="1"/>
  <c r="X91" i="23"/>
  <c r="AF91" i="23" s="1"/>
  <c r="X92" i="23"/>
  <c r="AF92" i="23" s="1"/>
  <c r="X93" i="23"/>
  <c r="AF93" i="23" s="1"/>
  <c r="X94" i="23"/>
  <c r="AF94" i="23" s="1"/>
  <c r="X95" i="23"/>
  <c r="AF95" i="23" s="1"/>
  <c r="X96" i="23"/>
  <c r="AF96" i="23" s="1"/>
  <c r="X97" i="23"/>
  <c r="AF97" i="23" s="1"/>
  <c r="X98" i="23"/>
  <c r="AF98" i="23" s="1"/>
  <c r="X99" i="23"/>
  <c r="AF99" i="23" s="1"/>
  <c r="X100" i="23"/>
  <c r="AF100" i="23" s="1"/>
  <c r="X101" i="23"/>
  <c r="AF101" i="23" s="1"/>
  <c r="X102" i="23"/>
  <c r="AF102" i="23" s="1"/>
  <c r="X103" i="23"/>
  <c r="AF103" i="23" s="1"/>
  <c r="X104" i="23"/>
  <c r="AF104" i="23" s="1"/>
  <c r="X105" i="23"/>
  <c r="AF105" i="23" s="1"/>
  <c r="X106" i="23"/>
  <c r="AF106" i="23" s="1"/>
  <c r="X107" i="23"/>
  <c r="AF107" i="23" s="1"/>
  <c r="X108" i="23"/>
  <c r="AF108" i="23" s="1"/>
  <c r="X109" i="23"/>
  <c r="AF109" i="23" s="1"/>
  <c r="X110" i="23"/>
  <c r="AF110" i="23" s="1"/>
  <c r="X111" i="23"/>
  <c r="AF111" i="23" s="1"/>
  <c r="X112" i="23"/>
  <c r="AF112" i="23" s="1"/>
  <c r="X113" i="23"/>
  <c r="AF113" i="23" s="1"/>
  <c r="X114" i="23"/>
  <c r="AF114" i="23" s="1"/>
  <c r="X115" i="23"/>
  <c r="AF115" i="23" s="1"/>
  <c r="X116" i="23"/>
  <c r="AF116" i="23" s="1"/>
  <c r="X117" i="23"/>
  <c r="AF117" i="23" s="1"/>
  <c r="X118" i="23"/>
  <c r="AF118" i="23" s="1"/>
  <c r="X119" i="23"/>
  <c r="AF119" i="23" s="1"/>
  <c r="X120" i="23"/>
  <c r="AF120" i="23" s="1"/>
  <c r="X121" i="23"/>
  <c r="AF121" i="23" s="1"/>
  <c r="X122" i="23"/>
  <c r="AF122" i="23" s="1"/>
  <c r="X123" i="23"/>
  <c r="AF123" i="23" s="1"/>
  <c r="X124" i="23"/>
  <c r="AF124" i="23" s="1"/>
  <c r="X125" i="23"/>
  <c r="AF125" i="23" s="1"/>
  <c r="X126" i="23"/>
  <c r="AF126" i="23" s="1"/>
  <c r="X127" i="23"/>
  <c r="AF127" i="23" s="1"/>
  <c r="X128" i="23"/>
  <c r="AF128" i="23" s="1"/>
  <c r="X129" i="23"/>
  <c r="AF129" i="23" s="1"/>
  <c r="X130" i="23"/>
  <c r="AF130" i="23" s="1"/>
  <c r="X131" i="23"/>
  <c r="AF131" i="23" s="1"/>
  <c r="X132" i="23"/>
  <c r="AF132" i="23" s="1"/>
  <c r="X133" i="23"/>
  <c r="AF133" i="23" s="1"/>
  <c r="X134" i="23"/>
  <c r="AF134" i="23" s="1"/>
  <c r="D11" i="31"/>
  <c r="D12" i="31"/>
  <c r="D14" i="31"/>
  <c r="D15" i="31"/>
  <c r="D16" i="31"/>
  <c r="D17" i="31"/>
  <c r="D11" i="30"/>
  <c r="D12" i="30"/>
  <c r="D13" i="30"/>
  <c r="D14" i="30"/>
  <c r="D15" i="30"/>
  <c r="D16" i="30"/>
  <c r="D17" i="30"/>
  <c r="X11" i="24"/>
  <c r="AF11" i="24" s="1"/>
  <c r="Y121" i="24"/>
  <c r="X12" i="24"/>
  <c r="AF12" i="24" s="1"/>
  <c r="X13" i="24"/>
  <c r="AF13" i="24" s="1"/>
  <c r="X14" i="24"/>
  <c r="AF14" i="24" s="1"/>
  <c r="X15" i="24"/>
  <c r="AF15" i="24" s="1"/>
  <c r="X16" i="24"/>
  <c r="AF16" i="24" s="1"/>
  <c r="X17" i="24"/>
  <c r="AF17" i="24" s="1"/>
  <c r="X18" i="24"/>
  <c r="AF18" i="24" s="1"/>
  <c r="X19" i="24"/>
  <c r="AF19" i="24" s="1"/>
  <c r="X20" i="24"/>
  <c r="AF20" i="24" s="1"/>
  <c r="X21" i="24"/>
  <c r="AF21" i="24" s="1"/>
  <c r="X22" i="24"/>
  <c r="AF22" i="24" s="1"/>
  <c r="X23" i="24"/>
  <c r="AF23" i="24" s="1"/>
  <c r="X24" i="24"/>
  <c r="AF24" i="24" s="1"/>
  <c r="X25" i="24"/>
  <c r="AF25" i="24" s="1"/>
  <c r="X26" i="24"/>
  <c r="AF26" i="24" s="1"/>
  <c r="X27" i="24"/>
  <c r="AF27" i="24" s="1"/>
  <c r="X28" i="24"/>
  <c r="AF28" i="24" s="1"/>
  <c r="X29" i="24"/>
  <c r="AF29" i="24" s="1"/>
  <c r="X30" i="24"/>
  <c r="AF30" i="24" s="1"/>
  <c r="X31" i="24"/>
  <c r="AF31" i="24" s="1"/>
  <c r="X32" i="24"/>
  <c r="AF32" i="24" s="1"/>
  <c r="X33" i="24"/>
  <c r="AF33" i="24" s="1"/>
  <c r="X34" i="24"/>
  <c r="AF34" i="24" s="1"/>
  <c r="X35" i="24"/>
  <c r="AF35" i="24" s="1"/>
  <c r="X36" i="24"/>
  <c r="AF36" i="24" s="1"/>
  <c r="X37" i="24"/>
  <c r="AF37" i="24" s="1"/>
  <c r="X38" i="24"/>
  <c r="AF38" i="24" s="1"/>
  <c r="X39" i="24"/>
  <c r="AF39" i="24" s="1"/>
  <c r="X40" i="24"/>
  <c r="AF40" i="24" s="1"/>
  <c r="X41" i="24"/>
  <c r="AF41" i="24" s="1"/>
  <c r="X42" i="24"/>
  <c r="AF42" i="24" s="1"/>
  <c r="X43" i="24"/>
  <c r="AF43" i="24" s="1"/>
  <c r="X44" i="24"/>
  <c r="AF44" i="24" s="1"/>
  <c r="X45" i="24"/>
  <c r="AF45" i="24" s="1"/>
  <c r="X46" i="24"/>
  <c r="AF46" i="24" s="1"/>
  <c r="X47" i="24"/>
  <c r="AF47" i="24" s="1"/>
  <c r="X48" i="24"/>
  <c r="AF48" i="24" s="1"/>
  <c r="X49" i="24"/>
  <c r="AF49" i="24" s="1"/>
  <c r="X50" i="24"/>
  <c r="AF50" i="24" s="1"/>
  <c r="X51" i="24"/>
  <c r="AF51" i="24" s="1"/>
  <c r="X52" i="24"/>
  <c r="AF52" i="24" s="1"/>
  <c r="X53" i="24"/>
  <c r="AF53" i="24" s="1"/>
  <c r="X54" i="24"/>
  <c r="AF54" i="24" s="1"/>
  <c r="X55" i="24"/>
  <c r="AF55" i="24" s="1"/>
  <c r="X56" i="24"/>
  <c r="AF56" i="24" s="1"/>
  <c r="X57" i="24"/>
  <c r="AF57" i="24" s="1"/>
  <c r="X58" i="24"/>
  <c r="AF58" i="24" s="1"/>
  <c r="X59" i="24"/>
  <c r="AF59" i="24" s="1"/>
  <c r="X60" i="24"/>
  <c r="AF60" i="24" s="1"/>
  <c r="X61" i="24"/>
  <c r="AF61" i="24" s="1"/>
  <c r="X62" i="24"/>
  <c r="AF62" i="24" s="1"/>
  <c r="X63" i="24"/>
  <c r="AF63" i="24" s="1"/>
  <c r="X64" i="24"/>
  <c r="AF64" i="24" s="1"/>
  <c r="X65" i="24"/>
  <c r="AF65" i="24" s="1"/>
  <c r="X66" i="24"/>
  <c r="AF66" i="24" s="1"/>
  <c r="X67" i="24"/>
  <c r="AF67" i="24" s="1"/>
  <c r="X68" i="24"/>
  <c r="AF68" i="24" s="1"/>
  <c r="X69" i="24"/>
  <c r="AF69" i="24" s="1"/>
  <c r="X70" i="24"/>
  <c r="AF70" i="24" s="1"/>
  <c r="X71" i="24"/>
  <c r="AF71" i="24" s="1"/>
  <c r="X72" i="24"/>
  <c r="AF72" i="24" s="1"/>
  <c r="X73" i="24"/>
  <c r="AF73" i="24" s="1"/>
  <c r="X74" i="24"/>
  <c r="AF74" i="24" s="1"/>
  <c r="X75" i="24"/>
  <c r="AF75" i="24" s="1"/>
  <c r="X76" i="24"/>
  <c r="AF76" i="24" s="1"/>
  <c r="X77" i="24"/>
  <c r="AF77" i="24" s="1"/>
  <c r="X78" i="24"/>
  <c r="AF78" i="24" s="1"/>
  <c r="X79" i="24"/>
  <c r="AF79" i="24" s="1"/>
  <c r="X80" i="24"/>
  <c r="AF80" i="24" s="1"/>
  <c r="X81" i="24"/>
  <c r="AF81" i="24" s="1"/>
  <c r="X82" i="24"/>
  <c r="AF82" i="24" s="1"/>
  <c r="X83" i="24"/>
  <c r="AF83" i="24" s="1"/>
  <c r="X84" i="24"/>
  <c r="AF84" i="24" s="1"/>
  <c r="X85" i="24"/>
  <c r="AF85" i="24" s="1"/>
  <c r="X86" i="24"/>
  <c r="AF86" i="24" s="1"/>
  <c r="X87" i="24"/>
  <c r="AF87" i="24" s="1"/>
  <c r="X88" i="24"/>
  <c r="AF88" i="24" s="1"/>
  <c r="X89" i="24"/>
  <c r="AF89" i="24" s="1"/>
  <c r="X90" i="24"/>
  <c r="AF90" i="24" s="1"/>
  <c r="X91" i="24"/>
  <c r="AF91" i="24" s="1"/>
  <c r="X92" i="24"/>
  <c r="AF92" i="24" s="1"/>
  <c r="X93" i="24"/>
  <c r="AF93" i="24" s="1"/>
  <c r="X94" i="24"/>
  <c r="AF94" i="24" s="1"/>
  <c r="X95" i="24"/>
  <c r="AF95" i="24" s="1"/>
  <c r="X96" i="24"/>
  <c r="AF96" i="24" s="1"/>
  <c r="X97" i="24"/>
  <c r="AF97" i="24" s="1"/>
  <c r="X98" i="24"/>
  <c r="AF98" i="24" s="1"/>
  <c r="X99" i="24"/>
  <c r="AF99" i="24" s="1"/>
  <c r="X100" i="24"/>
  <c r="AF100" i="24" s="1"/>
  <c r="X101" i="24"/>
  <c r="AF101" i="24" s="1"/>
  <c r="X102" i="24"/>
  <c r="AF102" i="24" s="1"/>
  <c r="X103" i="24"/>
  <c r="AF103" i="24" s="1"/>
  <c r="X104" i="24"/>
  <c r="AF104" i="24" s="1"/>
  <c r="X105" i="24"/>
  <c r="AF105" i="24" s="1"/>
  <c r="X106" i="24"/>
  <c r="AF106" i="24" s="1"/>
  <c r="X107" i="24"/>
  <c r="AF107" i="24" s="1"/>
  <c r="X108" i="24"/>
  <c r="AF108" i="24" s="1"/>
  <c r="X109" i="24"/>
  <c r="AF109" i="24" s="1"/>
  <c r="X110" i="24"/>
  <c r="AF110" i="24" s="1"/>
  <c r="X111" i="24"/>
  <c r="AF111" i="24" s="1"/>
  <c r="X112" i="24"/>
  <c r="AF112" i="24" s="1"/>
  <c r="X113" i="24"/>
  <c r="AF113" i="24" s="1"/>
  <c r="X114" i="24"/>
  <c r="AF114" i="24" s="1"/>
  <c r="X115" i="24"/>
  <c r="AF115" i="24" s="1"/>
  <c r="X116" i="24"/>
  <c r="AF116" i="24" s="1"/>
  <c r="X117" i="24"/>
  <c r="AF117" i="24" s="1"/>
  <c r="X118" i="24"/>
  <c r="AF118" i="24" s="1"/>
  <c r="X119" i="24"/>
  <c r="AF119" i="24" s="1"/>
  <c r="X120" i="24"/>
  <c r="AF120" i="24" s="1"/>
  <c r="X122" i="24"/>
  <c r="AF122" i="24" s="1"/>
  <c r="X123" i="24"/>
  <c r="AF123" i="24" s="1"/>
  <c r="X124" i="24"/>
  <c r="AF124" i="24" s="1"/>
  <c r="X125" i="24"/>
  <c r="AF125" i="24" s="1"/>
  <c r="X126" i="24"/>
  <c r="AF126" i="24" s="1"/>
  <c r="X127" i="24"/>
  <c r="AF127" i="24" s="1"/>
  <c r="X128" i="24"/>
  <c r="AF128" i="24" s="1"/>
  <c r="X129" i="24"/>
  <c r="AF129" i="24" s="1"/>
  <c r="X130" i="24"/>
  <c r="AF130" i="24" s="1"/>
  <c r="X131" i="24"/>
  <c r="AF131" i="24" s="1"/>
  <c r="X132" i="24"/>
  <c r="AF132" i="24" s="1"/>
  <c r="X133" i="24"/>
  <c r="AF133" i="24" s="1"/>
  <c r="X134" i="24"/>
  <c r="AF134" i="24" s="1"/>
  <c r="Y30" i="23"/>
  <c r="Y31" i="23"/>
  <c r="Y32" i="23"/>
  <c r="Y33" i="23"/>
  <c r="Y38" i="23"/>
  <c r="Y39" i="23"/>
  <c r="AB39" i="23" s="1"/>
  <c r="AD39" i="23" s="1"/>
  <c r="Y40" i="23"/>
  <c r="Y48" i="23"/>
  <c r="Y62" i="23"/>
  <c r="Y63" i="23"/>
  <c r="Y65" i="23"/>
  <c r="Y78" i="23"/>
  <c r="Y81" i="23"/>
  <c r="Y85" i="23"/>
  <c r="Y95" i="23"/>
  <c r="Y102" i="23"/>
  <c r="Y105" i="23"/>
  <c r="Y119" i="23"/>
  <c r="AB119" i="23" s="1"/>
  <c r="AD119" i="23" s="1"/>
  <c r="Y134" i="23"/>
  <c r="Z12" i="23"/>
  <c r="Z13" i="23"/>
  <c r="Z14" i="23"/>
  <c r="Z15" i="23"/>
  <c r="Z16" i="23"/>
  <c r="Z17" i="23"/>
  <c r="Z18" i="23"/>
  <c r="Z19" i="23"/>
  <c r="Z20" i="23"/>
  <c r="Z21" i="23"/>
  <c r="Z22" i="23"/>
  <c r="AA22" i="23" s="1"/>
  <c r="AC22" i="23" s="1"/>
  <c r="Z23" i="23"/>
  <c r="Z24" i="23"/>
  <c r="Z25" i="23"/>
  <c r="AA25" i="23" s="1"/>
  <c r="AC25" i="23" s="1"/>
  <c r="Z26" i="23"/>
  <c r="Z27" i="23"/>
  <c r="Z28" i="23"/>
  <c r="Z29" i="23"/>
  <c r="Z30" i="23"/>
  <c r="AA30" i="23" s="1"/>
  <c r="AC30" i="23" s="1"/>
  <c r="Z31" i="23"/>
  <c r="AA31" i="23" s="1"/>
  <c r="AC31" i="23" s="1"/>
  <c r="Z32" i="23"/>
  <c r="AA32" i="23" s="1"/>
  <c r="AC32" i="23" s="1"/>
  <c r="Z33" i="23"/>
  <c r="AA33" i="23" s="1"/>
  <c r="AC33" i="23" s="1"/>
  <c r="Z34" i="23"/>
  <c r="Z35" i="23"/>
  <c r="Z36" i="23"/>
  <c r="Z37" i="23"/>
  <c r="Z38" i="23"/>
  <c r="Z39" i="23"/>
  <c r="Z40" i="23"/>
  <c r="Z41" i="23"/>
  <c r="Z42" i="23"/>
  <c r="AA42" i="23" s="1"/>
  <c r="AC42" i="23" s="1"/>
  <c r="Z43" i="23"/>
  <c r="Z44" i="23"/>
  <c r="Z45" i="23"/>
  <c r="Z46" i="23"/>
  <c r="Z47" i="23"/>
  <c r="Z48" i="23"/>
  <c r="AA48" i="23" s="1"/>
  <c r="AC48" i="23" s="1"/>
  <c r="Z49" i="23"/>
  <c r="Z50" i="23"/>
  <c r="AA50" i="23" s="1"/>
  <c r="AC50" i="23" s="1"/>
  <c r="Z51" i="23"/>
  <c r="Z52" i="23"/>
  <c r="Z53" i="23"/>
  <c r="Z54" i="23"/>
  <c r="Z55" i="23"/>
  <c r="Z56" i="23"/>
  <c r="Z57" i="23"/>
  <c r="Z58" i="23"/>
  <c r="Z59" i="23"/>
  <c r="Z60" i="23"/>
  <c r="Z61" i="23"/>
  <c r="Z62" i="23"/>
  <c r="AA62" i="23" s="1"/>
  <c r="AC62" i="23" s="1"/>
  <c r="Z63" i="23"/>
  <c r="Z64" i="23"/>
  <c r="Z65" i="23"/>
  <c r="AA65" i="23" s="1"/>
  <c r="AC65" i="23" s="1"/>
  <c r="Z66" i="23"/>
  <c r="Z67" i="23"/>
  <c r="Z68" i="23"/>
  <c r="Z69" i="23"/>
  <c r="Z70" i="23"/>
  <c r="AA70" i="23" s="1"/>
  <c r="AC70" i="23" s="1"/>
  <c r="Z71" i="23"/>
  <c r="AA71" i="23" s="1"/>
  <c r="AC71" i="23" s="1"/>
  <c r="Z72" i="23"/>
  <c r="AA72" i="23" s="1"/>
  <c r="AC72" i="23" s="1"/>
  <c r="Z73" i="23"/>
  <c r="AA73" i="23" s="1"/>
  <c r="AC73" i="23" s="1"/>
  <c r="Z74" i="23"/>
  <c r="Z75" i="23"/>
  <c r="Z76" i="23"/>
  <c r="Z77" i="23"/>
  <c r="Z78" i="23"/>
  <c r="Z79" i="23"/>
  <c r="Z80" i="23"/>
  <c r="Z81" i="23"/>
  <c r="Z82" i="23"/>
  <c r="AA82" i="23" s="1"/>
  <c r="AC82" i="23" s="1"/>
  <c r="Z83" i="23"/>
  <c r="Z84" i="23"/>
  <c r="Z85" i="23"/>
  <c r="Z86" i="23"/>
  <c r="Z87" i="23"/>
  <c r="Z88" i="23"/>
  <c r="AA88" i="23" s="1"/>
  <c r="AC88" i="23" s="1"/>
  <c r="Z89" i="23"/>
  <c r="Z90" i="23"/>
  <c r="AA90" i="23" s="1"/>
  <c r="AC90" i="23" s="1"/>
  <c r="Z91" i="23"/>
  <c r="Z92" i="23"/>
  <c r="Z93" i="23"/>
  <c r="Z94" i="23"/>
  <c r="Z95" i="23"/>
  <c r="Z96" i="23"/>
  <c r="Z97" i="23"/>
  <c r="Z98" i="23"/>
  <c r="Z99" i="23"/>
  <c r="Z100" i="23"/>
  <c r="Z101" i="23"/>
  <c r="Z102" i="23"/>
  <c r="AA102" i="23" s="1"/>
  <c r="AC102" i="23" s="1"/>
  <c r="Z103" i="23"/>
  <c r="Z104" i="23"/>
  <c r="Z105" i="23"/>
  <c r="AA105" i="23" s="1"/>
  <c r="AC105" i="23" s="1"/>
  <c r="Z106" i="23"/>
  <c r="Z107" i="23"/>
  <c r="Z108" i="23"/>
  <c r="Z109" i="23"/>
  <c r="Z110" i="23"/>
  <c r="AA110" i="23" s="1"/>
  <c r="AC110" i="23" s="1"/>
  <c r="Z111" i="23"/>
  <c r="AA111" i="23" s="1"/>
  <c r="AC111" i="23" s="1"/>
  <c r="Z112" i="23"/>
  <c r="AA112" i="23" s="1"/>
  <c r="AC112" i="23" s="1"/>
  <c r="Z113" i="23"/>
  <c r="AA113" i="23" s="1"/>
  <c r="AC113" i="23" s="1"/>
  <c r="Z114" i="23"/>
  <c r="Z115" i="23"/>
  <c r="Z116" i="23"/>
  <c r="Z117" i="23"/>
  <c r="Z118" i="23"/>
  <c r="Z119" i="23"/>
  <c r="Z120" i="23"/>
  <c r="Z121" i="23"/>
  <c r="Z122" i="23"/>
  <c r="AA122" i="23" s="1"/>
  <c r="AC122" i="23" s="1"/>
  <c r="Z123" i="23"/>
  <c r="Z124" i="23"/>
  <c r="Z125" i="23"/>
  <c r="Z126" i="23"/>
  <c r="Z127" i="23"/>
  <c r="Z128" i="23"/>
  <c r="AA128" i="23" s="1"/>
  <c r="AC128" i="23" s="1"/>
  <c r="Z129" i="23"/>
  <c r="Z130" i="23"/>
  <c r="AA130" i="23" s="1"/>
  <c r="AC130" i="23" s="1"/>
  <c r="Z131" i="23"/>
  <c r="Z132" i="23"/>
  <c r="Z133" i="23"/>
  <c r="Z134" i="23"/>
  <c r="Y46" i="23" l="1"/>
  <c r="AB46" i="23" s="1"/>
  <c r="AD46" i="23" s="1"/>
  <c r="AA87" i="23"/>
  <c r="AC87" i="23" s="1"/>
  <c r="Y80" i="23"/>
  <c r="AA90" i="24"/>
  <c r="AC90" i="24" s="1"/>
  <c r="AA50" i="24"/>
  <c r="AC50" i="24" s="1"/>
  <c r="AA30" i="24"/>
  <c r="AC30" i="24" s="1"/>
  <c r="Y129" i="23"/>
  <c r="AA129" i="23"/>
  <c r="AC129" i="23" s="1"/>
  <c r="AA89" i="23"/>
  <c r="AC89" i="23" s="1"/>
  <c r="AA49" i="23"/>
  <c r="AC49" i="23" s="1"/>
  <c r="Y127" i="23"/>
  <c r="AB127" i="23" s="1"/>
  <c r="AD127" i="23" s="1"/>
  <c r="Y47" i="23"/>
  <c r="Y126" i="23"/>
  <c r="AB126" i="23" s="1"/>
  <c r="AD126" i="23" s="1"/>
  <c r="AA126" i="23"/>
  <c r="AC126" i="23" s="1"/>
  <c r="AA106" i="23"/>
  <c r="AC106" i="23" s="1"/>
  <c r="AA86" i="23"/>
  <c r="AC86" i="23" s="1"/>
  <c r="AA66" i="23"/>
  <c r="AC66" i="23" s="1"/>
  <c r="AA46" i="23"/>
  <c r="AC46" i="23" s="1"/>
  <c r="AA26" i="23"/>
  <c r="AC26" i="23" s="1"/>
  <c r="Y118" i="23"/>
  <c r="AB118" i="23" s="1"/>
  <c r="AD118" i="23" s="1"/>
  <c r="AA127" i="23"/>
  <c r="AC127" i="23" s="1"/>
  <c r="AA47" i="23"/>
  <c r="AC47" i="23" s="1"/>
  <c r="AA104" i="23"/>
  <c r="AC104" i="23" s="1"/>
  <c r="AA64" i="23"/>
  <c r="AC64" i="23" s="1"/>
  <c r="AA24" i="23"/>
  <c r="AC24" i="23" s="1"/>
  <c r="Y104" i="23"/>
  <c r="AA63" i="23"/>
  <c r="AC63" i="23" s="1"/>
  <c r="Y103" i="23"/>
  <c r="AB103" i="23" s="1"/>
  <c r="AD103" i="23" s="1"/>
  <c r="AB95" i="23"/>
  <c r="AD95" i="23" s="1"/>
  <c r="AA51" i="24"/>
  <c r="AC51" i="24" s="1"/>
  <c r="L3" i="23"/>
  <c r="AA23" i="23"/>
  <c r="AC23" i="23" s="1"/>
  <c r="Y94" i="23"/>
  <c r="Y87" i="23"/>
  <c r="Y22" i="23"/>
  <c r="AA103" i="23"/>
  <c r="AC103" i="23" s="1"/>
  <c r="AB31" i="23"/>
  <c r="AD31" i="23" s="1"/>
  <c r="Y23" i="23"/>
  <c r="AB23" i="23" s="1"/>
  <c r="AD23" i="23" s="1"/>
  <c r="Y86" i="23"/>
  <c r="AA109" i="24"/>
  <c r="AC109" i="24" s="1"/>
  <c r="AA69" i="24"/>
  <c r="AC69" i="24" s="1"/>
  <c r="AA29" i="24"/>
  <c r="AC29" i="24" s="1"/>
  <c r="AA68" i="24"/>
  <c r="AC68" i="24" s="1"/>
  <c r="AA59" i="24"/>
  <c r="AC59" i="24" s="1"/>
  <c r="L3" i="24"/>
  <c r="AA133" i="24"/>
  <c r="AC133" i="24" s="1"/>
  <c r="AA53" i="24"/>
  <c r="AC53" i="24" s="1"/>
  <c r="AA13" i="24"/>
  <c r="AC13" i="24" s="1"/>
  <c r="Y90" i="24"/>
  <c r="AA134" i="24"/>
  <c r="AC134" i="24" s="1"/>
  <c r="AA114" i="24"/>
  <c r="AC114" i="24" s="1"/>
  <c r="AA74" i="24"/>
  <c r="AC74" i="24" s="1"/>
  <c r="AA54" i="24"/>
  <c r="AC54" i="24" s="1"/>
  <c r="AA34" i="24"/>
  <c r="AC34" i="24" s="1"/>
  <c r="AA132" i="24"/>
  <c r="AC132" i="24" s="1"/>
  <c r="Y66" i="24"/>
  <c r="AB66" i="24" s="1"/>
  <c r="AD66" i="24" s="1"/>
  <c r="AA67" i="24"/>
  <c r="AC67" i="24" s="1"/>
  <c r="AA45" i="24"/>
  <c r="AC45" i="24" s="1"/>
  <c r="AA26" i="24"/>
  <c r="AC26" i="24" s="1"/>
  <c r="AA27" i="24"/>
  <c r="AC27" i="24" s="1"/>
  <c r="AA124" i="24"/>
  <c r="AC124" i="24" s="1"/>
  <c r="AA82" i="24"/>
  <c r="AC82" i="24" s="1"/>
  <c r="AA43" i="24"/>
  <c r="AC43" i="24" s="1"/>
  <c r="AA66" i="24"/>
  <c r="AC66" i="24" s="1"/>
  <c r="AA123" i="24"/>
  <c r="AC123" i="24" s="1"/>
  <c r="AA20" i="24"/>
  <c r="AC20" i="24" s="1"/>
  <c r="AA117" i="24"/>
  <c r="AC117" i="24" s="1"/>
  <c r="AA95" i="24"/>
  <c r="AC95" i="24" s="1"/>
  <c r="AA94" i="24"/>
  <c r="AC94" i="24" s="1"/>
  <c r="AA106" i="24"/>
  <c r="AC106" i="24" s="1"/>
  <c r="AA42" i="24"/>
  <c r="AC42" i="24" s="1"/>
  <c r="AA93" i="24"/>
  <c r="AC93" i="24" s="1"/>
  <c r="Y114" i="24"/>
  <c r="AB114" i="24" s="1"/>
  <c r="AD114" i="24" s="1"/>
  <c r="AA98" i="24"/>
  <c r="AC98" i="24" s="1"/>
  <c r="AA58" i="24"/>
  <c r="AC58" i="24" s="1"/>
  <c r="AA84" i="24"/>
  <c r="AC84" i="24" s="1"/>
  <c r="Y106" i="24"/>
  <c r="AB106" i="24" s="1"/>
  <c r="AD106" i="24" s="1"/>
  <c r="AA83" i="24"/>
  <c r="AC83" i="24" s="1"/>
  <c r="Y98" i="24"/>
  <c r="AB98" i="24" s="1"/>
  <c r="AD98" i="24" s="1"/>
  <c r="Y41" i="23"/>
  <c r="AB41" i="23" s="1"/>
  <c r="AD41" i="23" s="1"/>
  <c r="Y121" i="23"/>
  <c r="AB121" i="23" s="1"/>
  <c r="AD121" i="23" s="1"/>
  <c r="Y120" i="23"/>
  <c r="AB120" i="23" s="1"/>
  <c r="AD120" i="23" s="1"/>
  <c r="Y79" i="23"/>
  <c r="AB79" i="23" s="1"/>
  <c r="AD79" i="23" s="1"/>
  <c r="Y37" i="23"/>
  <c r="AB37" i="23" s="1"/>
  <c r="AD37" i="23" s="1"/>
  <c r="Y71" i="23"/>
  <c r="AB71" i="23" s="1"/>
  <c r="AD71" i="23" s="1"/>
  <c r="Y112" i="23"/>
  <c r="AA81" i="23"/>
  <c r="AC81" i="23" s="1"/>
  <c r="AA98" i="23"/>
  <c r="AC98" i="23" s="1"/>
  <c r="AA97" i="23"/>
  <c r="AC97" i="23" s="1"/>
  <c r="Y73" i="23"/>
  <c r="AA41" i="23"/>
  <c r="AC41" i="23" s="1"/>
  <c r="Y70" i="23"/>
  <c r="AA120" i="23"/>
  <c r="AC120" i="23" s="1"/>
  <c r="AA79" i="23"/>
  <c r="AC79" i="23" s="1"/>
  <c r="AA58" i="23"/>
  <c r="AC58" i="23" s="1"/>
  <c r="AB62" i="23"/>
  <c r="AD62" i="23" s="1"/>
  <c r="AA57" i="23"/>
  <c r="AC57" i="23" s="1"/>
  <c r="Y57" i="23"/>
  <c r="AB57" i="23" s="1"/>
  <c r="AD57" i="23" s="1"/>
  <c r="AA96" i="23"/>
  <c r="AC96" i="23" s="1"/>
  <c r="AA56" i="23"/>
  <c r="AC56" i="23" s="1"/>
  <c r="AA16" i="23"/>
  <c r="AC16" i="23" s="1"/>
  <c r="Y101" i="23"/>
  <c r="AB101" i="23" s="1"/>
  <c r="AD101" i="23" s="1"/>
  <c r="Y56" i="23"/>
  <c r="AB56" i="23" s="1"/>
  <c r="AD56" i="23" s="1"/>
  <c r="Y14" i="23"/>
  <c r="Y110" i="23"/>
  <c r="AB110" i="23" s="1"/>
  <c r="AD110" i="23" s="1"/>
  <c r="AA119" i="23"/>
  <c r="AC119" i="23" s="1"/>
  <c r="AA39" i="23"/>
  <c r="AC39" i="23" s="1"/>
  <c r="AA118" i="23"/>
  <c r="AC118" i="23" s="1"/>
  <c r="AA38" i="23"/>
  <c r="AC38" i="23" s="1"/>
  <c r="AA17" i="23"/>
  <c r="AC17" i="23" s="1"/>
  <c r="Y15" i="23"/>
  <c r="AA95" i="23"/>
  <c r="AC95" i="23" s="1"/>
  <c r="AA55" i="23"/>
  <c r="AC55" i="23" s="1"/>
  <c r="AA15" i="23"/>
  <c r="AC15" i="23" s="1"/>
  <c r="Y97" i="23"/>
  <c r="AB97" i="23" s="1"/>
  <c r="AD97" i="23" s="1"/>
  <c r="Y55" i="23"/>
  <c r="AB55" i="23" s="1"/>
  <c r="AD55" i="23" s="1"/>
  <c r="Y72" i="23"/>
  <c r="AB72" i="23" s="1"/>
  <c r="AD72" i="23" s="1"/>
  <c r="Y111" i="23"/>
  <c r="AB111" i="23" s="1"/>
  <c r="AD111" i="23" s="1"/>
  <c r="AA121" i="23"/>
  <c r="AC121" i="23" s="1"/>
  <c r="AA80" i="23"/>
  <c r="AC80" i="23" s="1"/>
  <c r="AA40" i="23"/>
  <c r="AC40" i="23" s="1"/>
  <c r="Y17" i="23"/>
  <c r="AB17" i="23" s="1"/>
  <c r="AD17" i="23" s="1"/>
  <c r="AA78" i="23"/>
  <c r="AC78" i="23" s="1"/>
  <c r="AA18" i="23"/>
  <c r="AC18" i="23" s="1"/>
  <c r="Y16" i="23"/>
  <c r="AA134" i="23"/>
  <c r="AC134" i="23" s="1"/>
  <c r="AA114" i="23"/>
  <c r="AC114" i="23" s="1"/>
  <c r="AA94" i="23"/>
  <c r="AC94" i="23" s="1"/>
  <c r="AA74" i="23"/>
  <c r="AC74" i="23" s="1"/>
  <c r="AA54" i="23"/>
  <c r="AC54" i="23" s="1"/>
  <c r="AA34" i="23"/>
  <c r="AC34" i="23" s="1"/>
  <c r="AA14" i="23"/>
  <c r="AC14" i="23" s="1"/>
  <c r="Y96" i="23"/>
  <c r="AB96" i="23" s="1"/>
  <c r="AD96" i="23" s="1"/>
  <c r="Y54" i="23"/>
  <c r="AB54" i="23" s="1"/>
  <c r="AD54" i="23" s="1"/>
  <c r="AA18" i="24"/>
  <c r="AC18" i="24" s="1"/>
  <c r="AA130" i="24"/>
  <c r="AC130" i="24" s="1"/>
  <c r="AB63" i="23"/>
  <c r="AD63" i="23" s="1"/>
  <c r="AB47" i="23"/>
  <c r="AD47" i="23" s="1"/>
  <c r="AB15" i="23"/>
  <c r="AD15" i="23" s="1"/>
  <c r="AA44" i="24"/>
  <c r="AC44" i="24" s="1"/>
  <c r="Y65" i="24"/>
  <c r="AB65" i="24" s="1"/>
  <c r="AD65" i="24" s="1"/>
  <c r="AA113" i="24"/>
  <c r="AC113" i="24" s="1"/>
  <c r="AA105" i="24"/>
  <c r="AC105" i="24" s="1"/>
  <c r="AA97" i="24"/>
  <c r="AC97" i="24" s="1"/>
  <c r="AA89" i="24"/>
  <c r="AC89" i="24" s="1"/>
  <c r="AA81" i="24"/>
  <c r="AC81" i="24" s="1"/>
  <c r="AA73" i="24"/>
  <c r="AC73" i="24" s="1"/>
  <c r="AA65" i="24"/>
  <c r="AC65" i="24" s="1"/>
  <c r="AA57" i="24"/>
  <c r="AC57" i="24" s="1"/>
  <c r="AA49" i="24"/>
  <c r="AC49" i="24" s="1"/>
  <c r="AA41" i="24"/>
  <c r="AC41" i="24" s="1"/>
  <c r="AA33" i="24"/>
  <c r="AC33" i="24" s="1"/>
  <c r="AA25" i="24"/>
  <c r="AC25" i="24" s="1"/>
  <c r="AA17" i="24"/>
  <c r="AC17" i="24" s="1"/>
  <c r="AA122" i="24"/>
  <c r="AC122" i="24" s="1"/>
  <c r="AA116" i="24"/>
  <c r="AC116" i="24" s="1"/>
  <c r="AA92" i="24"/>
  <c r="AC92" i="24" s="1"/>
  <c r="AA12" i="24"/>
  <c r="AC12" i="24" s="1"/>
  <c r="Y57" i="24"/>
  <c r="AB57" i="24" s="1"/>
  <c r="AD57" i="24" s="1"/>
  <c r="Y61" i="23"/>
  <c r="AB61" i="23" s="1"/>
  <c r="AD61" i="23" s="1"/>
  <c r="AA115" i="24"/>
  <c r="AC115" i="24" s="1"/>
  <c r="AA91" i="24"/>
  <c r="AC91" i="24" s="1"/>
  <c r="AA55" i="24"/>
  <c r="AC55" i="24" s="1"/>
  <c r="AA31" i="24"/>
  <c r="AC31" i="24" s="1"/>
  <c r="Y97" i="24"/>
  <c r="AB97" i="24" s="1"/>
  <c r="AD97" i="24" s="1"/>
  <c r="Y50" i="24"/>
  <c r="AB50" i="24" s="1"/>
  <c r="AD50" i="24" s="1"/>
  <c r="Y49" i="24"/>
  <c r="AB49" i="24" s="1"/>
  <c r="AD49" i="24" s="1"/>
  <c r="Y73" i="24"/>
  <c r="AB73" i="24" s="1"/>
  <c r="AD73" i="24" s="1"/>
  <c r="Y130" i="24"/>
  <c r="AB130" i="24" s="1"/>
  <c r="AD130" i="24" s="1"/>
  <c r="Y89" i="24"/>
  <c r="AB89" i="24" s="1"/>
  <c r="AD89" i="24" s="1"/>
  <c r="Y42" i="24"/>
  <c r="AB42" i="24" s="1"/>
  <c r="AD42" i="24" s="1"/>
  <c r="Y113" i="24"/>
  <c r="AB113" i="24" s="1"/>
  <c r="AD113" i="24" s="1"/>
  <c r="Y25" i="24"/>
  <c r="AB25" i="24" s="1"/>
  <c r="AD25" i="24" s="1"/>
  <c r="Y125" i="23"/>
  <c r="AB125" i="23" s="1"/>
  <c r="AD125" i="23" s="1"/>
  <c r="AB87" i="23"/>
  <c r="AD87" i="23" s="1"/>
  <c r="AB22" i="23"/>
  <c r="AD22" i="23" s="1"/>
  <c r="AA108" i="24"/>
  <c r="AC108" i="24" s="1"/>
  <c r="AA133" i="23"/>
  <c r="AC133" i="23" s="1"/>
  <c r="AA125" i="23"/>
  <c r="AC125" i="23" s="1"/>
  <c r="AA117" i="23"/>
  <c r="AC117" i="23" s="1"/>
  <c r="AA109" i="23"/>
  <c r="AC109" i="23" s="1"/>
  <c r="AA101" i="23"/>
  <c r="AC101" i="23" s="1"/>
  <c r="AA93" i="23"/>
  <c r="AC93" i="23" s="1"/>
  <c r="AA85" i="23"/>
  <c r="AC85" i="23" s="1"/>
  <c r="AA77" i="23"/>
  <c r="AC77" i="23" s="1"/>
  <c r="AA69" i="23"/>
  <c r="AC69" i="23" s="1"/>
  <c r="AA61" i="23"/>
  <c r="AC61" i="23" s="1"/>
  <c r="AA53" i="23"/>
  <c r="AC53" i="23" s="1"/>
  <c r="AA45" i="23"/>
  <c r="AC45" i="23" s="1"/>
  <c r="AA37" i="23"/>
  <c r="AC37" i="23" s="1"/>
  <c r="AA29" i="23"/>
  <c r="AC29" i="23" s="1"/>
  <c r="AA21" i="23"/>
  <c r="AC21" i="23" s="1"/>
  <c r="AA13" i="23"/>
  <c r="AC13" i="23" s="1"/>
  <c r="AB86" i="23"/>
  <c r="AD86" i="23" s="1"/>
  <c r="Y21" i="23"/>
  <c r="AB21" i="23" s="1"/>
  <c r="AD21" i="23" s="1"/>
  <c r="AA107" i="24"/>
  <c r="AC107" i="24" s="1"/>
  <c r="AA70" i="24"/>
  <c r="AC70" i="24" s="1"/>
  <c r="AA52" i="24"/>
  <c r="AC52" i="24" s="1"/>
  <c r="AA28" i="24"/>
  <c r="AC28" i="24" s="1"/>
  <c r="Y74" i="24"/>
  <c r="AB74" i="24" s="1"/>
  <c r="AD74" i="24" s="1"/>
  <c r="Y34" i="24"/>
  <c r="AB34" i="24" s="1"/>
  <c r="AD34" i="24" s="1"/>
  <c r="Y33" i="24"/>
  <c r="AB33" i="24" s="1"/>
  <c r="AD33" i="24" s="1"/>
  <c r="Y16" i="24"/>
  <c r="AB16" i="24" s="1"/>
  <c r="AD16" i="24" s="1"/>
  <c r="AA129" i="24"/>
  <c r="AC129" i="24" s="1"/>
  <c r="AA16" i="24"/>
  <c r="AC16" i="24" s="1"/>
  <c r="Y26" i="24"/>
  <c r="AB26" i="24" s="1"/>
  <c r="AD26" i="24" s="1"/>
  <c r="Y48" i="24"/>
  <c r="AB48" i="24" s="1"/>
  <c r="AD48" i="24" s="1"/>
  <c r="AB85" i="23"/>
  <c r="AD85" i="23" s="1"/>
  <c r="Y32" i="24"/>
  <c r="AB32" i="24" s="1"/>
  <c r="AD32" i="24" s="1"/>
  <c r="AA112" i="24"/>
  <c r="AC112" i="24" s="1"/>
  <c r="AA80" i="24"/>
  <c r="AC80" i="24" s="1"/>
  <c r="AA40" i="24"/>
  <c r="AC40" i="24" s="1"/>
  <c r="AB30" i="23"/>
  <c r="AD30" i="23" s="1"/>
  <c r="Y109" i="23"/>
  <c r="AB109" i="23" s="1"/>
  <c r="AD109" i="23" s="1"/>
  <c r="Y45" i="23"/>
  <c r="AB45" i="23" s="1"/>
  <c r="AD45" i="23" s="1"/>
  <c r="AA39" i="24"/>
  <c r="AC39" i="24" s="1"/>
  <c r="Y72" i="24"/>
  <c r="AB72" i="24" s="1"/>
  <c r="AD72" i="24" s="1"/>
  <c r="AA63" i="24"/>
  <c r="AC63" i="24" s="1"/>
  <c r="Y29" i="23"/>
  <c r="AB29" i="23" s="1"/>
  <c r="AD29" i="23" s="1"/>
  <c r="AA127" i="24"/>
  <c r="AC127" i="24" s="1"/>
  <c r="AA87" i="24"/>
  <c r="AC87" i="24" s="1"/>
  <c r="AA62" i="24"/>
  <c r="AC62" i="24" s="1"/>
  <c r="Y88" i="24"/>
  <c r="AB88" i="24" s="1"/>
  <c r="AD88" i="24" s="1"/>
  <c r="Y24" i="24"/>
  <c r="AB24" i="24" s="1"/>
  <c r="AD24" i="24" s="1"/>
  <c r="AB102" i="23"/>
  <c r="AD102" i="23" s="1"/>
  <c r="AB38" i="23"/>
  <c r="AD38" i="23" s="1"/>
  <c r="Y120" i="24"/>
  <c r="AB120" i="24" s="1"/>
  <c r="AD120" i="24" s="1"/>
  <c r="Y96" i="24"/>
  <c r="AB96" i="24" s="1"/>
  <c r="AD96" i="24" s="1"/>
  <c r="AA96" i="24"/>
  <c r="AC96" i="24" s="1"/>
  <c r="AA72" i="24"/>
  <c r="AC72" i="24" s="1"/>
  <c r="AA56" i="24"/>
  <c r="AC56" i="24" s="1"/>
  <c r="AA32" i="24"/>
  <c r="AC32" i="24" s="1"/>
  <c r="AB94" i="23"/>
  <c r="AD94" i="23" s="1"/>
  <c r="AA128" i="24"/>
  <c r="AC128" i="24" s="1"/>
  <c r="AA102" i="24"/>
  <c r="AC102" i="24" s="1"/>
  <c r="AA77" i="24"/>
  <c r="AC77" i="24" s="1"/>
  <c r="AA101" i="24"/>
  <c r="AC101" i="24" s="1"/>
  <c r="AA76" i="24"/>
  <c r="AC76" i="24" s="1"/>
  <c r="AA37" i="24"/>
  <c r="AC37" i="24" s="1"/>
  <c r="Y128" i="23"/>
  <c r="AB128" i="23" s="1"/>
  <c r="AD128" i="23" s="1"/>
  <c r="Y117" i="23"/>
  <c r="AB117" i="23" s="1"/>
  <c r="AD117" i="23" s="1"/>
  <c r="Y89" i="23"/>
  <c r="AB89" i="23" s="1"/>
  <c r="AD89" i="23" s="1"/>
  <c r="Y64" i="23"/>
  <c r="Y53" i="23"/>
  <c r="AB53" i="23" s="1"/>
  <c r="AD53" i="23" s="1"/>
  <c r="Y25" i="23"/>
  <c r="AB25" i="23" s="1"/>
  <c r="AD25" i="23" s="1"/>
  <c r="AA126" i="24"/>
  <c r="AC126" i="24" s="1"/>
  <c r="AA111" i="24"/>
  <c r="AC111" i="24" s="1"/>
  <c r="AA100" i="24"/>
  <c r="AC100" i="24" s="1"/>
  <c r="AA86" i="24"/>
  <c r="AC86" i="24" s="1"/>
  <c r="AA75" i="24"/>
  <c r="AC75" i="24" s="1"/>
  <c r="AA61" i="24"/>
  <c r="AC61" i="24" s="1"/>
  <c r="AA47" i="24"/>
  <c r="AC47" i="24" s="1"/>
  <c r="AA36" i="24"/>
  <c r="AC36" i="24" s="1"/>
  <c r="AA22" i="24"/>
  <c r="AC22" i="24" s="1"/>
  <c r="Y129" i="24"/>
  <c r="AB129" i="24" s="1"/>
  <c r="AD129" i="24" s="1"/>
  <c r="Y105" i="24"/>
  <c r="AB105" i="24" s="1"/>
  <c r="AD105" i="24" s="1"/>
  <c r="Y82" i="24"/>
  <c r="AB82" i="24" s="1"/>
  <c r="AD82" i="24" s="1"/>
  <c r="Y64" i="24"/>
  <c r="AB64" i="24" s="1"/>
  <c r="AD64" i="24" s="1"/>
  <c r="Y41" i="24"/>
  <c r="Y18" i="24"/>
  <c r="AB18" i="24" s="1"/>
  <c r="AD18" i="24" s="1"/>
  <c r="Y80" i="24"/>
  <c r="AB80" i="24" s="1"/>
  <c r="AD80" i="24" s="1"/>
  <c r="AB134" i="23"/>
  <c r="AD134" i="23" s="1"/>
  <c r="AB70" i="23"/>
  <c r="AD70" i="23" s="1"/>
  <c r="Y56" i="24"/>
  <c r="AB56" i="24" s="1"/>
  <c r="AD56" i="24" s="1"/>
  <c r="AA120" i="24"/>
  <c r="AC120" i="24" s="1"/>
  <c r="AA79" i="24"/>
  <c r="AC79" i="24" s="1"/>
  <c r="AA104" i="24"/>
  <c r="AC104" i="24" s="1"/>
  <c r="AA88" i="24"/>
  <c r="AC88" i="24" s="1"/>
  <c r="AA64" i="24"/>
  <c r="AC64" i="24" s="1"/>
  <c r="AA48" i="24"/>
  <c r="AC48" i="24" s="1"/>
  <c r="AA24" i="24"/>
  <c r="AC24" i="24" s="1"/>
  <c r="AA103" i="24"/>
  <c r="AC103" i="24" s="1"/>
  <c r="AA78" i="24"/>
  <c r="AC78" i="24" s="1"/>
  <c r="Y133" i="23"/>
  <c r="AB133" i="23" s="1"/>
  <c r="AD133" i="23" s="1"/>
  <c r="Y69" i="23"/>
  <c r="AB69" i="23" s="1"/>
  <c r="AD69" i="23" s="1"/>
  <c r="AA38" i="24"/>
  <c r="AC38" i="24" s="1"/>
  <c r="Y112" i="24"/>
  <c r="AB112" i="24" s="1"/>
  <c r="AD112" i="24" s="1"/>
  <c r="Y93" i="23"/>
  <c r="AB93" i="23" s="1"/>
  <c r="AD93" i="23" s="1"/>
  <c r="AA23" i="24"/>
  <c r="AC23" i="24" s="1"/>
  <c r="AB78" i="23"/>
  <c r="AD78" i="23" s="1"/>
  <c r="AB14" i="23"/>
  <c r="AD14" i="23" s="1"/>
  <c r="Y113" i="23"/>
  <c r="AB113" i="23" s="1"/>
  <c r="AD113" i="23" s="1"/>
  <c r="Y88" i="23"/>
  <c r="AB88" i="23" s="1"/>
  <c r="AD88" i="23" s="1"/>
  <c r="Y77" i="23"/>
  <c r="AB77" i="23" s="1"/>
  <c r="AD77" i="23" s="1"/>
  <c r="Y49" i="23"/>
  <c r="AB49" i="23" s="1"/>
  <c r="AD49" i="23" s="1"/>
  <c r="Y24" i="23"/>
  <c r="AB24" i="23" s="1"/>
  <c r="AD24" i="23" s="1"/>
  <c r="Y13" i="23"/>
  <c r="AB13" i="23" s="1"/>
  <c r="AD13" i="23" s="1"/>
  <c r="AA125" i="24"/>
  <c r="AC125" i="24" s="1"/>
  <c r="AA110" i="24"/>
  <c r="AC110" i="24" s="1"/>
  <c r="AA99" i="24"/>
  <c r="AC99" i="24" s="1"/>
  <c r="AA85" i="24"/>
  <c r="AC85" i="24" s="1"/>
  <c r="AA71" i="24"/>
  <c r="AC71" i="24" s="1"/>
  <c r="AA60" i="24"/>
  <c r="AC60" i="24" s="1"/>
  <c r="AA46" i="24"/>
  <c r="AC46" i="24" s="1"/>
  <c r="AA35" i="24"/>
  <c r="AC35" i="24" s="1"/>
  <c r="AA21" i="24"/>
  <c r="AC21" i="24" s="1"/>
  <c r="Y122" i="24"/>
  <c r="Y104" i="24"/>
  <c r="AB104" i="24" s="1"/>
  <c r="AD104" i="24" s="1"/>
  <c r="Y81" i="24"/>
  <c r="Y58" i="24"/>
  <c r="AB58" i="24" s="1"/>
  <c r="AD58" i="24" s="1"/>
  <c r="Y40" i="24"/>
  <c r="AB40" i="24" s="1"/>
  <c r="AD40" i="24" s="1"/>
  <c r="Y17" i="24"/>
  <c r="AB17" i="24" s="1"/>
  <c r="AD17" i="24" s="1"/>
  <c r="Y92" i="23"/>
  <c r="AB92" i="23" s="1"/>
  <c r="AD92" i="23" s="1"/>
  <c r="Y36" i="23"/>
  <c r="AB36" i="23" s="1"/>
  <c r="AD36" i="23" s="1"/>
  <c r="AA119" i="24"/>
  <c r="AC119" i="24" s="1"/>
  <c r="Y115" i="23"/>
  <c r="AB115" i="23" s="1"/>
  <c r="AD115" i="23" s="1"/>
  <c r="Y59" i="23"/>
  <c r="AB59" i="23" s="1"/>
  <c r="AD59" i="23" s="1"/>
  <c r="Y19" i="23"/>
  <c r="AB19" i="23" s="1"/>
  <c r="AD19" i="23" s="1"/>
  <c r="Y130" i="23"/>
  <c r="AB130" i="23" s="1"/>
  <c r="AD130" i="23" s="1"/>
  <c r="Y122" i="23"/>
  <c r="AB122" i="23" s="1"/>
  <c r="AD122" i="23" s="1"/>
  <c r="Y114" i="23"/>
  <c r="AB114" i="23" s="1"/>
  <c r="AD114" i="23" s="1"/>
  <c r="Y106" i="23"/>
  <c r="AB106" i="23" s="1"/>
  <c r="AD106" i="23" s="1"/>
  <c r="Y98" i="23"/>
  <c r="AB98" i="23" s="1"/>
  <c r="AD98" i="23" s="1"/>
  <c r="Y90" i="23"/>
  <c r="AB90" i="23" s="1"/>
  <c r="AD90" i="23" s="1"/>
  <c r="Y82" i="23"/>
  <c r="AB82" i="23" s="1"/>
  <c r="AD82" i="23" s="1"/>
  <c r="Y74" i="23"/>
  <c r="AB74" i="23" s="1"/>
  <c r="AD74" i="23" s="1"/>
  <c r="Y66" i="23"/>
  <c r="AB66" i="23" s="1"/>
  <c r="AD66" i="23" s="1"/>
  <c r="Y58" i="23"/>
  <c r="AB58" i="23" s="1"/>
  <c r="AD58" i="23" s="1"/>
  <c r="Y50" i="23"/>
  <c r="AB50" i="23" s="1"/>
  <c r="AD50" i="23" s="1"/>
  <c r="Y42" i="23"/>
  <c r="AB42" i="23" s="1"/>
  <c r="AD42" i="23" s="1"/>
  <c r="Y34" i="23"/>
  <c r="AB34" i="23" s="1"/>
  <c r="AD34" i="23" s="1"/>
  <c r="Y26" i="23"/>
  <c r="AB26" i="23" s="1"/>
  <c r="AD26" i="23" s="1"/>
  <c r="Y18" i="23"/>
  <c r="AB18" i="23" s="1"/>
  <c r="AD18" i="23" s="1"/>
  <c r="Y127" i="24"/>
  <c r="AB127" i="24" s="1"/>
  <c r="AD127" i="24" s="1"/>
  <c r="Y119" i="24"/>
  <c r="AB119" i="24" s="1"/>
  <c r="AD119" i="24" s="1"/>
  <c r="Y111" i="24"/>
  <c r="AB111" i="24" s="1"/>
  <c r="AD111" i="24" s="1"/>
  <c r="Y103" i="24"/>
  <c r="AB103" i="24" s="1"/>
  <c r="AD103" i="24" s="1"/>
  <c r="Y95" i="24"/>
  <c r="AB95" i="24" s="1"/>
  <c r="AD95" i="24" s="1"/>
  <c r="Y87" i="24"/>
  <c r="AB87" i="24" s="1"/>
  <c r="AD87" i="24" s="1"/>
  <c r="Y79" i="24"/>
  <c r="AB79" i="24" s="1"/>
  <c r="AD79" i="24" s="1"/>
  <c r="Y71" i="24"/>
  <c r="AB71" i="24" s="1"/>
  <c r="AD71" i="24" s="1"/>
  <c r="Y63" i="24"/>
  <c r="AB63" i="24" s="1"/>
  <c r="AD63" i="24" s="1"/>
  <c r="Y55" i="24"/>
  <c r="AB55" i="24" s="1"/>
  <c r="AD55" i="24" s="1"/>
  <c r="Y47" i="24"/>
  <c r="AB47" i="24" s="1"/>
  <c r="AD47" i="24" s="1"/>
  <c r="Y39" i="24"/>
  <c r="AB39" i="24" s="1"/>
  <c r="AD39" i="24" s="1"/>
  <c r="Y31" i="24"/>
  <c r="AB31" i="24" s="1"/>
  <c r="AD31" i="24" s="1"/>
  <c r="Y23" i="24"/>
  <c r="AB23" i="24" s="1"/>
  <c r="AD23" i="24" s="1"/>
  <c r="Y15" i="24"/>
  <c r="AB15" i="24" s="1"/>
  <c r="AD15" i="24" s="1"/>
  <c r="AA11" i="23"/>
  <c r="AC11" i="23" s="1"/>
  <c r="Y108" i="23"/>
  <c r="AB108" i="23" s="1"/>
  <c r="AD108" i="23" s="1"/>
  <c r="Y76" i="23"/>
  <c r="AB76" i="23" s="1"/>
  <c r="AD76" i="23" s="1"/>
  <c r="Y52" i="23"/>
  <c r="AB52" i="23" s="1"/>
  <c r="AD52" i="23" s="1"/>
  <c r="Y12" i="23"/>
  <c r="AB12" i="23" s="1"/>
  <c r="AD12" i="23" s="1"/>
  <c r="Y123" i="23"/>
  <c r="AB123" i="23" s="1"/>
  <c r="AD123" i="23" s="1"/>
  <c r="Y83" i="23"/>
  <c r="AB83" i="23" s="1"/>
  <c r="AD83" i="23" s="1"/>
  <c r="Y67" i="23"/>
  <c r="AB67" i="23" s="1"/>
  <c r="AD67" i="23" s="1"/>
  <c r="Y35" i="23"/>
  <c r="AB35" i="23" s="1"/>
  <c r="AD35" i="23" s="1"/>
  <c r="Y134" i="24"/>
  <c r="AB134" i="24" s="1"/>
  <c r="AD134" i="24" s="1"/>
  <c r="Y126" i="24"/>
  <c r="AB126" i="24" s="1"/>
  <c r="AD126" i="24" s="1"/>
  <c r="Y118" i="24"/>
  <c r="AB118" i="24" s="1"/>
  <c r="AD118" i="24" s="1"/>
  <c r="Y110" i="24"/>
  <c r="AB110" i="24" s="1"/>
  <c r="AD110" i="24" s="1"/>
  <c r="Y102" i="24"/>
  <c r="AB102" i="24" s="1"/>
  <c r="AD102" i="24" s="1"/>
  <c r="Y94" i="24"/>
  <c r="AB94" i="24" s="1"/>
  <c r="AD94" i="24" s="1"/>
  <c r="Y86" i="24"/>
  <c r="AB86" i="24" s="1"/>
  <c r="AD86" i="24" s="1"/>
  <c r="Y78" i="24"/>
  <c r="AB78" i="24" s="1"/>
  <c r="AD78" i="24" s="1"/>
  <c r="Y70" i="24"/>
  <c r="AB70" i="24" s="1"/>
  <c r="AD70" i="24" s="1"/>
  <c r="Y62" i="24"/>
  <c r="AB62" i="24" s="1"/>
  <c r="AD62" i="24" s="1"/>
  <c r="Y54" i="24"/>
  <c r="AB54" i="24" s="1"/>
  <c r="AD54" i="24" s="1"/>
  <c r="Y46" i="24"/>
  <c r="Y38" i="24"/>
  <c r="AB38" i="24" s="1"/>
  <c r="AD38" i="24" s="1"/>
  <c r="Y30" i="24"/>
  <c r="AB30" i="24" s="1"/>
  <c r="AD30" i="24" s="1"/>
  <c r="Y22" i="24"/>
  <c r="AB22" i="24" s="1"/>
  <c r="AD22" i="24" s="1"/>
  <c r="Y14" i="24"/>
  <c r="AB14" i="24" s="1"/>
  <c r="AD14" i="24" s="1"/>
  <c r="AA118" i="24"/>
  <c r="AC118" i="24" s="1"/>
  <c r="Y132" i="23"/>
  <c r="AB132" i="23" s="1"/>
  <c r="AD132" i="23" s="1"/>
  <c r="Y100" i="23"/>
  <c r="AB100" i="23" s="1"/>
  <c r="AD100" i="23" s="1"/>
  <c r="Y68" i="23"/>
  <c r="AB68" i="23" s="1"/>
  <c r="AD68" i="23" s="1"/>
  <c r="Y44" i="23"/>
  <c r="AB44" i="23" s="1"/>
  <c r="AD44" i="23" s="1"/>
  <c r="Y20" i="23"/>
  <c r="AB20" i="23" s="1"/>
  <c r="AD20" i="23" s="1"/>
  <c r="Y131" i="23"/>
  <c r="AB131" i="23" s="1"/>
  <c r="AD131" i="23" s="1"/>
  <c r="Y107" i="23"/>
  <c r="AB107" i="23" s="1"/>
  <c r="AD107" i="23" s="1"/>
  <c r="Y75" i="23"/>
  <c r="AB75" i="23" s="1"/>
  <c r="AD75" i="23" s="1"/>
  <c r="Y27" i="23"/>
  <c r="AB27" i="23" s="1"/>
  <c r="AD27" i="23" s="1"/>
  <c r="Y133" i="24"/>
  <c r="AB133" i="24" s="1"/>
  <c r="AD133" i="24" s="1"/>
  <c r="Y125" i="24"/>
  <c r="Y117" i="24"/>
  <c r="AB117" i="24" s="1"/>
  <c r="AD117" i="24" s="1"/>
  <c r="Y109" i="24"/>
  <c r="AB109" i="24" s="1"/>
  <c r="AD109" i="24" s="1"/>
  <c r="Y101" i="24"/>
  <c r="AB101" i="24" s="1"/>
  <c r="AD101" i="24" s="1"/>
  <c r="Y93" i="24"/>
  <c r="AB93" i="24" s="1"/>
  <c r="AD93" i="24" s="1"/>
  <c r="Y85" i="24"/>
  <c r="AB85" i="24" s="1"/>
  <c r="AD85" i="24" s="1"/>
  <c r="Y77" i="24"/>
  <c r="AB77" i="24" s="1"/>
  <c r="AD77" i="24" s="1"/>
  <c r="Y69" i="24"/>
  <c r="AB69" i="24" s="1"/>
  <c r="AD69" i="24" s="1"/>
  <c r="Y61" i="24"/>
  <c r="AB61" i="24" s="1"/>
  <c r="AD61" i="24" s="1"/>
  <c r="Y53" i="24"/>
  <c r="AB53" i="24" s="1"/>
  <c r="AD53" i="24" s="1"/>
  <c r="Y45" i="24"/>
  <c r="AB45" i="24" s="1"/>
  <c r="AD45" i="24" s="1"/>
  <c r="Y37" i="24"/>
  <c r="AB37" i="24" s="1"/>
  <c r="AD37" i="24" s="1"/>
  <c r="Y29" i="24"/>
  <c r="AB29" i="24" s="1"/>
  <c r="AD29" i="24" s="1"/>
  <c r="Y21" i="24"/>
  <c r="AB21" i="24" s="1"/>
  <c r="AD21" i="24" s="1"/>
  <c r="Y13" i="24"/>
  <c r="AB13" i="24" s="1"/>
  <c r="AD13" i="24" s="1"/>
  <c r="Y124" i="23"/>
  <c r="AB124" i="23" s="1"/>
  <c r="AD124" i="23" s="1"/>
  <c r="Y60" i="23"/>
  <c r="AB60" i="23" s="1"/>
  <c r="AD60" i="23" s="1"/>
  <c r="Y99" i="23"/>
  <c r="AB99" i="23" s="1"/>
  <c r="AD99" i="23" s="1"/>
  <c r="Y51" i="23"/>
  <c r="AB51" i="23" s="1"/>
  <c r="AD51" i="23" s="1"/>
  <c r="Y128" i="24"/>
  <c r="AB128" i="24" s="1"/>
  <c r="AD128" i="24" s="1"/>
  <c r="AB129" i="23"/>
  <c r="AD129" i="23" s="1"/>
  <c r="AB105" i="23"/>
  <c r="AD105" i="23" s="1"/>
  <c r="AB81" i="23"/>
  <c r="AD81" i="23" s="1"/>
  <c r="AB73" i="23"/>
  <c r="AD73" i="23" s="1"/>
  <c r="AB65" i="23"/>
  <c r="AD65" i="23" s="1"/>
  <c r="AB33" i="23"/>
  <c r="AD33" i="23" s="1"/>
  <c r="AA132" i="23"/>
  <c r="AC132" i="23" s="1"/>
  <c r="AA124" i="23"/>
  <c r="AC124" i="23" s="1"/>
  <c r="AA116" i="23"/>
  <c r="AC116" i="23" s="1"/>
  <c r="AA108" i="23"/>
  <c r="AC108" i="23" s="1"/>
  <c r="AA100" i="23"/>
  <c r="AC100" i="23" s="1"/>
  <c r="AA92" i="23"/>
  <c r="AC92" i="23" s="1"/>
  <c r="AA84" i="23"/>
  <c r="AC84" i="23" s="1"/>
  <c r="AA76" i="23"/>
  <c r="AC76" i="23" s="1"/>
  <c r="AA68" i="23"/>
  <c r="AC68" i="23" s="1"/>
  <c r="AA60" i="23"/>
  <c r="AC60" i="23" s="1"/>
  <c r="AA52" i="23"/>
  <c r="AC52" i="23" s="1"/>
  <c r="AA44" i="23"/>
  <c r="AC44" i="23" s="1"/>
  <c r="AA36" i="23"/>
  <c r="AC36" i="23" s="1"/>
  <c r="AA28" i="23"/>
  <c r="AC28" i="23" s="1"/>
  <c r="AA20" i="23"/>
  <c r="AC20" i="23" s="1"/>
  <c r="AA12" i="23"/>
  <c r="AC12" i="23" s="1"/>
  <c r="AA15" i="24"/>
  <c r="AC15" i="24" s="1"/>
  <c r="Y132" i="24"/>
  <c r="AB132" i="24" s="1"/>
  <c r="AD132" i="24" s="1"/>
  <c r="Y124" i="24"/>
  <c r="AB124" i="24" s="1"/>
  <c r="AD124" i="24" s="1"/>
  <c r="Y116" i="24"/>
  <c r="AB116" i="24" s="1"/>
  <c r="AD116" i="24" s="1"/>
  <c r="Y108" i="24"/>
  <c r="AB108" i="24" s="1"/>
  <c r="AD108" i="24" s="1"/>
  <c r="Y100" i="24"/>
  <c r="AB100" i="24" s="1"/>
  <c r="AD100" i="24" s="1"/>
  <c r="Y92" i="24"/>
  <c r="AB92" i="24" s="1"/>
  <c r="AD92" i="24" s="1"/>
  <c r="Y84" i="24"/>
  <c r="AB84" i="24" s="1"/>
  <c r="AD84" i="24" s="1"/>
  <c r="Y76" i="24"/>
  <c r="AB76" i="24" s="1"/>
  <c r="AD76" i="24" s="1"/>
  <c r="Y68" i="24"/>
  <c r="AB68" i="24" s="1"/>
  <c r="AD68" i="24" s="1"/>
  <c r="Y60" i="24"/>
  <c r="AB60" i="24" s="1"/>
  <c r="AD60" i="24" s="1"/>
  <c r="Y52" i="24"/>
  <c r="AB52" i="24" s="1"/>
  <c r="AD52" i="24" s="1"/>
  <c r="Y44" i="24"/>
  <c r="AB44" i="24" s="1"/>
  <c r="AD44" i="24" s="1"/>
  <c r="Y36" i="24"/>
  <c r="AB36" i="24" s="1"/>
  <c r="AD36" i="24" s="1"/>
  <c r="Y28" i="24"/>
  <c r="AB28" i="24" s="1"/>
  <c r="AD28" i="24" s="1"/>
  <c r="Y20" i="24"/>
  <c r="Y12" i="24"/>
  <c r="AB12" i="24" s="1"/>
  <c r="AD12" i="24" s="1"/>
  <c r="Y116" i="23"/>
  <c r="AB116" i="23" s="1"/>
  <c r="AD116" i="23" s="1"/>
  <c r="Y84" i="23"/>
  <c r="AB84" i="23" s="1"/>
  <c r="AD84" i="23" s="1"/>
  <c r="Y28" i="23"/>
  <c r="AB28" i="23" s="1"/>
  <c r="AD28" i="23" s="1"/>
  <c r="Y91" i="23"/>
  <c r="AB91" i="23" s="1"/>
  <c r="AD91" i="23" s="1"/>
  <c r="Y43" i="23"/>
  <c r="AB43" i="23" s="1"/>
  <c r="AD43" i="23" s="1"/>
  <c r="Y11" i="23"/>
  <c r="AB11" i="23" s="1"/>
  <c r="AD11" i="23" s="1"/>
  <c r="AB112" i="23"/>
  <c r="AD112" i="23" s="1"/>
  <c r="AB104" i="23"/>
  <c r="AD104" i="23" s="1"/>
  <c r="AB80" i="23"/>
  <c r="AD80" i="23" s="1"/>
  <c r="AB64" i="23"/>
  <c r="AD64" i="23" s="1"/>
  <c r="AB48" i="23"/>
  <c r="AD48" i="23" s="1"/>
  <c r="AB40" i="23"/>
  <c r="AD40" i="23" s="1"/>
  <c r="AB32" i="23"/>
  <c r="AD32" i="23" s="1"/>
  <c r="AB16" i="23"/>
  <c r="AD16" i="23" s="1"/>
  <c r="AA131" i="23"/>
  <c r="AC131" i="23" s="1"/>
  <c r="AA123" i="23"/>
  <c r="AC123" i="23" s="1"/>
  <c r="AA115" i="23"/>
  <c r="AC115" i="23" s="1"/>
  <c r="AA107" i="23"/>
  <c r="AC107" i="23" s="1"/>
  <c r="AA99" i="23"/>
  <c r="AC99" i="23" s="1"/>
  <c r="AA91" i="23"/>
  <c r="AC91" i="23" s="1"/>
  <c r="AA83" i="23"/>
  <c r="AC83" i="23" s="1"/>
  <c r="AA75" i="23"/>
  <c r="AC75" i="23" s="1"/>
  <c r="AA67" i="23"/>
  <c r="AC67" i="23" s="1"/>
  <c r="AA59" i="23"/>
  <c r="AC59" i="23" s="1"/>
  <c r="AA51" i="23"/>
  <c r="AC51" i="23" s="1"/>
  <c r="AA43" i="23"/>
  <c r="AC43" i="23" s="1"/>
  <c r="AA35" i="23"/>
  <c r="AC35" i="23" s="1"/>
  <c r="AA27" i="23"/>
  <c r="AC27" i="23" s="1"/>
  <c r="AA19" i="23"/>
  <c r="AC19" i="23" s="1"/>
  <c r="AA14" i="24"/>
  <c r="AC14" i="24" s="1"/>
  <c r="Y131" i="24"/>
  <c r="AB131" i="24" s="1"/>
  <c r="AD131" i="24" s="1"/>
  <c r="Y123" i="24"/>
  <c r="AB123" i="24" s="1"/>
  <c r="AD123" i="24" s="1"/>
  <c r="Y115" i="24"/>
  <c r="AB115" i="24" s="1"/>
  <c r="AD115" i="24" s="1"/>
  <c r="Y107" i="24"/>
  <c r="AB107" i="24" s="1"/>
  <c r="AD107" i="24" s="1"/>
  <c r="Y99" i="24"/>
  <c r="AB99" i="24" s="1"/>
  <c r="AD99" i="24" s="1"/>
  <c r="Y91" i="24"/>
  <c r="AB91" i="24" s="1"/>
  <c r="AD91" i="24" s="1"/>
  <c r="Y83" i="24"/>
  <c r="AB83" i="24" s="1"/>
  <c r="AD83" i="24" s="1"/>
  <c r="Y75" i="24"/>
  <c r="AB75" i="24" s="1"/>
  <c r="AD75" i="24" s="1"/>
  <c r="Y67" i="24"/>
  <c r="AB67" i="24" s="1"/>
  <c r="AD67" i="24" s="1"/>
  <c r="Y59" i="24"/>
  <c r="AB59" i="24" s="1"/>
  <c r="AD59" i="24" s="1"/>
  <c r="Y51" i="24"/>
  <c r="AB51" i="24" s="1"/>
  <c r="AD51" i="24" s="1"/>
  <c r="Y43" i="24"/>
  <c r="AB43" i="24" s="1"/>
  <c r="AD43" i="24" s="1"/>
  <c r="Y35" i="24"/>
  <c r="AB35" i="24" s="1"/>
  <c r="AD35" i="24" s="1"/>
  <c r="Y27" i="24"/>
  <c r="AB27" i="24" s="1"/>
  <c r="AD27" i="24" s="1"/>
  <c r="Y19" i="24"/>
  <c r="AB19" i="24" s="1"/>
  <c r="AD19" i="24" s="1"/>
  <c r="Y11" i="24"/>
  <c r="AB11" i="24" s="1"/>
  <c r="AD11" i="24" s="1"/>
  <c r="AA19" i="24"/>
  <c r="AC19" i="24" s="1"/>
  <c r="AA11" i="24"/>
  <c r="AC11" i="24" s="1"/>
  <c r="AB125" i="24"/>
  <c r="AD125" i="24" s="1"/>
  <c r="AB122" i="24"/>
  <c r="AD122" i="24" s="1"/>
  <c r="AB121" i="24"/>
  <c r="AD121" i="24" s="1"/>
  <c r="AB90" i="24"/>
  <c r="AD90" i="24" s="1"/>
  <c r="AB81" i="24"/>
  <c r="AD81" i="24" s="1"/>
  <c r="AB46" i="24"/>
  <c r="AD46" i="24" s="1"/>
  <c r="AB41" i="24"/>
  <c r="AD41" i="24" s="1"/>
  <c r="AB20" i="24"/>
  <c r="AD20" i="24" s="1"/>
  <c r="C19" i="14"/>
  <c r="J1004" i="28"/>
  <c r="J1005" i="28"/>
  <c r="J1006" i="28"/>
  <c r="J1007" i="28"/>
  <c r="J1008" i="28"/>
  <c r="J1009" i="28"/>
  <c r="J1010" i="28"/>
  <c r="J1011" i="28"/>
  <c r="J1012" i="28"/>
  <c r="J1013" i="28"/>
  <c r="J1014" i="28"/>
  <c r="J1015" i="28"/>
  <c r="J1016" i="28"/>
  <c r="J1017" i="28"/>
  <c r="J1018" i="28"/>
  <c r="J1019" i="28"/>
  <c r="J1020" i="28"/>
  <c r="J1021" i="28"/>
  <c r="J1022" i="28"/>
  <c r="J1023" i="28"/>
  <c r="J1024" i="28"/>
  <c r="J1025" i="28"/>
  <c r="J1026" i="28"/>
  <c r="J1027" i="28"/>
  <c r="J1028" i="28"/>
  <c r="J1029" i="28"/>
  <c r="J1030" i="28"/>
  <c r="J1031" i="28"/>
  <c r="J1032" i="28"/>
  <c r="J1033" i="28"/>
  <c r="J1034" i="28"/>
  <c r="J1035" i="28"/>
  <c r="J1036" i="28"/>
  <c r="J1037" i="28"/>
  <c r="J1038" i="28"/>
  <c r="J1039" i="28"/>
  <c r="J1040" i="28"/>
  <c r="J1041" i="28"/>
  <c r="J1042" i="28"/>
  <c r="J1043" i="28"/>
  <c r="J1044" i="28"/>
  <c r="J1045" i="28"/>
  <c r="J1046" i="28"/>
  <c r="J1047" i="28"/>
  <c r="J1048" i="28"/>
  <c r="J1049" i="28"/>
  <c r="J1050" i="28"/>
  <c r="J1051" i="28"/>
  <c r="J1052" i="28"/>
  <c r="J1053" i="28"/>
  <c r="J1054" i="28"/>
  <c r="J1055" i="28"/>
  <c r="J1056" i="28"/>
  <c r="J1057" i="28"/>
  <c r="J1058" i="28"/>
  <c r="J1059" i="28"/>
  <c r="J1060" i="28"/>
  <c r="J1061" i="28"/>
  <c r="J1062" i="28"/>
  <c r="J1063" i="28"/>
  <c r="J1064" i="28"/>
  <c r="J1065" i="28"/>
  <c r="J1066" i="28"/>
  <c r="J1067" i="28"/>
  <c r="J1068" i="28"/>
  <c r="J1069" i="28"/>
  <c r="J1070" i="28"/>
  <c r="J1071" i="28"/>
  <c r="J1072" i="28"/>
  <c r="J1073" i="28"/>
  <c r="J1074" i="28"/>
  <c r="J1075" i="28"/>
  <c r="J1076" i="28"/>
  <c r="J1077" i="28"/>
  <c r="J1078" i="28"/>
  <c r="J1079" i="28"/>
  <c r="J1080" i="28"/>
  <c r="J1081" i="28"/>
  <c r="J1082" i="28"/>
  <c r="J1083" i="28"/>
  <c r="J1084" i="28"/>
  <c r="J1085" i="28"/>
  <c r="J1086" i="28"/>
  <c r="J1087" i="28"/>
  <c r="J1088" i="28"/>
  <c r="J1089" i="28"/>
  <c r="J1090" i="28"/>
  <c r="J1091" i="28"/>
  <c r="J1092" i="28"/>
  <c r="J1093" i="28"/>
  <c r="J1094" i="28"/>
  <c r="J1095" i="28"/>
  <c r="J1096" i="28"/>
  <c r="J1097" i="28"/>
  <c r="J1098" i="28"/>
  <c r="J1099" i="28"/>
  <c r="J1100" i="28"/>
  <c r="J1101" i="28"/>
  <c r="J1102" i="28"/>
  <c r="J1103" i="28"/>
  <c r="J1104" i="28"/>
  <c r="J1105" i="28"/>
  <c r="J1106" i="28"/>
  <c r="W346" i="11" l="1"/>
  <c r="W345" i="11"/>
  <c r="W344" i="11"/>
  <c r="W343" i="11"/>
  <c r="W342" i="11"/>
  <c r="W341" i="11"/>
  <c r="W340" i="11"/>
  <c r="W339" i="11"/>
  <c r="W338" i="11"/>
  <c r="W337" i="11"/>
  <c r="W336" i="11"/>
  <c r="W335" i="11"/>
  <c r="W334" i="11"/>
  <c r="W333" i="11"/>
  <c r="W332" i="11"/>
  <c r="W331" i="11"/>
  <c r="W330" i="11"/>
  <c r="W329" i="11"/>
  <c r="W328" i="11"/>
  <c r="W327" i="11"/>
  <c r="W326" i="11"/>
  <c r="W325" i="11"/>
  <c r="W324" i="11"/>
  <c r="W323" i="11"/>
  <c r="W322" i="11"/>
  <c r="W321" i="11"/>
  <c r="W320" i="11"/>
  <c r="W319" i="11"/>
  <c r="W318" i="11"/>
  <c r="W317" i="11"/>
  <c r="W316" i="11"/>
  <c r="W315" i="11"/>
  <c r="W314" i="11"/>
  <c r="V346" i="11"/>
  <c r="V345" i="11"/>
  <c r="V344" i="11"/>
  <c r="V343" i="11"/>
  <c r="V342" i="11"/>
  <c r="V341" i="11"/>
  <c r="V340" i="11"/>
  <c r="V339" i="11"/>
  <c r="V338" i="11"/>
  <c r="V337" i="11"/>
  <c r="V336" i="11"/>
  <c r="V335" i="11"/>
  <c r="V334" i="11"/>
  <c r="V333" i="11"/>
  <c r="V332" i="11"/>
  <c r="V331" i="11"/>
  <c r="V330" i="11"/>
  <c r="V329" i="11"/>
  <c r="V328" i="11"/>
  <c r="V327" i="11"/>
  <c r="V326" i="11"/>
  <c r="V325" i="11"/>
  <c r="V324" i="11"/>
  <c r="V323" i="11"/>
  <c r="V322" i="11"/>
  <c r="V321" i="11"/>
  <c r="V320" i="11"/>
  <c r="V319" i="11"/>
  <c r="V318" i="11"/>
  <c r="V317" i="11"/>
  <c r="V316" i="11"/>
  <c r="V315" i="11"/>
  <c r="V314" i="11"/>
  <c r="T346" i="11"/>
  <c r="T345" i="11"/>
  <c r="T344" i="11"/>
  <c r="T343" i="11"/>
  <c r="T342" i="11"/>
  <c r="T341" i="11"/>
  <c r="T340" i="11"/>
  <c r="T339" i="11"/>
  <c r="T338" i="11"/>
  <c r="T337" i="11"/>
  <c r="T336" i="11"/>
  <c r="T335" i="11"/>
  <c r="T334" i="11"/>
  <c r="T333" i="11"/>
  <c r="T332" i="11"/>
  <c r="T331" i="11"/>
  <c r="T330" i="11"/>
  <c r="T329" i="11"/>
  <c r="T328" i="11"/>
  <c r="T327" i="11"/>
  <c r="T326" i="11"/>
  <c r="T325" i="11"/>
  <c r="T324" i="11"/>
  <c r="T323" i="11"/>
  <c r="T322" i="11"/>
  <c r="T321" i="11"/>
  <c r="T320" i="11"/>
  <c r="T319" i="11"/>
  <c r="T318" i="11"/>
  <c r="T317" i="11"/>
  <c r="T316" i="11"/>
  <c r="T315" i="11"/>
  <c r="T314" i="11"/>
  <c r="S346" i="11"/>
  <c r="S345" i="11"/>
  <c r="S344" i="11"/>
  <c r="S343" i="11"/>
  <c r="S342" i="11"/>
  <c r="S341" i="11"/>
  <c r="S340" i="11"/>
  <c r="S339" i="11"/>
  <c r="S338" i="11"/>
  <c r="S337" i="11"/>
  <c r="S336" i="11"/>
  <c r="S335" i="11"/>
  <c r="S334" i="11"/>
  <c r="S333" i="11"/>
  <c r="S332" i="11"/>
  <c r="S331" i="11"/>
  <c r="S330" i="11"/>
  <c r="S329" i="11"/>
  <c r="S328" i="11"/>
  <c r="S327" i="11"/>
  <c r="S326" i="11"/>
  <c r="S325" i="11"/>
  <c r="S324" i="11"/>
  <c r="S323" i="11"/>
  <c r="S322" i="11"/>
  <c r="S321" i="11"/>
  <c r="S320" i="11"/>
  <c r="S319" i="11"/>
  <c r="S318" i="11"/>
  <c r="S317" i="11"/>
  <c r="S316" i="11"/>
  <c r="S315" i="11"/>
  <c r="S314" i="11"/>
  <c r="O346" i="11"/>
  <c r="O345" i="11"/>
  <c r="O344" i="11"/>
  <c r="O343" i="11"/>
  <c r="O342" i="11"/>
  <c r="O341" i="11"/>
  <c r="O340" i="11"/>
  <c r="O339" i="11"/>
  <c r="O338" i="11"/>
  <c r="O337" i="11"/>
  <c r="O336" i="11"/>
  <c r="O335" i="11"/>
  <c r="O334" i="11"/>
  <c r="O333" i="11"/>
  <c r="O332" i="11"/>
  <c r="O331" i="11"/>
  <c r="O330" i="11"/>
  <c r="O329" i="11"/>
  <c r="O328" i="11"/>
  <c r="O327" i="11"/>
  <c r="O326" i="11"/>
  <c r="O325" i="11"/>
  <c r="O324" i="11"/>
  <c r="O323" i="11"/>
  <c r="O322" i="11"/>
  <c r="O321" i="11"/>
  <c r="O320" i="11"/>
  <c r="O319" i="11"/>
  <c r="O318" i="11"/>
  <c r="O317" i="11"/>
  <c r="O316" i="11"/>
  <c r="O315" i="11"/>
  <c r="O314" i="11"/>
  <c r="N346" i="11"/>
  <c r="N345" i="11"/>
  <c r="N344" i="11"/>
  <c r="N343" i="11"/>
  <c r="N342" i="11"/>
  <c r="N341" i="11"/>
  <c r="N340" i="11"/>
  <c r="N339" i="11"/>
  <c r="N338" i="11"/>
  <c r="N337" i="11"/>
  <c r="N336" i="11"/>
  <c r="N335" i="11"/>
  <c r="N334" i="11"/>
  <c r="N333" i="11"/>
  <c r="N332" i="11"/>
  <c r="N331" i="11"/>
  <c r="N330" i="11"/>
  <c r="N329" i="11"/>
  <c r="N328" i="11"/>
  <c r="N327" i="11"/>
  <c r="N326" i="11"/>
  <c r="N325" i="11"/>
  <c r="N324" i="11"/>
  <c r="N323" i="11"/>
  <c r="N322" i="11"/>
  <c r="N321" i="11"/>
  <c r="N320" i="11"/>
  <c r="N319" i="11"/>
  <c r="N318" i="11"/>
  <c r="N317" i="11"/>
  <c r="N316" i="11"/>
  <c r="N315" i="11"/>
  <c r="N314" i="11"/>
  <c r="L346" i="11"/>
  <c r="L345" i="11"/>
  <c r="L344" i="11"/>
  <c r="L343" i="11"/>
  <c r="L342" i="11"/>
  <c r="L341" i="11"/>
  <c r="L340" i="11"/>
  <c r="L339" i="11"/>
  <c r="L338" i="11"/>
  <c r="L337" i="11"/>
  <c r="L336" i="11"/>
  <c r="L335" i="11"/>
  <c r="L334" i="11"/>
  <c r="L333" i="11"/>
  <c r="L332" i="11"/>
  <c r="L331" i="11"/>
  <c r="L330" i="11"/>
  <c r="L329" i="11"/>
  <c r="L328" i="11"/>
  <c r="L327" i="11"/>
  <c r="L326" i="11"/>
  <c r="L325" i="11"/>
  <c r="L324" i="11"/>
  <c r="L323" i="11"/>
  <c r="L322" i="11"/>
  <c r="L321" i="11"/>
  <c r="L320" i="11"/>
  <c r="L319" i="11"/>
  <c r="L318" i="11"/>
  <c r="L317" i="11"/>
  <c r="L316" i="11"/>
  <c r="L315" i="11"/>
  <c r="L314" i="11"/>
  <c r="K346" i="11"/>
  <c r="K345" i="11"/>
  <c r="K344" i="11"/>
  <c r="K343" i="11"/>
  <c r="K342" i="11"/>
  <c r="K341" i="11"/>
  <c r="K340" i="11"/>
  <c r="K339" i="11"/>
  <c r="K338" i="11"/>
  <c r="K337" i="11"/>
  <c r="K336" i="11"/>
  <c r="K335" i="11"/>
  <c r="K334" i="11"/>
  <c r="K333" i="11"/>
  <c r="K332" i="11"/>
  <c r="K331" i="11"/>
  <c r="K330" i="11"/>
  <c r="K329" i="11"/>
  <c r="K328" i="11"/>
  <c r="K327" i="11"/>
  <c r="K326" i="11"/>
  <c r="K325" i="11"/>
  <c r="K324" i="11"/>
  <c r="K323" i="11"/>
  <c r="K322" i="11"/>
  <c r="K321" i="11"/>
  <c r="K320" i="11"/>
  <c r="K319" i="11"/>
  <c r="K318" i="11"/>
  <c r="K317" i="11"/>
  <c r="K316" i="11"/>
  <c r="K315" i="11"/>
  <c r="K314" i="11"/>
  <c r="G346" i="11"/>
  <c r="G345" i="11"/>
  <c r="G344" i="11"/>
  <c r="G343" i="11"/>
  <c r="G342" i="11"/>
  <c r="G341" i="11"/>
  <c r="G340" i="11"/>
  <c r="G339" i="11"/>
  <c r="G338" i="11"/>
  <c r="G337" i="11"/>
  <c r="G336" i="11"/>
  <c r="G335" i="11"/>
  <c r="G334" i="11"/>
  <c r="G333" i="11"/>
  <c r="G332" i="11"/>
  <c r="G331" i="11"/>
  <c r="G330" i="11"/>
  <c r="G329" i="11"/>
  <c r="G328" i="11"/>
  <c r="G327" i="11"/>
  <c r="G326" i="11"/>
  <c r="G325" i="11"/>
  <c r="G324" i="11"/>
  <c r="G323" i="11"/>
  <c r="G322" i="11"/>
  <c r="G321" i="11"/>
  <c r="G320" i="11"/>
  <c r="G319" i="11"/>
  <c r="G318" i="11"/>
  <c r="G317" i="11"/>
  <c r="G316" i="11"/>
  <c r="G315" i="11"/>
  <c r="G314" i="11"/>
  <c r="F346" i="11"/>
  <c r="F345" i="11"/>
  <c r="F344" i="11"/>
  <c r="F343" i="11"/>
  <c r="F342" i="11"/>
  <c r="F341" i="11"/>
  <c r="F340" i="11"/>
  <c r="F339" i="11"/>
  <c r="F338" i="11"/>
  <c r="F337" i="11"/>
  <c r="F336" i="11"/>
  <c r="F335" i="11"/>
  <c r="F334" i="11"/>
  <c r="F333" i="11"/>
  <c r="F332" i="11"/>
  <c r="F331" i="11"/>
  <c r="F330" i="11"/>
  <c r="F329" i="11"/>
  <c r="F328" i="11"/>
  <c r="F327" i="11"/>
  <c r="F326" i="11"/>
  <c r="F325" i="11"/>
  <c r="F324" i="11"/>
  <c r="F323" i="11"/>
  <c r="F322" i="11"/>
  <c r="F321" i="11"/>
  <c r="F320" i="11"/>
  <c r="F319" i="11"/>
  <c r="F318" i="11"/>
  <c r="F317" i="11"/>
  <c r="F316" i="11"/>
  <c r="F315" i="11"/>
  <c r="F314" i="11"/>
  <c r="D346" i="11"/>
  <c r="D345" i="11"/>
  <c r="D344" i="11"/>
  <c r="D343" i="11"/>
  <c r="D342" i="11"/>
  <c r="D341" i="11"/>
  <c r="D340" i="11"/>
  <c r="D339" i="11"/>
  <c r="D338" i="11"/>
  <c r="D337" i="11"/>
  <c r="D336" i="11"/>
  <c r="D335" i="11"/>
  <c r="D334" i="11"/>
  <c r="D333" i="11"/>
  <c r="D332" i="11"/>
  <c r="D331" i="11"/>
  <c r="D330" i="11"/>
  <c r="D329" i="11"/>
  <c r="D328" i="11"/>
  <c r="D327" i="11"/>
  <c r="D326" i="11"/>
  <c r="D325" i="11"/>
  <c r="D324" i="11"/>
  <c r="D323" i="11"/>
  <c r="D322" i="11"/>
  <c r="D321" i="11"/>
  <c r="D320" i="11"/>
  <c r="D319" i="11"/>
  <c r="D318" i="11"/>
  <c r="D317" i="11"/>
  <c r="D316" i="11"/>
  <c r="D315" i="11"/>
  <c r="D314" i="11"/>
  <c r="C346" i="11"/>
  <c r="C345" i="11"/>
  <c r="C344" i="11"/>
  <c r="C343" i="11"/>
  <c r="C342" i="11"/>
  <c r="C341" i="11"/>
  <c r="C340" i="11"/>
  <c r="C339" i="11"/>
  <c r="C338" i="11"/>
  <c r="C337" i="11"/>
  <c r="C336" i="11"/>
  <c r="C335" i="11"/>
  <c r="C334" i="11"/>
  <c r="C333" i="11"/>
  <c r="C332" i="11"/>
  <c r="C331" i="11"/>
  <c r="C330" i="11"/>
  <c r="C329" i="11"/>
  <c r="C328" i="11"/>
  <c r="C327" i="11"/>
  <c r="C326" i="11"/>
  <c r="C325" i="11"/>
  <c r="C324" i="11"/>
  <c r="C323" i="11"/>
  <c r="C322" i="11"/>
  <c r="C321" i="11"/>
  <c r="C320" i="11"/>
  <c r="C319" i="11"/>
  <c r="C318" i="11"/>
  <c r="C317" i="11"/>
  <c r="C316" i="11"/>
  <c r="C315" i="11"/>
  <c r="C314" i="11"/>
  <c r="AD305" i="11"/>
  <c r="AD304" i="11"/>
  <c r="AD303" i="11"/>
  <c r="AD302" i="11"/>
  <c r="AD301" i="11"/>
  <c r="AD300" i="11"/>
  <c r="AD299" i="11"/>
  <c r="AD298" i="11"/>
  <c r="AD297" i="11"/>
  <c r="AD296" i="11"/>
  <c r="AD295" i="11"/>
  <c r="AD294" i="11"/>
  <c r="AD293" i="11"/>
  <c r="AD292" i="11"/>
  <c r="AD291" i="11"/>
  <c r="AD290" i="11"/>
  <c r="AD289" i="11"/>
  <c r="AD288" i="11"/>
  <c r="AD287" i="11"/>
  <c r="AD286" i="11"/>
  <c r="AD285" i="11"/>
  <c r="AD284" i="11"/>
  <c r="AD283" i="11"/>
  <c r="AD282" i="11"/>
  <c r="AD281" i="11"/>
  <c r="AD280" i="11"/>
  <c r="AD279" i="11"/>
  <c r="AD278" i="11"/>
  <c r="AD277" i="11"/>
  <c r="AD276" i="11"/>
  <c r="AD275" i="11"/>
  <c r="AD274" i="11"/>
  <c r="AD273" i="11"/>
  <c r="AC305" i="11"/>
  <c r="AC304" i="11"/>
  <c r="AC303" i="11"/>
  <c r="AC302" i="11"/>
  <c r="AC301" i="11"/>
  <c r="AC300" i="11"/>
  <c r="AC299" i="11"/>
  <c r="AC298" i="11"/>
  <c r="AC297" i="11"/>
  <c r="AC296" i="11"/>
  <c r="AC295" i="11"/>
  <c r="AC294" i="11"/>
  <c r="AC293" i="11"/>
  <c r="AC292" i="11"/>
  <c r="AC291" i="11"/>
  <c r="AC290" i="11"/>
  <c r="AC289" i="11"/>
  <c r="AC288" i="11"/>
  <c r="AC287" i="11"/>
  <c r="AC286" i="11"/>
  <c r="AC285" i="11"/>
  <c r="AC284" i="11"/>
  <c r="AC283" i="11"/>
  <c r="AC282" i="11"/>
  <c r="AC281" i="11"/>
  <c r="AC280" i="11"/>
  <c r="AC279" i="11"/>
  <c r="AC278" i="11"/>
  <c r="AC277" i="11"/>
  <c r="AC276" i="11"/>
  <c r="AC275" i="11"/>
  <c r="AC274" i="11"/>
  <c r="AC273" i="11"/>
  <c r="V305" i="11"/>
  <c r="AA305" i="11" s="1"/>
  <c r="V304" i="11"/>
  <c r="AA304" i="11" s="1"/>
  <c r="V303" i="11"/>
  <c r="AA303" i="11" s="1"/>
  <c r="V302" i="11"/>
  <c r="AA302" i="11" s="1"/>
  <c r="V301" i="11"/>
  <c r="AA301" i="11" s="1"/>
  <c r="V300" i="11"/>
  <c r="AA300" i="11" s="1"/>
  <c r="V299" i="11"/>
  <c r="AA299" i="11" s="1"/>
  <c r="V298" i="11"/>
  <c r="AA298" i="11" s="1"/>
  <c r="V297" i="11"/>
  <c r="AA297" i="11" s="1"/>
  <c r="V296" i="11"/>
  <c r="AA296" i="11" s="1"/>
  <c r="V295" i="11"/>
  <c r="AA295" i="11" s="1"/>
  <c r="V294" i="11"/>
  <c r="AA294" i="11" s="1"/>
  <c r="V293" i="11"/>
  <c r="AA293" i="11" s="1"/>
  <c r="V292" i="11"/>
  <c r="AA292" i="11" s="1"/>
  <c r="V291" i="11"/>
  <c r="AA291" i="11" s="1"/>
  <c r="V290" i="11"/>
  <c r="AA290" i="11" s="1"/>
  <c r="V289" i="11"/>
  <c r="AA289" i="11" s="1"/>
  <c r="V288" i="11"/>
  <c r="AA288" i="11" s="1"/>
  <c r="V287" i="11"/>
  <c r="AA287" i="11" s="1"/>
  <c r="V286" i="11"/>
  <c r="AA286" i="11" s="1"/>
  <c r="V285" i="11"/>
  <c r="AA285" i="11" s="1"/>
  <c r="V284" i="11"/>
  <c r="AA284" i="11" s="1"/>
  <c r="V283" i="11"/>
  <c r="AA283" i="11" s="1"/>
  <c r="V282" i="11"/>
  <c r="AA282" i="11" s="1"/>
  <c r="V281" i="11"/>
  <c r="AA281" i="11" s="1"/>
  <c r="V280" i="11"/>
  <c r="AA280" i="11" s="1"/>
  <c r="V279" i="11"/>
  <c r="AA279" i="11" s="1"/>
  <c r="V278" i="11"/>
  <c r="AA278" i="11" s="1"/>
  <c r="V277" i="11"/>
  <c r="AA277" i="11" s="1"/>
  <c r="V276" i="11"/>
  <c r="AA276" i="11" s="1"/>
  <c r="V275" i="11"/>
  <c r="AA275" i="11" s="1"/>
  <c r="V274" i="11"/>
  <c r="AA274" i="11" s="1"/>
  <c r="V273" i="11"/>
  <c r="AA273" i="11" s="1"/>
  <c r="U305" i="11"/>
  <c r="Z305" i="11" s="1"/>
  <c r="U304" i="11"/>
  <c r="Z304" i="11" s="1"/>
  <c r="U303" i="11"/>
  <c r="Z303" i="11" s="1"/>
  <c r="U302" i="11"/>
  <c r="Z302" i="11" s="1"/>
  <c r="U301" i="11"/>
  <c r="Z301" i="11" s="1"/>
  <c r="U300" i="11"/>
  <c r="Z300" i="11" s="1"/>
  <c r="U299" i="11"/>
  <c r="Z299" i="11" s="1"/>
  <c r="U298" i="11"/>
  <c r="Z298" i="11" s="1"/>
  <c r="U297" i="11"/>
  <c r="Z297" i="11" s="1"/>
  <c r="U296" i="11"/>
  <c r="Z296" i="11" s="1"/>
  <c r="U295" i="11"/>
  <c r="Z295" i="11" s="1"/>
  <c r="U294" i="11"/>
  <c r="Z294" i="11" s="1"/>
  <c r="U293" i="11"/>
  <c r="Z293" i="11" s="1"/>
  <c r="U292" i="11"/>
  <c r="Z292" i="11" s="1"/>
  <c r="U291" i="11"/>
  <c r="Z291" i="11" s="1"/>
  <c r="U290" i="11"/>
  <c r="Z290" i="11" s="1"/>
  <c r="U289" i="11"/>
  <c r="Z289" i="11" s="1"/>
  <c r="U288" i="11"/>
  <c r="Z288" i="11" s="1"/>
  <c r="U287" i="11"/>
  <c r="Z287" i="11" s="1"/>
  <c r="U286" i="11"/>
  <c r="Z286" i="11" s="1"/>
  <c r="U285" i="11"/>
  <c r="Z285" i="11" s="1"/>
  <c r="U284" i="11"/>
  <c r="Z284" i="11" s="1"/>
  <c r="U283" i="11"/>
  <c r="Z283" i="11" s="1"/>
  <c r="U282" i="11"/>
  <c r="Z282" i="11" s="1"/>
  <c r="U281" i="11"/>
  <c r="Z281" i="11" s="1"/>
  <c r="U280" i="11"/>
  <c r="Z280" i="11" s="1"/>
  <c r="U279" i="11"/>
  <c r="Z279" i="11" s="1"/>
  <c r="U278" i="11"/>
  <c r="Z278" i="11" s="1"/>
  <c r="U277" i="11"/>
  <c r="Z277" i="11" s="1"/>
  <c r="U276" i="11"/>
  <c r="Z276" i="11" s="1"/>
  <c r="U275" i="11"/>
  <c r="Z275" i="11" s="1"/>
  <c r="U274" i="11"/>
  <c r="Z274" i="11" s="1"/>
  <c r="U273" i="11"/>
  <c r="Z273" i="11" s="1"/>
  <c r="T305" i="11"/>
  <c r="Y305" i="11" s="1"/>
  <c r="T304" i="11"/>
  <c r="Y304" i="11" s="1"/>
  <c r="T303" i="11"/>
  <c r="Y303" i="11" s="1"/>
  <c r="T302" i="11"/>
  <c r="Y302" i="11" s="1"/>
  <c r="T301" i="11"/>
  <c r="Y301" i="11" s="1"/>
  <c r="T300" i="11"/>
  <c r="Y300" i="11" s="1"/>
  <c r="T299" i="11"/>
  <c r="Y299" i="11" s="1"/>
  <c r="T298" i="11"/>
  <c r="Y298" i="11" s="1"/>
  <c r="T297" i="11"/>
  <c r="Y297" i="11" s="1"/>
  <c r="T296" i="11"/>
  <c r="Y296" i="11" s="1"/>
  <c r="T295" i="11"/>
  <c r="Y295" i="11" s="1"/>
  <c r="T294" i="11"/>
  <c r="Y294" i="11" s="1"/>
  <c r="T293" i="11"/>
  <c r="Y293" i="11" s="1"/>
  <c r="T292" i="11"/>
  <c r="Y292" i="11" s="1"/>
  <c r="T291" i="11"/>
  <c r="Y291" i="11" s="1"/>
  <c r="T290" i="11"/>
  <c r="Y290" i="11" s="1"/>
  <c r="T289" i="11"/>
  <c r="Y289" i="11" s="1"/>
  <c r="T288" i="11"/>
  <c r="Y288" i="11" s="1"/>
  <c r="T287" i="11"/>
  <c r="Y287" i="11" s="1"/>
  <c r="T286" i="11"/>
  <c r="Y286" i="11" s="1"/>
  <c r="T285" i="11"/>
  <c r="Y285" i="11" s="1"/>
  <c r="T284" i="11"/>
  <c r="Y284" i="11" s="1"/>
  <c r="T283" i="11"/>
  <c r="Y283" i="11" s="1"/>
  <c r="T282" i="11"/>
  <c r="Y282" i="11" s="1"/>
  <c r="T281" i="11"/>
  <c r="Y281" i="11" s="1"/>
  <c r="T280" i="11"/>
  <c r="Y280" i="11" s="1"/>
  <c r="T279" i="11"/>
  <c r="Y279" i="11" s="1"/>
  <c r="T278" i="11"/>
  <c r="Y278" i="11" s="1"/>
  <c r="T277" i="11"/>
  <c r="Y277" i="11" s="1"/>
  <c r="T276" i="11"/>
  <c r="Y276" i="11" s="1"/>
  <c r="T275" i="11"/>
  <c r="Y275" i="11" s="1"/>
  <c r="T274" i="11"/>
  <c r="Y274" i="11" s="1"/>
  <c r="T273" i="11"/>
  <c r="Y273" i="11" s="1"/>
  <c r="S305" i="11"/>
  <c r="X305" i="11" s="1"/>
  <c r="S304" i="11"/>
  <c r="X304" i="11" s="1"/>
  <c r="S303" i="11"/>
  <c r="X303" i="11" s="1"/>
  <c r="S302" i="11"/>
  <c r="X302" i="11" s="1"/>
  <c r="S301" i="11"/>
  <c r="X301" i="11" s="1"/>
  <c r="S300" i="11"/>
  <c r="X300" i="11" s="1"/>
  <c r="S299" i="11"/>
  <c r="X299" i="11" s="1"/>
  <c r="S298" i="11"/>
  <c r="X298" i="11" s="1"/>
  <c r="S297" i="11"/>
  <c r="X297" i="11" s="1"/>
  <c r="S296" i="11"/>
  <c r="X296" i="11" s="1"/>
  <c r="S295" i="11"/>
  <c r="X295" i="11" s="1"/>
  <c r="S294" i="11"/>
  <c r="X294" i="11" s="1"/>
  <c r="S293" i="11"/>
  <c r="X293" i="11" s="1"/>
  <c r="S292" i="11"/>
  <c r="X292" i="11" s="1"/>
  <c r="S291" i="11"/>
  <c r="X291" i="11" s="1"/>
  <c r="S290" i="11"/>
  <c r="X290" i="11" s="1"/>
  <c r="S289" i="11"/>
  <c r="X289" i="11" s="1"/>
  <c r="S288" i="11"/>
  <c r="X288" i="11" s="1"/>
  <c r="S287" i="11"/>
  <c r="X287" i="11" s="1"/>
  <c r="S286" i="11"/>
  <c r="X286" i="11" s="1"/>
  <c r="S285" i="11"/>
  <c r="X285" i="11" s="1"/>
  <c r="S284" i="11"/>
  <c r="X284" i="11" s="1"/>
  <c r="S283" i="11"/>
  <c r="X283" i="11" s="1"/>
  <c r="S282" i="11"/>
  <c r="X282" i="11" s="1"/>
  <c r="S281" i="11"/>
  <c r="X281" i="11" s="1"/>
  <c r="S280" i="11"/>
  <c r="X280" i="11" s="1"/>
  <c r="S279" i="11"/>
  <c r="X279" i="11" s="1"/>
  <c r="S278" i="11"/>
  <c r="X278" i="11" s="1"/>
  <c r="S277" i="11"/>
  <c r="X277" i="11" s="1"/>
  <c r="S276" i="11"/>
  <c r="X276" i="11" s="1"/>
  <c r="S275" i="11"/>
  <c r="X275" i="11" s="1"/>
  <c r="S274" i="11"/>
  <c r="X274" i="11" s="1"/>
  <c r="S273" i="11"/>
  <c r="X273" i="11" s="1"/>
  <c r="R305" i="11"/>
  <c r="W305" i="11" s="1"/>
  <c r="R304" i="11"/>
  <c r="W304" i="11" s="1"/>
  <c r="R303" i="11"/>
  <c r="W303" i="11" s="1"/>
  <c r="R302" i="11"/>
  <c r="W302" i="11" s="1"/>
  <c r="R301" i="11"/>
  <c r="W301" i="11" s="1"/>
  <c r="R300" i="11"/>
  <c r="W300" i="11" s="1"/>
  <c r="R299" i="11"/>
  <c r="W299" i="11" s="1"/>
  <c r="R298" i="11"/>
  <c r="W298" i="11" s="1"/>
  <c r="R297" i="11"/>
  <c r="W297" i="11" s="1"/>
  <c r="R296" i="11"/>
  <c r="W296" i="11" s="1"/>
  <c r="R295" i="11"/>
  <c r="W295" i="11" s="1"/>
  <c r="R294" i="11"/>
  <c r="W294" i="11" s="1"/>
  <c r="R293" i="11"/>
  <c r="W293" i="11" s="1"/>
  <c r="R292" i="11"/>
  <c r="W292" i="11" s="1"/>
  <c r="R291" i="11"/>
  <c r="W291" i="11" s="1"/>
  <c r="R290" i="11"/>
  <c r="W290" i="11" s="1"/>
  <c r="R289" i="11"/>
  <c r="W289" i="11" s="1"/>
  <c r="R288" i="11"/>
  <c r="W288" i="11" s="1"/>
  <c r="R287" i="11"/>
  <c r="W287" i="11" s="1"/>
  <c r="R286" i="11"/>
  <c r="W286" i="11" s="1"/>
  <c r="R285" i="11"/>
  <c r="W285" i="11" s="1"/>
  <c r="R284" i="11"/>
  <c r="W284" i="11" s="1"/>
  <c r="R283" i="11"/>
  <c r="W283" i="11" s="1"/>
  <c r="R282" i="11"/>
  <c r="W282" i="11" s="1"/>
  <c r="R281" i="11"/>
  <c r="W281" i="11" s="1"/>
  <c r="R280" i="11"/>
  <c r="W280" i="11" s="1"/>
  <c r="R279" i="11"/>
  <c r="W279" i="11" s="1"/>
  <c r="R278" i="11"/>
  <c r="W278" i="11" s="1"/>
  <c r="R277" i="11"/>
  <c r="W277" i="11" s="1"/>
  <c r="R276" i="11"/>
  <c r="W276" i="11" s="1"/>
  <c r="R275" i="11"/>
  <c r="W275" i="11" s="1"/>
  <c r="R274" i="11"/>
  <c r="W274" i="11" s="1"/>
  <c r="R273" i="11"/>
  <c r="W273" i="11" s="1"/>
  <c r="O305" i="11"/>
  <c r="O304" i="11"/>
  <c r="O303" i="11"/>
  <c r="O302" i="11"/>
  <c r="O301" i="11"/>
  <c r="O300" i="11"/>
  <c r="O299" i="11"/>
  <c r="O298" i="11"/>
  <c r="O297" i="11"/>
  <c r="O296" i="11"/>
  <c r="O295" i="11"/>
  <c r="O294" i="11"/>
  <c r="O293" i="11"/>
  <c r="O292" i="11"/>
  <c r="O291" i="11"/>
  <c r="O290" i="11"/>
  <c r="O289" i="11"/>
  <c r="O288" i="11"/>
  <c r="O287" i="11"/>
  <c r="O286" i="11"/>
  <c r="O285" i="11"/>
  <c r="O284" i="11"/>
  <c r="O283" i="11"/>
  <c r="O282" i="11"/>
  <c r="O281" i="11"/>
  <c r="O280" i="11"/>
  <c r="O279" i="11"/>
  <c r="O278" i="11"/>
  <c r="O277" i="11"/>
  <c r="O276" i="11"/>
  <c r="O275" i="11"/>
  <c r="O274" i="11"/>
  <c r="O273" i="11"/>
  <c r="N305" i="11"/>
  <c r="N304" i="11"/>
  <c r="N303" i="11"/>
  <c r="N302" i="11"/>
  <c r="N301" i="11"/>
  <c r="N300" i="11"/>
  <c r="N299" i="11"/>
  <c r="N298" i="11"/>
  <c r="N297" i="11"/>
  <c r="N296" i="11"/>
  <c r="N295" i="11"/>
  <c r="N294" i="11"/>
  <c r="N293" i="11"/>
  <c r="N292" i="11"/>
  <c r="N291" i="11"/>
  <c r="N290" i="11"/>
  <c r="N289" i="11"/>
  <c r="N288" i="11"/>
  <c r="N287" i="11"/>
  <c r="N286" i="11"/>
  <c r="N285" i="11"/>
  <c r="N284" i="11"/>
  <c r="N283" i="11"/>
  <c r="N282" i="11"/>
  <c r="N281" i="11"/>
  <c r="N280" i="11"/>
  <c r="N279" i="11"/>
  <c r="N278" i="11"/>
  <c r="N277" i="11"/>
  <c r="N276" i="11"/>
  <c r="N275" i="11"/>
  <c r="N274" i="11"/>
  <c r="N273" i="11"/>
  <c r="G305" i="11"/>
  <c r="L305" i="11" s="1"/>
  <c r="G304" i="11"/>
  <c r="L304" i="11" s="1"/>
  <c r="G303" i="11"/>
  <c r="L303" i="11" s="1"/>
  <c r="G302" i="11"/>
  <c r="L302" i="11" s="1"/>
  <c r="G301" i="11"/>
  <c r="L301" i="11" s="1"/>
  <c r="G300" i="11"/>
  <c r="L300" i="11" s="1"/>
  <c r="G299" i="11"/>
  <c r="L299" i="11" s="1"/>
  <c r="G298" i="11"/>
  <c r="L298" i="11" s="1"/>
  <c r="G297" i="11"/>
  <c r="L297" i="11" s="1"/>
  <c r="G296" i="11"/>
  <c r="L296" i="11" s="1"/>
  <c r="G295" i="11"/>
  <c r="L295" i="11" s="1"/>
  <c r="G294" i="11"/>
  <c r="L294" i="11" s="1"/>
  <c r="G293" i="11"/>
  <c r="L293" i="11" s="1"/>
  <c r="G292" i="11"/>
  <c r="L292" i="11" s="1"/>
  <c r="G291" i="11"/>
  <c r="L291" i="11" s="1"/>
  <c r="G290" i="11"/>
  <c r="L290" i="11" s="1"/>
  <c r="G289" i="11"/>
  <c r="L289" i="11" s="1"/>
  <c r="G288" i="11"/>
  <c r="L288" i="11" s="1"/>
  <c r="G287" i="11"/>
  <c r="L287" i="11" s="1"/>
  <c r="G286" i="11"/>
  <c r="L286" i="11" s="1"/>
  <c r="G285" i="11"/>
  <c r="L285" i="11" s="1"/>
  <c r="G284" i="11"/>
  <c r="L284" i="11" s="1"/>
  <c r="G283" i="11"/>
  <c r="L283" i="11" s="1"/>
  <c r="G282" i="11"/>
  <c r="L282" i="11" s="1"/>
  <c r="G281" i="11"/>
  <c r="L281" i="11" s="1"/>
  <c r="G280" i="11"/>
  <c r="L280" i="11" s="1"/>
  <c r="G279" i="11"/>
  <c r="L279" i="11" s="1"/>
  <c r="G278" i="11"/>
  <c r="L278" i="11" s="1"/>
  <c r="G277" i="11"/>
  <c r="L277" i="11" s="1"/>
  <c r="G276" i="11"/>
  <c r="L276" i="11" s="1"/>
  <c r="G275" i="11"/>
  <c r="L275" i="11" s="1"/>
  <c r="G274" i="11"/>
  <c r="L274" i="11" s="1"/>
  <c r="G273" i="11"/>
  <c r="L273" i="11" s="1"/>
  <c r="F305" i="11"/>
  <c r="K305" i="11" s="1"/>
  <c r="F304" i="11"/>
  <c r="K304" i="11" s="1"/>
  <c r="F303" i="11"/>
  <c r="K303" i="11" s="1"/>
  <c r="F302" i="11"/>
  <c r="K302" i="11" s="1"/>
  <c r="F301" i="11"/>
  <c r="K301" i="11" s="1"/>
  <c r="F300" i="11"/>
  <c r="K300" i="11" s="1"/>
  <c r="F299" i="11"/>
  <c r="K299" i="11" s="1"/>
  <c r="F298" i="11"/>
  <c r="K298" i="11" s="1"/>
  <c r="F297" i="11"/>
  <c r="K297" i="11" s="1"/>
  <c r="F296" i="11"/>
  <c r="K296" i="11" s="1"/>
  <c r="F295" i="11"/>
  <c r="K295" i="11" s="1"/>
  <c r="F294" i="11"/>
  <c r="K294" i="11" s="1"/>
  <c r="F293" i="11"/>
  <c r="K293" i="11" s="1"/>
  <c r="F292" i="11"/>
  <c r="K292" i="11" s="1"/>
  <c r="F291" i="11"/>
  <c r="K291" i="11" s="1"/>
  <c r="F290" i="11"/>
  <c r="K290" i="11" s="1"/>
  <c r="F289" i="11"/>
  <c r="K289" i="11" s="1"/>
  <c r="F288" i="11"/>
  <c r="K288" i="11" s="1"/>
  <c r="F287" i="11"/>
  <c r="K287" i="11" s="1"/>
  <c r="F286" i="11"/>
  <c r="K286" i="11" s="1"/>
  <c r="F285" i="11"/>
  <c r="K285" i="11" s="1"/>
  <c r="F284" i="11"/>
  <c r="K284" i="11" s="1"/>
  <c r="F283" i="11"/>
  <c r="K283" i="11" s="1"/>
  <c r="F282" i="11"/>
  <c r="K282" i="11" s="1"/>
  <c r="F281" i="11"/>
  <c r="K281" i="11" s="1"/>
  <c r="F280" i="11"/>
  <c r="K280" i="11" s="1"/>
  <c r="F279" i="11"/>
  <c r="K279" i="11" s="1"/>
  <c r="F278" i="11"/>
  <c r="K278" i="11" s="1"/>
  <c r="F277" i="11"/>
  <c r="K277" i="11" s="1"/>
  <c r="F276" i="11"/>
  <c r="K276" i="11" s="1"/>
  <c r="F275" i="11"/>
  <c r="K275" i="11" s="1"/>
  <c r="F274" i="11"/>
  <c r="K274" i="11" s="1"/>
  <c r="F273" i="11"/>
  <c r="K273" i="11" s="1"/>
  <c r="E305" i="11"/>
  <c r="J305" i="11" s="1"/>
  <c r="E304" i="11"/>
  <c r="J304" i="11" s="1"/>
  <c r="E303" i="11"/>
  <c r="J303" i="11" s="1"/>
  <c r="E302" i="11"/>
  <c r="J302" i="11" s="1"/>
  <c r="E301" i="11"/>
  <c r="J301" i="11" s="1"/>
  <c r="E300" i="11"/>
  <c r="J300" i="11" s="1"/>
  <c r="E299" i="11"/>
  <c r="J299" i="11" s="1"/>
  <c r="E298" i="11"/>
  <c r="J298" i="11" s="1"/>
  <c r="E297" i="11"/>
  <c r="J297" i="11" s="1"/>
  <c r="E296" i="11"/>
  <c r="J296" i="11" s="1"/>
  <c r="E295" i="11"/>
  <c r="J295" i="11" s="1"/>
  <c r="E294" i="11"/>
  <c r="J294" i="11" s="1"/>
  <c r="E293" i="11"/>
  <c r="J293" i="11" s="1"/>
  <c r="E292" i="11"/>
  <c r="J292" i="11" s="1"/>
  <c r="E291" i="11"/>
  <c r="J291" i="11" s="1"/>
  <c r="E290" i="11"/>
  <c r="J290" i="11" s="1"/>
  <c r="E289" i="11"/>
  <c r="J289" i="11" s="1"/>
  <c r="E288" i="11"/>
  <c r="J288" i="11" s="1"/>
  <c r="E287" i="11"/>
  <c r="J287" i="11" s="1"/>
  <c r="E286" i="11"/>
  <c r="J286" i="11" s="1"/>
  <c r="E285" i="11"/>
  <c r="J285" i="11" s="1"/>
  <c r="E284" i="11"/>
  <c r="J284" i="11" s="1"/>
  <c r="E283" i="11"/>
  <c r="J283" i="11" s="1"/>
  <c r="E282" i="11"/>
  <c r="J282" i="11" s="1"/>
  <c r="E281" i="11"/>
  <c r="J281" i="11" s="1"/>
  <c r="E280" i="11"/>
  <c r="J280" i="11" s="1"/>
  <c r="E279" i="11"/>
  <c r="J279" i="11" s="1"/>
  <c r="E278" i="11"/>
  <c r="J278" i="11" s="1"/>
  <c r="E277" i="11"/>
  <c r="J277" i="11" s="1"/>
  <c r="E276" i="11"/>
  <c r="J276" i="11" s="1"/>
  <c r="E275" i="11"/>
  <c r="J275" i="11" s="1"/>
  <c r="E274" i="11"/>
  <c r="J274" i="11" s="1"/>
  <c r="E273" i="11"/>
  <c r="J273" i="11" s="1"/>
  <c r="D305" i="11"/>
  <c r="I305" i="11" s="1"/>
  <c r="D304" i="11"/>
  <c r="I304" i="11" s="1"/>
  <c r="D303" i="11"/>
  <c r="I303" i="11" s="1"/>
  <c r="D302" i="11"/>
  <c r="I302" i="11" s="1"/>
  <c r="D301" i="11"/>
  <c r="I301" i="11" s="1"/>
  <c r="D300" i="11"/>
  <c r="I300" i="11" s="1"/>
  <c r="D299" i="11"/>
  <c r="I299" i="11" s="1"/>
  <c r="D298" i="11"/>
  <c r="I298" i="11" s="1"/>
  <c r="D297" i="11"/>
  <c r="I297" i="11" s="1"/>
  <c r="D296" i="11"/>
  <c r="I296" i="11" s="1"/>
  <c r="D295" i="11"/>
  <c r="I295" i="11" s="1"/>
  <c r="D294" i="11"/>
  <c r="I294" i="11" s="1"/>
  <c r="D293" i="11"/>
  <c r="I293" i="11" s="1"/>
  <c r="D292" i="11"/>
  <c r="I292" i="11" s="1"/>
  <c r="D291" i="11"/>
  <c r="I291" i="11" s="1"/>
  <c r="D290" i="11"/>
  <c r="I290" i="11" s="1"/>
  <c r="D289" i="11"/>
  <c r="I289" i="11" s="1"/>
  <c r="D288" i="11"/>
  <c r="I288" i="11" s="1"/>
  <c r="D287" i="11"/>
  <c r="I287" i="11" s="1"/>
  <c r="D286" i="11"/>
  <c r="I286" i="11" s="1"/>
  <c r="D285" i="11"/>
  <c r="I285" i="11" s="1"/>
  <c r="D284" i="11"/>
  <c r="I284" i="11" s="1"/>
  <c r="D283" i="11"/>
  <c r="I283" i="11" s="1"/>
  <c r="D282" i="11"/>
  <c r="I282" i="11" s="1"/>
  <c r="D281" i="11"/>
  <c r="I281" i="11" s="1"/>
  <c r="D280" i="11"/>
  <c r="I280" i="11" s="1"/>
  <c r="D279" i="11"/>
  <c r="I279" i="11" s="1"/>
  <c r="D278" i="11"/>
  <c r="I278" i="11" s="1"/>
  <c r="D277" i="11"/>
  <c r="I277" i="11" s="1"/>
  <c r="D276" i="11"/>
  <c r="I276" i="11" s="1"/>
  <c r="D275" i="11"/>
  <c r="I275" i="11" s="1"/>
  <c r="D274" i="11"/>
  <c r="I274" i="11" s="1"/>
  <c r="D273" i="11"/>
  <c r="I273" i="11" s="1"/>
  <c r="C305" i="11"/>
  <c r="H305" i="11" s="1"/>
  <c r="C304" i="11"/>
  <c r="H304" i="11" s="1"/>
  <c r="C303" i="11"/>
  <c r="H303" i="11" s="1"/>
  <c r="C302" i="11"/>
  <c r="H302" i="11" s="1"/>
  <c r="C301" i="11"/>
  <c r="H301" i="11" s="1"/>
  <c r="C300" i="11"/>
  <c r="H300" i="11" s="1"/>
  <c r="C299" i="11"/>
  <c r="H299" i="11" s="1"/>
  <c r="C298" i="11"/>
  <c r="H298" i="11" s="1"/>
  <c r="C297" i="11"/>
  <c r="H297" i="11" s="1"/>
  <c r="C296" i="11"/>
  <c r="H296" i="11" s="1"/>
  <c r="C295" i="11"/>
  <c r="H295" i="11" s="1"/>
  <c r="C294" i="11"/>
  <c r="H294" i="11" s="1"/>
  <c r="C293" i="11"/>
  <c r="H293" i="11" s="1"/>
  <c r="C292" i="11"/>
  <c r="H292" i="11" s="1"/>
  <c r="C291" i="11"/>
  <c r="H291" i="11" s="1"/>
  <c r="C290" i="11"/>
  <c r="H290" i="11" s="1"/>
  <c r="C289" i="11"/>
  <c r="H289" i="11" s="1"/>
  <c r="C288" i="11"/>
  <c r="H288" i="11" s="1"/>
  <c r="C287" i="11"/>
  <c r="H287" i="11" s="1"/>
  <c r="C286" i="11"/>
  <c r="H286" i="11" s="1"/>
  <c r="C285" i="11"/>
  <c r="H285" i="11" s="1"/>
  <c r="C284" i="11"/>
  <c r="H284" i="11" s="1"/>
  <c r="C283" i="11"/>
  <c r="H283" i="11" s="1"/>
  <c r="C282" i="11"/>
  <c r="H282" i="11" s="1"/>
  <c r="C281" i="11"/>
  <c r="H281" i="11" s="1"/>
  <c r="C280" i="11"/>
  <c r="H280" i="11" s="1"/>
  <c r="C279" i="11"/>
  <c r="H279" i="11" s="1"/>
  <c r="C278" i="11"/>
  <c r="H278" i="11" s="1"/>
  <c r="C277" i="11"/>
  <c r="H277" i="11" s="1"/>
  <c r="C276" i="11"/>
  <c r="H276" i="11" s="1"/>
  <c r="C275" i="11"/>
  <c r="H275" i="11" s="1"/>
  <c r="C274" i="11"/>
  <c r="H274" i="11" s="1"/>
  <c r="C273" i="11"/>
  <c r="H273" i="11" s="1"/>
  <c r="AD267" i="11"/>
  <c r="AD266" i="11"/>
  <c r="AD265" i="11"/>
  <c r="AD264" i="11"/>
  <c r="AD263" i="11"/>
  <c r="AD262" i="11"/>
  <c r="AD261" i="11"/>
  <c r="AD260" i="11"/>
  <c r="AD259" i="11"/>
  <c r="AD258" i="11"/>
  <c r="AD257" i="11"/>
  <c r="AD256" i="11"/>
  <c r="AD255" i="11"/>
  <c r="AD254" i="11"/>
  <c r="AD253" i="11"/>
  <c r="AD252" i="11"/>
  <c r="AD251" i="11"/>
  <c r="AD250" i="11"/>
  <c r="AD249" i="11"/>
  <c r="AD248" i="11"/>
  <c r="AD247" i="11"/>
  <c r="AD246" i="11"/>
  <c r="AD245" i="11"/>
  <c r="AD244" i="11"/>
  <c r="AD243" i="11"/>
  <c r="AD242" i="11"/>
  <c r="AD241" i="11"/>
  <c r="AD240" i="11"/>
  <c r="AD239" i="11"/>
  <c r="AD238" i="11"/>
  <c r="AD237" i="11"/>
  <c r="AD236" i="11"/>
  <c r="AD235" i="11"/>
  <c r="AC267" i="11"/>
  <c r="AC266" i="11"/>
  <c r="AC265" i="11"/>
  <c r="AC264" i="11"/>
  <c r="AC263" i="11"/>
  <c r="AC262" i="11"/>
  <c r="AC261" i="11"/>
  <c r="AC260" i="11"/>
  <c r="AC259" i="11"/>
  <c r="AC258" i="11"/>
  <c r="AC257" i="11"/>
  <c r="AC256" i="11"/>
  <c r="AC255" i="11"/>
  <c r="AC254" i="11"/>
  <c r="AC253" i="11"/>
  <c r="AC252" i="11"/>
  <c r="AC251" i="11"/>
  <c r="AC250" i="11"/>
  <c r="AC249" i="11"/>
  <c r="AC248" i="11"/>
  <c r="AC247" i="11"/>
  <c r="AC246" i="11"/>
  <c r="AC245" i="11"/>
  <c r="AC244" i="11"/>
  <c r="AC243" i="11"/>
  <c r="AC242" i="11"/>
  <c r="AC241" i="11"/>
  <c r="AC240" i="11"/>
  <c r="AC239" i="11"/>
  <c r="AC238" i="11"/>
  <c r="AC237" i="11"/>
  <c r="AC236" i="11"/>
  <c r="AC235" i="11"/>
  <c r="V267" i="11"/>
  <c r="AA267" i="11" s="1"/>
  <c r="V266" i="11"/>
  <c r="AA266" i="11" s="1"/>
  <c r="V265" i="11"/>
  <c r="AA265" i="11" s="1"/>
  <c r="V264" i="11"/>
  <c r="AA264" i="11" s="1"/>
  <c r="V263" i="11"/>
  <c r="AA263" i="11" s="1"/>
  <c r="V262" i="11"/>
  <c r="AA262" i="11" s="1"/>
  <c r="V261" i="11"/>
  <c r="AA261" i="11" s="1"/>
  <c r="V260" i="11"/>
  <c r="AA260" i="11" s="1"/>
  <c r="V259" i="11"/>
  <c r="AA259" i="11" s="1"/>
  <c r="V258" i="11"/>
  <c r="AA258" i="11" s="1"/>
  <c r="V257" i="11"/>
  <c r="AA257" i="11" s="1"/>
  <c r="V256" i="11"/>
  <c r="AA256" i="11" s="1"/>
  <c r="V255" i="11"/>
  <c r="AA255" i="11" s="1"/>
  <c r="V254" i="11"/>
  <c r="AA254" i="11" s="1"/>
  <c r="V253" i="11"/>
  <c r="AA253" i="11" s="1"/>
  <c r="V252" i="11"/>
  <c r="AA252" i="11" s="1"/>
  <c r="V251" i="11"/>
  <c r="AA251" i="11" s="1"/>
  <c r="V250" i="11"/>
  <c r="AA250" i="11" s="1"/>
  <c r="V249" i="11"/>
  <c r="AA249" i="11" s="1"/>
  <c r="V248" i="11"/>
  <c r="AA248" i="11" s="1"/>
  <c r="V247" i="11"/>
  <c r="AA247" i="11" s="1"/>
  <c r="V246" i="11"/>
  <c r="AA246" i="11" s="1"/>
  <c r="V245" i="11"/>
  <c r="AA245" i="11" s="1"/>
  <c r="V244" i="11"/>
  <c r="AA244" i="11" s="1"/>
  <c r="V243" i="11"/>
  <c r="AA243" i="11" s="1"/>
  <c r="V242" i="11"/>
  <c r="AA242" i="11" s="1"/>
  <c r="V241" i="11"/>
  <c r="AA241" i="11" s="1"/>
  <c r="V240" i="11"/>
  <c r="AA240" i="11" s="1"/>
  <c r="V239" i="11"/>
  <c r="AA239" i="11" s="1"/>
  <c r="V238" i="11"/>
  <c r="AA238" i="11" s="1"/>
  <c r="V237" i="11"/>
  <c r="AA237" i="11" s="1"/>
  <c r="V236" i="11"/>
  <c r="AA236" i="11" s="1"/>
  <c r="V235" i="11"/>
  <c r="AA235" i="11" s="1"/>
  <c r="U267" i="11"/>
  <c r="Z267" i="11" s="1"/>
  <c r="U266" i="11"/>
  <c r="Z266" i="11" s="1"/>
  <c r="U265" i="11"/>
  <c r="Z265" i="11" s="1"/>
  <c r="U264" i="11"/>
  <c r="Z264" i="11" s="1"/>
  <c r="U263" i="11"/>
  <c r="Z263" i="11" s="1"/>
  <c r="U262" i="11"/>
  <c r="Z262" i="11" s="1"/>
  <c r="U261" i="11"/>
  <c r="Z261" i="11" s="1"/>
  <c r="U260" i="11"/>
  <c r="Z260" i="11" s="1"/>
  <c r="U259" i="11"/>
  <c r="Z259" i="11" s="1"/>
  <c r="U258" i="11"/>
  <c r="Z258" i="11" s="1"/>
  <c r="U257" i="11"/>
  <c r="Z257" i="11" s="1"/>
  <c r="U256" i="11"/>
  <c r="Z256" i="11" s="1"/>
  <c r="U255" i="11"/>
  <c r="Z255" i="11" s="1"/>
  <c r="U254" i="11"/>
  <c r="Z254" i="11" s="1"/>
  <c r="U253" i="11"/>
  <c r="Z253" i="11" s="1"/>
  <c r="U252" i="11"/>
  <c r="Z252" i="11" s="1"/>
  <c r="U251" i="11"/>
  <c r="Z251" i="11" s="1"/>
  <c r="U250" i="11"/>
  <c r="Z250" i="11" s="1"/>
  <c r="U249" i="11"/>
  <c r="Z249" i="11" s="1"/>
  <c r="U248" i="11"/>
  <c r="Z248" i="11" s="1"/>
  <c r="U247" i="11"/>
  <c r="Z247" i="11" s="1"/>
  <c r="U246" i="11"/>
  <c r="Z246" i="11" s="1"/>
  <c r="U245" i="11"/>
  <c r="Z245" i="11" s="1"/>
  <c r="U244" i="11"/>
  <c r="Z244" i="11" s="1"/>
  <c r="U243" i="11"/>
  <c r="Z243" i="11" s="1"/>
  <c r="U242" i="11"/>
  <c r="Z242" i="11" s="1"/>
  <c r="U241" i="11"/>
  <c r="Z241" i="11" s="1"/>
  <c r="U240" i="11"/>
  <c r="Z240" i="11" s="1"/>
  <c r="U239" i="11"/>
  <c r="Z239" i="11" s="1"/>
  <c r="U238" i="11"/>
  <c r="Z238" i="11" s="1"/>
  <c r="U237" i="11"/>
  <c r="Z237" i="11" s="1"/>
  <c r="U236" i="11"/>
  <c r="Z236" i="11" s="1"/>
  <c r="U235" i="11"/>
  <c r="Z235" i="11" s="1"/>
  <c r="T267" i="11"/>
  <c r="Y267" i="11" s="1"/>
  <c r="T266" i="11"/>
  <c r="Y266" i="11" s="1"/>
  <c r="T265" i="11"/>
  <c r="Y265" i="11" s="1"/>
  <c r="T264" i="11"/>
  <c r="Y264" i="11" s="1"/>
  <c r="T263" i="11"/>
  <c r="Y263" i="11" s="1"/>
  <c r="T262" i="11"/>
  <c r="Y262" i="11" s="1"/>
  <c r="T261" i="11"/>
  <c r="Y261" i="11" s="1"/>
  <c r="T260" i="11"/>
  <c r="Y260" i="11" s="1"/>
  <c r="T259" i="11"/>
  <c r="Y259" i="11" s="1"/>
  <c r="T258" i="11"/>
  <c r="Y258" i="11" s="1"/>
  <c r="T257" i="11"/>
  <c r="Y257" i="11" s="1"/>
  <c r="T256" i="11"/>
  <c r="Y256" i="11" s="1"/>
  <c r="T255" i="11"/>
  <c r="Y255" i="11" s="1"/>
  <c r="T254" i="11"/>
  <c r="Y254" i="11" s="1"/>
  <c r="T253" i="11"/>
  <c r="Y253" i="11" s="1"/>
  <c r="T252" i="11"/>
  <c r="Y252" i="11" s="1"/>
  <c r="T251" i="11"/>
  <c r="Y251" i="11" s="1"/>
  <c r="T250" i="11"/>
  <c r="Y250" i="11" s="1"/>
  <c r="T249" i="11"/>
  <c r="Y249" i="11" s="1"/>
  <c r="T248" i="11"/>
  <c r="Y248" i="11" s="1"/>
  <c r="T247" i="11"/>
  <c r="Y247" i="11" s="1"/>
  <c r="T246" i="11"/>
  <c r="Y246" i="11" s="1"/>
  <c r="T245" i="11"/>
  <c r="Y245" i="11" s="1"/>
  <c r="T244" i="11"/>
  <c r="Y244" i="11" s="1"/>
  <c r="T243" i="11"/>
  <c r="Y243" i="11" s="1"/>
  <c r="T242" i="11"/>
  <c r="Y242" i="11" s="1"/>
  <c r="T241" i="11"/>
  <c r="Y241" i="11" s="1"/>
  <c r="T240" i="11"/>
  <c r="Y240" i="11" s="1"/>
  <c r="T239" i="11"/>
  <c r="Y239" i="11" s="1"/>
  <c r="T238" i="11"/>
  <c r="Y238" i="11" s="1"/>
  <c r="T237" i="11"/>
  <c r="Y237" i="11" s="1"/>
  <c r="T236" i="11"/>
  <c r="Y236" i="11" s="1"/>
  <c r="T235" i="11"/>
  <c r="Y235" i="11" s="1"/>
  <c r="S267" i="11"/>
  <c r="X267" i="11" s="1"/>
  <c r="S266" i="11"/>
  <c r="X266" i="11" s="1"/>
  <c r="S265" i="11"/>
  <c r="X265" i="11" s="1"/>
  <c r="S264" i="11"/>
  <c r="X264" i="11" s="1"/>
  <c r="S263" i="11"/>
  <c r="X263" i="11" s="1"/>
  <c r="S262" i="11"/>
  <c r="X262" i="11" s="1"/>
  <c r="S261" i="11"/>
  <c r="X261" i="11" s="1"/>
  <c r="S260" i="11"/>
  <c r="X260" i="11" s="1"/>
  <c r="S259" i="11"/>
  <c r="X259" i="11" s="1"/>
  <c r="S258" i="11"/>
  <c r="X258" i="11" s="1"/>
  <c r="S257" i="11"/>
  <c r="X257" i="11" s="1"/>
  <c r="S256" i="11"/>
  <c r="X256" i="11" s="1"/>
  <c r="S255" i="11"/>
  <c r="X255" i="11" s="1"/>
  <c r="S254" i="11"/>
  <c r="X254" i="11" s="1"/>
  <c r="S253" i="11"/>
  <c r="X253" i="11" s="1"/>
  <c r="S252" i="11"/>
  <c r="X252" i="11" s="1"/>
  <c r="S251" i="11"/>
  <c r="X251" i="11" s="1"/>
  <c r="S250" i="11"/>
  <c r="X250" i="11" s="1"/>
  <c r="S249" i="11"/>
  <c r="X249" i="11" s="1"/>
  <c r="S248" i="11"/>
  <c r="X248" i="11" s="1"/>
  <c r="S247" i="11"/>
  <c r="X247" i="11" s="1"/>
  <c r="S246" i="11"/>
  <c r="X246" i="11" s="1"/>
  <c r="S245" i="11"/>
  <c r="X245" i="11" s="1"/>
  <c r="S244" i="11"/>
  <c r="X244" i="11" s="1"/>
  <c r="S243" i="11"/>
  <c r="X243" i="11" s="1"/>
  <c r="S242" i="11"/>
  <c r="X242" i="11" s="1"/>
  <c r="S241" i="11"/>
  <c r="X241" i="11" s="1"/>
  <c r="S240" i="11"/>
  <c r="X240" i="11" s="1"/>
  <c r="S239" i="11"/>
  <c r="X239" i="11" s="1"/>
  <c r="S238" i="11"/>
  <c r="X238" i="11" s="1"/>
  <c r="S237" i="11"/>
  <c r="X237" i="11" s="1"/>
  <c r="S236" i="11"/>
  <c r="X236" i="11" s="1"/>
  <c r="S235" i="11"/>
  <c r="X235" i="11" s="1"/>
  <c r="R267" i="11"/>
  <c r="W267" i="11" s="1"/>
  <c r="R266" i="11"/>
  <c r="W266" i="11" s="1"/>
  <c r="R265" i="11"/>
  <c r="W265" i="11" s="1"/>
  <c r="R264" i="11"/>
  <c r="W264" i="11" s="1"/>
  <c r="R263" i="11"/>
  <c r="W263" i="11" s="1"/>
  <c r="R262" i="11"/>
  <c r="W262" i="11" s="1"/>
  <c r="R261" i="11"/>
  <c r="W261" i="11" s="1"/>
  <c r="R260" i="11"/>
  <c r="W260" i="11" s="1"/>
  <c r="R259" i="11"/>
  <c r="W259" i="11" s="1"/>
  <c r="R258" i="11"/>
  <c r="W258" i="11" s="1"/>
  <c r="R257" i="11"/>
  <c r="W257" i="11" s="1"/>
  <c r="R256" i="11"/>
  <c r="W256" i="11" s="1"/>
  <c r="R255" i="11"/>
  <c r="W255" i="11" s="1"/>
  <c r="R254" i="11"/>
  <c r="W254" i="11" s="1"/>
  <c r="R253" i="11"/>
  <c r="W253" i="11" s="1"/>
  <c r="R252" i="11"/>
  <c r="W252" i="11" s="1"/>
  <c r="R251" i="11"/>
  <c r="W251" i="11" s="1"/>
  <c r="R250" i="11"/>
  <c r="W250" i="11" s="1"/>
  <c r="R249" i="11"/>
  <c r="W249" i="11" s="1"/>
  <c r="R248" i="11"/>
  <c r="W248" i="11" s="1"/>
  <c r="R247" i="11"/>
  <c r="W247" i="11" s="1"/>
  <c r="R246" i="11"/>
  <c r="W246" i="11" s="1"/>
  <c r="R245" i="11"/>
  <c r="W245" i="11" s="1"/>
  <c r="R244" i="11"/>
  <c r="W244" i="11" s="1"/>
  <c r="R243" i="11"/>
  <c r="W243" i="11" s="1"/>
  <c r="R242" i="11"/>
  <c r="W242" i="11" s="1"/>
  <c r="R241" i="11"/>
  <c r="W241" i="11" s="1"/>
  <c r="R240" i="11"/>
  <c r="W240" i="11" s="1"/>
  <c r="R239" i="11"/>
  <c r="W239" i="11" s="1"/>
  <c r="R238" i="11"/>
  <c r="W238" i="11" s="1"/>
  <c r="R237" i="11"/>
  <c r="W237" i="11" s="1"/>
  <c r="R236" i="11"/>
  <c r="W236" i="11" s="1"/>
  <c r="R235" i="11"/>
  <c r="W235" i="11" s="1"/>
  <c r="O267" i="11"/>
  <c r="O266" i="11"/>
  <c r="O265" i="11"/>
  <c r="O264" i="11"/>
  <c r="O263" i="11"/>
  <c r="O262" i="11"/>
  <c r="O261" i="11"/>
  <c r="O260" i="11"/>
  <c r="O259" i="11"/>
  <c r="O258" i="11"/>
  <c r="O257" i="11"/>
  <c r="O256" i="11"/>
  <c r="O255" i="11"/>
  <c r="O254" i="11"/>
  <c r="O253" i="11"/>
  <c r="O252" i="11"/>
  <c r="O251" i="11"/>
  <c r="O250" i="11"/>
  <c r="O249" i="11"/>
  <c r="O248" i="11"/>
  <c r="O247" i="11"/>
  <c r="O246" i="11"/>
  <c r="O245" i="11"/>
  <c r="O244" i="11"/>
  <c r="O243" i="11"/>
  <c r="O242" i="11"/>
  <c r="O241" i="11"/>
  <c r="O240" i="11"/>
  <c r="O239" i="11"/>
  <c r="O238" i="11"/>
  <c r="O237" i="11"/>
  <c r="O236" i="11"/>
  <c r="O235" i="11"/>
  <c r="N267" i="11"/>
  <c r="N266" i="11"/>
  <c r="N265" i="11"/>
  <c r="N264" i="11"/>
  <c r="N263" i="11"/>
  <c r="N262" i="11"/>
  <c r="N261" i="11"/>
  <c r="N260" i="11"/>
  <c r="N259" i="11"/>
  <c r="N258" i="11"/>
  <c r="N257" i="11"/>
  <c r="N256" i="11"/>
  <c r="N255" i="11"/>
  <c r="N254" i="11"/>
  <c r="N253" i="11"/>
  <c r="N252" i="11"/>
  <c r="N251" i="11"/>
  <c r="N250" i="11"/>
  <c r="N249" i="11"/>
  <c r="N248" i="11"/>
  <c r="N247" i="11"/>
  <c r="N246" i="11"/>
  <c r="N245" i="11"/>
  <c r="N244" i="11"/>
  <c r="N243" i="11"/>
  <c r="N242" i="11"/>
  <c r="N241" i="11"/>
  <c r="N240" i="11"/>
  <c r="N239" i="11"/>
  <c r="N238" i="11"/>
  <c r="N237" i="11"/>
  <c r="N236" i="11"/>
  <c r="N235" i="11"/>
  <c r="G267" i="11"/>
  <c r="L267" i="11" s="1"/>
  <c r="G266" i="11"/>
  <c r="L266" i="11" s="1"/>
  <c r="G265" i="11"/>
  <c r="L265" i="11" s="1"/>
  <c r="G264" i="11"/>
  <c r="L264" i="11" s="1"/>
  <c r="G263" i="11"/>
  <c r="L263" i="11" s="1"/>
  <c r="G262" i="11"/>
  <c r="L262" i="11" s="1"/>
  <c r="G261" i="11"/>
  <c r="L261" i="11" s="1"/>
  <c r="G260" i="11"/>
  <c r="L260" i="11" s="1"/>
  <c r="G259" i="11"/>
  <c r="L259" i="11" s="1"/>
  <c r="G258" i="11"/>
  <c r="L258" i="11" s="1"/>
  <c r="G257" i="11"/>
  <c r="L257" i="11" s="1"/>
  <c r="G256" i="11"/>
  <c r="L256" i="11" s="1"/>
  <c r="G255" i="11"/>
  <c r="L255" i="11" s="1"/>
  <c r="G254" i="11"/>
  <c r="L254" i="11" s="1"/>
  <c r="G253" i="11"/>
  <c r="L253" i="11" s="1"/>
  <c r="G252" i="11"/>
  <c r="L252" i="11" s="1"/>
  <c r="G251" i="11"/>
  <c r="L251" i="11" s="1"/>
  <c r="G250" i="11"/>
  <c r="L250" i="11" s="1"/>
  <c r="G249" i="11"/>
  <c r="L249" i="11" s="1"/>
  <c r="G248" i="11"/>
  <c r="L248" i="11" s="1"/>
  <c r="G247" i="11"/>
  <c r="L247" i="11" s="1"/>
  <c r="G246" i="11"/>
  <c r="L246" i="11" s="1"/>
  <c r="G245" i="11"/>
  <c r="L245" i="11" s="1"/>
  <c r="G244" i="11"/>
  <c r="L244" i="11" s="1"/>
  <c r="G243" i="11"/>
  <c r="L243" i="11" s="1"/>
  <c r="G242" i="11"/>
  <c r="L242" i="11" s="1"/>
  <c r="G241" i="11"/>
  <c r="L241" i="11" s="1"/>
  <c r="G240" i="11"/>
  <c r="L240" i="11" s="1"/>
  <c r="G239" i="11"/>
  <c r="L239" i="11" s="1"/>
  <c r="G238" i="11"/>
  <c r="L238" i="11" s="1"/>
  <c r="G237" i="11"/>
  <c r="L237" i="11" s="1"/>
  <c r="G236" i="11"/>
  <c r="L236" i="11" s="1"/>
  <c r="G235" i="11"/>
  <c r="L235" i="11" s="1"/>
  <c r="F267" i="11"/>
  <c r="K267" i="11" s="1"/>
  <c r="F266" i="11"/>
  <c r="K266" i="11" s="1"/>
  <c r="F265" i="11"/>
  <c r="K265" i="11" s="1"/>
  <c r="F264" i="11"/>
  <c r="K264" i="11" s="1"/>
  <c r="F263" i="11"/>
  <c r="K263" i="11" s="1"/>
  <c r="F262" i="11"/>
  <c r="K262" i="11" s="1"/>
  <c r="F261" i="11"/>
  <c r="K261" i="11" s="1"/>
  <c r="F260" i="11"/>
  <c r="K260" i="11" s="1"/>
  <c r="F259" i="11"/>
  <c r="K259" i="11" s="1"/>
  <c r="F258" i="11"/>
  <c r="K258" i="11" s="1"/>
  <c r="F257" i="11"/>
  <c r="K257" i="11" s="1"/>
  <c r="F256" i="11"/>
  <c r="K256" i="11" s="1"/>
  <c r="F255" i="11"/>
  <c r="K255" i="11" s="1"/>
  <c r="F254" i="11"/>
  <c r="K254" i="11" s="1"/>
  <c r="F253" i="11"/>
  <c r="K253" i="11" s="1"/>
  <c r="F252" i="11"/>
  <c r="K252" i="11" s="1"/>
  <c r="F251" i="11"/>
  <c r="K251" i="11" s="1"/>
  <c r="F250" i="11"/>
  <c r="K250" i="11" s="1"/>
  <c r="F249" i="11"/>
  <c r="K249" i="11" s="1"/>
  <c r="F248" i="11"/>
  <c r="K248" i="11" s="1"/>
  <c r="F247" i="11"/>
  <c r="K247" i="11" s="1"/>
  <c r="F246" i="11"/>
  <c r="K246" i="11" s="1"/>
  <c r="F245" i="11"/>
  <c r="K245" i="11" s="1"/>
  <c r="F244" i="11"/>
  <c r="K244" i="11" s="1"/>
  <c r="F243" i="11"/>
  <c r="K243" i="11" s="1"/>
  <c r="F242" i="11"/>
  <c r="K242" i="11" s="1"/>
  <c r="F241" i="11"/>
  <c r="K241" i="11" s="1"/>
  <c r="F240" i="11"/>
  <c r="K240" i="11" s="1"/>
  <c r="F239" i="11"/>
  <c r="K239" i="11" s="1"/>
  <c r="F238" i="11"/>
  <c r="K238" i="11" s="1"/>
  <c r="F237" i="11"/>
  <c r="K237" i="11" s="1"/>
  <c r="F236" i="11"/>
  <c r="K236" i="11" s="1"/>
  <c r="F235" i="11"/>
  <c r="K235" i="11" s="1"/>
  <c r="E267" i="11"/>
  <c r="J267" i="11" s="1"/>
  <c r="E266" i="11"/>
  <c r="J266" i="11" s="1"/>
  <c r="E265" i="11"/>
  <c r="J265" i="11" s="1"/>
  <c r="E264" i="11"/>
  <c r="J264" i="11" s="1"/>
  <c r="E263" i="11"/>
  <c r="J263" i="11" s="1"/>
  <c r="E262" i="11"/>
  <c r="J262" i="11" s="1"/>
  <c r="E261" i="11"/>
  <c r="J261" i="11" s="1"/>
  <c r="E260" i="11"/>
  <c r="J260" i="11" s="1"/>
  <c r="E259" i="11"/>
  <c r="J259" i="11" s="1"/>
  <c r="E258" i="11"/>
  <c r="J258" i="11" s="1"/>
  <c r="E257" i="11"/>
  <c r="J257" i="11" s="1"/>
  <c r="E256" i="11"/>
  <c r="J256" i="11" s="1"/>
  <c r="E255" i="11"/>
  <c r="J255" i="11" s="1"/>
  <c r="E254" i="11"/>
  <c r="J254" i="11" s="1"/>
  <c r="E253" i="11"/>
  <c r="J253" i="11" s="1"/>
  <c r="E252" i="11"/>
  <c r="J252" i="11" s="1"/>
  <c r="E251" i="11"/>
  <c r="J251" i="11" s="1"/>
  <c r="E250" i="11"/>
  <c r="J250" i="11" s="1"/>
  <c r="E249" i="11"/>
  <c r="J249" i="11" s="1"/>
  <c r="E248" i="11"/>
  <c r="J248" i="11" s="1"/>
  <c r="E247" i="11"/>
  <c r="J247" i="11" s="1"/>
  <c r="E246" i="11"/>
  <c r="J246" i="11" s="1"/>
  <c r="E245" i="11"/>
  <c r="J245" i="11" s="1"/>
  <c r="E244" i="11"/>
  <c r="J244" i="11" s="1"/>
  <c r="E243" i="11"/>
  <c r="J243" i="11" s="1"/>
  <c r="E242" i="11"/>
  <c r="J242" i="11" s="1"/>
  <c r="E241" i="11"/>
  <c r="J241" i="11" s="1"/>
  <c r="E240" i="11"/>
  <c r="J240" i="11" s="1"/>
  <c r="E239" i="11"/>
  <c r="J239" i="11" s="1"/>
  <c r="E238" i="11"/>
  <c r="J238" i="11" s="1"/>
  <c r="E237" i="11"/>
  <c r="J237" i="11" s="1"/>
  <c r="E236" i="11"/>
  <c r="J236" i="11" s="1"/>
  <c r="E235" i="11"/>
  <c r="J235" i="11" s="1"/>
  <c r="D267" i="11"/>
  <c r="I267" i="11" s="1"/>
  <c r="D266" i="11"/>
  <c r="I266" i="11" s="1"/>
  <c r="D265" i="11"/>
  <c r="I265" i="11" s="1"/>
  <c r="D264" i="11"/>
  <c r="I264" i="11" s="1"/>
  <c r="D263" i="11"/>
  <c r="I263" i="11" s="1"/>
  <c r="D262" i="11"/>
  <c r="I262" i="11" s="1"/>
  <c r="D261" i="11"/>
  <c r="I261" i="11" s="1"/>
  <c r="D260" i="11"/>
  <c r="I260" i="11" s="1"/>
  <c r="D259" i="11"/>
  <c r="I259" i="11" s="1"/>
  <c r="D258" i="11"/>
  <c r="I258" i="11" s="1"/>
  <c r="D257" i="11"/>
  <c r="I257" i="11" s="1"/>
  <c r="D256" i="11"/>
  <c r="I256" i="11" s="1"/>
  <c r="D255" i="11"/>
  <c r="I255" i="11" s="1"/>
  <c r="D254" i="11"/>
  <c r="I254" i="11" s="1"/>
  <c r="D253" i="11"/>
  <c r="I253" i="11" s="1"/>
  <c r="D252" i="11"/>
  <c r="I252" i="11" s="1"/>
  <c r="D251" i="11"/>
  <c r="I251" i="11" s="1"/>
  <c r="D250" i="11"/>
  <c r="I250" i="11" s="1"/>
  <c r="D249" i="11"/>
  <c r="I249" i="11" s="1"/>
  <c r="D248" i="11"/>
  <c r="I248" i="11" s="1"/>
  <c r="D247" i="11"/>
  <c r="I247" i="11" s="1"/>
  <c r="D246" i="11"/>
  <c r="I246" i="11" s="1"/>
  <c r="D245" i="11"/>
  <c r="I245" i="11" s="1"/>
  <c r="D244" i="11"/>
  <c r="I244" i="11" s="1"/>
  <c r="D243" i="11"/>
  <c r="I243" i="11" s="1"/>
  <c r="D242" i="11"/>
  <c r="I242" i="11" s="1"/>
  <c r="D241" i="11"/>
  <c r="I241" i="11" s="1"/>
  <c r="D240" i="11"/>
  <c r="I240" i="11" s="1"/>
  <c r="D239" i="11"/>
  <c r="I239" i="11" s="1"/>
  <c r="D238" i="11"/>
  <c r="I238" i="11" s="1"/>
  <c r="D237" i="11"/>
  <c r="I237" i="11" s="1"/>
  <c r="D236" i="11"/>
  <c r="I236" i="11" s="1"/>
  <c r="D235" i="11"/>
  <c r="I235" i="11" s="1"/>
  <c r="C267" i="11"/>
  <c r="H267" i="11" s="1"/>
  <c r="C266" i="11"/>
  <c r="H266" i="11" s="1"/>
  <c r="C265" i="11"/>
  <c r="H265" i="11" s="1"/>
  <c r="C264" i="11"/>
  <c r="H264" i="11" s="1"/>
  <c r="C263" i="11"/>
  <c r="H263" i="11" s="1"/>
  <c r="C262" i="11"/>
  <c r="H262" i="11" s="1"/>
  <c r="C261" i="11"/>
  <c r="H261" i="11" s="1"/>
  <c r="C260" i="11"/>
  <c r="H260" i="11" s="1"/>
  <c r="C259" i="11"/>
  <c r="H259" i="11" s="1"/>
  <c r="C258" i="11"/>
  <c r="H258" i="11" s="1"/>
  <c r="C257" i="11"/>
  <c r="H257" i="11" s="1"/>
  <c r="C256" i="11"/>
  <c r="H256" i="11" s="1"/>
  <c r="C255" i="11"/>
  <c r="H255" i="11" s="1"/>
  <c r="C254" i="11"/>
  <c r="H254" i="11" s="1"/>
  <c r="C253" i="11"/>
  <c r="H253" i="11" s="1"/>
  <c r="C252" i="11"/>
  <c r="H252" i="11" s="1"/>
  <c r="C251" i="11"/>
  <c r="H251" i="11" s="1"/>
  <c r="C250" i="11"/>
  <c r="H250" i="11" s="1"/>
  <c r="C249" i="11"/>
  <c r="H249" i="11" s="1"/>
  <c r="C248" i="11"/>
  <c r="H248" i="11" s="1"/>
  <c r="C247" i="11"/>
  <c r="H247" i="11" s="1"/>
  <c r="C246" i="11"/>
  <c r="H246" i="11" s="1"/>
  <c r="C245" i="11"/>
  <c r="H245" i="11" s="1"/>
  <c r="C244" i="11"/>
  <c r="H244" i="11" s="1"/>
  <c r="C243" i="11"/>
  <c r="H243" i="11" s="1"/>
  <c r="C242" i="11"/>
  <c r="H242" i="11" s="1"/>
  <c r="C241" i="11"/>
  <c r="H241" i="11" s="1"/>
  <c r="C240" i="11"/>
  <c r="H240" i="11" s="1"/>
  <c r="C239" i="11"/>
  <c r="H239" i="11" s="1"/>
  <c r="C238" i="11"/>
  <c r="H238" i="11" s="1"/>
  <c r="C237" i="11"/>
  <c r="H237" i="11" s="1"/>
  <c r="C236" i="11"/>
  <c r="H236" i="11" s="1"/>
  <c r="C235" i="11"/>
  <c r="H235" i="11" s="1"/>
  <c r="AD229" i="11"/>
  <c r="AD228" i="11"/>
  <c r="AD227" i="11"/>
  <c r="AD226" i="11"/>
  <c r="AD225" i="11"/>
  <c r="AD224" i="11"/>
  <c r="AD223" i="11"/>
  <c r="AD222" i="11"/>
  <c r="AD221" i="11"/>
  <c r="AD220" i="11"/>
  <c r="AD219" i="11"/>
  <c r="AD218" i="11"/>
  <c r="AD217" i="11"/>
  <c r="AD216" i="11"/>
  <c r="AD215" i="11"/>
  <c r="AD214" i="11"/>
  <c r="AD213" i="11"/>
  <c r="AD212" i="11"/>
  <c r="AD211" i="11"/>
  <c r="AD210" i="11"/>
  <c r="AD209" i="11"/>
  <c r="AD208" i="11"/>
  <c r="AD207" i="11"/>
  <c r="AD206" i="11"/>
  <c r="AD205" i="11"/>
  <c r="AD204" i="11"/>
  <c r="AD203" i="11"/>
  <c r="AD202" i="11"/>
  <c r="AD201" i="11"/>
  <c r="AD200" i="11"/>
  <c r="AD199" i="11"/>
  <c r="AD198" i="11"/>
  <c r="AD197" i="11"/>
  <c r="AC229" i="11"/>
  <c r="AC228" i="11"/>
  <c r="AC227" i="11"/>
  <c r="AC226" i="11"/>
  <c r="AC225" i="11"/>
  <c r="AC224" i="11"/>
  <c r="AC223" i="11"/>
  <c r="AC222" i="11"/>
  <c r="AC221" i="11"/>
  <c r="AC220" i="11"/>
  <c r="AC219" i="11"/>
  <c r="AC218" i="11"/>
  <c r="AC217" i="11"/>
  <c r="AC216" i="11"/>
  <c r="AC215" i="11"/>
  <c r="AC214" i="11"/>
  <c r="AC213" i="11"/>
  <c r="AC212" i="11"/>
  <c r="AC211" i="11"/>
  <c r="AC210" i="11"/>
  <c r="AC209" i="11"/>
  <c r="AC208" i="11"/>
  <c r="AC207" i="11"/>
  <c r="AC206" i="11"/>
  <c r="AC205" i="11"/>
  <c r="AC204" i="11"/>
  <c r="AC203" i="11"/>
  <c r="AC202" i="11"/>
  <c r="AC201" i="11"/>
  <c r="AC200" i="11"/>
  <c r="AC199" i="11"/>
  <c r="AC198" i="11"/>
  <c r="AC197" i="11"/>
  <c r="V229" i="11"/>
  <c r="AA229" i="11" s="1"/>
  <c r="V228" i="11"/>
  <c r="AA228" i="11" s="1"/>
  <c r="V227" i="11"/>
  <c r="AA227" i="11" s="1"/>
  <c r="V226" i="11"/>
  <c r="AA226" i="11" s="1"/>
  <c r="V225" i="11"/>
  <c r="AA225" i="11" s="1"/>
  <c r="V224" i="11"/>
  <c r="AA224" i="11" s="1"/>
  <c r="V223" i="11"/>
  <c r="AA223" i="11" s="1"/>
  <c r="V222" i="11"/>
  <c r="AA222" i="11" s="1"/>
  <c r="V221" i="11"/>
  <c r="AA221" i="11" s="1"/>
  <c r="V220" i="11"/>
  <c r="AA220" i="11" s="1"/>
  <c r="V219" i="11"/>
  <c r="AA219" i="11" s="1"/>
  <c r="V218" i="11"/>
  <c r="AA218" i="11" s="1"/>
  <c r="V217" i="11"/>
  <c r="AA217" i="11" s="1"/>
  <c r="V216" i="11"/>
  <c r="AA216" i="11" s="1"/>
  <c r="V215" i="11"/>
  <c r="AA215" i="11" s="1"/>
  <c r="V214" i="11"/>
  <c r="AA214" i="11" s="1"/>
  <c r="V213" i="11"/>
  <c r="AA213" i="11" s="1"/>
  <c r="V212" i="11"/>
  <c r="AA212" i="11" s="1"/>
  <c r="V211" i="11"/>
  <c r="AA211" i="11" s="1"/>
  <c r="V210" i="11"/>
  <c r="AA210" i="11" s="1"/>
  <c r="V209" i="11"/>
  <c r="AA209" i="11" s="1"/>
  <c r="V208" i="11"/>
  <c r="AA208" i="11" s="1"/>
  <c r="V207" i="11"/>
  <c r="AA207" i="11" s="1"/>
  <c r="V206" i="11"/>
  <c r="AA206" i="11" s="1"/>
  <c r="V205" i="11"/>
  <c r="AA205" i="11" s="1"/>
  <c r="V204" i="11"/>
  <c r="AA204" i="11" s="1"/>
  <c r="V203" i="11"/>
  <c r="AA203" i="11" s="1"/>
  <c r="V202" i="11"/>
  <c r="AA202" i="11" s="1"/>
  <c r="V201" i="11"/>
  <c r="AA201" i="11" s="1"/>
  <c r="V200" i="11"/>
  <c r="AA200" i="11" s="1"/>
  <c r="V199" i="11"/>
  <c r="AA199" i="11" s="1"/>
  <c r="V198" i="11"/>
  <c r="AA198" i="11" s="1"/>
  <c r="V197" i="11"/>
  <c r="AA197" i="11" s="1"/>
  <c r="U229" i="11"/>
  <c r="Z229" i="11" s="1"/>
  <c r="U228" i="11"/>
  <c r="Z228" i="11" s="1"/>
  <c r="U227" i="11"/>
  <c r="Z227" i="11" s="1"/>
  <c r="U226" i="11"/>
  <c r="Z226" i="11" s="1"/>
  <c r="U225" i="11"/>
  <c r="Z225" i="11" s="1"/>
  <c r="U224" i="11"/>
  <c r="Z224" i="11" s="1"/>
  <c r="U223" i="11"/>
  <c r="Z223" i="11" s="1"/>
  <c r="U222" i="11"/>
  <c r="Z222" i="11" s="1"/>
  <c r="U221" i="11"/>
  <c r="Z221" i="11" s="1"/>
  <c r="U220" i="11"/>
  <c r="Z220" i="11" s="1"/>
  <c r="U219" i="11"/>
  <c r="Z219" i="11" s="1"/>
  <c r="U218" i="11"/>
  <c r="Z218" i="11" s="1"/>
  <c r="U217" i="11"/>
  <c r="Z217" i="11" s="1"/>
  <c r="U216" i="11"/>
  <c r="Z216" i="11" s="1"/>
  <c r="U215" i="11"/>
  <c r="Z215" i="11" s="1"/>
  <c r="U214" i="11"/>
  <c r="Z214" i="11" s="1"/>
  <c r="U213" i="11"/>
  <c r="Z213" i="11" s="1"/>
  <c r="U212" i="11"/>
  <c r="Z212" i="11" s="1"/>
  <c r="U211" i="11"/>
  <c r="Z211" i="11" s="1"/>
  <c r="U210" i="11"/>
  <c r="Z210" i="11" s="1"/>
  <c r="U209" i="11"/>
  <c r="Z209" i="11" s="1"/>
  <c r="U208" i="11"/>
  <c r="Z208" i="11" s="1"/>
  <c r="U207" i="11"/>
  <c r="Z207" i="11" s="1"/>
  <c r="U206" i="11"/>
  <c r="Z206" i="11" s="1"/>
  <c r="U205" i="11"/>
  <c r="Z205" i="11" s="1"/>
  <c r="U204" i="11"/>
  <c r="Z204" i="11" s="1"/>
  <c r="U203" i="11"/>
  <c r="Z203" i="11" s="1"/>
  <c r="U202" i="11"/>
  <c r="Z202" i="11" s="1"/>
  <c r="U201" i="11"/>
  <c r="Z201" i="11" s="1"/>
  <c r="U200" i="11"/>
  <c r="Z200" i="11" s="1"/>
  <c r="U199" i="11"/>
  <c r="Z199" i="11" s="1"/>
  <c r="U198" i="11"/>
  <c r="Z198" i="11" s="1"/>
  <c r="U197" i="11"/>
  <c r="Z197" i="11" s="1"/>
  <c r="T229" i="11"/>
  <c r="Y229" i="11" s="1"/>
  <c r="T228" i="11"/>
  <c r="Y228" i="11" s="1"/>
  <c r="T227" i="11"/>
  <c r="Y227" i="11" s="1"/>
  <c r="T226" i="11"/>
  <c r="Y226" i="11" s="1"/>
  <c r="T225" i="11"/>
  <c r="Y225" i="11" s="1"/>
  <c r="T224" i="11"/>
  <c r="Y224" i="11" s="1"/>
  <c r="T223" i="11"/>
  <c r="Y223" i="11" s="1"/>
  <c r="T222" i="11"/>
  <c r="Y222" i="11" s="1"/>
  <c r="T221" i="11"/>
  <c r="Y221" i="11" s="1"/>
  <c r="T220" i="11"/>
  <c r="Y220" i="11" s="1"/>
  <c r="T219" i="11"/>
  <c r="Y219" i="11" s="1"/>
  <c r="T218" i="11"/>
  <c r="Y218" i="11" s="1"/>
  <c r="T217" i="11"/>
  <c r="Y217" i="11" s="1"/>
  <c r="T216" i="11"/>
  <c r="Y216" i="11" s="1"/>
  <c r="T215" i="11"/>
  <c r="Y215" i="11" s="1"/>
  <c r="T214" i="11"/>
  <c r="Y214" i="11" s="1"/>
  <c r="T213" i="11"/>
  <c r="Y213" i="11" s="1"/>
  <c r="T212" i="11"/>
  <c r="Y212" i="11" s="1"/>
  <c r="T211" i="11"/>
  <c r="Y211" i="11" s="1"/>
  <c r="T210" i="11"/>
  <c r="Y210" i="11" s="1"/>
  <c r="T209" i="11"/>
  <c r="Y209" i="11" s="1"/>
  <c r="T208" i="11"/>
  <c r="Y208" i="11" s="1"/>
  <c r="T207" i="11"/>
  <c r="Y207" i="11" s="1"/>
  <c r="T206" i="11"/>
  <c r="Y206" i="11" s="1"/>
  <c r="T205" i="11"/>
  <c r="Y205" i="11" s="1"/>
  <c r="T204" i="11"/>
  <c r="Y204" i="11" s="1"/>
  <c r="T203" i="11"/>
  <c r="Y203" i="11" s="1"/>
  <c r="T202" i="11"/>
  <c r="Y202" i="11" s="1"/>
  <c r="T201" i="11"/>
  <c r="Y201" i="11" s="1"/>
  <c r="T200" i="11"/>
  <c r="Y200" i="11" s="1"/>
  <c r="T199" i="11"/>
  <c r="Y199" i="11" s="1"/>
  <c r="T198" i="11"/>
  <c r="Y198" i="11" s="1"/>
  <c r="T197" i="11"/>
  <c r="Y197" i="11" s="1"/>
  <c r="S229" i="11"/>
  <c r="X229" i="11" s="1"/>
  <c r="S228" i="11"/>
  <c r="X228" i="11" s="1"/>
  <c r="S227" i="11"/>
  <c r="X227" i="11" s="1"/>
  <c r="S226" i="11"/>
  <c r="X226" i="11" s="1"/>
  <c r="S225" i="11"/>
  <c r="X225" i="11" s="1"/>
  <c r="S224" i="11"/>
  <c r="X224" i="11" s="1"/>
  <c r="S223" i="11"/>
  <c r="X223" i="11" s="1"/>
  <c r="S222" i="11"/>
  <c r="X222" i="11" s="1"/>
  <c r="S221" i="11"/>
  <c r="X221" i="11" s="1"/>
  <c r="S220" i="11"/>
  <c r="X220" i="11" s="1"/>
  <c r="S219" i="11"/>
  <c r="X219" i="11" s="1"/>
  <c r="S218" i="11"/>
  <c r="X218" i="11" s="1"/>
  <c r="S217" i="11"/>
  <c r="X217" i="11" s="1"/>
  <c r="S216" i="11"/>
  <c r="X216" i="11" s="1"/>
  <c r="S215" i="11"/>
  <c r="X215" i="11" s="1"/>
  <c r="S214" i="11"/>
  <c r="X214" i="11" s="1"/>
  <c r="S213" i="11"/>
  <c r="X213" i="11" s="1"/>
  <c r="S212" i="11"/>
  <c r="X212" i="11" s="1"/>
  <c r="S211" i="11"/>
  <c r="X211" i="11" s="1"/>
  <c r="S210" i="11"/>
  <c r="X210" i="11" s="1"/>
  <c r="S209" i="11"/>
  <c r="X209" i="11" s="1"/>
  <c r="S208" i="11"/>
  <c r="X208" i="11" s="1"/>
  <c r="S207" i="11"/>
  <c r="X207" i="11" s="1"/>
  <c r="S206" i="11"/>
  <c r="X206" i="11" s="1"/>
  <c r="S205" i="11"/>
  <c r="X205" i="11" s="1"/>
  <c r="S204" i="11"/>
  <c r="X204" i="11" s="1"/>
  <c r="S203" i="11"/>
  <c r="X203" i="11" s="1"/>
  <c r="S202" i="11"/>
  <c r="X202" i="11" s="1"/>
  <c r="S201" i="11"/>
  <c r="X201" i="11" s="1"/>
  <c r="S200" i="11"/>
  <c r="X200" i="11" s="1"/>
  <c r="S199" i="11"/>
  <c r="X199" i="11" s="1"/>
  <c r="S198" i="11"/>
  <c r="X198" i="11" s="1"/>
  <c r="S197" i="11"/>
  <c r="X197" i="11" s="1"/>
  <c r="R229" i="11"/>
  <c r="W229" i="11" s="1"/>
  <c r="R228" i="11"/>
  <c r="W228" i="11" s="1"/>
  <c r="R227" i="11"/>
  <c r="W227" i="11" s="1"/>
  <c r="R226" i="11"/>
  <c r="W226" i="11" s="1"/>
  <c r="R225" i="11"/>
  <c r="W225" i="11" s="1"/>
  <c r="R224" i="11"/>
  <c r="W224" i="11" s="1"/>
  <c r="R223" i="11"/>
  <c r="W223" i="11" s="1"/>
  <c r="R222" i="11"/>
  <c r="W222" i="11" s="1"/>
  <c r="R221" i="11"/>
  <c r="W221" i="11" s="1"/>
  <c r="R220" i="11"/>
  <c r="W220" i="11" s="1"/>
  <c r="R219" i="11"/>
  <c r="W219" i="11" s="1"/>
  <c r="R218" i="11"/>
  <c r="W218" i="11" s="1"/>
  <c r="R217" i="11"/>
  <c r="W217" i="11" s="1"/>
  <c r="R216" i="11"/>
  <c r="W216" i="11" s="1"/>
  <c r="R215" i="11"/>
  <c r="W215" i="11" s="1"/>
  <c r="R214" i="11"/>
  <c r="W214" i="11" s="1"/>
  <c r="R213" i="11"/>
  <c r="W213" i="11" s="1"/>
  <c r="R212" i="11"/>
  <c r="W212" i="11" s="1"/>
  <c r="R211" i="11"/>
  <c r="W211" i="11" s="1"/>
  <c r="R210" i="11"/>
  <c r="W210" i="11" s="1"/>
  <c r="R209" i="11"/>
  <c r="W209" i="11" s="1"/>
  <c r="R208" i="11"/>
  <c r="W208" i="11" s="1"/>
  <c r="R207" i="11"/>
  <c r="W207" i="11" s="1"/>
  <c r="R206" i="11"/>
  <c r="W206" i="11" s="1"/>
  <c r="R205" i="11"/>
  <c r="W205" i="11" s="1"/>
  <c r="R204" i="11"/>
  <c r="W204" i="11" s="1"/>
  <c r="R203" i="11"/>
  <c r="W203" i="11" s="1"/>
  <c r="R202" i="11"/>
  <c r="W202" i="11" s="1"/>
  <c r="R201" i="11"/>
  <c r="W201" i="11" s="1"/>
  <c r="R200" i="11"/>
  <c r="W200" i="11" s="1"/>
  <c r="R199" i="11"/>
  <c r="W199" i="11" s="1"/>
  <c r="R198" i="11"/>
  <c r="W198" i="11" s="1"/>
  <c r="R197" i="11"/>
  <c r="W197" i="11" s="1"/>
  <c r="O229" i="11"/>
  <c r="O228" i="11"/>
  <c r="O227" i="11"/>
  <c r="O226" i="11"/>
  <c r="O225" i="11"/>
  <c r="O224" i="11"/>
  <c r="O223" i="11"/>
  <c r="O222" i="11"/>
  <c r="O221" i="11"/>
  <c r="O220" i="11"/>
  <c r="O219" i="11"/>
  <c r="O218" i="11"/>
  <c r="O217" i="11"/>
  <c r="O216" i="11"/>
  <c r="O215" i="11"/>
  <c r="O214" i="11"/>
  <c r="O213" i="11"/>
  <c r="O212" i="11"/>
  <c r="O211" i="11"/>
  <c r="O210" i="11"/>
  <c r="O209" i="11"/>
  <c r="O208" i="11"/>
  <c r="O207" i="11"/>
  <c r="O206" i="11"/>
  <c r="O205" i="11"/>
  <c r="O204" i="11"/>
  <c r="O203" i="11"/>
  <c r="O202" i="11"/>
  <c r="O201" i="11"/>
  <c r="O200" i="11"/>
  <c r="O199" i="11"/>
  <c r="O198" i="11"/>
  <c r="O197" i="11"/>
  <c r="N229" i="11"/>
  <c r="N228" i="11"/>
  <c r="N227" i="11"/>
  <c r="N226" i="11"/>
  <c r="N225" i="11"/>
  <c r="N224" i="11"/>
  <c r="N223" i="11"/>
  <c r="N222" i="11"/>
  <c r="N221" i="11"/>
  <c r="N220" i="11"/>
  <c r="N219" i="11"/>
  <c r="N218" i="11"/>
  <c r="N217" i="11"/>
  <c r="N216" i="11"/>
  <c r="N215" i="11"/>
  <c r="N214" i="11"/>
  <c r="N213" i="11"/>
  <c r="N212" i="11"/>
  <c r="N211" i="11"/>
  <c r="N210" i="11"/>
  <c r="N209" i="11"/>
  <c r="N208" i="11"/>
  <c r="N207" i="11"/>
  <c r="N206" i="11"/>
  <c r="N205" i="11"/>
  <c r="N204" i="11"/>
  <c r="N203" i="11"/>
  <c r="N202" i="11"/>
  <c r="N201" i="11"/>
  <c r="N200" i="11"/>
  <c r="N199" i="11"/>
  <c r="N198" i="11"/>
  <c r="N197" i="11"/>
  <c r="G229" i="11"/>
  <c r="L229" i="11" s="1"/>
  <c r="G228" i="11"/>
  <c r="L228" i="11" s="1"/>
  <c r="G227" i="11"/>
  <c r="L227" i="11" s="1"/>
  <c r="G226" i="11"/>
  <c r="L226" i="11" s="1"/>
  <c r="G225" i="11"/>
  <c r="L225" i="11" s="1"/>
  <c r="G224" i="11"/>
  <c r="L224" i="11" s="1"/>
  <c r="G223" i="11"/>
  <c r="L223" i="11" s="1"/>
  <c r="G222" i="11"/>
  <c r="L222" i="11" s="1"/>
  <c r="G221" i="11"/>
  <c r="L221" i="11" s="1"/>
  <c r="G220" i="11"/>
  <c r="L220" i="11" s="1"/>
  <c r="G219" i="11"/>
  <c r="L219" i="11" s="1"/>
  <c r="G218" i="11"/>
  <c r="L218" i="11" s="1"/>
  <c r="G217" i="11"/>
  <c r="L217" i="11" s="1"/>
  <c r="G216" i="11"/>
  <c r="L216" i="11" s="1"/>
  <c r="G215" i="11"/>
  <c r="L215" i="11" s="1"/>
  <c r="G214" i="11"/>
  <c r="L214" i="11" s="1"/>
  <c r="G213" i="11"/>
  <c r="L213" i="11" s="1"/>
  <c r="G212" i="11"/>
  <c r="L212" i="11" s="1"/>
  <c r="G211" i="11"/>
  <c r="L211" i="11" s="1"/>
  <c r="G210" i="11"/>
  <c r="L210" i="11" s="1"/>
  <c r="G209" i="11"/>
  <c r="L209" i="11" s="1"/>
  <c r="G208" i="11"/>
  <c r="L208" i="11" s="1"/>
  <c r="G207" i="11"/>
  <c r="L207" i="11" s="1"/>
  <c r="G206" i="11"/>
  <c r="L206" i="11" s="1"/>
  <c r="G205" i="11"/>
  <c r="L205" i="11" s="1"/>
  <c r="G204" i="11"/>
  <c r="L204" i="11" s="1"/>
  <c r="G203" i="11"/>
  <c r="L203" i="11" s="1"/>
  <c r="G202" i="11"/>
  <c r="L202" i="11" s="1"/>
  <c r="G201" i="11"/>
  <c r="L201" i="11" s="1"/>
  <c r="G200" i="11"/>
  <c r="L200" i="11" s="1"/>
  <c r="G199" i="11"/>
  <c r="L199" i="11" s="1"/>
  <c r="G198" i="11"/>
  <c r="L198" i="11" s="1"/>
  <c r="G197" i="11"/>
  <c r="L197" i="11" s="1"/>
  <c r="F229" i="11"/>
  <c r="K229" i="11" s="1"/>
  <c r="F228" i="11"/>
  <c r="K228" i="11" s="1"/>
  <c r="F227" i="11"/>
  <c r="K227" i="11" s="1"/>
  <c r="F226" i="11"/>
  <c r="K226" i="11" s="1"/>
  <c r="F225" i="11"/>
  <c r="K225" i="11" s="1"/>
  <c r="F224" i="11"/>
  <c r="K224" i="11" s="1"/>
  <c r="F223" i="11"/>
  <c r="K223" i="11" s="1"/>
  <c r="F222" i="11"/>
  <c r="K222" i="11" s="1"/>
  <c r="F221" i="11"/>
  <c r="K221" i="11" s="1"/>
  <c r="F220" i="11"/>
  <c r="K220" i="11" s="1"/>
  <c r="F219" i="11"/>
  <c r="K219" i="11" s="1"/>
  <c r="F218" i="11"/>
  <c r="K218" i="11" s="1"/>
  <c r="F217" i="11"/>
  <c r="K217" i="11" s="1"/>
  <c r="F216" i="11"/>
  <c r="K216" i="11" s="1"/>
  <c r="F215" i="11"/>
  <c r="K215" i="11" s="1"/>
  <c r="F214" i="11"/>
  <c r="K214" i="11" s="1"/>
  <c r="F213" i="11"/>
  <c r="K213" i="11" s="1"/>
  <c r="F212" i="11"/>
  <c r="K212" i="11" s="1"/>
  <c r="F211" i="11"/>
  <c r="K211" i="11" s="1"/>
  <c r="F210" i="11"/>
  <c r="K210" i="11" s="1"/>
  <c r="F209" i="11"/>
  <c r="K209" i="11" s="1"/>
  <c r="F208" i="11"/>
  <c r="K208" i="11" s="1"/>
  <c r="F207" i="11"/>
  <c r="K207" i="11" s="1"/>
  <c r="F206" i="11"/>
  <c r="K206" i="11" s="1"/>
  <c r="F205" i="11"/>
  <c r="K205" i="11" s="1"/>
  <c r="F204" i="11"/>
  <c r="K204" i="11" s="1"/>
  <c r="F203" i="11"/>
  <c r="K203" i="11" s="1"/>
  <c r="F202" i="11"/>
  <c r="K202" i="11" s="1"/>
  <c r="F201" i="11"/>
  <c r="K201" i="11" s="1"/>
  <c r="F200" i="11"/>
  <c r="K200" i="11" s="1"/>
  <c r="F199" i="11"/>
  <c r="K199" i="11" s="1"/>
  <c r="F198" i="11"/>
  <c r="K198" i="11" s="1"/>
  <c r="F197" i="11"/>
  <c r="K197" i="11" s="1"/>
  <c r="E229" i="11"/>
  <c r="J229" i="11" s="1"/>
  <c r="E228" i="11"/>
  <c r="J228" i="11" s="1"/>
  <c r="E227" i="11"/>
  <c r="J227" i="11" s="1"/>
  <c r="E226" i="11"/>
  <c r="J226" i="11" s="1"/>
  <c r="E225" i="11"/>
  <c r="J225" i="11" s="1"/>
  <c r="E224" i="11"/>
  <c r="J224" i="11" s="1"/>
  <c r="E223" i="11"/>
  <c r="J223" i="11" s="1"/>
  <c r="E222" i="11"/>
  <c r="J222" i="11" s="1"/>
  <c r="E221" i="11"/>
  <c r="J221" i="11" s="1"/>
  <c r="E220" i="11"/>
  <c r="J220" i="11" s="1"/>
  <c r="E219" i="11"/>
  <c r="J219" i="11" s="1"/>
  <c r="E218" i="11"/>
  <c r="J218" i="11" s="1"/>
  <c r="E217" i="11"/>
  <c r="J217" i="11" s="1"/>
  <c r="E216" i="11"/>
  <c r="J216" i="11" s="1"/>
  <c r="E215" i="11"/>
  <c r="J215" i="11" s="1"/>
  <c r="E214" i="11"/>
  <c r="J214" i="11" s="1"/>
  <c r="E213" i="11"/>
  <c r="J213" i="11" s="1"/>
  <c r="E212" i="11"/>
  <c r="J212" i="11" s="1"/>
  <c r="E211" i="11"/>
  <c r="J211" i="11" s="1"/>
  <c r="E210" i="11"/>
  <c r="J210" i="11" s="1"/>
  <c r="E209" i="11"/>
  <c r="J209" i="11" s="1"/>
  <c r="E208" i="11"/>
  <c r="J208" i="11" s="1"/>
  <c r="E207" i="11"/>
  <c r="J207" i="11" s="1"/>
  <c r="E206" i="11"/>
  <c r="J206" i="11" s="1"/>
  <c r="E205" i="11"/>
  <c r="J205" i="11" s="1"/>
  <c r="E204" i="11"/>
  <c r="J204" i="11" s="1"/>
  <c r="E203" i="11"/>
  <c r="J203" i="11" s="1"/>
  <c r="E202" i="11"/>
  <c r="J202" i="11" s="1"/>
  <c r="E201" i="11"/>
  <c r="J201" i="11" s="1"/>
  <c r="E200" i="11"/>
  <c r="J200" i="11" s="1"/>
  <c r="E199" i="11"/>
  <c r="J199" i="11" s="1"/>
  <c r="E198" i="11"/>
  <c r="J198" i="11" s="1"/>
  <c r="E197" i="11"/>
  <c r="J197" i="11" s="1"/>
  <c r="D229" i="11"/>
  <c r="I229" i="11" s="1"/>
  <c r="D228" i="11"/>
  <c r="I228" i="11" s="1"/>
  <c r="D227" i="11"/>
  <c r="I227" i="11" s="1"/>
  <c r="D226" i="11"/>
  <c r="I226" i="11" s="1"/>
  <c r="D225" i="11"/>
  <c r="I225" i="11" s="1"/>
  <c r="D224" i="11"/>
  <c r="I224" i="11" s="1"/>
  <c r="D223" i="11"/>
  <c r="I223" i="11" s="1"/>
  <c r="D222" i="11"/>
  <c r="I222" i="11" s="1"/>
  <c r="D221" i="11"/>
  <c r="I221" i="11" s="1"/>
  <c r="D220" i="11"/>
  <c r="I220" i="11" s="1"/>
  <c r="D219" i="11"/>
  <c r="I219" i="11" s="1"/>
  <c r="D218" i="11"/>
  <c r="I218" i="11" s="1"/>
  <c r="D217" i="11"/>
  <c r="I217" i="11" s="1"/>
  <c r="D216" i="11"/>
  <c r="I216" i="11" s="1"/>
  <c r="D215" i="11"/>
  <c r="I215" i="11" s="1"/>
  <c r="D214" i="11"/>
  <c r="I214" i="11" s="1"/>
  <c r="D213" i="11"/>
  <c r="I213" i="11" s="1"/>
  <c r="D212" i="11"/>
  <c r="I212" i="11" s="1"/>
  <c r="D211" i="11"/>
  <c r="I211" i="11" s="1"/>
  <c r="D210" i="11"/>
  <c r="I210" i="11" s="1"/>
  <c r="D209" i="11"/>
  <c r="I209" i="11" s="1"/>
  <c r="D208" i="11"/>
  <c r="I208" i="11" s="1"/>
  <c r="D207" i="11"/>
  <c r="I207" i="11" s="1"/>
  <c r="D206" i="11"/>
  <c r="I206" i="11" s="1"/>
  <c r="D205" i="11"/>
  <c r="I205" i="11" s="1"/>
  <c r="D204" i="11"/>
  <c r="I204" i="11" s="1"/>
  <c r="D203" i="11"/>
  <c r="I203" i="11" s="1"/>
  <c r="D202" i="11"/>
  <c r="I202" i="11" s="1"/>
  <c r="D201" i="11"/>
  <c r="I201" i="11" s="1"/>
  <c r="D200" i="11"/>
  <c r="I200" i="11" s="1"/>
  <c r="D199" i="11"/>
  <c r="I199" i="11" s="1"/>
  <c r="D198" i="11"/>
  <c r="I198" i="11" s="1"/>
  <c r="D197" i="11"/>
  <c r="I197" i="11" s="1"/>
  <c r="C229" i="11"/>
  <c r="H229" i="11" s="1"/>
  <c r="C228" i="11"/>
  <c r="H228" i="11" s="1"/>
  <c r="C227" i="11"/>
  <c r="H227" i="11" s="1"/>
  <c r="C226" i="11"/>
  <c r="H226" i="11" s="1"/>
  <c r="C225" i="11"/>
  <c r="H225" i="11" s="1"/>
  <c r="C224" i="11"/>
  <c r="H224" i="11" s="1"/>
  <c r="C223" i="11"/>
  <c r="H223" i="11" s="1"/>
  <c r="C222" i="11"/>
  <c r="H222" i="11" s="1"/>
  <c r="C221" i="11"/>
  <c r="H221" i="11" s="1"/>
  <c r="C220" i="11"/>
  <c r="H220" i="11" s="1"/>
  <c r="C219" i="11"/>
  <c r="H219" i="11" s="1"/>
  <c r="C218" i="11"/>
  <c r="H218" i="11" s="1"/>
  <c r="C217" i="11"/>
  <c r="H217" i="11" s="1"/>
  <c r="C216" i="11"/>
  <c r="H216" i="11" s="1"/>
  <c r="C215" i="11"/>
  <c r="H215" i="11" s="1"/>
  <c r="C214" i="11"/>
  <c r="H214" i="11" s="1"/>
  <c r="C213" i="11"/>
  <c r="H213" i="11" s="1"/>
  <c r="C212" i="11"/>
  <c r="H212" i="11" s="1"/>
  <c r="C211" i="11"/>
  <c r="H211" i="11" s="1"/>
  <c r="C210" i="11"/>
  <c r="H210" i="11" s="1"/>
  <c r="C209" i="11"/>
  <c r="H209" i="11" s="1"/>
  <c r="C208" i="11"/>
  <c r="H208" i="11" s="1"/>
  <c r="C207" i="11"/>
  <c r="H207" i="11" s="1"/>
  <c r="C206" i="11"/>
  <c r="H206" i="11" s="1"/>
  <c r="C205" i="11"/>
  <c r="H205" i="11" s="1"/>
  <c r="C204" i="11"/>
  <c r="H204" i="11" s="1"/>
  <c r="C203" i="11"/>
  <c r="H203" i="11" s="1"/>
  <c r="C202" i="11"/>
  <c r="H202" i="11" s="1"/>
  <c r="C201" i="11"/>
  <c r="H201" i="11" s="1"/>
  <c r="C200" i="11"/>
  <c r="H200" i="11" s="1"/>
  <c r="C199" i="11"/>
  <c r="H199" i="11" s="1"/>
  <c r="C198" i="11"/>
  <c r="H198" i="11" s="1"/>
  <c r="C197" i="11"/>
  <c r="H197" i="11" s="1"/>
  <c r="AD191" i="11"/>
  <c r="AD190" i="11"/>
  <c r="AD189" i="11"/>
  <c r="AD188" i="11"/>
  <c r="AD187" i="11"/>
  <c r="AD186" i="11"/>
  <c r="AD185" i="11"/>
  <c r="AD184" i="11"/>
  <c r="AD183" i="11"/>
  <c r="AD182" i="11"/>
  <c r="AD181" i="11"/>
  <c r="AD180" i="11"/>
  <c r="AD179" i="11"/>
  <c r="AD178" i="11"/>
  <c r="AD177" i="11"/>
  <c r="AD176" i="11"/>
  <c r="AD175" i="11"/>
  <c r="AD174" i="11"/>
  <c r="AD173" i="11"/>
  <c r="AD172" i="11"/>
  <c r="AD171" i="11"/>
  <c r="AD170" i="11"/>
  <c r="AD169" i="11"/>
  <c r="AD168" i="11"/>
  <c r="AD167" i="11"/>
  <c r="AD166" i="11"/>
  <c r="AD165" i="11"/>
  <c r="AD164" i="11"/>
  <c r="AD163" i="11"/>
  <c r="AD162" i="11"/>
  <c r="AD161" i="11"/>
  <c r="AD160" i="11"/>
  <c r="AD159" i="11"/>
  <c r="AC191" i="11"/>
  <c r="AC190" i="11"/>
  <c r="AC189" i="11"/>
  <c r="AC188" i="11"/>
  <c r="AC187" i="11"/>
  <c r="AC186" i="11"/>
  <c r="AC185" i="11"/>
  <c r="AC184" i="11"/>
  <c r="AC183" i="11"/>
  <c r="AC182" i="11"/>
  <c r="AC181" i="11"/>
  <c r="AC180" i="11"/>
  <c r="AC179" i="11"/>
  <c r="AC178" i="11"/>
  <c r="AC177" i="11"/>
  <c r="AC176" i="11"/>
  <c r="AC175" i="11"/>
  <c r="AC174" i="11"/>
  <c r="AC173" i="11"/>
  <c r="AC172" i="11"/>
  <c r="AC171" i="11"/>
  <c r="AC170" i="11"/>
  <c r="AC169" i="11"/>
  <c r="AC168" i="11"/>
  <c r="AC167" i="11"/>
  <c r="AC166" i="11"/>
  <c r="AC165" i="11"/>
  <c r="AC164" i="11"/>
  <c r="AC163" i="11"/>
  <c r="AC162" i="11"/>
  <c r="AC161" i="11"/>
  <c r="AC160" i="11"/>
  <c r="AC159" i="11"/>
  <c r="V191" i="11"/>
  <c r="AA191" i="11" s="1"/>
  <c r="V190" i="11"/>
  <c r="AA190" i="11" s="1"/>
  <c r="V189" i="11"/>
  <c r="AA189" i="11" s="1"/>
  <c r="V188" i="11"/>
  <c r="AA188" i="11" s="1"/>
  <c r="V187" i="11"/>
  <c r="AA187" i="11" s="1"/>
  <c r="V186" i="11"/>
  <c r="AA186" i="11" s="1"/>
  <c r="V185" i="11"/>
  <c r="AA185" i="11" s="1"/>
  <c r="V184" i="11"/>
  <c r="AA184" i="11" s="1"/>
  <c r="V183" i="11"/>
  <c r="AA183" i="11" s="1"/>
  <c r="V182" i="11"/>
  <c r="AA182" i="11" s="1"/>
  <c r="V181" i="11"/>
  <c r="AA181" i="11" s="1"/>
  <c r="V180" i="11"/>
  <c r="AA180" i="11" s="1"/>
  <c r="V179" i="11"/>
  <c r="AA179" i="11" s="1"/>
  <c r="V178" i="11"/>
  <c r="AA178" i="11" s="1"/>
  <c r="V177" i="11"/>
  <c r="AA177" i="11" s="1"/>
  <c r="V176" i="11"/>
  <c r="AA176" i="11" s="1"/>
  <c r="V175" i="11"/>
  <c r="AA175" i="11" s="1"/>
  <c r="V174" i="11"/>
  <c r="AA174" i="11" s="1"/>
  <c r="V173" i="11"/>
  <c r="AA173" i="11" s="1"/>
  <c r="V172" i="11"/>
  <c r="AA172" i="11" s="1"/>
  <c r="V171" i="11"/>
  <c r="AA171" i="11" s="1"/>
  <c r="V170" i="11"/>
  <c r="AA170" i="11" s="1"/>
  <c r="V169" i="11"/>
  <c r="AA169" i="11" s="1"/>
  <c r="V168" i="11"/>
  <c r="AA168" i="11" s="1"/>
  <c r="V167" i="11"/>
  <c r="AA167" i="11" s="1"/>
  <c r="V166" i="11"/>
  <c r="AA166" i="11" s="1"/>
  <c r="V165" i="11"/>
  <c r="AA165" i="11" s="1"/>
  <c r="V164" i="11"/>
  <c r="AA164" i="11" s="1"/>
  <c r="V163" i="11"/>
  <c r="AA163" i="11" s="1"/>
  <c r="V162" i="11"/>
  <c r="AA162" i="11" s="1"/>
  <c r="V161" i="11"/>
  <c r="AA161" i="11" s="1"/>
  <c r="V160" i="11"/>
  <c r="AA160" i="11" s="1"/>
  <c r="V159" i="11"/>
  <c r="AA159" i="11" s="1"/>
  <c r="U191" i="11"/>
  <c r="Z191" i="11" s="1"/>
  <c r="U190" i="11"/>
  <c r="Z190" i="11" s="1"/>
  <c r="U189" i="11"/>
  <c r="Z189" i="11" s="1"/>
  <c r="U188" i="11"/>
  <c r="Z188" i="11" s="1"/>
  <c r="U187" i="11"/>
  <c r="Z187" i="11" s="1"/>
  <c r="U186" i="11"/>
  <c r="Z186" i="11" s="1"/>
  <c r="U185" i="11"/>
  <c r="Z185" i="11" s="1"/>
  <c r="U184" i="11"/>
  <c r="Z184" i="11" s="1"/>
  <c r="U183" i="11"/>
  <c r="Z183" i="11" s="1"/>
  <c r="U182" i="11"/>
  <c r="Z182" i="11" s="1"/>
  <c r="U181" i="11"/>
  <c r="Z181" i="11" s="1"/>
  <c r="U180" i="11"/>
  <c r="Z180" i="11" s="1"/>
  <c r="U179" i="11"/>
  <c r="Z179" i="11" s="1"/>
  <c r="U178" i="11"/>
  <c r="Z178" i="11" s="1"/>
  <c r="U177" i="11"/>
  <c r="Z177" i="11" s="1"/>
  <c r="U176" i="11"/>
  <c r="Z176" i="11" s="1"/>
  <c r="U175" i="11"/>
  <c r="Z175" i="11" s="1"/>
  <c r="U174" i="11"/>
  <c r="Z174" i="11" s="1"/>
  <c r="U173" i="11"/>
  <c r="Z173" i="11" s="1"/>
  <c r="U172" i="11"/>
  <c r="Z172" i="11" s="1"/>
  <c r="U171" i="11"/>
  <c r="Z171" i="11" s="1"/>
  <c r="U170" i="11"/>
  <c r="Z170" i="11" s="1"/>
  <c r="U169" i="11"/>
  <c r="Z169" i="11" s="1"/>
  <c r="U168" i="11"/>
  <c r="Z168" i="11" s="1"/>
  <c r="U167" i="11"/>
  <c r="Z167" i="11" s="1"/>
  <c r="U166" i="11"/>
  <c r="Z166" i="11" s="1"/>
  <c r="U165" i="11"/>
  <c r="Z165" i="11" s="1"/>
  <c r="U164" i="11"/>
  <c r="Z164" i="11" s="1"/>
  <c r="U163" i="11"/>
  <c r="Z163" i="11" s="1"/>
  <c r="U162" i="11"/>
  <c r="Z162" i="11" s="1"/>
  <c r="U161" i="11"/>
  <c r="Z161" i="11" s="1"/>
  <c r="U160" i="11"/>
  <c r="Z160" i="11" s="1"/>
  <c r="U159" i="11"/>
  <c r="Z159" i="11" s="1"/>
  <c r="T191" i="11"/>
  <c r="Y191" i="11" s="1"/>
  <c r="T190" i="11"/>
  <c r="Y190" i="11" s="1"/>
  <c r="T189" i="11"/>
  <c r="Y189" i="11" s="1"/>
  <c r="T188" i="11"/>
  <c r="Y188" i="11" s="1"/>
  <c r="T187" i="11"/>
  <c r="Y187" i="11" s="1"/>
  <c r="T186" i="11"/>
  <c r="Y186" i="11" s="1"/>
  <c r="T185" i="11"/>
  <c r="Y185" i="11" s="1"/>
  <c r="T184" i="11"/>
  <c r="Y184" i="11" s="1"/>
  <c r="T183" i="11"/>
  <c r="Y183" i="11" s="1"/>
  <c r="T182" i="11"/>
  <c r="Y182" i="11" s="1"/>
  <c r="T181" i="11"/>
  <c r="Y181" i="11" s="1"/>
  <c r="T180" i="11"/>
  <c r="Y180" i="11" s="1"/>
  <c r="T179" i="11"/>
  <c r="Y179" i="11" s="1"/>
  <c r="T178" i="11"/>
  <c r="Y178" i="11" s="1"/>
  <c r="T177" i="11"/>
  <c r="Y177" i="11" s="1"/>
  <c r="T176" i="11"/>
  <c r="Y176" i="11" s="1"/>
  <c r="T175" i="11"/>
  <c r="Y175" i="11" s="1"/>
  <c r="T174" i="11"/>
  <c r="Y174" i="11" s="1"/>
  <c r="T173" i="11"/>
  <c r="Y173" i="11" s="1"/>
  <c r="T172" i="11"/>
  <c r="Y172" i="11" s="1"/>
  <c r="T171" i="11"/>
  <c r="Y171" i="11" s="1"/>
  <c r="T170" i="11"/>
  <c r="Y170" i="11" s="1"/>
  <c r="T169" i="11"/>
  <c r="Y169" i="11" s="1"/>
  <c r="T168" i="11"/>
  <c r="Y168" i="11" s="1"/>
  <c r="T167" i="11"/>
  <c r="Y167" i="11" s="1"/>
  <c r="T166" i="11"/>
  <c r="Y166" i="11" s="1"/>
  <c r="T165" i="11"/>
  <c r="Y165" i="11" s="1"/>
  <c r="T164" i="11"/>
  <c r="Y164" i="11" s="1"/>
  <c r="T163" i="11"/>
  <c r="Y163" i="11" s="1"/>
  <c r="T162" i="11"/>
  <c r="Y162" i="11" s="1"/>
  <c r="T161" i="11"/>
  <c r="Y161" i="11" s="1"/>
  <c r="T160" i="11"/>
  <c r="Y160" i="11" s="1"/>
  <c r="T159" i="11"/>
  <c r="Y159" i="11" s="1"/>
  <c r="S191" i="11"/>
  <c r="X191" i="11" s="1"/>
  <c r="S190" i="11"/>
  <c r="X190" i="11" s="1"/>
  <c r="S189" i="11"/>
  <c r="X189" i="11" s="1"/>
  <c r="S188" i="11"/>
  <c r="X188" i="11" s="1"/>
  <c r="S187" i="11"/>
  <c r="X187" i="11" s="1"/>
  <c r="S186" i="11"/>
  <c r="X186" i="11" s="1"/>
  <c r="S185" i="11"/>
  <c r="X185" i="11" s="1"/>
  <c r="S184" i="11"/>
  <c r="X184" i="11" s="1"/>
  <c r="S183" i="11"/>
  <c r="X183" i="11" s="1"/>
  <c r="S182" i="11"/>
  <c r="X182" i="11" s="1"/>
  <c r="S181" i="11"/>
  <c r="X181" i="11" s="1"/>
  <c r="S180" i="11"/>
  <c r="X180" i="11" s="1"/>
  <c r="S179" i="11"/>
  <c r="X179" i="11" s="1"/>
  <c r="S178" i="11"/>
  <c r="X178" i="11" s="1"/>
  <c r="S177" i="11"/>
  <c r="X177" i="11" s="1"/>
  <c r="S176" i="11"/>
  <c r="X176" i="11" s="1"/>
  <c r="S175" i="11"/>
  <c r="X175" i="11" s="1"/>
  <c r="S174" i="11"/>
  <c r="X174" i="11" s="1"/>
  <c r="S173" i="11"/>
  <c r="X173" i="11" s="1"/>
  <c r="S172" i="11"/>
  <c r="X172" i="11" s="1"/>
  <c r="S171" i="11"/>
  <c r="X171" i="11" s="1"/>
  <c r="S170" i="11"/>
  <c r="X170" i="11" s="1"/>
  <c r="S169" i="11"/>
  <c r="X169" i="11" s="1"/>
  <c r="S168" i="11"/>
  <c r="X168" i="11" s="1"/>
  <c r="S167" i="11"/>
  <c r="X167" i="11" s="1"/>
  <c r="S166" i="11"/>
  <c r="X166" i="11" s="1"/>
  <c r="S165" i="11"/>
  <c r="X165" i="11" s="1"/>
  <c r="S164" i="11"/>
  <c r="X164" i="11" s="1"/>
  <c r="S163" i="11"/>
  <c r="X163" i="11" s="1"/>
  <c r="S162" i="11"/>
  <c r="X162" i="11" s="1"/>
  <c r="S161" i="11"/>
  <c r="X161" i="11" s="1"/>
  <c r="S160" i="11"/>
  <c r="X160" i="11" s="1"/>
  <c r="S159" i="11"/>
  <c r="X159" i="11" s="1"/>
  <c r="R191" i="11"/>
  <c r="W191" i="11" s="1"/>
  <c r="R190" i="11"/>
  <c r="W190" i="11" s="1"/>
  <c r="R189" i="11"/>
  <c r="W189" i="11" s="1"/>
  <c r="R188" i="11"/>
  <c r="W188" i="11" s="1"/>
  <c r="R187" i="11"/>
  <c r="W187" i="11" s="1"/>
  <c r="R186" i="11"/>
  <c r="W186" i="11" s="1"/>
  <c r="R185" i="11"/>
  <c r="W185" i="11" s="1"/>
  <c r="R184" i="11"/>
  <c r="W184" i="11" s="1"/>
  <c r="R183" i="11"/>
  <c r="W183" i="11" s="1"/>
  <c r="R182" i="11"/>
  <c r="W182" i="11" s="1"/>
  <c r="R181" i="11"/>
  <c r="W181" i="11" s="1"/>
  <c r="R180" i="11"/>
  <c r="W180" i="11" s="1"/>
  <c r="R179" i="11"/>
  <c r="W179" i="11" s="1"/>
  <c r="R178" i="11"/>
  <c r="W178" i="11" s="1"/>
  <c r="R177" i="11"/>
  <c r="W177" i="11" s="1"/>
  <c r="R176" i="11"/>
  <c r="W176" i="11" s="1"/>
  <c r="R175" i="11"/>
  <c r="W175" i="11" s="1"/>
  <c r="R174" i="11"/>
  <c r="W174" i="11" s="1"/>
  <c r="R173" i="11"/>
  <c r="W173" i="11" s="1"/>
  <c r="R172" i="11"/>
  <c r="W172" i="11" s="1"/>
  <c r="R171" i="11"/>
  <c r="W171" i="11" s="1"/>
  <c r="R170" i="11"/>
  <c r="W170" i="11" s="1"/>
  <c r="R169" i="11"/>
  <c r="W169" i="11" s="1"/>
  <c r="R168" i="11"/>
  <c r="W168" i="11" s="1"/>
  <c r="R167" i="11"/>
  <c r="W167" i="11" s="1"/>
  <c r="R166" i="11"/>
  <c r="W166" i="11" s="1"/>
  <c r="R165" i="11"/>
  <c r="W165" i="11" s="1"/>
  <c r="R164" i="11"/>
  <c r="W164" i="11" s="1"/>
  <c r="R163" i="11"/>
  <c r="W163" i="11" s="1"/>
  <c r="R162" i="11"/>
  <c r="W162" i="11" s="1"/>
  <c r="R161" i="11"/>
  <c r="W161" i="11" s="1"/>
  <c r="R160" i="11"/>
  <c r="W160" i="11" s="1"/>
  <c r="R159" i="11"/>
  <c r="W159" i="11" s="1"/>
  <c r="O191" i="11"/>
  <c r="O190" i="11"/>
  <c r="O189" i="11"/>
  <c r="O188" i="11"/>
  <c r="O187" i="11"/>
  <c r="O186" i="11"/>
  <c r="O185" i="11"/>
  <c r="O184" i="11"/>
  <c r="O183" i="11"/>
  <c r="O182" i="11"/>
  <c r="O181" i="11"/>
  <c r="O180" i="11"/>
  <c r="O179" i="11"/>
  <c r="O178" i="11"/>
  <c r="O177" i="11"/>
  <c r="O176" i="11"/>
  <c r="O175" i="11"/>
  <c r="O174" i="11"/>
  <c r="O173" i="11"/>
  <c r="O172" i="11"/>
  <c r="O171" i="11"/>
  <c r="O170" i="11"/>
  <c r="O169" i="11"/>
  <c r="O168" i="11"/>
  <c r="O167" i="11"/>
  <c r="O166" i="11"/>
  <c r="O165" i="11"/>
  <c r="O164" i="11"/>
  <c r="O163" i="11"/>
  <c r="O162" i="11"/>
  <c r="O161" i="11"/>
  <c r="O160" i="11"/>
  <c r="O159" i="11"/>
  <c r="N191" i="11"/>
  <c r="N190" i="11"/>
  <c r="N189" i="11"/>
  <c r="N188" i="11"/>
  <c r="N187" i="11"/>
  <c r="N186" i="11"/>
  <c r="N185" i="11"/>
  <c r="N184" i="11"/>
  <c r="N183" i="11"/>
  <c r="N182" i="11"/>
  <c r="N181" i="11"/>
  <c r="N180" i="11"/>
  <c r="N179" i="11"/>
  <c r="N178" i="11"/>
  <c r="N177" i="11"/>
  <c r="N176" i="11"/>
  <c r="N175" i="11"/>
  <c r="N174" i="11"/>
  <c r="N173" i="11"/>
  <c r="N172" i="11"/>
  <c r="N171" i="11"/>
  <c r="N170" i="11"/>
  <c r="N169" i="11"/>
  <c r="N168" i="11"/>
  <c r="N167" i="11"/>
  <c r="N166" i="11"/>
  <c r="N165" i="11"/>
  <c r="N164" i="11"/>
  <c r="N163" i="11"/>
  <c r="N162" i="11"/>
  <c r="N161" i="11"/>
  <c r="N160" i="11"/>
  <c r="N159" i="11"/>
  <c r="G191" i="11"/>
  <c r="L191" i="11" s="1"/>
  <c r="G190" i="11"/>
  <c r="L190" i="11" s="1"/>
  <c r="G189" i="11"/>
  <c r="L189" i="11" s="1"/>
  <c r="G188" i="11"/>
  <c r="L188" i="11" s="1"/>
  <c r="G187" i="11"/>
  <c r="L187" i="11" s="1"/>
  <c r="G186" i="11"/>
  <c r="L186" i="11" s="1"/>
  <c r="G185" i="11"/>
  <c r="L185" i="11" s="1"/>
  <c r="G184" i="11"/>
  <c r="L184" i="11" s="1"/>
  <c r="G183" i="11"/>
  <c r="L183" i="11" s="1"/>
  <c r="G182" i="11"/>
  <c r="L182" i="11" s="1"/>
  <c r="G181" i="11"/>
  <c r="L181" i="11" s="1"/>
  <c r="G180" i="11"/>
  <c r="L180" i="11" s="1"/>
  <c r="G179" i="11"/>
  <c r="L179" i="11" s="1"/>
  <c r="G178" i="11"/>
  <c r="L178" i="11" s="1"/>
  <c r="G177" i="11"/>
  <c r="L177" i="11" s="1"/>
  <c r="G176" i="11"/>
  <c r="L176" i="11" s="1"/>
  <c r="G175" i="11"/>
  <c r="L175" i="11" s="1"/>
  <c r="G174" i="11"/>
  <c r="L174" i="11" s="1"/>
  <c r="G173" i="11"/>
  <c r="L173" i="11" s="1"/>
  <c r="G172" i="11"/>
  <c r="L172" i="11" s="1"/>
  <c r="G171" i="11"/>
  <c r="L171" i="11" s="1"/>
  <c r="G170" i="11"/>
  <c r="L170" i="11" s="1"/>
  <c r="G169" i="11"/>
  <c r="L169" i="11" s="1"/>
  <c r="G168" i="11"/>
  <c r="L168" i="11" s="1"/>
  <c r="G167" i="11"/>
  <c r="L167" i="11" s="1"/>
  <c r="G166" i="11"/>
  <c r="L166" i="11" s="1"/>
  <c r="G165" i="11"/>
  <c r="L165" i="11" s="1"/>
  <c r="G164" i="11"/>
  <c r="L164" i="11" s="1"/>
  <c r="G163" i="11"/>
  <c r="L163" i="11" s="1"/>
  <c r="G162" i="11"/>
  <c r="L162" i="11" s="1"/>
  <c r="G161" i="11"/>
  <c r="L161" i="11" s="1"/>
  <c r="G160" i="11"/>
  <c r="L160" i="11" s="1"/>
  <c r="G159" i="11"/>
  <c r="L159" i="11" s="1"/>
  <c r="F191" i="11"/>
  <c r="K191" i="11" s="1"/>
  <c r="F190" i="11"/>
  <c r="K190" i="11" s="1"/>
  <c r="F189" i="11"/>
  <c r="K189" i="11" s="1"/>
  <c r="F188" i="11"/>
  <c r="K188" i="11" s="1"/>
  <c r="F187" i="11"/>
  <c r="K187" i="11" s="1"/>
  <c r="F186" i="11"/>
  <c r="K186" i="11" s="1"/>
  <c r="F185" i="11"/>
  <c r="K185" i="11" s="1"/>
  <c r="F184" i="11"/>
  <c r="K184" i="11" s="1"/>
  <c r="F183" i="11"/>
  <c r="K183" i="11" s="1"/>
  <c r="F182" i="11"/>
  <c r="K182" i="11" s="1"/>
  <c r="F181" i="11"/>
  <c r="K181" i="11" s="1"/>
  <c r="F180" i="11"/>
  <c r="K180" i="11" s="1"/>
  <c r="F179" i="11"/>
  <c r="K179" i="11" s="1"/>
  <c r="F178" i="11"/>
  <c r="K178" i="11" s="1"/>
  <c r="F177" i="11"/>
  <c r="K177" i="11" s="1"/>
  <c r="F176" i="11"/>
  <c r="K176" i="11" s="1"/>
  <c r="F175" i="11"/>
  <c r="K175" i="11" s="1"/>
  <c r="F174" i="11"/>
  <c r="K174" i="11" s="1"/>
  <c r="F173" i="11"/>
  <c r="K173" i="11" s="1"/>
  <c r="F172" i="11"/>
  <c r="K172" i="11" s="1"/>
  <c r="F171" i="11"/>
  <c r="K171" i="11" s="1"/>
  <c r="F170" i="11"/>
  <c r="K170" i="11" s="1"/>
  <c r="F169" i="11"/>
  <c r="K169" i="11" s="1"/>
  <c r="F168" i="11"/>
  <c r="K168" i="11" s="1"/>
  <c r="F167" i="11"/>
  <c r="K167" i="11" s="1"/>
  <c r="F166" i="11"/>
  <c r="K166" i="11" s="1"/>
  <c r="F165" i="11"/>
  <c r="K165" i="11" s="1"/>
  <c r="F164" i="11"/>
  <c r="K164" i="11" s="1"/>
  <c r="F163" i="11"/>
  <c r="K163" i="11" s="1"/>
  <c r="F162" i="11"/>
  <c r="K162" i="11" s="1"/>
  <c r="F161" i="11"/>
  <c r="K161" i="11" s="1"/>
  <c r="F160" i="11"/>
  <c r="K160" i="11" s="1"/>
  <c r="F159" i="11"/>
  <c r="K159" i="11" s="1"/>
  <c r="E191" i="11"/>
  <c r="J191" i="11" s="1"/>
  <c r="E190" i="11"/>
  <c r="J190" i="11" s="1"/>
  <c r="E189" i="11"/>
  <c r="J189" i="11" s="1"/>
  <c r="E188" i="11"/>
  <c r="J188" i="11" s="1"/>
  <c r="E187" i="11"/>
  <c r="J187" i="11" s="1"/>
  <c r="E186" i="11"/>
  <c r="J186" i="11" s="1"/>
  <c r="E185" i="11"/>
  <c r="J185" i="11" s="1"/>
  <c r="E184" i="11"/>
  <c r="J184" i="11" s="1"/>
  <c r="E183" i="11"/>
  <c r="J183" i="11" s="1"/>
  <c r="E182" i="11"/>
  <c r="J182" i="11" s="1"/>
  <c r="E181" i="11"/>
  <c r="J181" i="11" s="1"/>
  <c r="E180" i="11"/>
  <c r="J180" i="11" s="1"/>
  <c r="E179" i="11"/>
  <c r="J179" i="11" s="1"/>
  <c r="E178" i="11"/>
  <c r="J178" i="11" s="1"/>
  <c r="E177" i="11"/>
  <c r="J177" i="11" s="1"/>
  <c r="E176" i="11"/>
  <c r="J176" i="11" s="1"/>
  <c r="E175" i="11"/>
  <c r="J175" i="11" s="1"/>
  <c r="E174" i="11"/>
  <c r="J174" i="11" s="1"/>
  <c r="E173" i="11"/>
  <c r="J173" i="11" s="1"/>
  <c r="E172" i="11"/>
  <c r="J172" i="11" s="1"/>
  <c r="E171" i="11"/>
  <c r="J171" i="11" s="1"/>
  <c r="E170" i="11"/>
  <c r="J170" i="11" s="1"/>
  <c r="E169" i="11"/>
  <c r="J169" i="11" s="1"/>
  <c r="E168" i="11"/>
  <c r="J168" i="11" s="1"/>
  <c r="E167" i="11"/>
  <c r="J167" i="11" s="1"/>
  <c r="E166" i="11"/>
  <c r="J166" i="11" s="1"/>
  <c r="E165" i="11"/>
  <c r="J165" i="11" s="1"/>
  <c r="E164" i="11"/>
  <c r="J164" i="11" s="1"/>
  <c r="E163" i="11"/>
  <c r="J163" i="11" s="1"/>
  <c r="E162" i="11"/>
  <c r="J162" i="11" s="1"/>
  <c r="E161" i="11"/>
  <c r="J161" i="11" s="1"/>
  <c r="E160" i="11"/>
  <c r="J160" i="11" s="1"/>
  <c r="E159" i="11"/>
  <c r="J159" i="11" s="1"/>
  <c r="D191" i="11"/>
  <c r="I191" i="11" s="1"/>
  <c r="D190" i="11"/>
  <c r="I190" i="11" s="1"/>
  <c r="D189" i="11"/>
  <c r="I189" i="11" s="1"/>
  <c r="D188" i="11"/>
  <c r="I188" i="11" s="1"/>
  <c r="D187" i="11"/>
  <c r="I187" i="11" s="1"/>
  <c r="D186" i="11"/>
  <c r="I186" i="11" s="1"/>
  <c r="D185" i="11"/>
  <c r="I185" i="11" s="1"/>
  <c r="D184" i="11"/>
  <c r="I184" i="11" s="1"/>
  <c r="D183" i="11"/>
  <c r="I183" i="11" s="1"/>
  <c r="D182" i="11"/>
  <c r="I182" i="11" s="1"/>
  <c r="D181" i="11"/>
  <c r="I181" i="11" s="1"/>
  <c r="D180" i="11"/>
  <c r="I180" i="11" s="1"/>
  <c r="D179" i="11"/>
  <c r="I179" i="11" s="1"/>
  <c r="D178" i="11"/>
  <c r="I178" i="11" s="1"/>
  <c r="D177" i="11"/>
  <c r="I177" i="11" s="1"/>
  <c r="D176" i="11"/>
  <c r="I176" i="11" s="1"/>
  <c r="D175" i="11"/>
  <c r="I175" i="11" s="1"/>
  <c r="D174" i="11"/>
  <c r="I174" i="11" s="1"/>
  <c r="D173" i="11"/>
  <c r="I173" i="11" s="1"/>
  <c r="D172" i="11"/>
  <c r="I172" i="11" s="1"/>
  <c r="D171" i="11"/>
  <c r="I171" i="11" s="1"/>
  <c r="D170" i="11"/>
  <c r="I170" i="11" s="1"/>
  <c r="D169" i="11"/>
  <c r="I169" i="11" s="1"/>
  <c r="D168" i="11"/>
  <c r="I168" i="11" s="1"/>
  <c r="D167" i="11"/>
  <c r="I167" i="11" s="1"/>
  <c r="D166" i="11"/>
  <c r="I166" i="11" s="1"/>
  <c r="D165" i="11"/>
  <c r="I165" i="11" s="1"/>
  <c r="D164" i="11"/>
  <c r="I164" i="11" s="1"/>
  <c r="D163" i="11"/>
  <c r="I163" i="11" s="1"/>
  <c r="D162" i="11"/>
  <c r="I162" i="11" s="1"/>
  <c r="D161" i="11"/>
  <c r="I161" i="11" s="1"/>
  <c r="D160" i="11"/>
  <c r="I160" i="11" s="1"/>
  <c r="D159" i="11"/>
  <c r="I159" i="11" s="1"/>
  <c r="C191" i="11"/>
  <c r="H191" i="11" s="1"/>
  <c r="C190" i="11"/>
  <c r="H190" i="11" s="1"/>
  <c r="C189" i="11"/>
  <c r="H189" i="11" s="1"/>
  <c r="C188" i="11"/>
  <c r="H188" i="11" s="1"/>
  <c r="C187" i="11"/>
  <c r="H187" i="11" s="1"/>
  <c r="C186" i="11"/>
  <c r="H186" i="11" s="1"/>
  <c r="C185" i="11"/>
  <c r="H185" i="11" s="1"/>
  <c r="C184" i="11"/>
  <c r="H184" i="11" s="1"/>
  <c r="C183" i="11"/>
  <c r="H183" i="11" s="1"/>
  <c r="C182" i="11"/>
  <c r="H182" i="11" s="1"/>
  <c r="C181" i="11"/>
  <c r="H181" i="11" s="1"/>
  <c r="C180" i="11"/>
  <c r="H180" i="11" s="1"/>
  <c r="C179" i="11"/>
  <c r="H179" i="11" s="1"/>
  <c r="C178" i="11"/>
  <c r="H178" i="11" s="1"/>
  <c r="C177" i="11"/>
  <c r="H177" i="11" s="1"/>
  <c r="C176" i="11"/>
  <c r="H176" i="11" s="1"/>
  <c r="C175" i="11"/>
  <c r="H175" i="11" s="1"/>
  <c r="C174" i="11"/>
  <c r="H174" i="11" s="1"/>
  <c r="C173" i="11"/>
  <c r="H173" i="11" s="1"/>
  <c r="C172" i="11"/>
  <c r="H172" i="11" s="1"/>
  <c r="C171" i="11"/>
  <c r="H171" i="11" s="1"/>
  <c r="C170" i="11"/>
  <c r="H170" i="11" s="1"/>
  <c r="C169" i="11"/>
  <c r="H169" i="11" s="1"/>
  <c r="C168" i="11"/>
  <c r="H168" i="11" s="1"/>
  <c r="C167" i="11"/>
  <c r="H167" i="11" s="1"/>
  <c r="C166" i="11"/>
  <c r="H166" i="11" s="1"/>
  <c r="C165" i="11"/>
  <c r="H165" i="11" s="1"/>
  <c r="C164" i="11"/>
  <c r="H164" i="11" s="1"/>
  <c r="C163" i="11"/>
  <c r="H163" i="11" s="1"/>
  <c r="C162" i="11"/>
  <c r="H162" i="11" s="1"/>
  <c r="C161" i="11"/>
  <c r="H161" i="11" s="1"/>
  <c r="C160" i="11"/>
  <c r="H160" i="11" s="1"/>
  <c r="C159" i="11"/>
  <c r="H159" i="11" s="1"/>
  <c r="AD153" i="11"/>
  <c r="AD152" i="11"/>
  <c r="AD151" i="11"/>
  <c r="AD150" i="11"/>
  <c r="AD149" i="11"/>
  <c r="AD148" i="11"/>
  <c r="AD147" i="11"/>
  <c r="AD146" i="11"/>
  <c r="AD145" i="11"/>
  <c r="AD144" i="11"/>
  <c r="AD143" i="11"/>
  <c r="AD142" i="11"/>
  <c r="AD141" i="11"/>
  <c r="AD140" i="11"/>
  <c r="AD139" i="11"/>
  <c r="AD138" i="11"/>
  <c r="AD137" i="11"/>
  <c r="AD136" i="11"/>
  <c r="AD135" i="11"/>
  <c r="AD134" i="11"/>
  <c r="AD133" i="11"/>
  <c r="AD132" i="11"/>
  <c r="AD131" i="11"/>
  <c r="AD130" i="11"/>
  <c r="AD129" i="11"/>
  <c r="AD128" i="11"/>
  <c r="AD127" i="11"/>
  <c r="AD126" i="11"/>
  <c r="AD125" i="11"/>
  <c r="AD124" i="11"/>
  <c r="AD123" i="11"/>
  <c r="AD122" i="11"/>
  <c r="AD121" i="11"/>
  <c r="AC153" i="11"/>
  <c r="AC152" i="11"/>
  <c r="AC151" i="11"/>
  <c r="AC150" i="11"/>
  <c r="AC149" i="11"/>
  <c r="AC148" i="11"/>
  <c r="AC147" i="11"/>
  <c r="AC146" i="11"/>
  <c r="AC145" i="11"/>
  <c r="AC144" i="11"/>
  <c r="AC143" i="11"/>
  <c r="AC142" i="11"/>
  <c r="AC141" i="11"/>
  <c r="AC140" i="11"/>
  <c r="AC139" i="11"/>
  <c r="AC138" i="11"/>
  <c r="AC137" i="11"/>
  <c r="AC136" i="11"/>
  <c r="AC135" i="11"/>
  <c r="AC134" i="11"/>
  <c r="AC133" i="11"/>
  <c r="AC132" i="11"/>
  <c r="AC131" i="11"/>
  <c r="AC130" i="11"/>
  <c r="AC129" i="11"/>
  <c r="AC128" i="11"/>
  <c r="AC127" i="11"/>
  <c r="AC126" i="11"/>
  <c r="AC125" i="11"/>
  <c r="AC124" i="11"/>
  <c r="AC123" i="11"/>
  <c r="AC122" i="11"/>
  <c r="AC121" i="11"/>
  <c r="V153" i="11"/>
  <c r="AA153" i="11" s="1"/>
  <c r="V152" i="11"/>
  <c r="AA152" i="11" s="1"/>
  <c r="V151" i="11"/>
  <c r="AA151" i="11" s="1"/>
  <c r="V150" i="11"/>
  <c r="AA150" i="11" s="1"/>
  <c r="V149" i="11"/>
  <c r="AA149" i="11" s="1"/>
  <c r="V148" i="11"/>
  <c r="AA148" i="11" s="1"/>
  <c r="V147" i="11"/>
  <c r="AA147" i="11" s="1"/>
  <c r="V146" i="11"/>
  <c r="AA146" i="11" s="1"/>
  <c r="V145" i="11"/>
  <c r="AA145" i="11" s="1"/>
  <c r="V144" i="11"/>
  <c r="AA144" i="11" s="1"/>
  <c r="V143" i="11"/>
  <c r="AA143" i="11" s="1"/>
  <c r="V142" i="11"/>
  <c r="AA142" i="11" s="1"/>
  <c r="V141" i="11"/>
  <c r="AA141" i="11" s="1"/>
  <c r="V140" i="11"/>
  <c r="AA140" i="11" s="1"/>
  <c r="V139" i="11"/>
  <c r="AA139" i="11" s="1"/>
  <c r="V138" i="11"/>
  <c r="AA138" i="11" s="1"/>
  <c r="V137" i="11"/>
  <c r="AA137" i="11" s="1"/>
  <c r="V136" i="11"/>
  <c r="AA136" i="11" s="1"/>
  <c r="V135" i="11"/>
  <c r="AA135" i="11" s="1"/>
  <c r="V134" i="11"/>
  <c r="AA134" i="11" s="1"/>
  <c r="V133" i="11"/>
  <c r="AA133" i="11" s="1"/>
  <c r="V132" i="11"/>
  <c r="AA132" i="11" s="1"/>
  <c r="V131" i="11"/>
  <c r="AA131" i="11" s="1"/>
  <c r="V130" i="11"/>
  <c r="AA130" i="11" s="1"/>
  <c r="V129" i="11"/>
  <c r="AA129" i="11" s="1"/>
  <c r="V128" i="11"/>
  <c r="AA128" i="11" s="1"/>
  <c r="V127" i="11"/>
  <c r="AA127" i="11" s="1"/>
  <c r="V126" i="11"/>
  <c r="AA126" i="11" s="1"/>
  <c r="V125" i="11"/>
  <c r="AA125" i="11" s="1"/>
  <c r="V124" i="11"/>
  <c r="AA124" i="11" s="1"/>
  <c r="V123" i="11"/>
  <c r="AA123" i="11" s="1"/>
  <c r="V122" i="11"/>
  <c r="AA122" i="11" s="1"/>
  <c r="V121" i="11"/>
  <c r="AA121" i="11" s="1"/>
  <c r="U153" i="11"/>
  <c r="Z153" i="11" s="1"/>
  <c r="U152" i="11"/>
  <c r="Z152" i="11" s="1"/>
  <c r="U151" i="11"/>
  <c r="Z151" i="11" s="1"/>
  <c r="U150" i="11"/>
  <c r="Z150" i="11" s="1"/>
  <c r="U149" i="11"/>
  <c r="Z149" i="11" s="1"/>
  <c r="U148" i="11"/>
  <c r="Z148" i="11" s="1"/>
  <c r="U147" i="11"/>
  <c r="Z147" i="11" s="1"/>
  <c r="U146" i="11"/>
  <c r="Z146" i="11" s="1"/>
  <c r="U145" i="11"/>
  <c r="Z145" i="11" s="1"/>
  <c r="U144" i="11"/>
  <c r="Z144" i="11" s="1"/>
  <c r="U143" i="11"/>
  <c r="Z143" i="11" s="1"/>
  <c r="U142" i="11"/>
  <c r="Z142" i="11" s="1"/>
  <c r="U141" i="11"/>
  <c r="Z141" i="11" s="1"/>
  <c r="U140" i="11"/>
  <c r="Z140" i="11" s="1"/>
  <c r="U139" i="11"/>
  <c r="Z139" i="11" s="1"/>
  <c r="U138" i="11"/>
  <c r="Z138" i="11" s="1"/>
  <c r="U137" i="11"/>
  <c r="Z137" i="11" s="1"/>
  <c r="U136" i="11"/>
  <c r="Z136" i="11" s="1"/>
  <c r="U135" i="11"/>
  <c r="Z135" i="11" s="1"/>
  <c r="U134" i="11"/>
  <c r="Z134" i="11" s="1"/>
  <c r="U133" i="11"/>
  <c r="Z133" i="11" s="1"/>
  <c r="U132" i="11"/>
  <c r="Z132" i="11" s="1"/>
  <c r="U131" i="11"/>
  <c r="Z131" i="11" s="1"/>
  <c r="U130" i="11"/>
  <c r="Z130" i="11" s="1"/>
  <c r="U129" i="11"/>
  <c r="Z129" i="11" s="1"/>
  <c r="U128" i="11"/>
  <c r="Z128" i="11" s="1"/>
  <c r="U127" i="11"/>
  <c r="Z127" i="11" s="1"/>
  <c r="U126" i="11"/>
  <c r="Z126" i="11" s="1"/>
  <c r="U125" i="11"/>
  <c r="Z125" i="11" s="1"/>
  <c r="U124" i="11"/>
  <c r="Z124" i="11" s="1"/>
  <c r="U123" i="11"/>
  <c r="Z123" i="11" s="1"/>
  <c r="U122" i="11"/>
  <c r="Z122" i="11" s="1"/>
  <c r="U121" i="11"/>
  <c r="Z121" i="11" s="1"/>
  <c r="T153" i="11"/>
  <c r="T152" i="11"/>
  <c r="T151" i="11"/>
  <c r="T150" i="11"/>
  <c r="T149" i="11"/>
  <c r="T148" i="11"/>
  <c r="T147" i="11"/>
  <c r="T146" i="11"/>
  <c r="T145" i="11"/>
  <c r="T144" i="11"/>
  <c r="T143" i="11"/>
  <c r="T142" i="11"/>
  <c r="T141" i="11"/>
  <c r="T140" i="11"/>
  <c r="T139" i="11"/>
  <c r="T138" i="11"/>
  <c r="T137" i="11"/>
  <c r="T136" i="11"/>
  <c r="T135" i="11"/>
  <c r="T134" i="11"/>
  <c r="T133" i="11"/>
  <c r="T132" i="11"/>
  <c r="T131" i="11"/>
  <c r="T130" i="11"/>
  <c r="T129" i="11"/>
  <c r="T128" i="11"/>
  <c r="T127" i="11"/>
  <c r="T126" i="11"/>
  <c r="T125" i="11"/>
  <c r="T124" i="11"/>
  <c r="T123" i="11"/>
  <c r="T122" i="11"/>
  <c r="T121" i="11"/>
  <c r="S153" i="11"/>
  <c r="X153" i="11" s="1"/>
  <c r="S152" i="11"/>
  <c r="X152" i="11" s="1"/>
  <c r="S151" i="11"/>
  <c r="X151" i="11" s="1"/>
  <c r="S150" i="11"/>
  <c r="X150" i="11" s="1"/>
  <c r="S149" i="11"/>
  <c r="X149" i="11" s="1"/>
  <c r="S148" i="11"/>
  <c r="X148" i="11" s="1"/>
  <c r="S147" i="11"/>
  <c r="X147" i="11" s="1"/>
  <c r="S146" i="11"/>
  <c r="X146" i="11" s="1"/>
  <c r="S145" i="11"/>
  <c r="X145" i="11" s="1"/>
  <c r="S144" i="11"/>
  <c r="X144" i="11" s="1"/>
  <c r="S143" i="11"/>
  <c r="X143" i="11" s="1"/>
  <c r="S142" i="11"/>
  <c r="X142" i="11" s="1"/>
  <c r="S141" i="11"/>
  <c r="X141" i="11" s="1"/>
  <c r="S140" i="11"/>
  <c r="X140" i="11" s="1"/>
  <c r="S139" i="11"/>
  <c r="X139" i="11" s="1"/>
  <c r="S138" i="11"/>
  <c r="X138" i="11" s="1"/>
  <c r="S137" i="11"/>
  <c r="X137" i="11" s="1"/>
  <c r="S136" i="11"/>
  <c r="X136" i="11" s="1"/>
  <c r="S135" i="11"/>
  <c r="X135" i="11" s="1"/>
  <c r="S134" i="11"/>
  <c r="X134" i="11" s="1"/>
  <c r="S133" i="11"/>
  <c r="X133" i="11" s="1"/>
  <c r="S132" i="11"/>
  <c r="X132" i="11" s="1"/>
  <c r="S131" i="11"/>
  <c r="X131" i="11" s="1"/>
  <c r="S130" i="11"/>
  <c r="X130" i="11" s="1"/>
  <c r="S129" i="11"/>
  <c r="X129" i="11" s="1"/>
  <c r="S128" i="11"/>
  <c r="X128" i="11" s="1"/>
  <c r="S127" i="11"/>
  <c r="X127" i="11" s="1"/>
  <c r="S126" i="11"/>
  <c r="X126" i="11" s="1"/>
  <c r="S125" i="11"/>
  <c r="X125" i="11" s="1"/>
  <c r="S124" i="11"/>
  <c r="X124" i="11" s="1"/>
  <c r="S123" i="11"/>
  <c r="X123" i="11" s="1"/>
  <c r="S122" i="11"/>
  <c r="X122" i="11" s="1"/>
  <c r="S121" i="11"/>
  <c r="X121" i="11" s="1"/>
  <c r="R153" i="11"/>
  <c r="W153" i="11" s="1"/>
  <c r="R152" i="11"/>
  <c r="W152" i="11" s="1"/>
  <c r="R151" i="11"/>
  <c r="W151" i="11" s="1"/>
  <c r="R150" i="11"/>
  <c r="W150" i="11" s="1"/>
  <c r="R149" i="11"/>
  <c r="W149" i="11" s="1"/>
  <c r="R148" i="11"/>
  <c r="W148" i="11" s="1"/>
  <c r="R147" i="11"/>
  <c r="W147" i="11" s="1"/>
  <c r="R146" i="11"/>
  <c r="W146" i="11" s="1"/>
  <c r="R145" i="11"/>
  <c r="W145" i="11" s="1"/>
  <c r="R144" i="11"/>
  <c r="W144" i="11" s="1"/>
  <c r="R143" i="11"/>
  <c r="W143" i="11" s="1"/>
  <c r="R142" i="11"/>
  <c r="W142" i="11" s="1"/>
  <c r="R141" i="11"/>
  <c r="W141" i="11" s="1"/>
  <c r="R140" i="11"/>
  <c r="W140" i="11" s="1"/>
  <c r="R139" i="11"/>
  <c r="W139" i="11" s="1"/>
  <c r="R138" i="11"/>
  <c r="W138" i="11" s="1"/>
  <c r="R137" i="11"/>
  <c r="W137" i="11" s="1"/>
  <c r="R136" i="11"/>
  <c r="W136" i="11" s="1"/>
  <c r="R135" i="11"/>
  <c r="W135" i="11" s="1"/>
  <c r="R134" i="11"/>
  <c r="W134" i="11" s="1"/>
  <c r="R133" i="11"/>
  <c r="W133" i="11" s="1"/>
  <c r="R132" i="11"/>
  <c r="W132" i="11" s="1"/>
  <c r="R131" i="11"/>
  <c r="W131" i="11" s="1"/>
  <c r="R130" i="11"/>
  <c r="W130" i="11" s="1"/>
  <c r="R129" i="11"/>
  <c r="W129" i="11" s="1"/>
  <c r="R128" i="11"/>
  <c r="W128" i="11" s="1"/>
  <c r="R127" i="11"/>
  <c r="W127" i="11" s="1"/>
  <c r="R126" i="11"/>
  <c r="W126" i="11" s="1"/>
  <c r="R125" i="11"/>
  <c r="W125" i="11" s="1"/>
  <c r="R124" i="11"/>
  <c r="W124" i="11" s="1"/>
  <c r="R123" i="11"/>
  <c r="W123" i="11" s="1"/>
  <c r="R122" i="11"/>
  <c r="W122" i="11" s="1"/>
  <c r="R121" i="11"/>
  <c r="W121" i="11" s="1"/>
  <c r="O153" i="11"/>
  <c r="O152" i="11"/>
  <c r="O151" i="11"/>
  <c r="O150" i="11"/>
  <c r="O149" i="11"/>
  <c r="O148" i="11"/>
  <c r="O147" i="11"/>
  <c r="O146" i="11"/>
  <c r="O145" i="11"/>
  <c r="O144" i="11"/>
  <c r="O143" i="11"/>
  <c r="O142" i="11"/>
  <c r="O141" i="11"/>
  <c r="O140" i="11"/>
  <c r="O139" i="11"/>
  <c r="O138" i="11"/>
  <c r="O137" i="11"/>
  <c r="O136" i="11"/>
  <c r="O135" i="11"/>
  <c r="O134" i="11"/>
  <c r="O133" i="11"/>
  <c r="O132" i="11"/>
  <c r="O131" i="11"/>
  <c r="O130" i="11"/>
  <c r="O129" i="11"/>
  <c r="O128" i="11"/>
  <c r="O127" i="11"/>
  <c r="O126" i="11"/>
  <c r="O125" i="11"/>
  <c r="O124" i="11"/>
  <c r="O123" i="11"/>
  <c r="O122" i="11"/>
  <c r="O121" i="11"/>
  <c r="N153" i="11"/>
  <c r="N152" i="11"/>
  <c r="N151" i="11"/>
  <c r="N150" i="11"/>
  <c r="N149" i="11"/>
  <c r="N148" i="11"/>
  <c r="N147" i="11"/>
  <c r="N146" i="11"/>
  <c r="N145" i="11"/>
  <c r="N144" i="11"/>
  <c r="N143" i="11"/>
  <c r="N142" i="11"/>
  <c r="N141" i="11"/>
  <c r="N140" i="11"/>
  <c r="N139" i="11"/>
  <c r="N138" i="11"/>
  <c r="N137" i="11"/>
  <c r="N136" i="11"/>
  <c r="N135" i="11"/>
  <c r="N134" i="11"/>
  <c r="N133" i="11"/>
  <c r="N132" i="11"/>
  <c r="N131" i="11"/>
  <c r="N130" i="11"/>
  <c r="N129" i="11"/>
  <c r="N128" i="11"/>
  <c r="N127" i="11"/>
  <c r="N126" i="11"/>
  <c r="N125" i="11"/>
  <c r="N124" i="11"/>
  <c r="N123" i="11"/>
  <c r="N122" i="11"/>
  <c r="N121" i="11"/>
  <c r="G153" i="11"/>
  <c r="L153" i="11" s="1"/>
  <c r="G152" i="11"/>
  <c r="L152" i="11" s="1"/>
  <c r="G151" i="11"/>
  <c r="L151" i="11" s="1"/>
  <c r="G150" i="11"/>
  <c r="L150" i="11" s="1"/>
  <c r="G149" i="11"/>
  <c r="L149" i="11" s="1"/>
  <c r="G148" i="11"/>
  <c r="L148" i="11" s="1"/>
  <c r="G147" i="11"/>
  <c r="L147" i="11" s="1"/>
  <c r="G146" i="11"/>
  <c r="L146" i="11" s="1"/>
  <c r="G145" i="11"/>
  <c r="L145" i="11" s="1"/>
  <c r="G144" i="11"/>
  <c r="L144" i="11" s="1"/>
  <c r="G143" i="11"/>
  <c r="L143" i="11" s="1"/>
  <c r="G142" i="11"/>
  <c r="L142" i="11" s="1"/>
  <c r="G141" i="11"/>
  <c r="L141" i="11" s="1"/>
  <c r="G140" i="11"/>
  <c r="L140" i="11" s="1"/>
  <c r="G139" i="11"/>
  <c r="L139" i="11" s="1"/>
  <c r="G138" i="11"/>
  <c r="L138" i="11" s="1"/>
  <c r="G137" i="11"/>
  <c r="L137" i="11" s="1"/>
  <c r="G136" i="11"/>
  <c r="L136" i="11" s="1"/>
  <c r="G135" i="11"/>
  <c r="L135" i="11" s="1"/>
  <c r="G134" i="11"/>
  <c r="L134" i="11" s="1"/>
  <c r="G133" i="11"/>
  <c r="L133" i="11" s="1"/>
  <c r="G132" i="11"/>
  <c r="L132" i="11" s="1"/>
  <c r="G131" i="11"/>
  <c r="L131" i="11" s="1"/>
  <c r="G130" i="11"/>
  <c r="L130" i="11" s="1"/>
  <c r="G129" i="11"/>
  <c r="L129" i="11" s="1"/>
  <c r="G128" i="11"/>
  <c r="L128" i="11" s="1"/>
  <c r="G127" i="11"/>
  <c r="L127" i="11" s="1"/>
  <c r="G126" i="11"/>
  <c r="L126" i="11" s="1"/>
  <c r="G125" i="11"/>
  <c r="L125" i="11" s="1"/>
  <c r="G124" i="11"/>
  <c r="L124" i="11" s="1"/>
  <c r="G123" i="11"/>
  <c r="L123" i="11" s="1"/>
  <c r="G122" i="11"/>
  <c r="L122" i="11" s="1"/>
  <c r="G121" i="11"/>
  <c r="L121" i="11" s="1"/>
  <c r="F153" i="11"/>
  <c r="K153" i="11" s="1"/>
  <c r="F152" i="11"/>
  <c r="K152" i="11" s="1"/>
  <c r="F151" i="11"/>
  <c r="K151" i="11" s="1"/>
  <c r="F150" i="11"/>
  <c r="K150" i="11" s="1"/>
  <c r="F149" i="11"/>
  <c r="K149" i="11" s="1"/>
  <c r="F148" i="11"/>
  <c r="K148" i="11" s="1"/>
  <c r="F147" i="11"/>
  <c r="K147" i="11" s="1"/>
  <c r="F146" i="11"/>
  <c r="K146" i="11" s="1"/>
  <c r="F145" i="11"/>
  <c r="K145" i="11" s="1"/>
  <c r="F144" i="11"/>
  <c r="K144" i="11" s="1"/>
  <c r="F143" i="11"/>
  <c r="K143" i="11" s="1"/>
  <c r="F142" i="11"/>
  <c r="K142" i="11" s="1"/>
  <c r="F141" i="11"/>
  <c r="K141" i="11" s="1"/>
  <c r="F140" i="11"/>
  <c r="K140" i="11" s="1"/>
  <c r="F139" i="11"/>
  <c r="K139" i="11" s="1"/>
  <c r="F138" i="11"/>
  <c r="K138" i="11" s="1"/>
  <c r="F137" i="11"/>
  <c r="K137" i="11" s="1"/>
  <c r="F136" i="11"/>
  <c r="K136" i="11" s="1"/>
  <c r="F135" i="11"/>
  <c r="K135" i="11" s="1"/>
  <c r="F134" i="11"/>
  <c r="K134" i="11" s="1"/>
  <c r="F133" i="11"/>
  <c r="K133" i="11" s="1"/>
  <c r="F132" i="11"/>
  <c r="K132" i="11" s="1"/>
  <c r="F131" i="11"/>
  <c r="K131" i="11" s="1"/>
  <c r="F130" i="11"/>
  <c r="K130" i="11" s="1"/>
  <c r="F129" i="11"/>
  <c r="K129" i="11" s="1"/>
  <c r="F128" i="11"/>
  <c r="K128" i="11" s="1"/>
  <c r="F127" i="11"/>
  <c r="K127" i="11" s="1"/>
  <c r="F126" i="11"/>
  <c r="K126" i="11" s="1"/>
  <c r="F125" i="11"/>
  <c r="K125" i="11" s="1"/>
  <c r="F124" i="11"/>
  <c r="K124" i="11" s="1"/>
  <c r="F123" i="11"/>
  <c r="K123" i="11" s="1"/>
  <c r="F122" i="11"/>
  <c r="K122" i="11" s="1"/>
  <c r="F121" i="11"/>
  <c r="K121" i="11" s="1"/>
  <c r="E153" i="11"/>
  <c r="E152" i="11"/>
  <c r="E151" i="11"/>
  <c r="E150" i="11"/>
  <c r="E149" i="11"/>
  <c r="E148" i="11"/>
  <c r="E147" i="11"/>
  <c r="E146" i="11"/>
  <c r="E145" i="11"/>
  <c r="E144" i="11"/>
  <c r="E143" i="11"/>
  <c r="E142" i="11"/>
  <c r="E141" i="11"/>
  <c r="E140" i="11"/>
  <c r="E139" i="11"/>
  <c r="E138" i="11"/>
  <c r="E137" i="11"/>
  <c r="E136" i="11"/>
  <c r="E135" i="11"/>
  <c r="E134" i="11"/>
  <c r="E133" i="11"/>
  <c r="E132" i="11"/>
  <c r="E131" i="11"/>
  <c r="E130" i="11"/>
  <c r="E129" i="11"/>
  <c r="E128" i="11"/>
  <c r="E127" i="11"/>
  <c r="E126" i="11"/>
  <c r="E125" i="11"/>
  <c r="E124" i="11"/>
  <c r="E123" i="11"/>
  <c r="E122" i="11"/>
  <c r="E121" i="11"/>
  <c r="D153" i="11"/>
  <c r="I153" i="11" s="1"/>
  <c r="D152" i="11"/>
  <c r="I152" i="11" s="1"/>
  <c r="D151" i="11"/>
  <c r="I151" i="11" s="1"/>
  <c r="D150" i="11"/>
  <c r="I150" i="11" s="1"/>
  <c r="D149" i="11"/>
  <c r="I149" i="11" s="1"/>
  <c r="D148" i="11"/>
  <c r="I148" i="11" s="1"/>
  <c r="D147" i="11"/>
  <c r="I147" i="11" s="1"/>
  <c r="D146" i="11"/>
  <c r="I146" i="11" s="1"/>
  <c r="D145" i="11"/>
  <c r="I145" i="11" s="1"/>
  <c r="D144" i="11"/>
  <c r="I144" i="11" s="1"/>
  <c r="D143" i="11"/>
  <c r="I143" i="11" s="1"/>
  <c r="D142" i="11"/>
  <c r="I142" i="11" s="1"/>
  <c r="D141" i="11"/>
  <c r="I141" i="11" s="1"/>
  <c r="D140" i="11"/>
  <c r="I140" i="11" s="1"/>
  <c r="D139" i="11"/>
  <c r="I139" i="11" s="1"/>
  <c r="D138" i="11"/>
  <c r="I138" i="11" s="1"/>
  <c r="D137" i="11"/>
  <c r="I137" i="11" s="1"/>
  <c r="D136" i="11"/>
  <c r="I136" i="11" s="1"/>
  <c r="D135" i="11"/>
  <c r="I135" i="11" s="1"/>
  <c r="D134" i="11"/>
  <c r="I134" i="11" s="1"/>
  <c r="D133" i="11"/>
  <c r="I133" i="11" s="1"/>
  <c r="D132" i="11"/>
  <c r="I132" i="11" s="1"/>
  <c r="D131" i="11"/>
  <c r="I131" i="11" s="1"/>
  <c r="D130" i="11"/>
  <c r="I130" i="11" s="1"/>
  <c r="D129" i="11"/>
  <c r="I129" i="11" s="1"/>
  <c r="D128" i="11"/>
  <c r="I128" i="11" s="1"/>
  <c r="D127" i="11"/>
  <c r="I127" i="11" s="1"/>
  <c r="D126" i="11"/>
  <c r="I126" i="11" s="1"/>
  <c r="D125" i="11"/>
  <c r="I125" i="11" s="1"/>
  <c r="D124" i="11"/>
  <c r="I124" i="11" s="1"/>
  <c r="D123" i="11"/>
  <c r="I123" i="11" s="1"/>
  <c r="D122" i="11"/>
  <c r="I122" i="11" s="1"/>
  <c r="D121" i="11"/>
  <c r="I121" i="11" s="1"/>
  <c r="C153" i="11"/>
  <c r="H153" i="11" s="1"/>
  <c r="C152" i="11"/>
  <c r="H152" i="11" s="1"/>
  <c r="C151" i="11"/>
  <c r="H151" i="11" s="1"/>
  <c r="C150" i="11"/>
  <c r="H150" i="11" s="1"/>
  <c r="C149" i="11"/>
  <c r="H149" i="11" s="1"/>
  <c r="C148" i="11"/>
  <c r="H148" i="11" s="1"/>
  <c r="C147" i="11"/>
  <c r="H147" i="11" s="1"/>
  <c r="C146" i="11"/>
  <c r="H146" i="11" s="1"/>
  <c r="C145" i="11"/>
  <c r="H145" i="11" s="1"/>
  <c r="C144" i="11"/>
  <c r="H144" i="11" s="1"/>
  <c r="C143" i="11"/>
  <c r="H143" i="11" s="1"/>
  <c r="C142" i="11"/>
  <c r="H142" i="11" s="1"/>
  <c r="C141" i="11"/>
  <c r="H141" i="11" s="1"/>
  <c r="C140" i="11"/>
  <c r="H140" i="11" s="1"/>
  <c r="C139" i="11"/>
  <c r="H139" i="11" s="1"/>
  <c r="C138" i="11"/>
  <c r="H138" i="11" s="1"/>
  <c r="C137" i="11"/>
  <c r="H137" i="11" s="1"/>
  <c r="C136" i="11"/>
  <c r="H136" i="11" s="1"/>
  <c r="C135" i="11"/>
  <c r="H135" i="11" s="1"/>
  <c r="C134" i="11"/>
  <c r="H134" i="11" s="1"/>
  <c r="C133" i="11"/>
  <c r="H133" i="11" s="1"/>
  <c r="C132" i="11"/>
  <c r="H132" i="11" s="1"/>
  <c r="C131" i="11"/>
  <c r="H131" i="11" s="1"/>
  <c r="C130" i="11"/>
  <c r="H130" i="11" s="1"/>
  <c r="C129" i="11"/>
  <c r="H129" i="11" s="1"/>
  <c r="C128" i="11"/>
  <c r="H128" i="11" s="1"/>
  <c r="C127" i="11"/>
  <c r="H127" i="11" s="1"/>
  <c r="C126" i="11"/>
  <c r="H126" i="11" s="1"/>
  <c r="C125" i="11"/>
  <c r="H125" i="11" s="1"/>
  <c r="C124" i="11"/>
  <c r="H124" i="11" s="1"/>
  <c r="C123" i="11"/>
  <c r="H123" i="11" s="1"/>
  <c r="C122" i="11"/>
  <c r="H122" i="11" s="1"/>
  <c r="C121" i="11"/>
  <c r="H121" i="11" s="1"/>
  <c r="AD115" i="11"/>
  <c r="AD114" i="11"/>
  <c r="AD113" i="11"/>
  <c r="AD112" i="11"/>
  <c r="AD111" i="11"/>
  <c r="AD110" i="11"/>
  <c r="AD109" i="11"/>
  <c r="AD108" i="11"/>
  <c r="AD107" i="11"/>
  <c r="AD106" i="11"/>
  <c r="AD105" i="11"/>
  <c r="AD104" i="11"/>
  <c r="AD103" i="11"/>
  <c r="AD102" i="11"/>
  <c r="AD101" i="11"/>
  <c r="AD100" i="11"/>
  <c r="AD99" i="11"/>
  <c r="AD98" i="11"/>
  <c r="AD97" i="11"/>
  <c r="AD96" i="11"/>
  <c r="AD95" i="11"/>
  <c r="AD94" i="11"/>
  <c r="AD93" i="11"/>
  <c r="AD92" i="11"/>
  <c r="AD91" i="11"/>
  <c r="AD90" i="11"/>
  <c r="AD89" i="11"/>
  <c r="AD88" i="11"/>
  <c r="AD87" i="11"/>
  <c r="AD86" i="11"/>
  <c r="AD85" i="11"/>
  <c r="AD84" i="11"/>
  <c r="AD83" i="11"/>
  <c r="AC115" i="11"/>
  <c r="AC114" i="11"/>
  <c r="AC113" i="11"/>
  <c r="AC112" i="11"/>
  <c r="AC111" i="11"/>
  <c r="AC110" i="11"/>
  <c r="AC109" i="11"/>
  <c r="AC108" i="11"/>
  <c r="AC107" i="11"/>
  <c r="AC106" i="11"/>
  <c r="AC105" i="11"/>
  <c r="AC104" i="11"/>
  <c r="AC103" i="11"/>
  <c r="AC102" i="11"/>
  <c r="AC101" i="11"/>
  <c r="AC100" i="11"/>
  <c r="AC99" i="11"/>
  <c r="AC98" i="11"/>
  <c r="AC97" i="11"/>
  <c r="AC96" i="11"/>
  <c r="AC95" i="11"/>
  <c r="AC94" i="11"/>
  <c r="AC93" i="11"/>
  <c r="AC92" i="11"/>
  <c r="AC91" i="11"/>
  <c r="AC90" i="11"/>
  <c r="AC89" i="11"/>
  <c r="AC88" i="11"/>
  <c r="AC87" i="11"/>
  <c r="AC86" i="11"/>
  <c r="AC85" i="11"/>
  <c r="AC84" i="11"/>
  <c r="AC83" i="11"/>
  <c r="V115" i="11"/>
  <c r="AA115" i="11" s="1"/>
  <c r="V114" i="11"/>
  <c r="AA114" i="11" s="1"/>
  <c r="V113" i="11"/>
  <c r="AA113" i="11" s="1"/>
  <c r="V112" i="11"/>
  <c r="AA112" i="11" s="1"/>
  <c r="V111" i="11"/>
  <c r="AA111" i="11" s="1"/>
  <c r="V110" i="11"/>
  <c r="AA110" i="11" s="1"/>
  <c r="V109" i="11"/>
  <c r="AA109" i="11" s="1"/>
  <c r="V108" i="11"/>
  <c r="AA108" i="11" s="1"/>
  <c r="V107" i="11"/>
  <c r="AA107" i="11" s="1"/>
  <c r="V106" i="11"/>
  <c r="AA106" i="11" s="1"/>
  <c r="V105" i="11"/>
  <c r="AA105" i="11" s="1"/>
  <c r="V104" i="11"/>
  <c r="AA104" i="11" s="1"/>
  <c r="V103" i="11"/>
  <c r="AA103" i="11" s="1"/>
  <c r="V102" i="11"/>
  <c r="AA102" i="11" s="1"/>
  <c r="V101" i="11"/>
  <c r="AA101" i="11" s="1"/>
  <c r="V100" i="11"/>
  <c r="AA100" i="11" s="1"/>
  <c r="V99" i="11"/>
  <c r="AA99" i="11" s="1"/>
  <c r="V98" i="11"/>
  <c r="AA98" i="11" s="1"/>
  <c r="V97" i="11"/>
  <c r="AA97" i="11" s="1"/>
  <c r="V96" i="11"/>
  <c r="AA96" i="11" s="1"/>
  <c r="V95" i="11"/>
  <c r="AA95" i="11" s="1"/>
  <c r="V94" i="11"/>
  <c r="AA94" i="11" s="1"/>
  <c r="V93" i="11"/>
  <c r="AA93" i="11" s="1"/>
  <c r="V92" i="11"/>
  <c r="AA92" i="11" s="1"/>
  <c r="V91" i="11"/>
  <c r="AA91" i="11" s="1"/>
  <c r="V90" i="11"/>
  <c r="AA90" i="11" s="1"/>
  <c r="V89" i="11"/>
  <c r="AA89" i="11" s="1"/>
  <c r="V88" i="11"/>
  <c r="AA88" i="11" s="1"/>
  <c r="V87" i="11"/>
  <c r="AA87" i="11" s="1"/>
  <c r="V86" i="11"/>
  <c r="AA86" i="11" s="1"/>
  <c r="V85" i="11"/>
  <c r="AA85" i="11" s="1"/>
  <c r="V84" i="11"/>
  <c r="AA84" i="11" s="1"/>
  <c r="V83" i="11"/>
  <c r="AA83" i="11" s="1"/>
  <c r="U115" i="11"/>
  <c r="Z115" i="11" s="1"/>
  <c r="U114" i="11"/>
  <c r="Z114" i="11" s="1"/>
  <c r="U113" i="11"/>
  <c r="Z113" i="11" s="1"/>
  <c r="U112" i="11"/>
  <c r="Z112" i="11" s="1"/>
  <c r="U111" i="11"/>
  <c r="Z111" i="11" s="1"/>
  <c r="U110" i="11"/>
  <c r="Z110" i="11" s="1"/>
  <c r="U109" i="11"/>
  <c r="Z109" i="11" s="1"/>
  <c r="U108" i="11"/>
  <c r="Z108" i="11" s="1"/>
  <c r="U107" i="11"/>
  <c r="Z107" i="11" s="1"/>
  <c r="U106" i="11"/>
  <c r="Z106" i="11" s="1"/>
  <c r="U105" i="11"/>
  <c r="Z105" i="11" s="1"/>
  <c r="U104" i="11"/>
  <c r="Z104" i="11" s="1"/>
  <c r="U103" i="11"/>
  <c r="Z103" i="11" s="1"/>
  <c r="U102" i="11"/>
  <c r="Z102" i="11" s="1"/>
  <c r="U101" i="11"/>
  <c r="Z101" i="11" s="1"/>
  <c r="U100" i="11"/>
  <c r="Z100" i="11" s="1"/>
  <c r="U99" i="11"/>
  <c r="Z99" i="11" s="1"/>
  <c r="U98" i="11"/>
  <c r="Z98" i="11" s="1"/>
  <c r="U97" i="11"/>
  <c r="Z97" i="11" s="1"/>
  <c r="U96" i="11"/>
  <c r="Z96" i="11" s="1"/>
  <c r="U95" i="11"/>
  <c r="Z95" i="11" s="1"/>
  <c r="U94" i="11"/>
  <c r="Z94" i="11" s="1"/>
  <c r="U93" i="11"/>
  <c r="Z93" i="11" s="1"/>
  <c r="U92" i="11"/>
  <c r="Z92" i="11" s="1"/>
  <c r="U91" i="11"/>
  <c r="Z91" i="11" s="1"/>
  <c r="U90" i="11"/>
  <c r="Z90" i="11" s="1"/>
  <c r="U89" i="11"/>
  <c r="Z89" i="11" s="1"/>
  <c r="U88" i="11"/>
  <c r="Z88" i="11" s="1"/>
  <c r="U87" i="11"/>
  <c r="Z87" i="11" s="1"/>
  <c r="U86" i="11"/>
  <c r="Z86" i="11" s="1"/>
  <c r="U85" i="11"/>
  <c r="Z85" i="11" s="1"/>
  <c r="U84" i="11"/>
  <c r="Z84" i="11" s="1"/>
  <c r="U83" i="11"/>
  <c r="Z83" i="11" s="1"/>
  <c r="E115" i="11"/>
  <c r="E114" i="11"/>
  <c r="E113" i="11"/>
  <c r="E112" i="11"/>
  <c r="E111" i="11"/>
  <c r="E110" i="11"/>
  <c r="E109" i="11"/>
  <c r="E108" i="11"/>
  <c r="E107" i="11"/>
  <c r="E106" i="11"/>
  <c r="E105" i="11"/>
  <c r="E104" i="11"/>
  <c r="E103" i="11"/>
  <c r="E102" i="11"/>
  <c r="E101" i="11"/>
  <c r="E100" i="11"/>
  <c r="E99" i="11"/>
  <c r="E98" i="11"/>
  <c r="E97" i="11"/>
  <c r="E96" i="11"/>
  <c r="E95" i="11"/>
  <c r="E94" i="11"/>
  <c r="E93" i="11"/>
  <c r="E92" i="11"/>
  <c r="E91" i="11"/>
  <c r="E90" i="11"/>
  <c r="E89" i="11"/>
  <c r="E88" i="11"/>
  <c r="E87" i="11"/>
  <c r="E86" i="11"/>
  <c r="E85" i="11"/>
  <c r="E84" i="11"/>
  <c r="E83" i="11"/>
  <c r="T115" i="11"/>
  <c r="T114" i="11"/>
  <c r="T113" i="11"/>
  <c r="T112" i="11"/>
  <c r="T111" i="11"/>
  <c r="T110" i="11"/>
  <c r="T109" i="11"/>
  <c r="T108" i="11"/>
  <c r="T107" i="11"/>
  <c r="T106" i="11"/>
  <c r="T105" i="11"/>
  <c r="T104" i="11"/>
  <c r="T103" i="11"/>
  <c r="T102" i="11"/>
  <c r="T101" i="11"/>
  <c r="T100" i="11"/>
  <c r="T99" i="11"/>
  <c r="T98" i="11"/>
  <c r="T97" i="11"/>
  <c r="T96" i="11"/>
  <c r="T95" i="11"/>
  <c r="T94" i="11"/>
  <c r="T93" i="11"/>
  <c r="T92" i="11"/>
  <c r="T91" i="11"/>
  <c r="T90" i="11"/>
  <c r="T89" i="11"/>
  <c r="T88" i="11"/>
  <c r="T87" i="11"/>
  <c r="T86" i="11"/>
  <c r="T85" i="11"/>
  <c r="T84" i="11"/>
  <c r="T83" i="11"/>
  <c r="S115" i="11"/>
  <c r="X115" i="11" s="1"/>
  <c r="S114" i="11"/>
  <c r="X114" i="11" s="1"/>
  <c r="S113" i="11"/>
  <c r="X113" i="11" s="1"/>
  <c r="S112" i="11"/>
  <c r="X112" i="11" s="1"/>
  <c r="S111" i="11"/>
  <c r="X111" i="11" s="1"/>
  <c r="S110" i="11"/>
  <c r="X110" i="11" s="1"/>
  <c r="S109" i="11"/>
  <c r="X109" i="11" s="1"/>
  <c r="S108" i="11"/>
  <c r="X108" i="11" s="1"/>
  <c r="S107" i="11"/>
  <c r="X107" i="11" s="1"/>
  <c r="S106" i="11"/>
  <c r="X106" i="11" s="1"/>
  <c r="S105" i="11"/>
  <c r="X105" i="11" s="1"/>
  <c r="S104" i="11"/>
  <c r="X104" i="11" s="1"/>
  <c r="S103" i="11"/>
  <c r="X103" i="11" s="1"/>
  <c r="S102" i="11"/>
  <c r="X102" i="11" s="1"/>
  <c r="S101" i="11"/>
  <c r="X101" i="11" s="1"/>
  <c r="S100" i="11"/>
  <c r="X100" i="11" s="1"/>
  <c r="S99" i="11"/>
  <c r="X99" i="11" s="1"/>
  <c r="S98" i="11"/>
  <c r="X98" i="11" s="1"/>
  <c r="S97" i="11"/>
  <c r="X97" i="11" s="1"/>
  <c r="S96" i="11"/>
  <c r="X96" i="11" s="1"/>
  <c r="S95" i="11"/>
  <c r="X95" i="11" s="1"/>
  <c r="S94" i="11"/>
  <c r="X94" i="11" s="1"/>
  <c r="S93" i="11"/>
  <c r="X93" i="11" s="1"/>
  <c r="S92" i="11"/>
  <c r="X92" i="11" s="1"/>
  <c r="S91" i="11"/>
  <c r="X91" i="11" s="1"/>
  <c r="S90" i="11"/>
  <c r="X90" i="11" s="1"/>
  <c r="S89" i="11"/>
  <c r="X89" i="11" s="1"/>
  <c r="S88" i="11"/>
  <c r="X88" i="11" s="1"/>
  <c r="S87" i="11"/>
  <c r="X87" i="11" s="1"/>
  <c r="S86" i="11"/>
  <c r="X86" i="11" s="1"/>
  <c r="S85" i="11"/>
  <c r="X85" i="11" s="1"/>
  <c r="S84" i="11"/>
  <c r="X84" i="11" s="1"/>
  <c r="S83" i="11"/>
  <c r="X83" i="11" s="1"/>
  <c r="R115" i="11"/>
  <c r="W115" i="11" s="1"/>
  <c r="R114" i="11"/>
  <c r="W114" i="11" s="1"/>
  <c r="R113" i="11"/>
  <c r="W113" i="11" s="1"/>
  <c r="R112" i="11"/>
  <c r="W112" i="11" s="1"/>
  <c r="R111" i="11"/>
  <c r="W111" i="11" s="1"/>
  <c r="R110" i="11"/>
  <c r="W110" i="11" s="1"/>
  <c r="R109" i="11"/>
  <c r="W109" i="11" s="1"/>
  <c r="R108" i="11"/>
  <c r="W108" i="11" s="1"/>
  <c r="R107" i="11"/>
  <c r="W107" i="11" s="1"/>
  <c r="R106" i="11"/>
  <c r="W106" i="11" s="1"/>
  <c r="R105" i="11"/>
  <c r="W105" i="11" s="1"/>
  <c r="R104" i="11"/>
  <c r="W104" i="11" s="1"/>
  <c r="R103" i="11"/>
  <c r="W103" i="11" s="1"/>
  <c r="R102" i="11"/>
  <c r="W102" i="11" s="1"/>
  <c r="R101" i="11"/>
  <c r="W101" i="11" s="1"/>
  <c r="R100" i="11"/>
  <c r="W100" i="11" s="1"/>
  <c r="R99" i="11"/>
  <c r="W99" i="11" s="1"/>
  <c r="R98" i="11"/>
  <c r="W98" i="11" s="1"/>
  <c r="R97" i="11"/>
  <c r="W97" i="11" s="1"/>
  <c r="R96" i="11"/>
  <c r="W96" i="11" s="1"/>
  <c r="R95" i="11"/>
  <c r="W95" i="11" s="1"/>
  <c r="R94" i="11"/>
  <c r="W94" i="11" s="1"/>
  <c r="R93" i="11"/>
  <c r="W93" i="11" s="1"/>
  <c r="R92" i="11"/>
  <c r="W92" i="11" s="1"/>
  <c r="R91" i="11"/>
  <c r="W91" i="11" s="1"/>
  <c r="R90" i="11"/>
  <c r="W90" i="11" s="1"/>
  <c r="R89" i="11"/>
  <c r="W89" i="11" s="1"/>
  <c r="R88" i="11"/>
  <c r="W88" i="11" s="1"/>
  <c r="R87" i="11"/>
  <c r="W87" i="11" s="1"/>
  <c r="R86" i="11"/>
  <c r="W86" i="11" s="1"/>
  <c r="R85" i="11"/>
  <c r="W85" i="11" s="1"/>
  <c r="R84" i="11"/>
  <c r="W84" i="11" s="1"/>
  <c r="R83" i="11"/>
  <c r="W83" i="11" s="1"/>
  <c r="O115" i="11"/>
  <c r="O114" i="11"/>
  <c r="O113" i="11"/>
  <c r="O112" i="11"/>
  <c r="O111" i="11"/>
  <c r="O110" i="11"/>
  <c r="O109" i="11"/>
  <c r="O108" i="11"/>
  <c r="O107" i="11"/>
  <c r="O106" i="11"/>
  <c r="O105" i="11"/>
  <c r="O104" i="11"/>
  <c r="O103" i="11"/>
  <c r="O102" i="11"/>
  <c r="O101" i="11"/>
  <c r="O100" i="11"/>
  <c r="O99" i="11"/>
  <c r="O98" i="11"/>
  <c r="O97" i="11"/>
  <c r="O96" i="11"/>
  <c r="O95" i="11"/>
  <c r="O94" i="11"/>
  <c r="O93" i="11"/>
  <c r="O92" i="11"/>
  <c r="O91" i="11"/>
  <c r="O90" i="11"/>
  <c r="O89" i="11"/>
  <c r="O88" i="11"/>
  <c r="O87" i="11"/>
  <c r="O86" i="11"/>
  <c r="O85" i="11"/>
  <c r="O84" i="11"/>
  <c r="O83" i="11"/>
  <c r="N115" i="11"/>
  <c r="N114" i="11"/>
  <c r="N113" i="11"/>
  <c r="N112" i="11"/>
  <c r="N111" i="11"/>
  <c r="N110" i="11"/>
  <c r="N109" i="11"/>
  <c r="N108" i="11"/>
  <c r="N107" i="11"/>
  <c r="N106" i="11"/>
  <c r="N105" i="11"/>
  <c r="N104" i="11"/>
  <c r="N103" i="11"/>
  <c r="N102" i="11"/>
  <c r="N101" i="11"/>
  <c r="N100" i="11"/>
  <c r="N99" i="11"/>
  <c r="N98" i="11"/>
  <c r="N97" i="11"/>
  <c r="N96" i="11"/>
  <c r="N95" i="11"/>
  <c r="N94" i="11"/>
  <c r="N93" i="11"/>
  <c r="N92" i="11"/>
  <c r="N91" i="11"/>
  <c r="N90" i="11"/>
  <c r="N89" i="11"/>
  <c r="N88" i="11"/>
  <c r="N87" i="11"/>
  <c r="N86" i="11"/>
  <c r="N85" i="11"/>
  <c r="N84" i="11"/>
  <c r="N83" i="11"/>
  <c r="G115" i="11"/>
  <c r="L115" i="11" s="1"/>
  <c r="G114" i="11"/>
  <c r="L114" i="11" s="1"/>
  <c r="G113" i="11"/>
  <c r="L113" i="11" s="1"/>
  <c r="G112" i="11"/>
  <c r="L112" i="11" s="1"/>
  <c r="G111" i="11"/>
  <c r="L111" i="11" s="1"/>
  <c r="G110" i="11"/>
  <c r="L110" i="11" s="1"/>
  <c r="G109" i="11"/>
  <c r="L109" i="11" s="1"/>
  <c r="G108" i="11"/>
  <c r="L108" i="11" s="1"/>
  <c r="G107" i="11"/>
  <c r="L107" i="11" s="1"/>
  <c r="G106" i="11"/>
  <c r="L106" i="11" s="1"/>
  <c r="G105" i="11"/>
  <c r="L105" i="11" s="1"/>
  <c r="G104" i="11"/>
  <c r="L104" i="11" s="1"/>
  <c r="G103" i="11"/>
  <c r="L103" i="11" s="1"/>
  <c r="G102" i="11"/>
  <c r="L102" i="11" s="1"/>
  <c r="G101" i="11"/>
  <c r="L101" i="11" s="1"/>
  <c r="G100" i="11"/>
  <c r="L100" i="11" s="1"/>
  <c r="G99" i="11"/>
  <c r="L99" i="11" s="1"/>
  <c r="G98" i="11"/>
  <c r="L98" i="11" s="1"/>
  <c r="G97" i="11"/>
  <c r="L97" i="11" s="1"/>
  <c r="G96" i="11"/>
  <c r="L96" i="11" s="1"/>
  <c r="G95" i="11"/>
  <c r="L95" i="11" s="1"/>
  <c r="G94" i="11"/>
  <c r="L94" i="11" s="1"/>
  <c r="G93" i="11"/>
  <c r="L93" i="11" s="1"/>
  <c r="G92" i="11"/>
  <c r="L92" i="11" s="1"/>
  <c r="G91" i="11"/>
  <c r="L91" i="11" s="1"/>
  <c r="G90" i="11"/>
  <c r="L90" i="11" s="1"/>
  <c r="G89" i="11"/>
  <c r="L89" i="11" s="1"/>
  <c r="G88" i="11"/>
  <c r="L88" i="11" s="1"/>
  <c r="G87" i="11"/>
  <c r="L87" i="11" s="1"/>
  <c r="G86" i="11"/>
  <c r="L86" i="11" s="1"/>
  <c r="G85" i="11"/>
  <c r="L85" i="11" s="1"/>
  <c r="G84" i="11"/>
  <c r="L84" i="11" s="1"/>
  <c r="G83" i="11"/>
  <c r="L83" i="11" s="1"/>
  <c r="F115" i="11"/>
  <c r="K115" i="11" s="1"/>
  <c r="F114" i="11"/>
  <c r="K114" i="11" s="1"/>
  <c r="F113" i="11"/>
  <c r="K113" i="11" s="1"/>
  <c r="F112" i="11"/>
  <c r="K112" i="11" s="1"/>
  <c r="F111" i="11"/>
  <c r="K111" i="11" s="1"/>
  <c r="F110" i="11"/>
  <c r="K110" i="11" s="1"/>
  <c r="F109" i="11"/>
  <c r="K109" i="11" s="1"/>
  <c r="F108" i="11"/>
  <c r="K108" i="11" s="1"/>
  <c r="F107" i="11"/>
  <c r="K107" i="11" s="1"/>
  <c r="F106" i="11"/>
  <c r="K106" i="11" s="1"/>
  <c r="F105" i="11"/>
  <c r="K105" i="11" s="1"/>
  <c r="F104" i="11"/>
  <c r="K104" i="11" s="1"/>
  <c r="F103" i="11"/>
  <c r="K103" i="11" s="1"/>
  <c r="F102" i="11"/>
  <c r="K102" i="11" s="1"/>
  <c r="F101" i="11"/>
  <c r="K101" i="11" s="1"/>
  <c r="F100" i="11"/>
  <c r="K100" i="11" s="1"/>
  <c r="F99" i="11"/>
  <c r="K99" i="11" s="1"/>
  <c r="F98" i="11"/>
  <c r="K98" i="11" s="1"/>
  <c r="F97" i="11"/>
  <c r="K97" i="11" s="1"/>
  <c r="F96" i="11"/>
  <c r="K96" i="11" s="1"/>
  <c r="F95" i="11"/>
  <c r="K95" i="11" s="1"/>
  <c r="F94" i="11"/>
  <c r="K94" i="11" s="1"/>
  <c r="F93" i="11"/>
  <c r="K93" i="11" s="1"/>
  <c r="F92" i="11"/>
  <c r="K92" i="11" s="1"/>
  <c r="F91" i="11"/>
  <c r="K91" i="11" s="1"/>
  <c r="F90" i="11"/>
  <c r="K90" i="11" s="1"/>
  <c r="F89" i="11"/>
  <c r="K89" i="11" s="1"/>
  <c r="F88" i="11"/>
  <c r="K88" i="11" s="1"/>
  <c r="F87" i="11"/>
  <c r="K87" i="11" s="1"/>
  <c r="F86" i="11"/>
  <c r="K86" i="11" s="1"/>
  <c r="F85" i="11"/>
  <c r="K85" i="11" s="1"/>
  <c r="F84" i="11"/>
  <c r="K84" i="11" s="1"/>
  <c r="F83" i="11"/>
  <c r="K83" i="11" s="1"/>
  <c r="D115" i="11"/>
  <c r="I115" i="11" s="1"/>
  <c r="D114" i="11"/>
  <c r="I114" i="11" s="1"/>
  <c r="D113" i="11"/>
  <c r="I113" i="11" s="1"/>
  <c r="D112" i="11"/>
  <c r="I112" i="11" s="1"/>
  <c r="D111" i="11"/>
  <c r="I111" i="11" s="1"/>
  <c r="D110" i="11"/>
  <c r="I110" i="11" s="1"/>
  <c r="D109" i="11"/>
  <c r="I109" i="11" s="1"/>
  <c r="D108" i="11"/>
  <c r="I108" i="11" s="1"/>
  <c r="D107" i="11"/>
  <c r="I107" i="11" s="1"/>
  <c r="D106" i="11"/>
  <c r="I106" i="11" s="1"/>
  <c r="D105" i="11"/>
  <c r="I105" i="11" s="1"/>
  <c r="D104" i="11"/>
  <c r="I104" i="11" s="1"/>
  <c r="D103" i="11"/>
  <c r="I103" i="11" s="1"/>
  <c r="D102" i="11"/>
  <c r="I102" i="11" s="1"/>
  <c r="D101" i="11"/>
  <c r="I101" i="11" s="1"/>
  <c r="D100" i="11"/>
  <c r="I100" i="11" s="1"/>
  <c r="D99" i="11"/>
  <c r="I99" i="11" s="1"/>
  <c r="D98" i="11"/>
  <c r="I98" i="11" s="1"/>
  <c r="D97" i="11"/>
  <c r="I97" i="11" s="1"/>
  <c r="D96" i="11"/>
  <c r="I96" i="11" s="1"/>
  <c r="D95" i="11"/>
  <c r="I95" i="11" s="1"/>
  <c r="D94" i="11"/>
  <c r="I94" i="11" s="1"/>
  <c r="D93" i="11"/>
  <c r="I93" i="11" s="1"/>
  <c r="D92" i="11"/>
  <c r="I92" i="11" s="1"/>
  <c r="D91" i="11"/>
  <c r="I91" i="11" s="1"/>
  <c r="D90" i="11"/>
  <c r="I90" i="11" s="1"/>
  <c r="D89" i="11"/>
  <c r="I89" i="11" s="1"/>
  <c r="D88" i="11"/>
  <c r="I88" i="11" s="1"/>
  <c r="D87" i="11"/>
  <c r="I87" i="11" s="1"/>
  <c r="D86" i="11"/>
  <c r="I86" i="11" s="1"/>
  <c r="D85" i="11"/>
  <c r="I85" i="11" s="1"/>
  <c r="D84" i="11"/>
  <c r="I84" i="11" s="1"/>
  <c r="D83" i="11"/>
  <c r="I83" i="11" s="1"/>
  <c r="C115" i="11"/>
  <c r="H115" i="11" s="1"/>
  <c r="C114" i="11"/>
  <c r="H114" i="11" s="1"/>
  <c r="C113" i="11"/>
  <c r="H113" i="11" s="1"/>
  <c r="C112" i="11"/>
  <c r="H112" i="11" s="1"/>
  <c r="C111" i="11"/>
  <c r="H111" i="11" s="1"/>
  <c r="C110" i="11"/>
  <c r="H110" i="11" s="1"/>
  <c r="C109" i="11"/>
  <c r="H109" i="11" s="1"/>
  <c r="C108" i="11"/>
  <c r="H108" i="11" s="1"/>
  <c r="C107" i="11"/>
  <c r="H107" i="11" s="1"/>
  <c r="C106" i="11"/>
  <c r="H106" i="11" s="1"/>
  <c r="C105" i="11"/>
  <c r="H105" i="11" s="1"/>
  <c r="C104" i="11"/>
  <c r="H104" i="11" s="1"/>
  <c r="C103" i="11"/>
  <c r="H103" i="11" s="1"/>
  <c r="C102" i="11"/>
  <c r="H102" i="11" s="1"/>
  <c r="C101" i="11"/>
  <c r="H101" i="11" s="1"/>
  <c r="C100" i="11"/>
  <c r="H100" i="11" s="1"/>
  <c r="C99" i="11"/>
  <c r="H99" i="11" s="1"/>
  <c r="C98" i="11"/>
  <c r="H98" i="11" s="1"/>
  <c r="C97" i="11"/>
  <c r="H97" i="11" s="1"/>
  <c r="C96" i="11"/>
  <c r="H96" i="11" s="1"/>
  <c r="C95" i="11"/>
  <c r="H95" i="11" s="1"/>
  <c r="C94" i="11"/>
  <c r="H94" i="11" s="1"/>
  <c r="C93" i="11"/>
  <c r="H93" i="11" s="1"/>
  <c r="C92" i="11"/>
  <c r="H92" i="11" s="1"/>
  <c r="C91" i="11"/>
  <c r="H91" i="11" s="1"/>
  <c r="C90" i="11"/>
  <c r="H90" i="11" s="1"/>
  <c r="C89" i="11"/>
  <c r="H89" i="11" s="1"/>
  <c r="C88" i="11"/>
  <c r="H88" i="11" s="1"/>
  <c r="C87" i="11"/>
  <c r="H87" i="11" s="1"/>
  <c r="C86" i="11"/>
  <c r="H86" i="11" s="1"/>
  <c r="C85" i="11"/>
  <c r="H85" i="11" s="1"/>
  <c r="C84" i="11"/>
  <c r="H84" i="11" s="1"/>
  <c r="C83" i="11"/>
  <c r="H83" i="11" s="1"/>
  <c r="Y83" i="11" l="1"/>
  <c r="AB83" i="11"/>
  <c r="Y84" i="11"/>
  <c r="AB84" i="11"/>
  <c r="Y85" i="11"/>
  <c r="AB85" i="11"/>
  <c r="Y86" i="11"/>
  <c r="AB86" i="11"/>
  <c r="Y87" i="11"/>
  <c r="AB87" i="11"/>
  <c r="Y88" i="11"/>
  <c r="AB88" i="11"/>
  <c r="Y89" i="11"/>
  <c r="AB89" i="11"/>
  <c r="Y90" i="11"/>
  <c r="AB90" i="11"/>
  <c r="Y91" i="11"/>
  <c r="AB91" i="11"/>
  <c r="Y92" i="11"/>
  <c r="AB92" i="11"/>
  <c r="Y93" i="11"/>
  <c r="AB93" i="11"/>
  <c r="Y94" i="11"/>
  <c r="AB94" i="11"/>
  <c r="Y95" i="11"/>
  <c r="AB95" i="11"/>
  <c r="Y96" i="11"/>
  <c r="AB96" i="11"/>
  <c r="Y97" i="11"/>
  <c r="AB97" i="11"/>
  <c r="Y98" i="11"/>
  <c r="AB98" i="11"/>
  <c r="Y99" i="11"/>
  <c r="AB99" i="11"/>
  <c r="Y100" i="11"/>
  <c r="AB100" i="11"/>
  <c r="Y101" i="11"/>
  <c r="AB101" i="11"/>
  <c r="Y102" i="11"/>
  <c r="AB102" i="11"/>
  <c r="Y103" i="11"/>
  <c r="AB103" i="11"/>
  <c r="Y104" i="11"/>
  <c r="AB104" i="11"/>
  <c r="Y105" i="11"/>
  <c r="AB105" i="11"/>
  <c r="Y106" i="11"/>
  <c r="AB106" i="11"/>
  <c r="Y107" i="11"/>
  <c r="AB107" i="11"/>
  <c r="Y108" i="11"/>
  <c r="AB108" i="11"/>
  <c r="Y109" i="11"/>
  <c r="AB109" i="11"/>
  <c r="Y110" i="11"/>
  <c r="AB110" i="11"/>
  <c r="Y111" i="11"/>
  <c r="AB111" i="11"/>
  <c r="Y112" i="11"/>
  <c r="AB112" i="11"/>
  <c r="Y113" i="11"/>
  <c r="AB113" i="11"/>
  <c r="Y114" i="11"/>
  <c r="AB114" i="11"/>
  <c r="Y115" i="11"/>
  <c r="AB115" i="11"/>
  <c r="Y121" i="11"/>
  <c r="AB121" i="11"/>
  <c r="Y122" i="11"/>
  <c r="AB122" i="11"/>
  <c r="Y123" i="11"/>
  <c r="AB123" i="11"/>
  <c r="Y124" i="11"/>
  <c r="AB124" i="11"/>
  <c r="Y125" i="11"/>
  <c r="AB125" i="11"/>
  <c r="Y126" i="11"/>
  <c r="AB126" i="11"/>
  <c r="Y127" i="11"/>
  <c r="AB127" i="11"/>
  <c r="Y128" i="11"/>
  <c r="AB128" i="11"/>
  <c r="Y129" i="11"/>
  <c r="AB129" i="11"/>
  <c r="Y130" i="11"/>
  <c r="AB130" i="11"/>
  <c r="Y131" i="11"/>
  <c r="AB131" i="11"/>
  <c r="Y132" i="11"/>
  <c r="AB132" i="11"/>
  <c r="Y133" i="11"/>
  <c r="AB133" i="11"/>
  <c r="Y134" i="11"/>
  <c r="AB134" i="11"/>
  <c r="Y135" i="11"/>
  <c r="AB135" i="11"/>
  <c r="Y136" i="11"/>
  <c r="AB136" i="11"/>
  <c r="Y137" i="11"/>
  <c r="AB137" i="11"/>
  <c r="Y138" i="11"/>
  <c r="AB138" i="11"/>
  <c r="Y139" i="11"/>
  <c r="AB139" i="11"/>
  <c r="Y140" i="11"/>
  <c r="AB140" i="11"/>
  <c r="Y141" i="11"/>
  <c r="AB141" i="11"/>
  <c r="Y142" i="11"/>
  <c r="AB142" i="11"/>
  <c r="Y143" i="11"/>
  <c r="AB143" i="11"/>
  <c r="Y144" i="11"/>
  <c r="AB144" i="11"/>
  <c r="Y145" i="11"/>
  <c r="AB145" i="11"/>
  <c r="Y146" i="11"/>
  <c r="AB146" i="11"/>
  <c r="Y147" i="11"/>
  <c r="AB147" i="11"/>
  <c r="Y148" i="11"/>
  <c r="AB148" i="11"/>
  <c r="Y149" i="11"/>
  <c r="AB149" i="11"/>
  <c r="Y150" i="11"/>
  <c r="AB150" i="11"/>
  <c r="Y151" i="11"/>
  <c r="AB151" i="11"/>
  <c r="Y152" i="11"/>
  <c r="AB152" i="11"/>
  <c r="Y153" i="11"/>
  <c r="AB153" i="11"/>
  <c r="J83" i="11"/>
  <c r="M83" i="11"/>
  <c r="J84" i="11"/>
  <c r="M84" i="11"/>
  <c r="J85" i="11"/>
  <c r="M85" i="11"/>
  <c r="J86" i="11"/>
  <c r="M86" i="11"/>
  <c r="J87" i="11"/>
  <c r="M87" i="11"/>
  <c r="J88" i="11"/>
  <c r="M88" i="11"/>
  <c r="J89" i="11"/>
  <c r="M89" i="11"/>
  <c r="J90" i="11"/>
  <c r="M90" i="11"/>
  <c r="J91" i="11"/>
  <c r="M91" i="11"/>
  <c r="J92" i="11"/>
  <c r="M92" i="11"/>
  <c r="J93" i="11"/>
  <c r="M93" i="11"/>
  <c r="J94" i="11"/>
  <c r="M94" i="11"/>
  <c r="J95" i="11"/>
  <c r="M95" i="11"/>
  <c r="J96" i="11"/>
  <c r="M96" i="11"/>
  <c r="J97" i="11"/>
  <c r="M97" i="11"/>
  <c r="J98" i="11"/>
  <c r="M98" i="11"/>
  <c r="J99" i="11"/>
  <c r="M99" i="11"/>
  <c r="J100" i="11"/>
  <c r="M100" i="11"/>
  <c r="J101" i="11"/>
  <c r="M101" i="11"/>
  <c r="J102" i="11"/>
  <c r="M102" i="11"/>
  <c r="J103" i="11"/>
  <c r="M103" i="11"/>
  <c r="J104" i="11"/>
  <c r="M104" i="11"/>
  <c r="J105" i="11"/>
  <c r="M105" i="11"/>
  <c r="J106" i="11"/>
  <c r="M106" i="11"/>
  <c r="J107" i="11"/>
  <c r="M107" i="11"/>
  <c r="J108" i="11"/>
  <c r="M108" i="11"/>
  <c r="J109" i="11"/>
  <c r="M109" i="11"/>
  <c r="J110" i="11"/>
  <c r="M110" i="11"/>
  <c r="J111" i="11"/>
  <c r="M111" i="11"/>
  <c r="J112" i="11"/>
  <c r="M112" i="11"/>
  <c r="J113" i="11"/>
  <c r="M113" i="11"/>
  <c r="J114" i="11"/>
  <c r="M114" i="11"/>
  <c r="J115" i="11"/>
  <c r="M115" i="11"/>
  <c r="J121" i="11"/>
  <c r="M121" i="11"/>
  <c r="J122" i="11"/>
  <c r="M122" i="11"/>
  <c r="J123" i="11"/>
  <c r="M123" i="11"/>
  <c r="J124" i="11"/>
  <c r="M124" i="11"/>
  <c r="J125" i="11"/>
  <c r="M125" i="11"/>
  <c r="J126" i="11"/>
  <c r="M126" i="11"/>
  <c r="J127" i="11"/>
  <c r="M127" i="11"/>
  <c r="J128" i="11"/>
  <c r="M128" i="11"/>
  <c r="J129" i="11"/>
  <c r="M129" i="11"/>
  <c r="J130" i="11"/>
  <c r="M130" i="11"/>
  <c r="J131" i="11"/>
  <c r="M131" i="11"/>
  <c r="J132" i="11"/>
  <c r="M132" i="11"/>
  <c r="J133" i="11"/>
  <c r="M133" i="11"/>
  <c r="J134" i="11"/>
  <c r="M134" i="11"/>
  <c r="J135" i="11"/>
  <c r="M135" i="11"/>
  <c r="J136" i="11"/>
  <c r="M136" i="11"/>
  <c r="J137" i="11"/>
  <c r="M137" i="11"/>
  <c r="J138" i="11"/>
  <c r="M138" i="11"/>
  <c r="J139" i="11"/>
  <c r="M139" i="11"/>
  <c r="J140" i="11"/>
  <c r="M140" i="11"/>
  <c r="J141" i="11"/>
  <c r="M141" i="11"/>
  <c r="J142" i="11"/>
  <c r="M142" i="11"/>
  <c r="J143" i="11"/>
  <c r="M143" i="11"/>
  <c r="J144" i="11"/>
  <c r="M144" i="11"/>
  <c r="J145" i="11"/>
  <c r="M145" i="11"/>
  <c r="J146" i="11"/>
  <c r="M146" i="11"/>
  <c r="J147" i="11"/>
  <c r="M147" i="11"/>
  <c r="J148" i="11"/>
  <c r="M148" i="11"/>
  <c r="J149" i="11"/>
  <c r="M149" i="11"/>
  <c r="J150" i="11"/>
  <c r="M150" i="11"/>
  <c r="J151" i="11"/>
  <c r="M151" i="11"/>
  <c r="J152" i="11"/>
  <c r="M152" i="11"/>
  <c r="J153" i="11"/>
  <c r="M153" i="11"/>
  <c r="J1003" i="28"/>
  <c r="J1002" i="28"/>
  <c r="J1001" i="28"/>
  <c r="J1000" i="28"/>
  <c r="J999" i="28"/>
  <c r="J998" i="28"/>
  <c r="J997" i="28"/>
  <c r="J996" i="28"/>
  <c r="J995" i="28"/>
  <c r="J994" i="28"/>
  <c r="J993" i="28"/>
  <c r="J992" i="28"/>
  <c r="J991" i="28"/>
  <c r="J990" i="28"/>
  <c r="J989" i="28"/>
  <c r="J988" i="28"/>
  <c r="J987" i="28"/>
  <c r="J986" i="28"/>
  <c r="J985" i="28"/>
  <c r="J984" i="28"/>
  <c r="J983" i="28"/>
  <c r="J982" i="28"/>
  <c r="J981" i="28"/>
  <c r="J980" i="28"/>
  <c r="J979" i="28"/>
  <c r="J978" i="28"/>
  <c r="J977" i="28"/>
  <c r="J976" i="28"/>
  <c r="J975" i="28"/>
  <c r="J974" i="28"/>
  <c r="J973" i="28"/>
  <c r="J972" i="28"/>
  <c r="J971" i="28"/>
  <c r="J970" i="28"/>
  <c r="J969" i="28"/>
  <c r="J968" i="28"/>
  <c r="J967" i="28"/>
  <c r="J966" i="28"/>
  <c r="J965" i="28"/>
  <c r="J964" i="28"/>
  <c r="J963" i="28"/>
  <c r="J962" i="28"/>
  <c r="J961" i="28"/>
  <c r="J960" i="28"/>
  <c r="J959" i="28"/>
  <c r="J958" i="28"/>
  <c r="J957" i="28"/>
  <c r="J956" i="28"/>
  <c r="J955" i="28"/>
  <c r="J954" i="28"/>
  <c r="J953" i="28"/>
  <c r="J952" i="28"/>
  <c r="J951" i="28"/>
  <c r="J950" i="28"/>
  <c r="J949" i="28"/>
  <c r="J948" i="28"/>
  <c r="J947" i="28"/>
  <c r="J946" i="28"/>
  <c r="J945" i="28"/>
  <c r="J944" i="28"/>
  <c r="J943" i="28"/>
  <c r="J942" i="28"/>
  <c r="J941" i="28"/>
  <c r="J940" i="28"/>
  <c r="J939" i="28"/>
  <c r="J938" i="28"/>
  <c r="J937" i="28"/>
  <c r="J936" i="28"/>
  <c r="J935" i="28"/>
  <c r="J934" i="28"/>
  <c r="J933" i="28"/>
  <c r="J932" i="28"/>
  <c r="J931" i="28"/>
  <c r="J930" i="28"/>
  <c r="J929" i="28"/>
  <c r="J928" i="28"/>
  <c r="J927" i="28"/>
  <c r="J926" i="28"/>
  <c r="J925" i="28"/>
  <c r="J924" i="28"/>
  <c r="J923" i="28"/>
  <c r="J922" i="28"/>
  <c r="J921" i="28"/>
  <c r="J920" i="28"/>
  <c r="J919" i="28"/>
  <c r="J918" i="28"/>
  <c r="J917" i="28"/>
  <c r="J916" i="28"/>
  <c r="J915" i="28"/>
  <c r="J914" i="28"/>
  <c r="J913" i="28"/>
  <c r="J912" i="28"/>
  <c r="J911" i="28"/>
  <c r="J910" i="28"/>
  <c r="J909" i="28"/>
  <c r="J908" i="28"/>
  <c r="J907" i="28"/>
  <c r="J906" i="28"/>
  <c r="J905" i="28"/>
  <c r="J904" i="28"/>
  <c r="J903" i="28"/>
  <c r="J902" i="28"/>
  <c r="J901" i="28"/>
  <c r="J900" i="28"/>
  <c r="J899" i="28"/>
  <c r="J898" i="28"/>
  <c r="J897" i="28"/>
  <c r="J896" i="28"/>
  <c r="J895" i="28"/>
  <c r="J894" i="28"/>
  <c r="J893" i="28"/>
  <c r="J892" i="28"/>
  <c r="J891" i="28"/>
  <c r="J890" i="28"/>
  <c r="J889" i="28"/>
  <c r="J888" i="28"/>
  <c r="J887" i="28"/>
  <c r="J886" i="28"/>
  <c r="J885" i="28"/>
  <c r="J884" i="28"/>
  <c r="J883" i="28"/>
  <c r="J882" i="28"/>
  <c r="J881" i="28"/>
  <c r="J880" i="28"/>
  <c r="J879" i="28"/>
  <c r="J878" i="28"/>
  <c r="J877" i="28"/>
  <c r="J876" i="28"/>
  <c r="J875" i="28"/>
  <c r="J874" i="28"/>
  <c r="J873" i="28"/>
  <c r="J872" i="28"/>
  <c r="J871" i="28"/>
  <c r="J870" i="28"/>
  <c r="J869" i="28"/>
  <c r="J868" i="28"/>
  <c r="J867" i="28"/>
  <c r="J866" i="28"/>
  <c r="J865" i="28"/>
  <c r="J864" i="28"/>
  <c r="J863" i="28"/>
  <c r="J862" i="28"/>
  <c r="J861" i="28"/>
  <c r="J860" i="28"/>
  <c r="J859" i="28"/>
  <c r="J858" i="28"/>
  <c r="J857" i="28"/>
  <c r="J856" i="28"/>
  <c r="J855" i="28"/>
  <c r="J854" i="28"/>
  <c r="J853" i="28"/>
  <c r="J852" i="28"/>
  <c r="J851" i="28"/>
  <c r="J850" i="28"/>
  <c r="J849" i="28"/>
  <c r="J848" i="28"/>
  <c r="J847" i="28"/>
  <c r="J846" i="28"/>
  <c r="J845" i="28"/>
  <c r="J844" i="28"/>
  <c r="J843" i="28"/>
  <c r="J842" i="28"/>
  <c r="J841" i="28"/>
  <c r="J840" i="28"/>
  <c r="J839" i="28"/>
  <c r="J838" i="28"/>
  <c r="J837" i="28"/>
  <c r="J836" i="28"/>
  <c r="J835" i="28"/>
  <c r="J834" i="28"/>
  <c r="J833" i="28"/>
  <c r="J832" i="28"/>
  <c r="J831" i="28"/>
  <c r="J830" i="28"/>
  <c r="J829" i="28"/>
  <c r="J828" i="28"/>
  <c r="J827" i="28"/>
  <c r="J826" i="28"/>
  <c r="J825" i="28"/>
  <c r="J824" i="28"/>
  <c r="J823" i="28"/>
  <c r="J822" i="28"/>
  <c r="J821" i="28"/>
  <c r="J820" i="28"/>
  <c r="J819" i="28"/>
  <c r="J818" i="28"/>
  <c r="J817" i="28"/>
  <c r="J816" i="28"/>
  <c r="J815" i="28"/>
  <c r="J814" i="28"/>
  <c r="J813" i="28"/>
  <c r="J812" i="28"/>
  <c r="J811" i="28"/>
  <c r="J810" i="28"/>
  <c r="J809" i="28"/>
  <c r="J808" i="28"/>
  <c r="J807" i="28"/>
  <c r="J806" i="28"/>
  <c r="J805" i="28"/>
  <c r="J804" i="28"/>
  <c r="J803" i="28"/>
  <c r="J802" i="28"/>
  <c r="J801" i="28"/>
  <c r="J800" i="28"/>
  <c r="J799" i="28"/>
  <c r="J798" i="28"/>
  <c r="J797" i="28"/>
  <c r="J796" i="28"/>
  <c r="J795" i="28"/>
  <c r="J794" i="28"/>
  <c r="J793" i="28"/>
  <c r="J792" i="28"/>
  <c r="J791" i="28"/>
  <c r="J790" i="28"/>
  <c r="J789" i="28"/>
  <c r="J788" i="28"/>
  <c r="J787" i="28"/>
  <c r="J786" i="28"/>
  <c r="J785" i="28"/>
  <c r="J784" i="28"/>
  <c r="J783" i="28"/>
  <c r="J782" i="28"/>
  <c r="J781" i="28"/>
  <c r="J780" i="28"/>
  <c r="J779" i="28"/>
  <c r="J778" i="28"/>
  <c r="J777" i="28"/>
  <c r="J776" i="28"/>
  <c r="J775" i="28"/>
  <c r="J774" i="28"/>
  <c r="J773" i="28"/>
  <c r="J772" i="28"/>
  <c r="J771" i="28"/>
  <c r="J770" i="28"/>
  <c r="J769" i="28"/>
  <c r="J768" i="28"/>
  <c r="J767" i="28"/>
  <c r="J766" i="28"/>
  <c r="J765" i="28"/>
  <c r="J764" i="28"/>
  <c r="J763" i="28"/>
  <c r="J762" i="28"/>
  <c r="J761" i="28"/>
  <c r="J760" i="28"/>
  <c r="J759" i="28"/>
  <c r="J758" i="28"/>
  <c r="J757" i="28"/>
  <c r="J756" i="28"/>
  <c r="J755" i="28"/>
  <c r="J754" i="28"/>
  <c r="J753" i="28"/>
  <c r="J752" i="28"/>
  <c r="J751" i="28"/>
  <c r="J750" i="28"/>
  <c r="J749" i="28"/>
  <c r="J748" i="28"/>
  <c r="J747" i="28"/>
  <c r="J746" i="28"/>
  <c r="J745" i="28"/>
  <c r="J744" i="28"/>
  <c r="J743" i="28"/>
  <c r="J742" i="28"/>
  <c r="J741" i="28"/>
  <c r="J740" i="28"/>
  <c r="J739" i="28"/>
  <c r="J738" i="28"/>
  <c r="J737" i="28"/>
  <c r="J736" i="28"/>
  <c r="J735" i="28"/>
  <c r="J734" i="28"/>
  <c r="J733" i="28"/>
  <c r="J732" i="28"/>
  <c r="J731" i="28"/>
  <c r="J730" i="28"/>
  <c r="J729" i="28"/>
  <c r="J728" i="28"/>
  <c r="J727" i="28"/>
  <c r="J726" i="28"/>
  <c r="J725" i="28"/>
  <c r="J724" i="28"/>
  <c r="J723" i="28"/>
  <c r="J722" i="28"/>
  <c r="J721" i="28"/>
  <c r="J720" i="28"/>
  <c r="J719" i="28"/>
  <c r="J718" i="28"/>
  <c r="J717" i="28"/>
  <c r="J716" i="28"/>
  <c r="J715" i="28"/>
  <c r="J714" i="28"/>
  <c r="J713" i="28"/>
  <c r="J712" i="28"/>
  <c r="J711" i="28"/>
  <c r="J710" i="28"/>
  <c r="J709" i="28"/>
  <c r="J708" i="28"/>
  <c r="J707" i="28"/>
  <c r="J706" i="28"/>
  <c r="J705" i="28"/>
  <c r="J704" i="28"/>
  <c r="J703" i="28"/>
  <c r="J702" i="28"/>
  <c r="J701" i="28"/>
  <c r="J700" i="28"/>
  <c r="J699" i="28"/>
  <c r="J698" i="28"/>
  <c r="J697" i="28"/>
  <c r="J696" i="28"/>
  <c r="J695" i="28"/>
  <c r="J694" i="28"/>
  <c r="J693" i="28"/>
  <c r="J692" i="28"/>
  <c r="J691" i="28"/>
  <c r="J690" i="28"/>
  <c r="J689" i="28"/>
  <c r="J688" i="28"/>
  <c r="J687" i="28"/>
  <c r="J686" i="28"/>
  <c r="J685" i="28"/>
  <c r="J684" i="28"/>
  <c r="J683" i="28"/>
  <c r="J682" i="28"/>
  <c r="J681" i="28"/>
  <c r="J680" i="28"/>
  <c r="J679" i="28"/>
  <c r="J678" i="28"/>
  <c r="J677" i="28"/>
  <c r="J676" i="28"/>
  <c r="J675" i="28"/>
  <c r="J674" i="28"/>
  <c r="J673" i="28"/>
  <c r="J672" i="28"/>
  <c r="J671" i="28"/>
  <c r="J670" i="28"/>
  <c r="J669" i="28"/>
  <c r="J668" i="28"/>
  <c r="J667" i="28"/>
  <c r="J666" i="28"/>
  <c r="J665" i="28"/>
  <c r="J664" i="28"/>
  <c r="J663" i="28"/>
  <c r="J662" i="28"/>
  <c r="J661" i="28"/>
  <c r="J660" i="28"/>
  <c r="J659" i="28"/>
  <c r="J658" i="28"/>
  <c r="J657" i="28"/>
  <c r="J656" i="28"/>
  <c r="J655" i="28"/>
  <c r="J654" i="28"/>
  <c r="J653" i="28"/>
  <c r="J652" i="28"/>
  <c r="J651" i="28"/>
  <c r="J650" i="28"/>
  <c r="J649" i="28"/>
  <c r="J648" i="28"/>
  <c r="J647" i="28"/>
  <c r="J646" i="28"/>
  <c r="J645" i="28"/>
  <c r="J644" i="28"/>
  <c r="J643" i="28"/>
  <c r="J642" i="28"/>
  <c r="J641" i="28"/>
  <c r="J640" i="28"/>
  <c r="J639" i="28"/>
  <c r="J638" i="28"/>
  <c r="J637" i="28"/>
  <c r="J636" i="28"/>
  <c r="J635" i="28"/>
  <c r="J634" i="28"/>
  <c r="J633" i="28"/>
  <c r="J632" i="28"/>
  <c r="J631" i="28"/>
  <c r="J630" i="28"/>
  <c r="J629" i="28"/>
  <c r="J628" i="28"/>
  <c r="J627" i="28"/>
  <c r="J626" i="28"/>
  <c r="J625" i="28"/>
  <c r="J624" i="28"/>
  <c r="J623" i="28"/>
  <c r="J622" i="28"/>
  <c r="J621" i="28"/>
  <c r="J620" i="28"/>
  <c r="J619" i="28"/>
  <c r="J618" i="28"/>
  <c r="J617" i="28"/>
  <c r="J616" i="28"/>
  <c r="J615" i="28"/>
  <c r="J614" i="28"/>
  <c r="J613" i="28"/>
  <c r="J612" i="28"/>
  <c r="J611" i="28"/>
  <c r="J610" i="28"/>
  <c r="J609" i="28"/>
  <c r="J608" i="28"/>
  <c r="J607" i="28"/>
  <c r="J606" i="28"/>
  <c r="J605" i="28"/>
  <c r="J604" i="28"/>
  <c r="J603" i="28"/>
  <c r="J602" i="28"/>
  <c r="J601" i="28"/>
  <c r="J600" i="28"/>
  <c r="J599" i="28"/>
  <c r="J598" i="28"/>
  <c r="J597" i="28"/>
  <c r="J596" i="28"/>
  <c r="J595" i="28"/>
  <c r="J594" i="28"/>
  <c r="J593" i="28"/>
  <c r="J592" i="28"/>
  <c r="J591" i="28"/>
  <c r="J590" i="28"/>
  <c r="J589" i="28"/>
  <c r="J588" i="28"/>
  <c r="J587" i="28"/>
  <c r="J586" i="28"/>
  <c r="J585" i="28"/>
  <c r="J584" i="28"/>
  <c r="J583" i="28"/>
  <c r="J582" i="28"/>
  <c r="J581" i="28"/>
  <c r="J580" i="28"/>
  <c r="J579" i="28"/>
  <c r="J578" i="28"/>
  <c r="J577" i="28"/>
  <c r="J576" i="28"/>
  <c r="J575" i="28"/>
  <c r="J574" i="28"/>
  <c r="J573" i="28"/>
  <c r="J572" i="28"/>
  <c r="J571" i="28"/>
  <c r="J570" i="28"/>
  <c r="J569" i="28"/>
  <c r="J568" i="28"/>
  <c r="J567" i="28"/>
  <c r="J566" i="28"/>
  <c r="J565" i="28"/>
  <c r="J564" i="28"/>
  <c r="J563" i="28"/>
  <c r="J562" i="28"/>
  <c r="J561" i="28"/>
  <c r="J560" i="28"/>
  <c r="J559" i="28"/>
  <c r="J558" i="28"/>
  <c r="J557" i="28"/>
  <c r="J556" i="28"/>
  <c r="J555" i="28"/>
  <c r="J554" i="28"/>
  <c r="J553" i="28"/>
  <c r="J552" i="28"/>
  <c r="J551" i="28"/>
  <c r="J550" i="28"/>
  <c r="J549" i="28"/>
  <c r="J548" i="28"/>
  <c r="J547" i="28"/>
  <c r="J546" i="28"/>
  <c r="J545" i="28"/>
  <c r="J544" i="28"/>
  <c r="J543" i="28"/>
  <c r="J542" i="28"/>
  <c r="J541" i="28"/>
  <c r="J540" i="28"/>
  <c r="J539" i="28"/>
  <c r="J538" i="28"/>
  <c r="J537" i="28"/>
  <c r="J536" i="28"/>
  <c r="J535" i="28"/>
  <c r="J534" i="28"/>
  <c r="J533" i="28"/>
  <c r="J532" i="28"/>
  <c r="J531" i="28"/>
  <c r="J530" i="28"/>
  <c r="J529" i="28"/>
  <c r="J528" i="28"/>
  <c r="J527" i="28"/>
  <c r="J526" i="28"/>
  <c r="J525" i="28"/>
  <c r="J524" i="28"/>
  <c r="J523" i="28"/>
  <c r="J522" i="28"/>
  <c r="J521" i="28"/>
  <c r="J520" i="28"/>
  <c r="J519" i="28"/>
  <c r="J518" i="28"/>
  <c r="J517" i="28"/>
  <c r="J516" i="28"/>
  <c r="J515" i="28"/>
  <c r="J514" i="28"/>
  <c r="J513" i="28"/>
  <c r="J512" i="28"/>
  <c r="J511" i="28"/>
  <c r="J510" i="28"/>
  <c r="J509" i="28"/>
  <c r="J508" i="28"/>
  <c r="J507" i="28"/>
  <c r="J506" i="28"/>
  <c r="J505" i="28"/>
  <c r="J504" i="28"/>
  <c r="J503" i="28"/>
  <c r="J502" i="28"/>
  <c r="J501" i="28"/>
  <c r="J500" i="28"/>
  <c r="J499" i="28"/>
  <c r="J498" i="28"/>
  <c r="J497" i="28"/>
  <c r="J496" i="28"/>
  <c r="J495" i="28"/>
  <c r="J494" i="28"/>
  <c r="J493" i="28"/>
  <c r="J492" i="28"/>
  <c r="J491" i="28"/>
  <c r="J490" i="28"/>
  <c r="J489" i="28"/>
  <c r="J488" i="28"/>
  <c r="J487" i="28"/>
  <c r="J486" i="28"/>
  <c r="J485" i="28"/>
  <c r="J484" i="28"/>
  <c r="J483" i="28"/>
  <c r="J482" i="28"/>
  <c r="J481" i="28"/>
  <c r="J480" i="28"/>
  <c r="J479" i="28"/>
  <c r="J478" i="28"/>
  <c r="J477" i="28"/>
  <c r="J476" i="28"/>
  <c r="J475" i="28"/>
  <c r="J474" i="28"/>
  <c r="J473" i="28"/>
  <c r="J472" i="28"/>
  <c r="J471" i="28"/>
  <c r="J470" i="28"/>
  <c r="J469" i="28"/>
  <c r="J468" i="28"/>
  <c r="J467" i="28"/>
  <c r="J466" i="28"/>
  <c r="J465" i="28"/>
  <c r="J464" i="28"/>
  <c r="J463" i="28"/>
  <c r="J462" i="28"/>
  <c r="J461" i="28"/>
  <c r="J460" i="28"/>
  <c r="J459" i="28"/>
  <c r="J458" i="28"/>
  <c r="J457" i="28"/>
  <c r="J456" i="28"/>
  <c r="J455" i="28"/>
  <c r="J454" i="28"/>
  <c r="J453" i="28"/>
  <c r="J452" i="28"/>
  <c r="J451" i="28"/>
  <c r="J450" i="28"/>
  <c r="J449" i="28"/>
  <c r="J448" i="28"/>
  <c r="J447" i="28"/>
  <c r="J446" i="28"/>
  <c r="J445" i="28"/>
  <c r="J444" i="28"/>
  <c r="J443" i="28"/>
  <c r="J442" i="28"/>
  <c r="J441" i="28"/>
  <c r="J440" i="28"/>
  <c r="J439" i="28"/>
  <c r="J438" i="28"/>
  <c r="J437" i="28"/>
  <c r="J436" i="28"/>
  <c r="J435" i="28"/>
  <c r="J434" i="28"/>
  <c r="J433" i="28"/>
  <c r="J432" i="28"/>
  <c r="J431" i="28"/>
  <c r="J430" i="28"/>
  <c r="J429" i="28"/>
  <c r="J428" i="28"/>
  <c r="J427" i="28"/>
  <c r="J426" i="28"/>
  <c r="J425" i="28"/>
  <c r="J424" i="28"/>
  <c r="J423" i="28"/>
  <c r="J422" i="28"/>
  <c r="J421" i="28"/>
  <c r="J420" i="28"/>
  <c r="J419" i="28"/>
  <c r="J418" i="28"/>
  <c r="J417" i="28"/>
  <c r="J416" i="28"/>
  <c r="J415" i="28"/>
  <c r="J414" i="28"/>
  <c r="J413" i="28"/>
  <c r="J412" i="28"/>
  <c r="J411" i="28"/>
  <c r="J410" i="28"/>
  <c r="J409" i="28"/>
  <c r="J408" i="28"/>
  <c r="J407" i="28"/>
  <c r="J406" i="28"/>
  <c r="J405" i="28"/>
  <c r="J404" i="28"/>
  <c r="J403" i="28"/>
  <c r="J402" i="28"/>
  <c r="J401" i="28"/>
  <c r="J400" i="28"/>
  <c r="J399" i="28"/>
  <c r="J398" i="28"/>
  <c r="J397" i="28"/>
  <c r="J396" i="28"/>
  <c r="J395" i="28"/>
  <c r="J394" i="28"/>
  <c r="J393" i="28"/>
  <c r="J392" i="28"/>
  <c r="J391" i="28"/>
  <c r="J390" i="28"/>
  <c r="J389" i="28"/>
  <c r="J388" i="28"/>
  <c r="J387" i="28"/>
  <c r="J386" i="28"/>
  <c r="J385" i="28"/>
  <c r="J384" i="28"/>
  <c r="J383" i="28"/>
  <c r="J382" i="28"/>
  <c r="J381" i="28"/>
  <c r="J380" i="28"/>
  <c r="J379" i="28"/>
  <c r="J378" i="28"/>
  <c r="J377" i="28"/>
  <c r="J376" i="28"/>
  <c r="J375" i="28"/>
  <c r="J374" i="28"/>
  <c r="J373" i="28"/>
  <c r="J372" i="28"/>
  <c r="J371" i="28"/>
  <c r="J370" i="28"/>
  <c r="J369" i="28"/>
  <c r="J368" i="28"/>
  <c r="J367" i="28"/>
  <c r="J366" i="28"/>
  <c r="J365" i="28"/>
  <c r="J364" i="28"/>
  <c r="J363" i="28"/>
  <c r="J362" i="28"/>
  <c r="J361" i="28"/>
  <c r="J360" i="28"/>
  <c r="J359" i="28"/>
  <c r="J358" i="28"/>
  <c r="J357" i="28"/>
  <c r="J356" i="28"/>
  <c r="J355" i="28"/>
  <c r="J354" i="28"/>
  <c r="J353" i="28"/>
  <c r="J352" i="28"/>
  <c r="J351" i="28"/>
  <c r="J350" i="28"/>
  <c r="J349" i="28"/>
  <c r="J348" i="28"/>
  <c r="J347" i="28"/>
  <c r="J346" i="28"/>
  <c r="J345" i="28"/>
  <c r="J344" i="28"/>
  <c r="J343" i="28"/>
  <c r="J342" i="28"/>
  <c r="J341" i="28"/>
  <c r="J340" i="28"/>
  <c r="J339" i="28"/>
  <c r="J338" i="28"/>
  <c r="J337" i="28"/>
  <c r="J336" i="28"/>
  <c r="J335" i="28"/>
  <c r="J334" i="28"/>
  <c r="J333" i="28"/>
  <c r="J332" i="28"/>
  <c r="J331" i="28"/>
  <c r="J330" i="28"/>
  <c r="J329" i="28"/>
  <c r="J328" i="28"/>
  <c r="J327" i="28"/>
  <c r="J326" i="28"/>
  <c r="J325" i="28"/>
  <c r="J324" i="28"/>
  <c r="J323" i="28"/>
  <c r="J322" i="28"/>
  <c r="J321" i="28"/>
  <c r="J320" i="28"/>
  <c r="J319" i="28"/>
  <c r="J318" i="28"/>
  <c r="J317" i="28"/>
  <c r="J316" i="28"/>
  <c r="J315" i="28"/>
  <c r="J314" i="28"/>
  <c r="J313" i="28"/>
  <c r="J312" i="28"/>
  <c r="J311" i="28"/>
  <c r="J310" i="28"/>
  <c r="J309" i="28"/>
  <c r="J308" i="28"/>
  <c r="J307" i="28"/>
  <c r="J306" i="28"/>
  <c r="J305" i="28"/>
  <c r="J304" i="28"/>
  <c r="J303" i="28"/>
  <c r="J302" i="28"/>
  <c r="J301" i="28"/>
  <c r="J300" i="28"/>
  <c r="J299" i="28"/>
  <c r="J298" i="28"/>
  <c r="J297" i="28"/>
  <c r="J296" i="28"/>
  <c r="J295" i="28"/>
  <c r="J294" i="28"/>
  <c r="J293" i="28"/>
  <c r="J292" i="28"/>
  <c r="J291" i="28"/>
  <c r="J290" i="28"/>
  <c r="J289" i="28"/>
  <c r="J288" i="28"/>
  <c r="J287" i="28"/>
  <c r="J286" i="28"/>
  <c r="J285" i="28"/>
  <c r="J284" i="28"/>
  <c r="J283" i="28"/>
  <c r="J282" i="28"/>
  <c r="J281" i="28"/>
  <c r="J280" i="28"/>
  <c r="J279" i="28"/>
  <c r="J278" i="28"/>
  <c r="J277" i="28"/>
  <c r="J276" i="28"/>
  <c r="J275" i="28"/>
  <c r="J274" i="28"/>
  <c r="J273" i="28"/>
  <c r="J272" i="28"/>
  <c r="J271" i="28"/>
  <c r="J270" i="28"/>
  <c r="J269" i="28"/>
  <c r="J268" i="28"/>
  <c r="J267" i="28"/>
  <c r="J266" i="28"/>
  <c r="J265" i="28"/>
  <c r="J264" i="28"/>
  <c r="J263" i="28"/>
  <c r="J262" i="28"/>
  <c r="J261" i="28"/>
  <c r="J260" i="28"/>
  <c r="J259" i="28"/>
  <c r="J258" i="28"/>
  <c r="J257" i="28"/>
  <c r="J256" i="28"/>
  <c r="J255" i="28"/>
  <c r="J254" i="28"/>
  <c r="J253" i="28"/>
  <c r="J252" i="28"/>
  <c r="J251" i="28"/>
  <c r="J250" i="28"/>
  <c r="J249" i="28"/>
  <c r="J248" i="28"/>
  <c r="J247" i="28"/>
  <c r="J246" i="28"/>
  <c r="J245" i="28"/>
  <c r="J244" i="28"/>
  <c r="J243" i="28"/>
  <c r="J242" i="28"/>
  <c r="J241" i="28"/>
  <c r="J240" i="28"/>
  <c r="J239" i="28"/>
  <c r="J238" i="28"/>
  <c r="J237" i="28"/>
  <c r="J236" i="28"/>
  <c r="J235" i="28"/>
  <c r="J234" i="28"/>
  <c r="J233" i="28"/>
  <c r="J232" i="28"/>
  <c r="J231" i="28"/>
  <c r="J230" i="28"/>
  <c r="J229" i="28"/>
  <c r="J228" i="28"/>
  <c r="J227" i="28"/>
  <c r="J226" i="28"/>
  <c r="J225" i="28"/>
  <c r="J224" i="28"/>
  <c r="J223" i="28"/>
  <c r="J222" i="28"/>
  <c r="J221" i="28"/>
  <c r="J220" i="28"/>
  <c r="J219" i="28"/>
  <c r="J218" i="28"/>
  <c r="J217" i="28"/>
  <c r="J216" i="28"/>
  <c r="J215" i="28"/>
  <c r="J214" i="28"/>
  <c r="J213" i="28"/>
  <c r="J212" i="28"/>
  <c r="J211" i="28"/>
  <c r="J210" i="28"/>
  <c r="J209" i="28"/>
  <c r="J208" i="28"/>
  <c r="J207" i="28"/>
  <c r="J206" i="28"/>
  <c r="J205" i="28"/>
  <c r="J204" i="28"/>
  <c r="J203" i="28"/>
  <c r="J202" i="28"/>
  <c r="J201" i="28"/>
  <c r="J200" i="28"/>
  <c r="J199" i="28"/>
  <c r="J198" i="28"/>
  <c r="J197" i="28"/>
  <c r="J196" i="28"/>
  <c r="J195" i="28"/>
  <c r="J194" i="28"/>
  <c r="J193" i="28"/>
  <c r="J192" i="28"/>
  <c r="J191" i="28"/>
  <c r="J190" i="28"/>
  <c r="J189" i="28"/>
  <c r="J188" i="28"/>
  <c r="J187" i="28"/>
  <c r="J186" i="28"/>
  <c r="J185" i="28"/>
  <c r="J184" i="28"/>
  <c r="J183" i="28"/>
  <c r="J182" i="28"/>
  <c r="J181" i="28"/>
  <c r="J180" i="28"/>
  <c r="J179" i="28"/>
  <c r="J178" i="28"/>
  <c r="J177" i="28"/>
  <c r="J176" i="28"/>
  <c r="J175" i="28"/>
  <c r="J174" i="28"/>
  <c r="J173" i="28"/>
  <c r="J172" i="28"/>
  <c r="J171" i="28"/>
  <c r="J170" i="28"/>
  <c r="J169" i="28"/>
  <c r="J168" i="28"/>
  <c r="J167" i="28"/>
  <c r="J166" i="28"/>
  <c r="J165" i="28"/>
  <c r="J164" i="28"/>
  <c r="J163" i="28"/>
  <c r="J162" i="28"/>
  <c r="J161" i="28"/>
  <c r="J160" i="28"/>
  <c r="J159" i="28"/>
  <c r="J158" i="28"/>
  <c r="J157" i="28"/>
  <c r="J156" i="28"/>
  <c r="J155" i="28"/>
  <c r="J154" i="28"/>
  <c r="J153" i="28"/>
  <c r="J152" i="28"/>
  <c r="J151" i="28"/>
  <c r="J150" i="28"/>
  <c r="J149" i="28"/>
  <c r="J148" i="28"/>
  <c r="J147" i="28"/>
  <c r="J146" i="28"/>
  <c r="J145" i="28"/>
  <c r="J144" i="28"/>
  <c r="J143" i="28"/>
  <c r="J142" i="28"/>
  <c r="J141" i="28"/>
  <c r="J140" i="28"/>
  <c r="J139" i="28"/>
  <c r="J138" i="28"/>
  <c r="J137" i="28"/>
  <c r="J136" i="28"/>
  <c r="J135" i="28"/>
  <c r="J134" i="28"/>
  <c r="J133" i="28"/>
  <c r="J132" i="28"/>
  <c r="J131" i="28"/>
  <c r="J130" i="28"/>
  <c r="J129" i="28"/>
  <c r="J128" i="28"/>
  <c r="J127" i="28"/>
  <c r="J126" i="28"/>
  <c r="J125" i="28"/>
  <c r="J124" i="28"/>
  <c r="J123" i="28"/>
  <c r="J122" i="28"/>
  <c r="J121" i="28"/>
  <c r="J120" i="28"/>
  <c r="J119" i="28"/>
  <c r="J118" i="28"/>
  <c r="J117" i="28"/>
  <c r="J116" i="28"/>
  <c r="J115" i="28"/>
  <c r="J114" i="28"/>
  <c r="J113" i="28"/>
  <c r="J112" i="28"/>
  <c r="J111" i="28"/>
  <c r="J110" i="28"/>
  <c r="J109" i="28"/>
  <c r="J108" i="28"/>
  <c r="J107" i="28"/>
  <c r="J106" i="28"/>
  <c r="J105" i="28"/>
  <c r="J104" i="28"/>
  <c r="J103" i="28"/>
  <c r="J102" i="28"/>
  <c r="J101" i="28"/>
  <c r="J100" i="28"/>
  <c r="J99" i="28"/>
  <c r="J98" i="28"/>
  <c r="J97" i="28"/>
  <c r="J96" i="28"/>
  <c r="J95" i="28"/>
  <c r="J94" i="28"/>
  <c r="J93" i="28"/>
  <c r="J92" i="28"/>
  <c r="J91" i="28"/>
  <c r="J90" i="28"/>
  <c r="J89" i="28"/>
  <c r="J88" i="28"/>
  <c r="J87" i="28"/>
  <c r="J86" i="28"/>
  <c r="J85" i="28"/>
  <c r="J84" i="28"/>
  <c r="J83" i="28"/>
  <c r="J82" i="28"/>
  <c r="J81" i="28"/>
  <c r="J80" i="28"/>
  <c r="J79" i="28"/>
  <c r="J78" i="28"/>
  <c r="J77" i="28"/>
  <c r="J76" i="28"/>
  <c r="J75" i="28"/>
  <c r="J74" i="28"/>
  <c r="J73" i="28"/>
  <c r="J72" i="28"/>
  <c r="J71" i="28"/>
  <c r="J70" i="28"/>
  <c r="J69" i="28"/>
  <c r="J68" i="28"/>
  <c r="J67" i="28"/>
  <c r="J66" i="28"/>
  <c r="J65" i="28"/>
  <c r="J64" i="28"/>
  <c r="J63" i="28"/>
  <c r="J62" i="28"/>
  <c r="J61" i="28"/>
  <c r="J60" i="28"/>
  <c r="J59" i="28"/>
  <c r="J58" i="28"/>
  <c r="J57" i="28"/>
  <c r="J56" i="28"/>
  <c r="J55" i="28"/>
  <c r="J54" i="28"/>
  <c r="J53" i="28"/>
  <c r="J52" i="28"/>
  <c r="J51" i="28"/>
  <c r="J50" i="28"/>
  <c r="J49" i="28"/>
  <c r="J48" i="28"/>
  <c r="J47" i="28"/>
  <c r="J46" i="28"/>
  <c r="J45" i="28"/>
  <c r="J44" i="28"/>
  <c r="J43" i="28"/>
  <c r="J42" i="28"/>
  <c r="J41" i="28"/>
  <c r="J40" i="28"/>
  <c r="J39" i="28"/>
  <c r="J38" i="28"/>
  <c r="J37" i="28"/>
  <c r="J36" i="28"/>
  <c r="J35" i="28"/>
  <c r="J34" i="28"/>
  <c r="J33" i="28"/>
  <c r="J32" i="28"/>
  <c r="J31" i="28"/>
  <c r="J30" i="28"/>
  <c r="J29" i="28"/>
  <c r="J28" i="28"/>
  <c r="J27" i="28"/>
  <c r="J26" i="28"/>
  <c r="J25" i="28"/>
  <c r="J24" i="28"/>
  <c r="J23" i="28"/>
  <c r="J22" i="28"/>
  <c r="J21" i="28"/>
  <c r="J20" i="28"/>
  <c r="J19" i="28"/>
  <c r="J18" i="28"/>
  <c r="J17" i="28"/>
  <c r="J16" i="28"/>
  <c r="J15" i="28"/>
  <c r="J14" i="28"/>
  <c r="J13" i="28"/>
  <c r="J12" i="28"/>
  <c r="J11" i="28"/>
  <c r="O371" i="11"/>
  <c r="N371" i="11"/>
  <c r="O370" i="11"/>
  <c r="N370" i="11"/>
  <c r="O369" i="11"/>
  <c r="N369" i="11"/>
  <c r="O368" i="11"/>
  <c r="N368" i="11"/>
  <c r="O367" i="11"/>
  <c r="N367" i="11"/>
  <c r="O366" i="11"/>
  <c r="N366" i="11"/>
  <c r="O358" i="11"/>
  <c r="O357" i="11"/>
  <c r="O356" i="11"/>
  <c r="O355" i="11"/>
  <c r="O354" i="11"/>
  <c r="O353" i="11"/>
  <c r="N358" i="11"/>
  <c r="N357" i="11"/>
  <c r="N356" i="11"/>
  <c r="N355" i="11"/>
  <c r="N354" i="11"/>
  <c r="N353" i="11"/>
  <c r="P367" i="11" l="1"/>
  <c r="P356" i="11"/>
  <c r="P368" i="11"/>
  <c r="P355" i="11"/>
  <c r="P353" i="11"/>
  <c r="P371" i="11"/>
  <c r="P369" i="11"/>
  <c r="P357" i="11"/>
  <c r="P358" i="11"/>
  <c r="P366" i="11"/>
  <c r="P370" i="11"/>
  <c r="P354" i="11"/>
  <c r="E13" i="11" l="1"/>
  <c r="F13" i="11"/>
  <c r="M13" i="11"/>
  <c r="G13" i="11"/>
  <c r="K13" i="11" l="1"/>
  <c r="C13" i="11"/>
  <c r="J13" i="11"/>
  <c r="N13" i="11"/>
  <c r="H13" i="11"/>
  <c r="D13" i="11"/>
  <c r="I13" i="11"/>
  <c r="L13" i="11"/>
  <c r="AF147" i="11"/>
  <c r="AF242" i="11"/>
  <c r="AF124" i="11"/>
  <c r="AF132" i="11"/>
  <c r="AF140" i="11"/>
  <c r="AF148" i="11"/>
  <c r="AF161" i="11"/>
  <c r="AF169" i="11"/>
  <c r="AF177" i="11"/>
  <c r="AF185" i="11"/>
  <c r="AF198" i="11"/>
  <c r="AF206" i="11"/>
  <c r="AF214" i="11"/>
  <c r="AF222" i="11"/>
  <c r="AF235" i="11"/>
  <c r="AF243" i="11"/>
  <c r="AF251" i="11"/>
  <c r="AF259" i="11"/>
  <c r="AF267" i="11"/>
  <c r="AF280" i="11"/>
  <c r="AF288" i="11"/>
  <c r="AF296" i="11"/>
  <c r="AF304" i="11"/>
  <c r="AF168" i="11"/>
  <c r="AF213" i="11"/>
  <c r="AF258" i="11"/>
  <c r="AF295" i="11"/>
  <c r="AF125" i="11"/>
  <c r="AF133" i="11"/>
  <c r="AF141" i="11"/>
  <c r="AF149" i="11"/>
  <c r="AF162" i="11"/>
  <c r="AF170" i="11"/>
  <c r="AF178" i="11"/>
  <c r="AF186" i="11"/>
  <c r="AF199" i="11"/>
  <c r="AF207" i="11"/>
  <c r="AF215" i="11"/>
  <c r="AF223" i="11"/>
  <c r="AF236" i="11"/>
  <c r="AF244" i="11"/>
  <c r="AF252" i="11"/>
  <c r="AF260" i="11"/>
  <c r="AF273" i="11"/>
  <c r="AF281" i="11"/>
  <c r="AF289" i="11"/>
  <c r="AF297" i="11"/>
  <c r="AF305" i="11"/>
  <c r="AF131" i="11"/>
  <c r="AF229" i="11"/>
  <c r="AF279" i="11"/>
  <c r="AF303" i="11"/>
  <c r="AF126" i="11"/>
  <c r="AF134" i="11"/>
  <c r="AF142" i="11"/>
  <c r="AF150" i="11"/>
  <c r="AF163" i="11"/>
  <c r="AF171" i="11"/>
  <c r="AF179" i="11"/>
  <c r="AF187" i="11"/>
  <c r="AF200" i="11"/>
  <c r="AF208" i="11"/>
  <c r="AF216" i="11"/>
  <c r="AF224" i="11"/>
  <c r="AF237" i="11"/>
  <c r="AF245" i="11"/>
  <c r="AF253" i="11"/>
  <c r="AF261" i="11"/>
  <c r="AF274" i="11"/>
  <c r="AF282" i="11"/>
  <c r="AF290" i="11"/>
  <c r="AF298" i="11"/>
  <c r="AF160" i="11"/>
  <c r="AF205" i="11"/>
  <c r="AF250" i="11"/>
  <c r="AF287" i="11"/>
  <c r="AF127" i="11"/>
  <c r="AF135" i="11"/>
  <c r="AF143" i="11"/>
  <c r="AF151" i="11"/>
  <c r="AF164" i="11"/>
  <c r="AF172" i="11"/>
  <c r="AF180" i="11"/>
  <c r="AF188" i="11"/>
  <c r="AF201" i="11"/>
  <c r="AF209" i="11"/>
  <c r="AF217" i="11"/>
  <c r="AF225" i="11"/>
  <c r="AF238" i="11"/>
  <c r="AF246" i="11"/>
  <c r="AF254" i="11"/>
  <c r="AF262" i="11"/>
  <c r="AF275" i="11"/>
  <c r="AF283" i="11"/>
  <c r="AF291" i="11"/>
  <c r="AF299" i="11"/>
  <c r="AF139" i="11"/>
  <c r="AF184" i="11"/>
  <c r="AF128" i="11"/>
  <c r="AF136" i="11"/>
  <c r="AF144" i="11"/>
  <c r="AF152" i="11"/>
  <c r="AF165" i="11"/>
  <c r="AF173" i="11"/>
  <c r="AF181" i="11"/>
  <c r="AF189" i="11"/>
  <c r="AF202" i="11"/>
  <c r="AF210" i="11"/>
  <c r="AF218" i="11"/>
  <c r="AF226" i="11"/>
  <c r="AF239" i="11"/>
  <c r="AF247" i="11"/>
  <c r="AF255" i="11"/>
  <c r="AF263" i="11"/>
  <c r="AF276" i="11"/>
  <c r="AF284" i="11"/>
  <c r="AF292" i="11"/>
  <c r="AF300" i="11"/>
  <c r="AF123" i="11"/>
  <c r="AF176" i="11"/>
  <c r="AF221" i="11"/>
  <c r="AF266" i="11"/>
  <c r="AF129" i="11"/>
  <c r="AF137" i="11"/>
  <c r="AF145" i="11"/>
  <c r="AF153" i="11"/>
  <c r="AF166" i="11"/>
  <c r="AF174" i="11"/>
  <c r="AF182" i="11"/>
  <c r="AF190" i="11"/>
  <c r="AF203" i="11"/>
  <c r="AF211" i="11"/>
  <c r="AF219" i="11"/>
  <c r="AF227" i="11"/>
  <c r="AF240" i="11"/>
  <c r="AF248" i="11"/>
  <c r="AF256" i="11"/>
  <c r="AF264" i="11"/>
  <c r="AF277" i="11"/>
  <c r="AF285" i="11"/>
  <c r="AF293" i="11"/>
  <c r="AF301" i="11"/>
  <c r="AF197" i="11"/>
  <c r="AF122" i="11"/>
  <c r="AF130" i="11"/>
  <c r="AF138" i="11"/>
  <c r="AF146" i="11"/>
  <c r="AF159" i="11"/>
  <c r="AF167" i="11"/>
  <c r="AF175" i="11"/>
  <c r="AF183" i="11"/>
  <c r="AF191" i="11"/>
  <c r="AF204" i="11"/>
  <c r="AF212" i="11"/>
  <c r="AF220" i="11"/>
  <c r="AF228" i="11"/>
  <c r="AF241" i="11"/>
  <c r="AF249" i="11"/>
  <c r="AF257" i="11"/>
  <c r="AF265" i="11"/>
  <c r="AF278" i="11"/>
  <c r="AF286" i="11"/>
  <c r="AF294" i="11"/>
  <c r="AF302" i="11"/>
  <c r="AF84" i="11"/>
  <c r="AF87" i="11"/>
  <c r="AF95" i="11"/>
  <c r="AF103" i="11"/>
  <c r="AF111" i="11"/>
  <c r="AF88" i="11"/>
  <c r="AF96" i="11"/>
  <c r="AF104" i="11"/>
  <c r="AF112" i="11"/>
  <c r="AF98" i="11"/>
  <c r="AF114" i="11"/>
  <c r="AF89" i="11"/>
  <c r="AF97" i="11"/>
  <c r="AF105" i="11"/>
  <c r="AF113" i="11"/>
  <c r="AF90" i="11"/>
  <c r="AF106" i="11"/>
  <c r="AF115" i="11"/>
  <c r="AF99" i="11"/>
  <c r="AF91" i="11"/>
  <c r="AF100" i="11"/>
  <c r="AF108" i="11"/>
  <c r="AF85" i="11"/>
  <c r="AF93" i="11"/>
  <c r="AF101" i="11"/>
  <c r="AF109" i="11"/>
  <c r="AF121" i="11"/>
  <c r="AF83" i="11"/>
  <c r="AF107" i="11"/>
  <c r="AF92" i="11"/>
  <c r="AF86" i="11"/>
  <c r="AF94" i="11"/>
  <c r="AF102" i="11"/>
  <c r="AF110" i="11"/>
  <c r="AB295" i="11"/>
  <c r="AB221" i="11"/>
  <c r="E324" i="11"/>
  <c r="E332" i="11"/>
  <c r="E340" i="11"/>
  <c r="P336" i="11"/>
  <c r="P340" i="11"/>
  <c r="U315" i="11"/>
  <c r="X334" i="11"/>
  <c r="X338" i="11"/>
  <c r="X342" i="11"/>
  <c r="AB160" i="11"/>
  <c r="AB229" i="11"/>
  <c r="AB303" i="11"/>
  <c r="AB168" i="11"/>
  <c r="AB242" i="11"/>
  <c r="AB176" i="11"/>
  <c r="AB250" i="11"/>
  <c r="E327" i="11"/>
  <c r="E335" i="11"/>
  <c r="E343" i="11"/>
  <c r="AB184" i="11"/>
  <c r="AB258" i="11"/>
  <c r="U325" i="11"/>
  <c r="U333" i="11"/>
  <c r="U337" i="11"/>
  <c r="U341" i="11"/>
  <c r="AB197" i="11"/>
  <c r="AB266" i="11"/>
  <c r="AB205" i="11"/>
  <c r="AB279" i="11"/>
  <c r="U326" i="11"/>
  <c r="U330" i="11"/>
  <c r="U338" i="11"/>
  <c r="X329" i="11"/>
  <c r="AB213" i="11"/>
  <c r="AB287" i="11"/>
  <c r="AB163" i="11"/>
  <c r="AB171" i="11"/>
  <c r="AB179" i="11"/>
  <c r="AB187" i="11"/>
  <c r="AB200" i="11"/>
  <c r="AB208" i="11"/>
  <c r="AB216" i="11"/>
  <c r="AB224" i="11"/>
  <c r="AB237" i="11"/>
  <c r="AB245" i="11"/>
  <c r="AB253" i="11"/>
  <c r="AB261" i="11"/>
  <c r="AB274" i="11"/>
  <c r="AB282" i="11"/>
  <c r="AB290" i="11"/>
  <c r="AB298" i="11"/>
  <c r="H320" i="11"/>
  <c r="AB166" i="11"/>
  <c r="AB174" i="11"/>
  <c r="AB182" i="11"/>
  <c r="AB190" i="11"/>
  <c r="AB203" i="11"/>
  <c r="AB211" i="11"/>
  <c r="AB219" i="11"/>
  <c r="AB227" i="11"/>
  <c r="AB240" i="11"/>
  <c r="AB248" i="11"/>
  <c r="AB256" i="11"/>
  <c r="AB264" i="11"/>
  <c r="AB277" i="11"/>
  <c r="AB285" i="11"/>
  <c r="AB293" i="11"/>
  <c r="AB301" i="11"/>
  <c r="AB161" i="11"/>
  <c r="AB169" i="11"/>
  <c r="AB177" i="11"/>
  <c r="AB185" i="11"/>
  <c r="AB198" i="11"/>
  <c r="AB206" i="11"/>
  <c r="AB214" i="11"/>
  <c r="AB222" i="11"/>
  <c r="AB235" i="11"/>
  <c r="AB243" i="11"/>
  <c r="AB251" i="11"/>
  <c r="AB259" i="11"/>
  <c r="AB267" i="11"/>
  <c r="AB280" i="11"/>
  <c r="AB288" i="11"/>
  <c r="AB296" i="11"/>
  <c r="AB304" i="11"/>
  <c r="AB164" i="11"/>
  <c r="AB172" i="11"/>
  <c r="AB180" i="11"/>
  <c r="AB188" i="11"/>
  <c r="AB201" i="11"/>
  <c r="AB209" i="11"/>
  <c r="AB217" i="11"/>
  <c r="AB225" i="11"/>
  <c r="AB238" i="11"/>
  <c r="AB246" i="11"/>
  <c r="AB254" i="11"/>
  <c r="AB262" i="11"/>
  <c r="AB275" i="11"/>
  <c r="AB283" i="11"/>
  <c r="AB291" i="11"/>
  <c r="AB299" i="11"/>
  <c r="AB159" i="11"/>
  <c r="AB167" i="11"/>
  <c r="AB175" i="11"/>
  <c r="AB183" i="11"/>
  <c r="AB191" i="11"/>
  <c r="AB204" i="11"/>
  <c r="AB212" i="11"/>
  <c r="AB220" i="11"/>
  <c r="AB228" i="11"/>
  <c r="AB241" i="11"/>
  <c r="AB249" i="11"/>
  <c r="AB257" i="11"/>
  <c r="AB265" i="11"/>
  <c r="AB278" i="11"/>
  <c r="AB286" i="11"/>
  <c r="AB294" i="11"/>
  <c r="AB302" i="11"/>
  <c r="AB162" i="11"/>
  <c r="AB170" i="11"/>
  <c r="AB178" i="11"/>
  <c r="AB186" i="11"/>
  <c r="AB199" i="11"/>
  <c r="AB207" i="11"/>
  <c r="AB215" i="11"/>
  <c r="AB223" i="11"/>
  <c r="AB236" i="11"/>
  <c r="AB244" i="11"/>
  <c r="AB252" i="11"/>
  <c r="AB260" i="11"/>
  <c r="AB273" i="11"/>
  <c r="AB281" i="11"/>
  <c r="AB289" i="11"/>
  <c r="AB297" i="11"/>
  <c r="AB305" i="11"/>
  <c r="P333" i="11"/>
  <c r="U332" i="11"/>
  <c r="U340" i="11"/>
  <c r="X315" i="11"/>
  <c r="X335" i="11"/>
  <c r="X339" i="11"/>
  <c r="X343" i="11"/>
  <c r="AB165" i="11"/>
  <c r="AB173" i="11"/>
  <c r="AB181" i="11"/>
  <c r="AB189" i="11"/>
  <c r="AB202" i="11"/>
  <c r="AB210" i="11"/>
  <c r="AB218" i="11"/>
  <c r="AB226" i="11"/>
  <c r="AB239" i="11"/>
  <c r="AB247" i="11"/>
  <c r="AB255" i="11"/>
  <c r="AB263" i="11"/>
  <c r="AB276" i="11"/>
  <c r="AB284" i="11"/>
  <c r="AB292" i="11"/>
  <c r="AB300" i="11"/>
  <c r="E322" i="11"/>
  <c r="E330" i="11"/>
  <c r="E338" i="11"/>
  <c r="H324" i="11"/>
  <c r="H332" i="11"/>
  <c r="M315" i="11"/>
  <c r="M319" i="11"/>
  <c r="M323" i="11"/>
  <c r="M327" i="11"/>
  <c r="M331" i="11"/>
  <c r="M335" i="11"/>
  <c r="M339" i="11"/>
  <c r="M343" i="11"/>
  <c r="P314" i="11"/>
  <c r="P318" i="11"/>
  <c r="P322" i="11"/>
  <c r="U320" i="11"/>
  <c r="H325" i="11"/>
  <c r="H337" i="11"/>
  <c r="H341" i="11"/>
  <c r="P315" i="11"/>
  <c r="P327" i="11"/>
  <c r="P331" i="11"/>
  <c r="X332" i="11"/>
  <c r="E318" i="11"/>
  <c r="E326" i="11"/>
  <c r="E334" i="11"/>
  <c r="E342" i="11"/>
  <c r="H322" i="11"/>
  <c r="H326" i="11"/>
  <c r="H330" i="11"/>
  <c r="H338" i="11"/>
  <c r="M317" i="11"/>
  <c r="M321" i="11"/>
  <c r="M325" i="11"/>
  <c r="M329" i="11"/>
  <c r="M333" i="11"/>
  <c r="M337" i="11"/>
  <c r="M341" i="11"/>
  <c r="M345" i="11"/>
  <c r="P320" i="11"/>
  <c r="P324" i="11"/>
  <c r="P328" i="11"/>
  <c r="H323" i="11"/>
  <c r="H331" i="11"/>
  <c r="H339" i="11"/>
  <c r="M318" i="11"/>
  <c r="M326" i="11"/>
  <c r="M334" i="11"/>
  <c r="E325" i="11"/>
  <c r="E333" i="11"/>
  <c r="E341" i="11"/>
  <c r="M314" i="11"/>
  <c r="M322" i="11"/>
  <c r="M330" i="11"/>
  <c r="M338" i="11"/>
  <c r="M342" i="11"/>
  <c r="M346" i="11"/>
  <c r="P335" i="11"/>
  <c r="P343" i="11"/>
  <c r="U322" i="11"/>
  <c r="U329" i="11"/>
  <c r="U345" i="11"/>
  <c r="P332" i="11"/>
  <c r="X320" i="11"/>
  <c r="X340" i="11"/>
  <c r="H328" i="11"/>
  <c r="H336" i="11"/>
  <c r="P316" i="11"/>
  <c r="U323" i="11"/>
  <c r="M316" i="11"/>
  <c r="M320" i="11"/>
  <c r="M324" i="11"/>
  <c r="M328" i="11"/>
  <c r="M332" i="11"/>
  <c r="M336" i="11"/>
  <c r="M340" i="11"/>
  <c r="M344" i="11"/>
  <c r="P317" i="11"/>
  <c r="P321" i="11"/>
  <c r="P325" i="11"/>
  <c r="P329" i="11"/>
  <c r="U331" i="11"/>
  <c r="U339" i="11"/>
  <c r="X325" i="11"/>
  <c r="X333" i="11"/>
  <c r="X337" i="11"/>
  <c r="X341" i="11"/>
  <c r="X345" i="11"/>
  <c r="E321" i="11"/>
  <c r="E329" i="11"/>
  <c r="E337" i="11"/>
  <c r="E345" i="11"/>
  <c r="E320" i="11"/>
  <c r="E328" i="11"/>
  <c r="E336" i="11"/>
  <c r="E344" i="11"/>
  <c r="H333" i="11"/>
  <c r="P341" i="11"/>
  <c r="P345" i="11"/>
  <c r="U324" i="11"/>
  <c r="X318" i="11"/>
  <c r="X322" i="11"/>
  <c r="X326" i="11"/>
  <c r="X330" i="11"/>
  <c r="E315" i="11"/>
  <c r="E323" i="11"/>
  <c r="E331" i="11"/>
  <c r="E339" i="11"/>
  <c r="P334" i="11"/>
  <c r="P338" i="11"/>
  <c r="U328" i="11"/>
  <c r="U336" i="11"/>
  <c r="X327" i="11"/>
  <c r="X331" i="11"/>
  <c r="H327" i="11"/>
  <c r="H334" i="11"/>
  <c r="H345" i="11"/>
  <c r="U344" i="11"/>
  <c r="P339" i="11"/>
  <c r="P342" i="11"/>
  <c r="P346" i="11"/>
  <c r="U327" i="11"/>
  <c r="U334" i="11"/>
  <c r="X323" i="11"/>
  <c r="X344" i="11"/>
  <c r="H321" i="11"/>
  <c r="H335" i="11"/>
  <c r="H342" i="11"/>
  <c r="U335" i="11"/>
  <c r="U342" i="11"/>
  <c r="X324" i="11"/>
  <c r="H318" i="11"/>
  <c r="H329" i="11"/>
  <c r="H343" i="11"/>
  <c r="H344" i="11"/>
  <c r="X336" i="11"/>
  <c r="H315" i="11"/>
  <c r="H340" i="11"/>
  <c r="P319" i="11"/>
  <c r="P323" i="11"/>
  <c r="P326" i="11"/>
  <c r="P330" i="11"/>
  <c r="P337" i="11"/>
  <c r="P344" i="11"/>
  <c r="U318" i="11"/>
  <c r="U343" i="11"/>
  <c r="X328" i="11"/>
  <c r="M165" i="11"/>
  <c r="M208" i="11"/>
  <c r="M245" i="11"/>
  <c r="M282" i="11"/>
  <c r="M171" i="11"/>
  <c r="M210" i="11"/>
  <c r="M247" i="11"/>
  <c r="M284" i="11"/>
  <c r="M173" i="11"/>
  <c r="M216" i="11"/>
  <c r="M253" i="11"/>
  <c r="M290" i="11"/>
  <c r="M179" i="11"/>
  <c r="M218" i="11"/>
  <c r="M255" i="11"/>
  <c r="M292" i="11"/>
  <c r="M181" i="11"/>
  <c r="M224" i="11"/>
  <c r="M261" i="11"/>
  <c r="M298" i="11"/>
  <c r="M187" i="11"/>
  <c r="M226" i="11"/>
  <c r="M263" i="11"/>
  <c r="M300" i="11"/>
  <c r="M189" i="11"/>
  <c r="M237" i="11"/>
  <c r="M274" i="11"/>
  <c r="M163" i="11"/>
  <c r="M200" i="11"/>
  <c r="M239" i="11"/>
  <c r="M276" i="11"/>
  <c r="M164" i="11"/>
  <c r="M172" i="11"/>
  <c r="M180" i="11"/>
  <c r="M188" i="11"/>
  <c r="M201" i="11"/>
  <c r="M209" i="11"/>
  <c r="M217" i="11"/>
  <c r="M225" i="11"/>
  <c r="M238" i="11"/>
  <c r="M246" i="11"/>
  <c r="M254" i="11"/>
  <c r="M262" i="11"/>
  <c r="M275" i="11"/>
  <c r="M283" i="11"/>
  <c r="M291" i="11"/>
  <c r="M299" i="11"/>
  <c r="M166" i="11"/>
  <c r="M174" i="11"/>
  <c r="M182" i="11"/>
  <c r="M190" i="11"/>
  <c r="M203" i="11"/>
  <c r="M211" i="11"/>
  <c r="M219" i="11"/>
  <c r="M227" i="11"/>
  <c r="M240" i="11"/>
  <c r="M248" i="11"/>
  <c r="M256" i="11"/>
  <c r="M264" i="11"/>
  <c r="M277" i="11"/>
  <c r="M285" i="11"/>
  <c r="M293" i="11"/>
  <c r="M301" i="11"/>
  <c r="M159" i="11"/>
  <c r="M167" i="11"/>
  <c r="M175" i="11"/>
  <c r="M183" i="11"/>
  <c r="M191" i="11"/>
  <c r="M204" i="11"/>
  <c r="M212" i="11"/>
  <c r="M220" i="11"/>
  <c r="M228" i="11"/>
  <c r="M241" i="11"/>
  <c r="M249" i="11"/>
  <c r="M257" i="11"/>
  <c r="M265" i="11"/>
  <c r="M278" i="11"/>
  <c r="M286" i="11"/>
  <c r="M294" i="11"/>
  <c r="M302" i="11"/>
  <c r="M202" i="11"/>
  <c r="M160" i="11"/>
  <c r="M168" i="11"/>
  <c r="M176" i="11"/>
  <c r="M184" i="11"/>
  <c r="M197" i="11"/>
  <c r="M205" i="11"/>
  <c r="M213" i="11"/>
  <c r="M221" i="11"/>
  <c r="M229" i="11"/>
  <c r="M242" i="11"/>
  <c r="M250" i="11"/>
  <c r="M258" i="11"/>
  <c r="M266" i="11"/>
  <c r="M279" i="11"/>
  <c r="M287" i="11"/>
  <c r="M295" i="11"/>
  <c r="M303" i="11"/>
  <c r="M161" i="11"/>
  <c r="M169" i="11"/>
  <c r="M177" i="11"/>
  <c r="M185" i="11"/>
  <c r="M198" i="11"/>
  <c r="M206" i="11"/>
  <c r="M214" i="11"/>
  <c r="M222" i="11"/>
  <c r="M235" i="11"/>
  <c r="M243" i="11"/>
  <c r="M251" i="11"/>
  <c r="M259" i="11"/>
  <c r="M267" i="11"/>
  <c r="M280" i="11"/>
  <c r="M288" i="11"/>
  <c r="M296" i="11"/>
  <c r="M304" i="11"/>
  <c r="M162" i="11"/>
  <c r="M170" i="11"/>
  <c r="M178" i="11"/>
  <c r="M186" i="11"/>
  <c r="M199" i="11"/>
  <c r="M207" i="11"/>
  <c r="M215" i="11"/>
  <c r="M223" i="11"/>
  <c r="M236" i="11"/>
  <c r="M244" i="11"/>
  <c r="M252" i="11"/>
  <c r="M260" i="11"/>
  <c r="M273" i="11"/>
  <c r="M281" i="11"/>
  <c r="M289" i="11"/>
  <c r="M297" i="11"/>
  <c r="M305" i="11"/>
  <c r="C16" i="11" l="1"/>
  <c r="E16" i="11"/>
  <c r="H16" i="11"/>
  <c r="D16" i="11"/>
  <c r="F16" i="11"/>
  <c r="G16" i="11"/>
  <c r="D20" i="11"/>
  <c r="G20" i="11"/>
  <c r="D12" i="11"/>
  <c r="H12" i="11"/>
  <c r="N12" i="11"/>
  <c r="J12" i="11"/>
  <c r="H76" i="11"/>
  <c r="G76" i="11"/>
  <c r="J76" i="11" s="1"/>
  <c r="H75" i="11"/>
  <c r="G75" i="11"/>
  <c r="J75" i="11" s="1"/>
  <c r="H74" i="11"/>
  <c r="G74" i="11"/>
  <c r="H73" i="11"/>
  <c r="G73" i="11"/>
  <c r="H72" i="11"/>
  <c r="G72" i="11"/>
  <c r="J72" i="11" s="1"/>
  <c r="H71" i="11"/>
  <c r="G71" i="11"/>
  <c r="D66" i="11"/>
  <c r="D65" i="11"/>
  <c r="D64" i="11"/>
  <c r="D63" i="11"/>
  <c r="D56" i="11"/>
  <c r="D55" i="11"/>
  <c r="D54" i="11"/>
  <c r="D53" i="11"/>
  <c r="F45" i="11"/>
  <c r="F44" i="11"/>
  <c r="F43" i="11"/>
  <c r="F42" i="11"/>
  <c r="F41" i="11"/>
  <c r="F40" i="11"/>
  <c r="D40" i="11"/>
  <c r="D45" i="11"/>
  <c r="D44" i="11"/>
  <c r="D43" i="11"/>
  <c r="D42" i="11"/>
  <c r="D41" i="11"/>
  <c r="G40" i="11" l="1"/>
  <c r="H379" i="11"/>
  <c r="J71" i="11"/>
  <c r="J74" i="11"/>
  <c r="J73" i="11"/>
  <c r="K368" i="11"/>
  <c r="G368" i="11"/>
  <c r="L368" i="11"/>
  <c r="H368" i="11"/>
  <c r="D368" i="11"/>
  <c r="I368" i="11"/>
  <c r="E368" i="11"/>
  <c r="J368" i="11"/>
  <c r="F368" i="11"/>
  <c r="K369" i="11"/>
  <c r="G369" i="11"/>
  <c r="L369" i="11"/>
  <c r="H369" i="11"/>
  <c r="D369" i="11"/>
  <c r="I369" i="11"/>
  <c r="E369" i="11"/>
  <c r="J369" i="11"/>
  <c r="F369" i="11"/>
  <c r="J366" i="11"/>
  <c r="F366" i="11"/>
  <c r="K366" i="11"/>
  <c r="G366" i="11"/>
  <c r="L366" i="11"/>
  <c r="H366" i="11"/>
  <c r="D366" i="11"/>
  <c r="I366" i="11"/>
  <c r="E366" i="11"/>
  <c r="L370" i="11"/>
  <c r="H370" i="11"/>
  <c r="D370" i="11"/>
  <c r="I370" i="11"/>
  <c r="E370" i="11"/>
  <c r="J370" i="11"/>
  <c r="F370" i="11"/>
  <c r="K370" i="11"/>
  <c r="G370" i="11"/>
  <c r="J367" i="11"/>
  <c r="F367" i="11"/>
  <c r="K367" i="11"/>
  <c r="G367" i="11"/>
  <c r="C367" i="11"/>
  <c r="L367" i="11"/>
  <c r="H367" i="11"/>
  <c r="D367" i="11"/>
  <c r="M367" i="11"/>
  <c r="I367" i="11"/>
  <c r="E367" i="11"/>
  <c r="L371" i="11"/>
  <c r="H371" i="11"/>
  <c r="D371" i="11"/>
  <c r="M371" i="11"/>
  <c r="I371" i="11"/>
  <c r="E371" i="11"/>
  <c r="J371" i="11"/>
  <c r="F371" i="11"/>
  <c r="K371" i="11"/>
  <c r="G371" i="11"/>
  <c r="C371" i="11"/>
  <c r="I76" i="11"/>
  <c r="I75" i="11"/>
  <c r="I74" i="11"/>
  <c r="I73" i="11"/>
  <c r="I72" i="11"/>
  <c r="I71" i="11"/>
  <c r="D6" i="11" l="1"/>
  <c r="F372" i="11"/>
  <c r="J372" i="11"/>
  <c r="H372" i="11"/>
  <c r="G372" i="11"/>
  <c r="E372" i="11"/>
  <c r="K372" i="11"/>
  <c r="L372" i="11"/>
  <c r="D372" i="11"/>
  <c r="I372" i="11"/>
  <c r="H66" i="11"/>
  <c r="H64" i="11"/>
  <c r="H63" i="11"/>
  <c r="I63" i="11" s="1"/>
  <c r="H56" i="11"/>
  <c r="H54" i="11"/>
  <c r="H53" i="11"/>
  <c r="H62" i="11" l="1"/>
  <c r="H52" i="11"/>
  <c r="E386" i="11" l="1"/>
  <c r="C386" i="11"/>
  <c r="D71" i="11"/>
  <c r="D76" i="11"/>
  <c r="D75" i="11"/>
  <c r="D74" i="11"/>
  <c r="D73" i="11"/>
  <c r="D72" i="11"/>
  <c r="C76" i="11"/>
  <c r="F76" i="11" s="1"/>
  <c r="C75" i="11"/>
  <c r="F75" i="11" s="1"/>
  <c r="C74" i="11"/>
  <c r="F74" i="11" s="1"/>
  <c r="C73" i="11"/>
  <c r="F73" i="11" s="1"/>
  <c r="C72" i="11"/>
  <c r="F72" i="11" s="1"/>
  <c r="C71" i="11"/>
  <c r="F71" i="11" s="1"/>
  <c r="D379" i="11" l="1"/>
  <c r="J354" i="11"/>
  <c r="F354" i="11"/>
  <c r="K354" i="11"/>
  <c r="G354" i="11"/>
  <c r="L354" i="11"/>
  <c r="H354" i="11"/>
  <c r="M354" i="11"/>
  <c r="I354" i="11"/>
  <c r="K355" i="11"/>
  <c r="G355" i="11"/>
  <c r="L355" i="11"/>
  <c r="H355" i="11"/>
  <c r="I355" i="11"/>
  <c r="J355" i="11"/>
  <c r="F355" i="11"/>
  <c r="K356" i="11"/>
  <c r="G356" i="11"/>
  <c r="L356" i="11"/>
  <c r="H356" i="11"/>
  <c r="I356" i="11"/>
  <c r="J356" i="11"/>
  <c r="F356" i="11"/>
  <c r="J353" i="11"/>
  <c r="F353" i="11"/>
  <c r="E353" i="11"/>
  <c r="K353" i="11"/>
  <c r="G353" i="11"/>
  <c r="H353" i="11"/>
  <c r="L353" i="11"/>
  <c r="I353" i="11"/>
  <c r="L357" i="11"/>
  <c r="H357" i="11"/>
  <c r="I357" i="11"/>
  <c r="J357" i="11"/>
  <c r="F357" i="11"/>
  <c r="K357" i="11"/>
  <c r="G357" i="11"/>
  <c r="L358" i="11"/>
  <c r="H358" i="11"/>
  <c r="M358" i="11"/>
  <c r="I358" i="11"/>
  <c r="J358" i="11"/>
  <c r="F358" i="11"/>
  <c r="K358" i="11"/>
  <c r="G358" i="11"/>
  <c r="D353" i="11"/>
  <c r="C354" i="11"/>
  <c r="D354" i="11"/>
  <c r="E354" i="11"/>
  <c r="D355" i="11"/>
  <c r="E355" i="11"/>
  <c r="D356" i="11"/>
  <c r="E356" i="11"/>
  <c r="E357" i="11"/>
  <c r="D357" i="11"/>
  <c r="E358" i="11"/>
  <c r="C358" i="11"/>
  <c r="D358" i="11"/>
  <c r="I53" i="11"/>
  <c r="E72" i="11"/>
  <c r="E73" i="11"/>
  <c r="E74" i="11"/>
  <c r="E71" i="11"/>
  <c r="E75" i="11"/>
  <c r="E76" i="11"/>
  <c r="D52" i="11"/>
  <c r="D62" i="11"/>
  <c r="D26" i="11"/>
  <c r="C33" i="11"/>
  <c r="C32" i="11"/>
  <c r="D32" i="11"/>
  <c r="C41" i="11"/>
  <c r="C42" i="11"/>
  <c r="C43" i="11"/>
  <c r="C44" i="11"/>
  <c r="C45" i="11"/>
  <c r="C6" i="11" l="1"/>
  <c r="H359" i="11"/>
  <c r="L359" i="11"/>
  <c r="F359" i="11"/>
  <c r="I359" i="11"/>
  <c r="E359" i="11"/>
  <c r="D359" i="11"/>
  <c r="K359" i="11"/>
  <c r="G359" i="11"/>
  <c r="J359" i="11"/>
  <c r="D35" i="14"/>
  <c r="C35" i="14"/>
  <c r="D24" i="14"/>
  <c r="C24" i="14"/>
  <c r="D101" i="14" l="1"/>
  <c r="C101" i="14"/>
  <c r="N71" i="14"/>
  <c r="M71" i="14"/>
  <c r="I71" i="14"/>
  <c r="H71" i="14"/>
  <c r="N41" i="14"/>
  <c r="M41" i="14"/>
  <c r="I41" i="14"/>
  <c r="H41" i="14"/>
  <c r="D13" i="14"/>
  <c r="D12" i="14"/>
  <c r="D11" i="14"/>
  <c r="D9" i="14"/>
  <c r="D8" i="14"/>
  <c r="C13" i="14"/>
  <c r="C12" i="14"/>
  <c r="C11" i="14"/>
  <c r="C9" i="14"/>
  <c r="C8" i="14"/>
  <c r="C10" i="14" l="1"/>
  <c r="D7" i="14"/>
  <c r="C7" i="14"/>
  <c r="D10" i="14"/>
  <c r="H49" i="14"/>
  <c r="H79" i="14"/>
  <c r="H50" i="14"/>
  <c r="I79" i="14"/>
  <c r="I49" i="14"/>
  <c r="M79" i="14"/>
  <c r="N90" i="14"/>
  <c r="N79" i="14"/>
  <c r="M61" i="14"/>
  <c r="M49" i="14"/>
  <c r="N49" i="14"/>
  <c r="C123" i="14"/>
  <c r="C124" i="14"/>
  <c r="C109" i="14"/>
  <c r="D120" i="14"/>
  <c r="D124" i="14"/>
  <c r="D109" i="14"/>
  <c r="D103" i="14"/>
  <c r="C106" i="14"/>
  <c r="D111" i="14"/>
  <c r="C114" i="14"/>
  <c r="D119" i="14"/>
  <c r="C122" i="14"/>
  <c r="C102" i="14"/>
  <c r="D107" i="14"/>
  <c r="C110" i="14"/>
  <c r="D115" i="14"/>
  <c r="C118" i="14"/>
  <c r="D123" i="14"/>
  <c r="C126" i="14"/>
  <c r="D102" i="14"/>
  <c r="C105" i="14"/>
  <c r="D110" i="14"/>
  <c r="C113" i="14"/>
  <c r="D118" i="14"/>
  <c r="C121" i="14"/>
  <c r="D126" i="14"/>
  <c r="D105" i="14"/>
  <c r="C108" i="14"/>
  <c r="D113" i="14"/>
  <c r="C116" i="14"/>
  <c r="D121" i="14"/>
  <c r="C103" i="14"/>
  <c r="D108" i="14"/>
  <c r="C111" i="14"/>
  <c r="D116" i="14"/>
  <c r="C119" i="14"/>
  <c r="C104" i="14"/>
  <c r="C112" i="14"/>
  <c r="D117" i="14"/>
  <c r="C120" i="14"/>
  <c r="D125" i="14"/>
  <c r="D106" i="14"/>
  <c r="D114" i="14"/>
  <c r="C117" i="14"/>
  <c r="D122" i="14"/>
  <c r="C125" i="14"/>
  <c r="D104" i="14"/>
  <c r="C107" i="14"/>
  <c r="D112" i="14"/>
  <c r="C115" i="14"/>
  <c r="N73" i="14"/>
  <c r="M76" i="14"/>
  <c r="N81" i="14"/>
  <c r="N89" i="14"/>
  <c r="M72" i="14"/>
  <c r="N77" i="14"/>
  <c r="M80" i="14"/>
  <c r="N85" i="14"/>
  <c r="M88" i="14"/>
  <c r="N72" i="14"/>
  <c r="M75" i="14"/>
  <c r="N80" i="14"/>
  <c r="N88" i="14"/>
  <c r="M91" i="14"/>
  <c r="N75" i="14"/>
  <c r="M78" i="14"/>
  <c r="M86" i="14"/>
  <c r="N91" i="14"/>
  <c r="M73" i="14"/>
  <c r="N78" i="14"/>
  <c r="M81" i="14"/>
  <c r="N86" i="14"/>
  <c r="M89" i="14"/>
  <c r="N76" i="14"/>
  <c r="M87" i="14"/>
  <c r="M74" i="14"/>
  <c r="M82" i="14"/>
  <c r="N87" i="14"/>
  <c r="M90" i="14"/>
  <c r="N74" i="14"/>
  <c r="M77" i="14"/>
  <c r="N82" i="14"/>
  <c r="M85" i="14"/>
  <c r="I72" i="14"/>
  <c r="H75" i="14"/>
  <c r="I80" i="14"/>
  <c r="I88" i="14"/>
  <c r="H91" i="14"/>
  <c r="I75" i="14"/>
  <c r="H78" i="14"/>
  <c r="H86" i="14"/>
  <c r="I91" i="14"/>
  <c r="H73" i="14"/>
  <c r="I78" i="14"/>
  <c r="H81" i="14"/>
  <c r="I86" i="14"/>
  <c r="H89" i="14"/>
  <c r="H74" i="14"/>
  <c r="H82" i="14"/>
  <c r="I87" i="14"/>
  <c r="H90" i="14"/>
  <c r="I73" i="14"/>
  <c r="H76" i="14"/>
  <c r="I81" i="14"/>
  <c r="I89" i="14"/>
  <c r="I76" i="14"/>
  <c r="H87" i="14"/>
  <c r="I74" i="14"/>
  <c r="H77" i="14"/>
  <c r="I82" i="14"/>
  <c r="H85" i="14"/>
  <c r="I90" i="14"/>
  <c r="H72" i="14"/>
  <c r="I77" i="14"/>
  <c r="H80" i="14"/>
  <c r="I85" i="14"/>
  <c r="H88" i="14"/>
  <c r="N45" i="14"/>
  <c r="M48" i="14"/>
  <c r="M56" i="14"/>
  <c r="N61" i="14"/>
  <c r="M43" i="14"/>
  <c r="N48" i="14"/>
  <c r="M51" i="14"/>
  <c r="N56" i="14"/>
  <c r="M59" i="14"/>
  <c r="N46" i="14"/>
  <c r="M57" i="14"/>
  <c r="M44" i="14"/>
  <c r="M52" i="14"/>
  <c r="N57" i="14"/>
  <c r="M60" i="14"/>
  <c r="M46" i="14"/>
  <c r="N51" i="14"/>
  <c r="N44" i="14"/>
  <c r="M47" i="14"/>
  <c r="N52" i="14"/>
  <c r="M55" i="14"/>
  <c r="N60" i="14"/>
  <c r="N59" i="14"/>
  <c r="M42" i="14"/>
  <c r="N47" i="14"/>
  <c r="M50" i="14"/>
  <c r="N55" i="14"/>
  <c r="M58" i="14"/>
  <c r="N43" i="14"/>
  <c r="N42" i="14"/>
  <c r="M45" i="14"/>
  <c r="N50" i="14"/>
  <c r="N58" i="14"/>
  <c r="I42" i="14"/>
  <c r="I60" i="14"/>
  <c r="I61" i="14"/>
  <c r="I45" i="14"/>
  <c r="I51" i="14"/>
  <c r="I43" i="14"/>
  <c r="I46" i="14"/>
  <c r="I55" i="14"/>
  <c r="I59" i="14"/>
  <c r="I52" i="14"/>
  <c r="I44" i="14"/>
  <c r="I47" i="14"/>
  <c r="I56" i="14"/>
  <c r="I50" i="14"/>
  <c r="I48" i="14"/>
  <c r="I57" i="14"/>
  <c r="I58" i="14"/>
  <c r="H48" i="14"/>
  <c r="H42" i="14"/>
  <c r="H51" i="14"/>
  <c r="H59" i="14"/>
  <c r="H43" i="14"/>
  <c r="H52" i="14"/>
  <c r="H60" i="14"/>
  <c r="H57" i="14"/>
  <c r="H61" i="14"/>
  <c r="H45" i="14"/>
  <c r="H58" i="14"/>
  <c r="H46" i="14"/>
  <c r="H55" i="14"/>
  <c r="H44" i="14"/>
  <c r="H47" i="14"/>
  <c r="H56" i="14"/>
  <c r="C14" i="14" l="1"/>
  <c r="D14" i="14"/>
  <c r="F64" i="11" l="1"/>
  <c r="F63" i="11"/>
  <c r="F53" i="11" l="1"/>
  <c r="F54" i="11"/>
  <c r="F66" i="11"/>
  <c r="F65" i="11"/>
  <c r="F55" i="11"/>
  <c r="F52" i="11"/>
  <c r="F62" i="11"/>
  <c r="F56" i="11"/>
  <c r="E416" i="11" l="1"/>
  <c r="F416" i="11" s="1"/>
  <c r="E414" i="11"/>
  <c r="F414" i="11" s="1"/>
  <c r="E413" i="11"/>
  <c r="F413" i="11" s="1"/>
  <c r="E412" i="11"/>
  <c r="F412" i="11" s="1"/>
  <c r="E411" i="11"/>
  <c r="F411" i="11" s="1"/>
  <c r="E410" i="11"/>
  <c r="F410" i="11" s="1"/>
  <c r="E409" i="11"/>
  <c r="F409" i="11" s="1"/>
  <c r="E408" i="11"/>
  <c r="F408" i="11" s="1"/>
  <c r="E407" i="11"/>
  <c r="F407" i="11" s="1"/>
  <c r="E406" i="11"/>
  <c r="F406" i="11" s="1"/>
  <c r="E405" i="11"/>
  <c r="F405" i="11" s="1"/>
  <c r="E404" i="11"/>
  <c r="F404" i="11" s="1"/>
  <c r="E403" i="11"/>
  <c r="F403" i="11" s="1"/>
  <c r="E402" i="11"/>
  <c r="F402" i="11" s="1"/>
  <c r="E401" i="11"/>
  <c r="F401" i="11" s="1"/>
  <c r="E400" i="11"/>
  <c r="F400" i="11" s="1"/>
  <c r="E399" i="11"/>
  <c r="F399" i="11" s="1"/>
  <c r="E398" i="11"/>
  <c r="F398" i="11" s="1"/>
  <c r="E397" i="11"/>
  <c r="F397" i="11" s="1"/>
  <c r="E396" i="11"/>
  <c r="F396" i="11" s="1"/>
  <c r="E395" i="11"/>
  <c r="F395" i="11" s="1"/>
  <c r="E394" i="11"/>
  <c r="F394" i="11" s="1"/>
  <c r="E393" i="11"/>
  <c r="F393" i="11" s="1"/>
  <c r="E392" i="11"/>
  <c r="F392" i="11" s="1"/>
  <c r="E391" i="11"/>
  <c r="F391" i="11" s="1"/>
  <c r="E390" i="11"/>
  <c r="F390" i="11" s="1"/>
  <c r="E389" i="11"/>
  <c r="F389" i="11" s="1"/>
  <c r="E388" i="11"/>
  <c r="F388" i="11" s="1"/>
  <c r="E387" i="11"/>
  <c r="F387" i="11" s="1"/>
  <c r="C416" i="11"/>
  <c r="D416" i="11" s="1"/>
  <c r="C414" i="11"/>
  <c r="D414" i="11" s="1"/>
  <c r="C413" i="11"/>
  <c r="D413" i="11" s="1"/>
  <c r="C412" i="11"/>
  <c r="D412" i="11" s="1"/>
  <c r="C411" i="11"/>
  <c r="D411" i="11" s="1"/>
  <c r="C410" i="11"/>
  <c r="D410" i="11" s="1"/>
  <c r="C409" i="11"/>
  <c r="D409" i="11" s="1"/>
  <c r="C408" i="11"/>
  <c r="D408" i="11" s="1"/>
  <c r="C407" i="11"/>
  <c r="D407" i="11" s="1"/>
  <c r="C406" i="11"/>
  <c r="D406" i="11" s="1"/>
  <c r="C405" i="11"/>
  <c r="D405" i="11" s="1"/>
  <c r="C404" i="11"/>
  <c r="D404" i="11" s="1"/>
  <c r="C403" i="11"/>
  <c r="D403" i="11" s="1"/>
  <c r="C402" i="11"/>
  <c r="D402" i="11" s="1"/>
  <c r="C401" i="11"/>
  <c r="D401" i="11" s="1"/>
  <c r="C400" i="11"/>
  <c r="D400" i="11" s="1"/>
  <c r="C399" i="11"/>
  <c r="D399" i="11" s="1"/>
  <c r="C398" i="11"/>
  <c r="D398" i="11" s="1"/>
  <c r="C397" i="11"/>
  <c r="D397" i="11" s="1"/>
  <c r="C396" i="11"/>
  <c r="D396" i="11" s="1"/>
  <c r="C395" i="11"/>
  <c r="D395" i="11" s="1"/>
  <c r="C394" i="11"/>
  <c r="D394" i="11" s="1"/>
  <c r="C393" i="11"/>
  <c r="D393" i="11" s="1"/>
  <c r="C392" i="11"/>
  <c r="D392" i="11" s="1"/>
  <c r="C391" i="11"/>
  <c r="D391" i="11" s="1"/>
  <c r="C390" i="11"/>
  <c r="D390" i="11" s="1"/>
  <c r="C389" i="11"/>
  <c r="D389" i="11" s="1"/>
  <c r="C388" i="11"/>
  <c r="D388" i="11" s="1"/>
  <c r="C387" i="11"/>
  <c r="D387" i="11" s="1"/>
  <c r="F386" i="11"/>
  <c r="D386" i="11"/>
  <c r="G45" i="11"/>
  <c r="G44" i="11"/>
  <c r="G43" i="11"/>
  <c r="G42" i="11"/>
  <c r="G41" i="11"/>
  <c r="E45" i="11"/>
  <c r="E44" i="11"/>
  <c r="E43" i="11"/>
  <c r="E42" i="11"/>
  <c r="E41" i="11"/>
  <c r="E40" i="11"/>
  <c r="D33" i="11"/>
  <c r="E33" i="11" s="1"/>
  <c r="E32" i="11"/>
  <c r="C53" i="11" l="1"/>
  <c r="E53" i="11" s="1"/>
  <c r="C64" i="11"/>
  <c r="C54" i="11"/>
  <c r="C66" i="11"/>
  <c r="I66" i="11" s="1"/>
  <c r="C56" i="11"/>
  <c r="C65" i="11"/>
  <c r="C55" i="11"/>
  <c r="C62" i="11"/>
  <c r="C63" i="11"/>
  <c r="C52" i="11"/>
  <c r="G52" i="11" s="1"/>
  <c r="J71" i="14"/>
  <c r="E55" i="11" l="1"/>
  <c r="E56" i="11"/>
  <c r="I56" i="11"/>
  <c r="E54" i="11"/>
  <c r="I54" i="11"/>
  <c r="E52" i="11"/>
  <c r="I52" i="11"/>
  <c r="E62" i="11"/>
  <c r="I62" i="11"/>
  <c r="E65" i="11"/>
  <c r="E64" i="11"/>
  <c r="I64" i="11"/>
  <c r="E66" i="11"/>
  <c r="E63" i="11"/>
  <c r="G54" i="11"/>
  <c r="G63" i="11"/>
  <c r="G62" i="11"/>
  <c r="G55" i="11"/>
  <c r="G65" i="11"/>
  <c r="G56" i="11"/>
  <c r="G66" i="11"/>
  <c r="G64" i="11"/>
  <c r="G53" i="11"/>
  <c r="J79" i="14"/>
  <c r="J80" i="14"/>
  <c r="J74" i="14"/>
  <c r="J85" i="14"/>
  <c r="J72" i="14"/>
  <c r="J88" i="14"/>
  <c r="C5" i="11" l="1"/>
  <c r="F3" i="23" s="1"/>
  <c r="D5" i="11"/>
  <c r="F3" i="24" s="1"/>
  <c r="J76" i="14"/>
  <c r="J91" i="14"/>
  <c r="J77" i="14"/>
  <c r="J78" i="14"/>
  <c r="J89" i="14"/>
  <c r="J87" i="14"/>
  <c r="J75" i="14"/>
  <c r="J86" i="14"/>
  <c r="J73" i="14"/>
  <c r="J90" i="14"/>
  <c r="J82" i="14"/>
  <c r="J81" i="14"/>
  <c r="S267" i="15"/>
  <c r="AA267" i="15" s="1"/>
  <c r="D267" i="15"/>
  <c r="S266" i="15"/>
  <c r="D266" i="15"/>
  <c r="AI266" i="15" s="1"/>
  <c r="S265" i="15"/>
  <c r="V265" i="15" s="1"/>
  <c r="D265" i="15"/>
  <c r="AL265" i="15" s="1"/>
  <c r="S264" i="15"/>
  <c r="D264" i="15"/>
  <c r="AO264" i="15" s="1"/>
  <c r="S263" i="15"/>
  <c r="AG263" i="15" s="1"/>
  <c r="D263" i="15"/>
  <c r="AK263" i="15" s="1"/>
  <c r="S262" i="15"/>
  <c r="AA262" i="15" s="1"/>
  <c r="D262" i="15"/>
  <c r="AN262" i="15" s="1"/>
  <c r="S261" i="15"/>
  <c r="AF261" i="15" s="1"/>
  <c r="D261" i="15"/>
  <c r="R261" i="15" s="1"/>
  <c r="S260" i="15"/>
  <c r="AC260" i="15" s="1"/>
  <c r="D260" i="15"/>
  <c r="AO260" i="15" s="1"/>
  <c r="S259" i="15"/>
  <c r="AE259" i="15" s="1"/>
  <c r="D259" i="15"/>
  <c r="AI259" i="15" s="1"/>
  <c r="S258" i="15"/>
  <c r="AG258" i="15" s="1"/>
  <c r="D258" i="15"/>
  <c r="AU258" i="15" s="1"/>
  <c r="S257" i="15"/>
  <c r="AE257" i="15" s="1"/>
  <c r="D257" i="15"/>
  <c r="AS257" i="15" s="1"/>
  <c r="S256" i="15"/>
  <c r="D256" i="15"/>
  <c r="AR256" i="15" s="1"/>
  <c r="S255" i="15"/>
  <c r="X255" i="15" s="1"/>
  <c r="D255" i="15"/>
  <c r="AI255" i="15" s="1"/>
  <c r="S254" i="15"/>
  <c r="AA254" i="15" s="1"/>
  <c r="D254" i="15"/>
  <c r="E254" i="15" s="1"/>
  <c r="S253" i="15"/>
  <c r="D253" i="15"/>
  <c r="AK253" i="15" s="1"/>
  <c r="S252" i="15"/>
  <c r="AD252" i="15" s="1"/>
  <c r="D252" i="15"/>
  <c r="AR252" i="15" s="1"/>
  <c r="S251" i="15"/>
  <c r="AA251" i="15" s="1"/>
  <c r="D251" i="15"/>
  <c r="AK251" i="15" s="1"/>
  <c r="S250" i="15"/>
  <c r="AD250" i="15" s="1"/>
  <c r="D250" i="15"/>
  <c r="S249" i="15"/>
  <c r="AC249" i="15" s="1"/>
  <c r="D249" i="15"/>
  <c r="N249" i="15" s="1"/>
  <c r="S248" i="15"/>
  <c r="Z248" i="15" s="1"/>
  <c r="D248" i="15"/>
  <c r="AS248" i="15" s="1"/>
  <c r="S247" i="15"/>
  <c r="AA247" i="15" s="1"/>
  <c r="D247" i="15"/>
  <c r="M247" i="15" s="1"/>
  <c r="S246" i="15"/>
  <c r="AA246" i="15" s="1"/>
  <c r="D246" i="15"/>
  <c r="G246" i="15" s="1"/>
  <c r="S245" i="15"/>
  <c r="AD245" i="15" s="1"/>
  <c r="D245" i="15"/>
  <c r="S244" i="15"/>
  <c r="AA244" i="15" s="1"/>
  <c r="D244" i="15"/>
  <c r="Q244" i="15" s="1"/>
  <c r="S243" i="15"/>
  <c r="AB243" i="15" s="1"/>
  <c r="D243" i="15"/>
  <c r="N243" i="15" s="1"/>
  <c r="S242" i="15"/>
  <c r="AA242" i="15" s="1"/>
  <c r="D242" i="15"/>
  <c r="L242" i="15" s="1"/>
  <c r="S241" i="15"/>
  <c r="Z241" i="15" s="1"/>
  <c r="D241" i="15"/>
  <c r="L241" i="15" s="1"/>
  <c r="S240" i="15"/>
  <c r="AA240" i="15" s="1"/>
  <c r="D240" i="15"/>
  <c r="R240" i="15" s="1"/>
  <c r="S239" i="15"/>
  <c r="AA239" i="15" s="1"/>
  <c r="D239" i="15"/>
  <c r="L239" i="15" s="1"/>
  <c r="S238" i="15"/>
  <c r="Z238" i="15" s="1"/>
  <c r="D238" i="15"/>
  <c r="L238" i="15" s="1"/>
  <c r="S237" i="15"/>
  <c r="AD237" i="15" s="1"/>
  <c r="D237" i="15"/>
  <c r="L237" i="15" s="1"/>
  <c r="S236" i="15"/>
  <c r="AA236" i="15" s="1"/>
  <c r="D236" i="15"/>
  <c r="L236" i="15" s="1"/>
  <c r="S229" i="15"/>
  <c r="AA229" i="15" s="1"/>
  <c r="D229" i="15"/>
  <c r="L229" i="15" s="1"/>
  <c r="S228" i="15"/>
  <c r="AE228" i="15" s="1"/>
  <c r="D228" i="15"/>
  <c r="S227" i="15"/>
  <c r="AB227" i="15" s="1"/>
  <c r="D227" i="15"/>
  <c r="S226" i="15"/>
  <c r="AA226" i="15" s="1"/>
  <c r="D226" i="15"/>
  <c r="S225" i="15"/>
  <c r="AD225" i="15" s="1"/>
  <c r="D225" i="15"/>
  <c r="S224" i="15"/>
  <c r="AA224" i="15" s="1"/>
  <c r="D224" i="15"/>
  <c r="S223" i="15"/>
  <c r="AF223" i="15" s="1"/>
  <c r="D223" i="15"/>
  <c r="S222" i="15"/>
  <c r="AC222" i="15" s="1"/>
  <c r="D222" i="15"/>
  <c r="S221" i="15"/>
  <c r="AA221" i="15" s="1"/>
  <c r="D221" i="15"/>
  <c r="S220" i="15"/>
  <c r="AE220" i="15" s="1"/>
  <c r="D220" i="15"/>
  <c r="S219" i="15"/>
  <c r="AB219" i="15" s="1"/>
  <c r="D219" i="15"/>
  <c r="S218" i="15"/>
  <c r="D218" i="15"/>
  <c r="S217" i="15"/>
  <c r="AD217" i="15" s="1"/>
  <c r="D217" i="15"/>
  <c r="S216" i="15"/>
  <c r="AA216" i="15" s="1"/>
  <c r="D216" i="15"/>
  <c r="S215" i="15"/>
  <c r="Y215" i="15" s="1"/>
  <c r="D215" i="15"/>
  <c r="S214" i="15"/>
  <c r="W214" i="15" s="1"/>
  <c r="D214" i="15"/>
  <c r="S213" i="15"/>
  <c r="AA213" i="15" s="1"/>
  <c r="D213" i="15"/>
  <c r="S212" i="15"/>
  <c r="AG212" i="15" s="1"/>
  <c r="D212" i="15"/>
  <c r="S211" i="15"/>
  <c r="AA211" i="15" s="1"/>
  <c r="D211" i="15"/>
  <c r="S210" i="15"/>
  <c r="AE210" i="15" s="1"/>
  <c r="D210" i="15"/>
  <c r="S209" i="15"/>
  <c r="AD209" i="15" s="1"/>
  <c r="D209" i="15"/>
  <c r="S208" i="15"/>
  <c r="AA208" i="15" s="1"/>
  <c r="D208" i="15"/>
  <c r="F208" i="15" s="1"/>
  <c r="S207" i="15"/>
  <c r="AD207" i="15" s="1"/>
  <c r="D207" i="15"/>
  <c r="Q207" i="15" s="1"/>
  <c r="S206" i="15"/>
  <c r="AD206" i="15" s="1"/>
  <c r="D206" i="15"/>
  <c r="L206" i="15" s="1"/>
  <c r="S205" i="15"/>
  <c r="AF205" i="15" s="1"/>
  <c r="D205" i="15"/>
  <c r="N205" i="15" s="1"/>
  <c r="S204" i="15"/>
  <c r="U204" i="15" s="1"/>
  <c r="D204" i="15"/>
  <c r="O204" i="15" s="1"/>
  <c r="S203" i="15"/>
  <c r="AA203" i="15" s="1"/>
  <c r="D203" i="15"/>
  <c r="L203" i="15" s="1"/>
  <c r="S202" i="15"/>
  <c r="Y202" i="15" s="1"/>
  <c r="D202" i="15"/>
  <c r="L202" i="15" s="1"/>
  <c r="S201" i="15"/>
  <c r="AF201" i="15" s="1"/>
  <c r="D201" i="15"/>
  <c r="K201" i="15" s="1"/>
  <c r="S200" i="15"/>
  <c r="Z200" i="15" s="1"/>
  <c r="D200" i="15"/>
  <c r="L200" i="15" s="1"/>
  <c r="S199" i="15"/>
  <c r="D199" i="15"/>
  <c r="S198" i="15"/>
  <c r="AB198" i="15" s="1"/>
  <c r="D198" i="15"/>
  <c r="L198" i="15" s="1"/>
  <c r="S191" i="15"/>
  <c r="V191" i="15" s="1"/>
  <c r="D191" i="15"/>
  <c r="S190" i="15"/>
  <c r="AA190" i="15" s="1"/>
  <c r="D190" i="15"/>
  <c r="R190" i="15" s="1"/>
  <c r="S189" i="15"/>
  <c r="D189" i="15"/>
  <c r="N189" i="15" s="1"/>
  <c r="S188" i="15"/>
  <c r="D188" i="15"/>
  <c r="S187" i="15"/>
  <c r="AF187" i="15" s="1"/>
  <c r="D187" i="15"/>
  <c r="O187" i="15" s="1"/>
  <c r="S186" i="15"/>
  <c r="AC186" i="15" s="1"/>
  <c r="D186" i="15"/>
  <c r="S185" i="15"/>
  <c r="AF185" i="15" s="1"/>
  <c r="D185" i="15"/>
  <c r="S184" i="15"/>
  <c r="AE184" i="15" s="1"/>
  <c r="D184" i="15"/>
  <c r="S183" i="15"/>
  <c r="AA183" i="15" s="1"/>
  <c r="D183" i="15"/>
  <c r="S182" i="15"/>
  <c r="AA182" i="15" s="1"/>
  <c r="D182" i="15"/>
  <c r="S181" i="15"/>
  <c r="AB181" i="15" s="1"/>
  <c r="D181" i="15"/>
  <c r="S180" i="15"/>
  <c r="U180" i="15" s="1"/>
  <c r="D180" i="15"/>
  <c r="S179" i="15"/>
  <c r="D179" i="15"/>
  <c r="P179" i="15" s="1"/>
  <c r="S178" i="15"/>
  <c r="AA178" i="15" s="1"/>
  <c r="D178" i="15"/>
  <c r="AO178" i="15" s="1"/>
  <c r="S177" i="15"/>
  <c r="AD177" i="15" s="1"/>
  <c r="D177" i="15"/>
  <c r="S176" i="15"/>
  <c r="AA176" i="15" s="1"/>
  <c r="D176" i="15"/>
  <c r="S175" i="15"/>
  <c r="AA175" i="15" s="1"/>
  <c r="D175" i="15"/>
  <c r="S174" i="15"/>
  <c r="AC174" i="15" s="1"/>
  <c r="D174" i="15"/>
  <c r="S173" i="15"/>
  <c r="AC173" i="15" s="1"/>
  <c r="D173" i="15"/>
  <c r="S172" i="15"/>
  <c r="Z172" i="15" s="1"/>
  <c r="D172" i="15"/>
  <c r="Q172" i="15" s="1"/>
  <c r="S171" i="15"/>
  <c r="AD171" i="15" s="1"/>
  <c r="D171" i="15"/>
  <c r="N171" i="15" s="1"/>
  <c r="S170" i="15"/>
  <c r="D170" i="15"/>
  <c r="R170" i="15" s="1"/>
  <c r="S169" i="15"/>
  <c r="AC169" i="15" s="1"/>
  <c r="D169" i="15"/>
  <c r="N169" i="15" s="1"/>
  <c r="S168" i="15"/>
  <c r="Z168" i="15" s="1"/>
  <c r="D168" i="15"/>
  <c r="N168" i="15" s="1"/>
  <c r="S167" i="15"/>
  <c r="AE167" i="15" s="1"/>
  <c r="D167" i="15"/>
  <c r="Q167" i="15" s="1"/>
  <c r="S166" i="15"/>
  <c r="Y166" i="15" s="1"/>
  <c r="D166" i="15"/>
  <c r="S165" i="15"/>
  <c r="AB165" i="15" s="1"/>
  <c r="D165" i="15"/>
  <c r="M165" i="15" s="1"/>
  <c r="S164" i="15"/>
  <c r="Y164" i="15" s="1"/>
  <c r="D164" i="15"/>
  <c r="S163" i="15"/>
  <c r="W163" i="15" s="1"/>
  <c r="D163" i="15"/>
  <c r="N163" i="15" s="1"/>
  <c r="S162" i="15"/>
  <c r="D162" i="15"/>
  <c r="S161" i="15"/>
  <c r="AB161" i="15" s="1"/>
  <c r="D161" i="15"/>
  <c r="L161" i="15" s="1"/>
  <c r="S160" i="15"/>
  <c r="AA160" i="15" s="1"/>
  <c r="D160" i="15"/>
  <c r="K160" i="15" s="1"/>
  <c r="S115" i="15"/>
  <c r="AA115" i="15" s="1"/>
  <c r="D115" i="15"/>
  <c r="M115" i="15" s="1"/>
  <c r="S114" i="15"/>
  <c r="AE114" i="15" s="1"/>
  <c r="D114" i="15"/>
  <c r="S113" i="15"/>
  <c r="AB113" i="15" s="1"/>
  <c r="D113" i="15"/>
  <c r="L113" i="15" s="1"/>
  <c r="S112" i="15"/>
  <c r="AB112" i="15" s="1"/>
  <c r="D112" i="15"/>
  <c r="S111" i="15"/>
  <c r="AF111" i="15" s="1"/>
  <c r="D111" i="15"/>
  <c r="P111" i="15" s="1"/>
  <c r="S110" i="15"/>
  <c r="AA110" i="15" s="1"/>
  <c r="D110" i="15"/>
  <c r="N110" i="15" s="1"/>
  <c r="S109" i="15"/>
  <c r="AA109" i="15" s="1"/>
  <c r="D109" i="15"/>
  <c r="S108" i="15"/>
  <c r="AC108" i="15" s="1"/>
  <c r="D108" i="15"/>
  <c r="O108" i="15" s="1"/>
  <c r="S107" i="15"/>
  <c r="AA107" i="15" s="1"/>
  <c r="D107" i="15"/>
  <c r="AU107" i="15" s="1"/>
  <c r="S106" i="15"/>
  <c r="AE106" i="15" s="1"/>
  <c r="D106" i="15"/>
  <c r="R106" i="15" s="1"/>
  <c r="S105" i="15"/>
  <c r="AB105" i="15" s="1"/>
  <c r="D105" i="15"/>
  <c r="J105" i="15" s="1"/>
  <c r="S104" i="15"/>
  <c r="AB104" i="15" s="1"/>
  <c r="D104" i="15"/>
  <c r="S103" i="15"/>
  <c r="AD103" i="15" s="1"/>
  <c r="D103" i="15"/>
  <c r="P103" i="15" s="1"/>
  <c r="S102" i="15"/>
  <c r="AA102" i="15" s="1"/>
  <c r="D102" i="15"/>
  <c r="S101" i="15"/>
  <c r="Z101" i="15" s="1"/>
  <c r="D101" i="15"/>
  <c r="R101" i="15" s="1"/>
  <c r="S100" i="15"/>
  <c r="AE100" i="15" s="1"/>
  <c r="D100" i="15"/>
  <c r="Q100" i="15" s="1"/>
  <c r="S99" i="15"/>
  <c r="AA99" i="15" s="1"/>
  <c r="D99" i="15"/>
  <c r="S98" i="15"/>
  <c r="AF98" i="15" s="1"/>
  <c r="D98" i="15"/>
  <c r="S97" i="15"/>
  <c r="AC97" i="15" s="1"/>
  <c r="D97" i="15"/>
  <c r="Q97" i="15" s="1"/>
  <c r="S96" i="15"/>
  <c r="AA96" i="15" s="1"/>
  <c r="D96" i="15"/>
  <c r="S95" i="15"/>
  <c r="AE95" i="15" s="1"/>
  <c r="D95" i="15"/>
  <c r="S94" i="15"/>
  <c r="AB94" i="15" s="1"/>
  <c r="D94" i="15"/>
  <c r="L94" i="15" s="1"/>
  <c r="S93" i="15"/>
  <c r="D93" i="15"/>
  <c r="Q93" i="15" s="1"/>
  <c r="S92" i="15"/>
  <c r="AC92" i="15" s="1"/>
  <c r="D92" i="15"/>
  <c r="Q92" i="15" s="1"/>
  <c r="S91" i="15"/>
  <c r="AA91" i="15" s="1"/>
  <c r="D91" i="15"/>
  <c r="Q91" i="15" s="1"/>
  <c r="S90" i="15"/>
  <c r="D90" i="15"/>
  <c r="S89" i="15"/>
  <c r="AF89" i="15" s="1"/>
  <c r="D89" i="15"/>
  <c r="M89" i="15" s="1"/>
  <c r="S88" i="15"/>
  <c r="D88" i="15"/>
  <c r="S87" i="15"/>
  <c r="AC87" i="15" s="1"/>
  <c r="D87" i="15"/>
  <c r="N87" i="15" s="1"/>
  <c r="S86" i="15"/>
  <c r="AA86" i="15" s="1"/>
  <c r="D86" i="15"/>
  <c r="S85" i="15"/>
  <c r="AA85" i="15" s="1"/>
  <c r="D85" i="15"/>
  <c r="L85" i="15" s="1"/>
  <c r="S84" i="15"/>
  <c r="AA84" i="15" s="1"/>
  <c r="D84" i="15"/>
  <c r="L84" i="15" s="1"/>
  <c r="S77" i="15"/>
  <c r="S76" i="15"/>
  <c r="AF76" i="15" s="1"/>
  <c r="S75" i="15"/>
  <c r="AE75" i="15" s="1"/>
  <c r="S74" i="15"/>
  <c r="AD74" i="15" s="1"/>
  <c r="S73" i="15"/>
  <c r="AC73" i="15" s="1"/>
  <c r="S72" i="15"/>
  <c r="AB72" i="15" s="1"/>
  <c r="S71" i="15"/>
  <c r="AF71" i="15" s="1"/>
  <c r="S70" i="15"/>
  <c r="Z70" i="15" s="1"/>
  <c r="S69" i="15"/>
  <c r="AG69" i="15" s="1"/>
  <c r="S68" i="15"/>
  <c r="AF68" i="15" s="1"/>
  <c r="S67" i="15"/>
  <c r="AE67" i="15" s="1"/>
  <c r="S66" i="15"/>
  <c r="AD66" i="15" s="1"/>
  <c r="S65" i="15"/>
  <c r="AC65" i="15" s="1"/>
  <c r="S64" i="15"/>
  <c r="AB64" i="15" s="1"/>
  <c r="S63" i="15"/>
  <c r="AA63" i="15" s="1"/>
  <c r="S62" i="15"/>
  <c r="Z62" i="15" s="1"/>
  <c r="S61" i="15"/>
  <c r="AG61" i="15" s="1"/>
  <c r="S60" i="15"/>
  <c r="AF60" i="15" s="1"/>
  <c r="S59" i="15"/>
  <c r="AE59" i="15" s="1"/>
  <c r="S58" i="15"/>
  <c r="AD58" i="15" s="1"/>
  <c r="S57" i="15"/>
  <c r="S56" i="15"/>
  <c r="S55" i="15"/>
  <c r="AA55" i="15" s="1"/>
  <c r="S54" i="15"/>
  <c r="Z54" i="15" s="1"/>
  <c r="S53" i="15"/>
  <c r="AG53" i="15" s="1"/>
  <c r="S52" i="15"/>
  <c r="S51" i="15"/>
  <c r="AC51" i="15" s="1"/>
  <c r="S50" i="15"/>
  <c r="S49" i="15"/>
  <c r="AC49" i="15" s="1"/>
  <c r="S48" i="15"/>
  <c r="AB48" i="15" s="1"/>
  <c r="S47" i="15"/>
  <c r="AB47" i="15" s="1"/>
  <c r="S46" i="15"/>
  <c r="AG46" i="15" s="1"/>
  <c r="D77" i="15"/>
  <c r="D76" i="15"/>
  <c r="D75" i="15"/>
  <c r="D74" i="15"/>
  <c r="D73" i="15"/>
  <c r="D72" i="15"/>
  <c r="D71" i="15"/>
  <c r="D70" i="15"/>
  <c r="D69" i="15"/>
  <c r="D68" i="15"/>
  <c r="D67" i="15"/>
  <c r="D66" i="15"/>
  <c r="D65" i="15"/>
  <c r="D64" i="15"/>
  <c r="D63" i="15"/>
  <c r="D62" i="15"/>
  <c r="D61" i="15"/>
  <c r="D60" i="15"/>
  <c r="Q60" i="15" s="1"/>
  <c r="D59" i="15"/>
  <c r="P59" i="15" s="1"/>
  <c r="D58" i="15"/>
  <c r="O58" i="15" s="1"/>
  <c r="D57" i="15"/>
  <c r="N57" i="15" s="1"/>
  <c r="D56" i="15"/>
  <c r="M56" i="15" s="1"/>
  <c r="D55" i="15"/>
  <c r="L55" i="15" s="1"/>
  <c r="D54" i="15"/>
  <c r="K54" i="15" s="1"/>
  <c r="D53" i="15"/>
  <c r="R53" i="15" s="1"/>
  <c r="D52" i="15"/>
  <c r="D51" i="15"/>
  <c r="P51" i="15" s="1"/>
  <c r="D50" i="15"/>
  <c r="D49" i="15"/>
  <c r="N49" i="15" s="1"/>
  <c r="D48" i="15"/>
  <c r="M48" i="15" s="1"/>
  <c r="D47" i="15"/>
  <c r="L47" i="15" s="1"/>
  <c r="D46" i="15"/>
  <c r="K46" i="15" s="1"/>
  <c r="I35" i="14"/>
  <c r="D139" i="15" l="1"/>
  <c r="G163" i="15"/>
  <c r="R209" i="15"/>
  <c r="AH209" i="15"/>
  <c r="N217" i="15"/>
  <c r="AH217" i="15"/>
  <c r="O225" i="15"/>
  <c r="AS225" i="15"/>
  <c r="AH225" i="15"/>
  <c r="O212" i="15"/>
  <c r="AH212" i="15"/>
  <c r="O220" i="15"/>
  <c r="AH220" i="15"/>
  <c r="O228" i="15"/>
  <c r="AH228" i="15"/>
  <c r="M215" i="15"/>
  <c r="AH215" i="15"/>
  <c r="P223" i="15"/>
  <c r="AH223" i="15"/>
  <c r="O210" i="15"/>
  <c r="AH210" i="15"/>
  <c r="Q218" i="15"/>
  <c r="AH218" i="15"/>
  <c r="Q226" i="15"/>
  <c r="AH226" i="15"/>
  <c r="F213" i="15"/>
  <c r="AH213" i="15"/>
  <c r="L221" i="15"/>
  <c r="AP221" i="15"/>
  <c r="AH221" i="15"/>
  <c r="M216" i="15"/>
  <c r="AR216" i="15"/>
  <c r="AJ216" i="15"/>
  <c r="AQ216" i="15"/>
  <c r="AP216" i="15"/>
  <c r="AH216" i="15"/>
  <c r="AO216" i="15"/>
  <c r="AV216" i="15"/>
  <c r="AN216" i="15"/>
  <c r="AU216" i="15"/>
  <c r="AM216" i="15"/>
  <c r="AT216" i="15"/>
  <c r="AL216" i="15"/>
  <c r="AI216" i="15"/>
  <c r="AS216" i="15"/>
  <c r="AK216" i="15"/>
  <c r="L224" i="15"/>
  <c r="AP224" i="15"/>
  <c r="AH224" i="15"/>
  <c r="L211" i="15"/>
  <c r="AP211" i="15"/>
  <c r="AH211" i="15"/>
  <c r="L219" i="15"/>
  <c r="AH219" i="15"/>
  <c r="L227" i="15"/>
  <c r="AH227" i="15"/>
  <c r="M214" i="15"/>
  <c r="AH214" i="15"/>
  <c r="M222" i="15"/>
  <c r="AH222" i="15"/>
  <c r="D147" i="15"/>
  <c r="Q147" i="15" s="1"/>
  <c r="D142" i="15"/>
  <c r="Q142" i="15" s="1"/>
  <c r="I24" i="14"/>
  <c r="S147" i="15"/>
  <c r="X147" i="15" s="1"/>
  <c r="D143" i="15"/>
  <c r="F189" i="15"/>
  <c r="S150" i="15"/>
  <c r="W150" i="15" s="1"/>
  <c r="Y178" i="15"/>
  <c r="P49" i="15"/>
  <c r="K228" i="15"/>
  <c r="D32" i="15"/>
  <c r="R32" i="15" s="1"/>
  <c r="S131" i="15"/>
  <c r="V205" i="15"/>
  <c r="S137" i="15"/>
  <c r="V161" i="15"/>
  <c r="M110" i="15"/>
  <c r="E180" i="15"/>
  <c r="J247" i="15"/>
  <c r="M85" i="15"/>
  <c r="Q87" i="15"/>
  <c r="H163" i="15"/>
  <c r="K204" i="15"/>
  <c r="G238" i="15"/>
  <c r="D25" i="15"/>
  <c r="I113" i="15"/>
  <c r="D152" i="15"/>
  <c r="J152" i="15" s="1"/>
  <c r="O238" i="15"/>
  <c r="H87" i="15"/>
  <c r="D153" i="15"/>
  <c r="E189" i="15"/>
  <c r="Q238" i="15"/>
  <c r="D140" i="15"/>
  <c r="AU140" i="15" s="1"/>
  <c r="Q189" i="15"/>
  <c r="E262" i="15"/>
  <c r="Z167" i="15"/>
  <c r="T177" i="15"/>
  <c r="S141" i="15"/>
  <c r="AD141" i="15" s="1"/>
  <c r="AA204" i="15"/>
  <c r="T166" i="15"/>
  <c r="AD173" i="15"/>
  <c r="S139" i="15"/>
  <c r="V100" i="15"/>
  <c r="AF166" i="15"/>
  <c r="W178" i="15"/>
  <c r="AC204" i="15"/>
  <c r="Z187" i="15"/>
  <c r="AD59" i="15"/>
  <c r="S128" i="15"/>
  <c r="AB205" i="15"/>
  <c r="J60" i="15"/>
  <c r="I90" i="15"/>
  <c r="G179" i="15"/>
  <c r="F181" i="15"/>
  <c r="R198" i="15"/>
  <c r="R238" i="15"/>
  <c r="K243" i="15"/>
  <c r="H49" i="15"/>
  <c r="K60" i="15"/>
  <c r="E85" i="15"/>
  <c r="G87" i="15"/>
  <c r="AM107" i="15"/>
  <c r="G181" i="15"/>
  <c r="E178" i="15"/>
  <c r="R181" i="15"/>
  <c r="R49" i="15"/>
  <c r="I87" i="15"/>
  <c r="E161" i="15"/>
  <c r="R215" i="15"/>
  <c r="M236" i="15"/>
  <c r="E238" i="15"/>
  <c r="N256" i="15"/>
  <c r="P266" i="15"/>
  <c r="R236" i="15"/>
  <c r="R87" i="15"/>
  <c r="G202" i="15"/>
  <c r="H238" i="15"/>
  <c r="F249" i="15"/>
  <c r="F90" i="15"/>
  <c r="R206" i="15"/>
  <c r="D23" i="15"/>
  <c r="K75" i="15"/>
  <c r="H72" i="15"/>
  <c r="E94" i="15"/>
  <c r="E95" i="15"/>
  <c r="P113" i="15"/>
  <c r="F161" i="15"/>
  <c r="F174" i="15"/>
  <c r="I202" i="15"/>
  <c r="E211" i="15"/>
  <c r="Q220" i="15"/>
  <c r="F222" i="15"/>
  <c r="J226" i="15"/>
  <c r="F260" i="15"/>
  <c r="H262" i="15"/>
  <c r="AH57" i="15"/>
  <c r="M47" i="15"/>
  <c r="H55" i="15"/>
  <c r="F63" i="15"/>
  <c r="J67" i="15"/>
  <c r="O72" i="15"/>
  <c r="K76" i="15"/>
  <c r="E84" i="15"/>
  <c r="J87" i="15"/>
  <c r="F94" i="15"/>
  <c r="J95" i="15"/>
  <c r="F97" i="15"/>
  <c r="F98" i="15"/>
  <c r="F102" i="15"/>
  <c r="I109" i="15"/>
  <c r="AM109" i="15" s="1"/>
  <c r="R113" i="15"/>
  <c r="M161" i="15"/>
  <c r="P174" i="15"/>
  <c r="H181" i="15"/>
  <c r="F184" i="15"/>
  <c r="P187" i="15"/>
  <c r="I198" i="15"/>
  <c r="I211" i="15"/>
  <c r="P222" i="15"/>
  <c r="I238" i="15"/>
  <c r="M242" i="15"/>
  <c r="G255" i="15"/>
  <c r="F256" i="15"/>
  <c r="P262" i="15"/>
  <c r="G57" i="15"/>
  <c r="I63" i="15"/>
  <c r="K67" i="15"/>
  <c r="M84" i="15"/>
  <c r="M87" i="15"/>
  <c r="G94" i="15"/>
  <c r="Q95" i="15"/>
  <c r="AU95" i="15" s="1"/>
  <c r="G97" i="15"/>
  <c r="J102" i="15"/>
  <c r="J109" i="15"/>
  <c r="AN109" i="15" s="1"/>
  <c r="I181" i="15"/>
  <c r="H184" i="15"/>
  <c r="J211" i="15"/>
  <c r="I255" i="15"/>
  <c r="L256" i="15"/>
  <c r="D37" i="15"/>
  <c r="J48" i="15"/>
  <c r="J52" i="15"/>
  <c r="G56" i="15"/>
  <c r="K63" i="15"/>
  <c r="J73" i="15"/>
  <c r="N94" i="15"/>
  <c r="K97" i="15"/>
  <c r="R109" i="15"/>
  <c r="AQ113" i="15"/>
  <c r="Q165" i="15"/>
  <c r="H169" i="15"/>
  <c r="J181" i="15"/>
  <c r="I184" i="15"/>
  <c r="Q216" i="15"/>
  <c r="J255" i="15"/>
  <c r="H57" i="15"/>
  <c r="O57" i="15"/>
  <c r="K52" i="15"/>
  <c r="Q56" i="15"/>
  <c r="N63" i="15"/>
  <c r="AH69" i="15"/>
  <c r="O94" i="15"/>
  <c r="N97" i="15"/>
  <c r="K111" i="15"/>
  <c r="AO111" i="15" s="1"/>
  <c r="E113" i="15"/>
  <c r="J169" i="15"/>
  <c r="N181" i="15"/>
  <c r="K184" i="15"/>
  <c r="G186" i="15"/>
  <c r="AT178" i="15"/>
  <c r="E203" i="15"/>
  <c r="G210" i="15"/>
  <c r="K255" i="15"/>
  <c r="AJ256" i="15"/>
  <c r="Q74" i="15"/>
  <c r="O97" i="15"/>
  <c r="L99" i="15"/>
  <c r="I101" i="15"/>
  <c r="G108" i="15"/>
  <c r="O111" i="15"/>
  <c r="AS111" i="15" s="1"/>
  <c r="G113" i="15"/>
  <c r="Q114" i="15"/>
  <c r="AU114" i="15" s="1"/>
  <c r="M169" i="15"/>
  <c r="P181" i="15"/>
  <c r="R184" i="15"/>
  <c r="O186" i="15"/>
  <c r="J203" i="15"/>
  <c r="I206" i="15"/>
  <c r="J223" i="15"/>
  <c r="J243" i="15"/>
  <c r="R255" i="15"/>
  <c r="O263" i="15"/>
  <c r="AR260" i="15"/>
  <c r="H113" i="15"/>
  <c r="D150" i="15"/>
  <c r="O169" i="15"/>
  <c r="H179" i="15"/>
  <c r="E181" i="15"/>
  <c r="Q181" i="15"/>
  <c r="K188" i="15"/>
  <c r="Q203" i="15"/>
  <c r="Q206" i="15"/>
  <c r="Q223" i="15"/>
  <c r="AU223" i="15" s="1"/>
  <c r="AM264" i="15"/>
  <c r="S145" i="15"/>
  <c r="AA145" i="15" s="1"/>
  <c r="Y102" i="15"/>
  <c r="S136" i="15"/>
  <c r="Z136" i="15" s="1"/>
  <c r="AF184" i="15"/>
  <c r="AA205" i="15"/>
  <c r="V206" i="15"/>
  <c r="T236" i="15"/>
  <c r="AD243" i="15"/>
  <c r="Z102" i="15"/>
  <c r="W113" i="15"/>
  <c r="AE206" i="15"/>
  <c r="Z113" i="15"/>
  <c r="S132" i="15"/>
  <c r="T254" i="15"/>
  <c r="AF67" i="15"/>
  <c r="AB84" i="15"/>
  <c r="AG113" i="15"/>
  <c r="W167" i="15"/>
  <c r="AF178" i="15"/>
  <c r="T213" i="15"/>
  <c r="Z217" i="15"/>
  <c r="X225" i="15"/>
  <c r="V252" i="15"/>
  <c r="W254" i="15"/>
  <c r="AB213" i="15"/>
  <c r="Y223" i="15"/>
  <c r="Z225" i="15"/>
  <c r="Z254" i="15"/>
  <c r="Y100" i="15"/>
  <c r="V166" i="15"/>
  <c r="T175" i="15"/>
  <c r="T200" i="15"/>
  <c r="AB244" i="15"/>
  <c r="AF254" i="15"/>
  <c r="AA100" i="15"/>
  <c r="S129" i="15"/>
  <c r="AE166" i="15"/>
  <c r="V198" i="15"/>
  <c r="T205" i="15"/>
  <c r="Z204" i="15"/>
  <c r="X205" i="15"/>
  <c r="X244" i="15"/>
  <c r="AB261" i="15"/>
  <c r="AD102" i="15"/>
  <c r="AG111" i="15"/>
  <c r="AA165" i="15"/>
  <c r="S142" i="15"/>
  <c r="AF142" i="15" s="1"/>
  <c r="Y244" i="15"/>
  <c r="AG68" i="15"/>
  <c r="Z74" i="15"/>
  <c r="W97" i="15"/>
  <c r="AE102" i="15"/>
  <c r="AD165" i="15"/>
  <c r="X172" i="15"/>
  <c r="U265" i="15"/>
  <c r="T58" i="15"/>
  <c r="X74" i="15"/>
  <c r="W58" i="15"/>
  <c r="AE97" i="15"/>
  <c r="T102" i="15"/>
  <c r="AG102" i="15"/>
  <c r="AF165" i="15"/>
  <c r="T168" i="15"/>
  <c r="AB175" i="15"/>
  <c r="V177" i="15"/>
  <c r="W181" i="15"/>
  <c r="S151" i="15"/>
  <c r="T202" i="15"/>
  <c r="AG203" i="15"/>
  <c r="AC205" i="15"/>
  <c r="Y206" i="15"/>
  <c r="W208" i="15"/>
  <c r="V213" i="15"/>
  <c r="W227" i="15"/>
  <c r="AG244" i="15"/>
  <c r="AF250" i="15"/>
  <c r="Y260" i="15"/>
  <c r="Y263" i="15"/>
  <c r="X265" i="15"/>
  <c r="AF66" i="15"/>
  <c r="S23" i="15"/>
  <c r="AD49" i="15"/>
  <c r="Y55" i="15"/>
  <c r="AE58" i="15"/>
  <c r="W174" i="15"/>
  <c r="Y177" i="15"/>
  <c r="AG208" i="15"/>
  <c r="Z265" i="15"/>
  <c r="AG106" i="15"/>
  <c r="W111" i="15"/>
  <c r="W61" i="15"/>
  <c r="AG66" i="15"/>
  <c r="T84" i="15"/>
  <c r="AB168" i="15"/>
  <c r="Z227" i="15"/>
  <c r="S31" i="15"/>
  <c r="AD55" i="15"/>
  <c r="U64" i="15"/>
  <c r="U67" i="15"/>
  <c r="AB71" i="15"/>
  <c r="U84" i="15"/>
  <c r="T85" i="15"/>
  <c r="X89" i="15"/>
  <c r="AC95" i="15"/>
  <c r="W102" i="15"/>
  <c r="X114" i="15"/>
  <c r="AD168" i="15"/>
  <c r="U169" i="15"/>
  <c r="Y174" i="15"/>
  <c r="Z212" i="15"/>
  <c r="AD213" i="15"/>
  <c r="Z215" i="15"/>
  <c r="W219" i="15"/>
  <c r="AC227" i="15"/>
  <c r="AE265" i="15"/>
  <c r="U48" i="15"/>
  <c r="Y66" i="15"/>
  <c r="U55" i="15"/>
  <c r="X58" i="15"/>
  <c r="X75" i="15"/>
  <c r="U102" i="15"/>
  <c r="Z181" i="15"/>
  <c r="AA202" i="15"/>
  <c r="AC64" i="15"/>
  <c r="V67" i="15"/>
  <c r="Z84" i="15"/>
  <c r="U85" i="15"/>
  <c r="AG95" i="15"/>
  <c r="X102" i="15"/>
  <c r="Y114" i="15"/>
  <c r="S130" i="15"/>
  <c r="W169" i="15"/>
  <c r="AB174" i="15"/>
  <c r="AA212" i="15"/>
  <c r="AA215" i="15"/>
  <c r="Z219" i="15"/>
  <c r="AE169" i="15"/>
  <c r="AC219" i="15"/>
  <c r="W244" i="15"/>
  <c r="AG257" i="15"/>
  <c r="U261" i="15"/>
  <c r="AE171" i="15"/>
  <c r="AF252" i="15"/>
  <c r="Z262" i="15"/>
  <c r="AD262" i="15"/>
  <c r="S30" i="15"/>
  <c r="U58" i="15"/>
  <c r="U59" i="15"/>
  <c r="X61" i="15"/>
  <c r="Z64" i="15"/>
  <c r="Z66" i="15"/>
  <c r="Y68" i="15"/>
  <c r="W74" i="15"/>
  <c r="AD75" i="15"/>
  <c r="AC84" i="15"/>
  <c r="AB85" i="15"/>
  <c r="AD89" i="15"/>
  <c r="AD97" i="15"/>
  <c r="AA101" i="15"/>
  <c r="V102" i="15"/>
  <c r="AF102" i="15"/>
  <c r="Z106" i="15"/>
  <c r="AC113" i="15"/>
  <c r="S146" i="15"/>
  <c r="AG146" i="15" s="1"/>
  <c r="S152" i="15"/>
  <c r="AD166" i="15"/>
  <c r="AC168" i="15"/>
  <c r="AF171" i="15"/>
  <c r="V173" i="15"/>
  <c r="X174" i="15"/>
  <c r="U177" i="15"/>
  <c r="V178" i="15"/>
  <c r="AG181" i="15"/>
  <c r="Z202" i="15"/>
  <c r="X203" i="15"/>
  <c r="Y212" i="15"/>
  <c r="U213" i="15"/>
  <c r="AJ213" i="15" s="1"/>
  <c r="X219" i="15"/>
  <c r="W225" i="15"/>
  <c r="X227" i="15"/>
  <c r="T229" i="15"/>
  <c r="Z243" i="15"/>
  <c r="X245" i="15"/>
  <c r="T252" i="15"/>
  <c r="AG252" i="15"/>
  <c r="V254" i="15"/>
  <c r="AG254" i="15"/>
  <c r="W260" i="15"/>
  <c r="Z261" i="15"/>
  <c r="AC262" i="15"/>
  <c r="X263" i="15"/>
  <c r="AD265" i="15"/>
  <c r="Z72" i="15"/>
  <c r="W241" i="15"/>
  <c r="W242" i="15"/>
  <c r="U247" i="15"/>
  <c r="W252" i="15"/>
  <c r="X254" i="15"/>
  <c r="Z260" i="15"/>
  <c r="AC261" i="15"/>
  <c r="T262" i="15"/>
  <c r="AF262" i="15"/>
  <c r="Z263" i="15"/>
  <c r="AG265" i="15"/>
  <c r="T267" i="15"/>
  <c r="V94" i="15"/>
  <c r="Z108" i="15"/>
  <c r="S140" i="15"/>
  <c r="W140" i="15" s="1"/>
  <c r="AE209" i="15"/>
  <c r="AB216" i="15"/>
  <c r="X228" i="15"/>
  <c r="X237" i="15"/>
  <c r="S39" i="15"/>
  <c r="Y58" i="15"/>
  <c r="W60" i="15"/>
  <c r="V63" i="15"/>
  <c r="V65" i="15"/>
  <c r="X69" i="15"/>
  <c r="AC72" i="15"/>
  <c r="AB74" i="15"/>
  <c r="AD76" i="15"/>
  <c r="T99" i="15"/>
  <c r="V105" i="15"/>
  <c r="AE108" i="15"/>
  <c r="T115" i="15"/>
  <c r="S133" i="15"/>
  <c r="S149" i="15"/>
  <c r="U149" i="15" s="1"/>
  <c r="U171" i="15"/>
  <c r="AG176" i="15"/>
  <c r="AG177" i="15"/>
  <c r="AE178" i="15"/>
  <c r="V189" i="15"/>
  <c r="AA206" i="15"/>
  <c r="AC212" i="15"/>
  <c r="AC213" i="15"/>
  <c r="AE219" i="15"/>
  <c r="V222" i="15"/>
  <c r="AE225" i="15"/>
  <c r="AE227" i="15"/>
  <c r="AF228" i="15"/>
  <c r="AC237" i="15"/>
  <c r="AE239" i="15"/>
  <c r="AA241" i="15"/>
  <c r="AD247" i="15"/>
  <c r="X249" i="15"/>
  <c r="X252" i="15"/>
  <c r="Y254" i="15"/>
  <c r="U257" i="15"/>
  <c r="AE260" i="15"/>
  <c r="AG261" i="15"/>
  <c r="U262" i="15"/>
  <c r="AG262" i="15"/>
  <c r="AE263" i="15"/>
  <c r="AB267" i="15"/>
  <c r="V76" i="15"/>
  <c r="AE60" i="15"/>
  <c r="Z69" i="15"/>
  <c r="AF219" i="15"/>
  <c r="AF225" i="15"/>
  <c r="AF227" i="15"/>
  <c r="AG228" i="15"/>
  <c r="AE237" i="15"/>
  <c r="AC241" i="15"/>
  <c r="Y252" i="15"/>
  <c r="W262" i="15"/>
  <c r="AF263" i="15"/>
  <c r="Z63" i="15"/>
  <c r="AG74" i="15"/>
  <c r="Y99" i="15"/>
  <c r="W171" i="15"/>
  <c r="AD189" i="15"/>
  <c r="W47" i="15"/>
  <c r="W53" i="15"/>
  <c r="AF58" i="15"/>
  <c r="AG60" i="15"/>
  <c r="AE63" i="15"/>
  <c r="U66" i="15"/>
  <c r="V73" i="15"/>
  <c r="W77" i="15"/>
  <c r="AD99" i="15"/>
  <c r="AC102" i="15"/>
  <c r="AB107" i="15"/>
  <c r="AE111" i="15"/>
  <c r="X113" i="15"/>
  <c r="W161" i="15"/>
  <c r="V168" i="15"/>
  <c r="X171" i="15"/>
  <c r="X181" i="15"/>
  <c r="AG185" i="15"/>
  <c r="AF189" i="15"/>
  <c r="AD198" i="15"/>
  <c r="Y200" i="15"/>
  <c r="U205" i="15"/>
  <c r="AG206" i="15"/>
  <c r="X208" i="15"/>
  <c r="U219" i="15"/>
  <c r="AG219" i="15"/>
  <c r="U227" i="15"/>
  <c r="AG227" i="15"/>
  <c r="AF237" i="15"/>
  <c r="AD241" i="15"/>
  <c r="U246" i="15"/>
  <c r="AA252" i="15"/>
  <c r="AC254" i="15"/>
  <c r="X262" i="15"/>
  <c r="S38" i="15"/>
  <c r="AG38" i="15" s="1"/>
  <c r="V52" i="15"/>
  <c r="AG105" i="15"/>
  <c r="S22" i="15"/>
  <c r="Y22" i="15" s="1"/>
  <c r="X50" i="15"/>
  <c r="AF53" i="15"/>
  <c r="AG58" i="15"/>
  <c r="W66" i="15"/>
  <c r="AD73" i="15"/>
  <c r="V75" i="15"/>
  <c r="AB96" i="15"/>
  <c r="Y98" i="15"/>
  <c r="Y113" i="15"/>
  <c r="S127" i="15"/>
  <c r="S138" i="15"/>
  <c r="S143" i="15"/>
  <c r="Y168" i="15"/>
  <c r="AC171" i="15"/>
  <c r="Y181" i="15"/>
  <c r="V219" i="15"/>
  <c r="V227" i="15"/>
  <c r="AE252" i="15"/>
  <c r="AE254" i="15"/>
  <c r="Y262" i="15"/>
  <c r="F48" i="15"/>
  <c r="K53" i="15"/>
  <c r="J64" i="15"/>
  <c r="K71" i="15"/>
  <c r="K199" i="15"/>
  <c r="Q265" i="15"/>
  <c r="D21" i="15"/>
  <c r="J56" i="15"/>
  <c r="P63" i="15"/>
  <c r="P64" i="15"/>
  <c r="Q71" i="15"/>
  <c r="G85" i="15"/>
  <c r="K90" i="15"/>
  <c r="R93" i="15"/>
  <c r="H95" i="15"/>
  <c r="P106" i="15"/>
  <c r="N113" i="15"/>
  <c r="D131" i="15"/>
  <c r="L131" i="15" s="1"/>
  <c r="D144" i="15"/>
  <c r="I161" i="15"/>
  <c r="I174" i="15"/>
  <c r="J179" i="15"/>
  <c r="H189" i="15"/>
  <c r="P201" i="15"/>
  <c r="G203" i="15"/>
  <c r="K212" i="15"/>
  <c r="AO212" i="15" s="1"/>
  <c r="H217" i="15"/>
  <c r="I222" i="15"/>
  <c r="K238" i="15"/>
  <c r="N241" i="15"/>
  <c r="R243" i="15"/>
  <c r="O247" i="15"/>
  <c r="P248" i="15"/>
  <c r="I251" i="15"/>
  <c r="F254" i="15"/>
  <c r="Q257" i="15"/>
  <c r="P260" i="15"/>
  <c r="AN258" i="15"/>
  <c r="J201" i="15"/>
  <c r="E47" i="15"/>
  <c r="H48" i="15"/>
  <c r="D35" i="15"/>
  <c r="F47" i="15"/>
  <c r="I48" i="15"/>
  <c r="G49" i="15"/>
  <c r="G55" i="15"/>
  <c r="K56" i="15"/>
  <c r="R58" i="15"/>
  <c r="E63" i="15"/>
  <c r="R63" i="15"/>
  <c r="R64" i="15"/>
  <c r="K74" i="15"/>
  <c r="H85" i="15"/>
  <c r="I95" i="15"/>
  <c r="AM95" i="15" s="1"/>
  <c r="O113" i="15"/>
  <c r="AI113" i="15"/>
  <c r="J161" i="15"/>
  <c r="F165" i="15"/>
  <c r="E169" i="15"/>
  <c r="N174" i="15"/>
  <c r="R179" i="15"/>
  <c r="O181" i="15"/>
  <c r="N184" i="15"/>
  <c r="R188" i="15"/>
  <c r="P189" i="15"/>
  <c r="Q201" i="15"/>
  <c r="I203" i="15"/>
  <c r="H206" i="15"/>
  <c r="J217" i="15"/>
  <c r="J222" i="15"/>
  <c r="N238" i="15"/>
  <c r="R247" i="15"/>
  <c r="K251" i="15"/>
  <c r="N254" i="15"/>
  <c r="F259" i="15"/>
  <c r="R260" i="15"/>
  <c r="K266" i="15"/>
  <c r="N251" i="15"/>
  <c r="O254" i="15"/>
  <c r="AS251" i="15"/>
  <c r="K48" i="15"/>
  <c r="I49" i="15"/>
  <c r="P55" i="15"/>
  <c r="G63" i="15"/>
  <c r="AK63" i="15" s="1"/>
  <c r="F64" i="15"/>
  <c r="F71" i="15"/>
  <c r="K72" i="15"/>
  <c r="AO72" i="15" s="1"/>
  <c r="AH64" i="15"/>
  <c r="E88" i="15"/>
  <c r="P92" i="15"/>
  <c r="K95" i="15"/>
  <c r="I97" i="15"/>
  <c r="G100" i="15"/>
  <c r="M102" i="15"/>
  <c r="H103" i="15"/>
  <c r="R108" i="15"/>
  <c r="Q109" i="15"/>
  <c r="F113" i="15"/>
  <c r="Q113" i="15"/>
  <c r="D123" i="15"/>
  <c r="D141" i="15"/>
  <c r="D146" i="15"/>
  <c r="J162" i="15"/>
  <c r="I169" i="15"/>
  <c r="M172" i="15"/>
  <c r="Q174" i="15"/>
  <c r="E199" i="15"/>
  <c r="G201" i="15"/>
  <c r="M203" i="15"/>
  <c r="F205" i="15"/>
  <c r="K206" i="15"/>
  <c r="O211" i="15"/>
  <c r="R217" i="15"/>
  <c r="E219" i="15"/>
  <c r="H220" i="15"/>
  <c r="Q222" i="15"/>
  <c r="F238" i="15"/>
  <c r="P238" i="15"/>
  <c r="E247" i="15"/>
  <c r="Q251" i="15"/>
  <c r="P254" i="15"/>
  <c r="H255" i="15"/>
  <c r="E257" i="15"/>
  <c r="E265" i="15"/>
  <c r="Q266" i="15"/>
  <c r="AO252" i="15"/>
  <c r="AI262" i="15"/>
  <c r="P217" i="15"/>
  <c r="D30" i="15"/>
  <c r="K49" i="15"/>
  <c r="Q55" i="15"/>
  <c r="H64" i="15"/>
  <c r="G71" i="15"/>
  <c r="M95" i="15"/>
  <c r="AQ95" i="15" s="1"/>
  <c r="H100" i="15"/>
  <c r="AL100" i="15" s="1"/>
  <c r="D137" i="15"/>
  <c r="M162" i="15"/>
  <c r="N172" i="15"/>
  <c r="H199" i="15"/>
  <c r="H201" i="15"/>
  <c r="O203" i="15"/>
  <c r="H205" i="15"/>
  <c r="H219" i="15"/>
  <c r="AL219" i="15" s="1"/>
  <c r="I220" i="15"/>
  <c r="H247" i="15"/>
  <c r="Q254" i="15"/>
  <c r="H257" i="15"/>
  <c r="M262" i="15"/>
  <c r="H263" i="15"/>
  <c r="M265" i="15"/>
  <c r="AV262" i="15"/>
  <c r="D33" i="15"/>
  <c r="I64" i="15"/>
  <c r="I71" i="15"/>
  <c r="P95" i="15"/>
  <c r="I199" i="15"/>
  <c r="I201" i="15"/>
  <c r="P203" i="15"/>
  <c r="L205" i="15"/>
  <c r="M219" i="15"/>
  <c r="AQ219" i="15" s="1"/>
  <c r="K220" i="15"/>
  <c r="I247" i="15"/>
  <c r="J257" i="15"/>
  <c r="O262" i="15"/>
  <c r="I263" i="15"/>
  <c r="N265" i="15"/>
  <c r="AO255" i="15"/>
  <c r="AQ263" i="15"/>
  <c r="M205" i="15"/>
  <c r="R219" i="15"/>
  <c r="AV219" i="15" s="1"/>
  <c r="K257" i="15"/>
  <c r="D38" i="15"/>
  <c r="Q38" i="15" s="1"/>
  <c r="G48" i="15"/>
  <c r="I56" i="15"/>
  <c r="R57" i="15"/>
  <c r="O63" i="15"/>
  <c r="N64" i="15"/>
  <c r="AR64" i="15" s="1"/>
  <c r="P71" i="15"/>
  <c r="K73" i="15"/>
  <c r="F85" i="15"/>
  <c r="O89" i="15"/>
  <c r="J90" i="15"/>
  <c r="K93" i="15"/>
  <c r="J94" i="15"/>
  <c r="G95" i="15"/>
  <c r="R95" i="15"/>
  <c r="R98" i="15"/>
  <c r="J106" i="15"/>
  <c r="J113" i="15"/>
  <c r="D148" i="15"/>
  <c r="J148" i="15" s="1"/>
  <c r="G161" i="15"/>
  <c r="Q169" i="15"/>
  <c r="H174" i="15"/>
  <c r="I179" i="15"/>
  <c r="J184" i="15"/>
  <c r="G189" i="15"/>
  <c r="AL174" i="15"/>
  <c r="M199" i="15"/>
  <c r="L201" i="15"/>
  <c r="K202" i="15"/>
  <c r="F203" i="15"/>
  <c r="J209" i="15"/>
  <c r="J212" i="15"/>
  <c r="AN212" i="15" s="1"/>
  <c r="G217" i="15"/>
  <c r="G222" i="15"/>
  <c r="AK222" i="15" s="1"/>
  <c r="J238" i="15"/>
  <c r="L243" i="15"/>
  <c r="I244" i="15"/>
  <c r="H248" i="15"/>
  <c r="F251" i="15"/>
  <c r="O252" i="15"/>
  <c r="P255" i="15"/>
  <c r="N257" i="15"/>
  <c r="H260" i="15"/>
  <c r="L250" i="15"/>
  <c r="AT250" i="15"/>
  <c r="AL250" i="15"/>
  <c r="AR250" i="15"/>
  <c r="AJ250" i="15"/>
  <c r="AP250" i="15"/>
  <c r="AH250" i="15"/>
  <c r="AV250" i="15"/>
  <c r="AI250" i="15"/>
  <c r="AU250" i="15"/>
  <c r="K250" i="15"/>
  <c r="AS250" i="15"/>
  <c r="AQ250" i="15"/>
  <c r="R250" i="15"/>
  <c r="I250" i="15"/>
  <c r="AO250" i="15"/>
  <c r="AN250" i="15"/>
  <c r="AM250" i="15"/>
  <c r="U236" i="15"/>
  <c r="E237" i="15"/>
  <c r="P237" i="15"/>
  <c r="E239" i="15"/>
  <c r="W240" i="15"/>
  <c r="AE241" i="15"/>
  <c r="E242" i="15"/>
  <c r="N242" i="15"/>
  <c r="X242" i="15"/>
  <c r="AC244" i="15"/>
  <c r="Y245" i="15"/>
  <c r="W246" i="15"/>
  <c r="L247" i="15"/>
  <c r="AV247" i="15"/>
  <c r="AN247" i="15"/>
  <c r="AT247" i="15"/>
  <c r="AL247" i="15"/>
  <c r="AR247" i="15"/>
  <c r="AJ247" i="15"/>
  <c r="AI247" i="15"/>
  <c r="AU247" i="15"/>
  <c r="AH247" i="15"/>
  <c r="AS247" i="15"/>
  <c r="AQ247" i="15"/>
  <c r="AP247" i="15"/>
  <c r="AO247" i="15"/>
  <c r="AM247" i="15"/>
  <c r="N247" i="15"/>
  <c r="V247" i="15"/>
  <c r="AE247" i="15"/>
  <c r="I248" i="15"/>
  <c r="U248" i="15"/>
  <c r="H249" i="15"/>
  <c r="E250" i="15"/>
  <c r="P250" i="15"/>
  <c r="K254" i="15"/>
  <c r="AT254" i="15"/>
  <c r="AL254" i="15"/>
  <c r="AR254" i="15"/>
  <c r="AJ254" i="15"/>
  <c r="AP254" i="15"/>
  <c r="AH254" i="15"/>
  <c r="AQ254" i="15"/>
  <c r="AO254" i="15"/>
  <c r="J254" i="15"/>
  <c r="AN254" i="15"/>
  <c r="AM254" i="15"/>
  <c r="H254" i="15"/>
  <c r="AK254" i="15"/>
  <c r="R254" i="15"/>
  <c r="G254" i="15"/>
  <c r="AV254" i="15"/>
  <c r="AI254" i="15"/>
  <c r="AU254" i="15"/>
  <c r="W257" i="15"/>
  <c r="AV259" i="15"/>
  <c r="AN259" i="15"/>
  <c r="AT259" i="15"/>
  <c r="AL259" i="15"/>
  <c r="AR259" i="15"/>
  <c r="AJ259" i="15"/>
  <c r="AU259" i="15"/>
  <c r="AH259" i="15"/>
  <c r="AS259" i="15"/>
  <c r="AQ259" i="15"/>
  <c r="AP259" i="15"/>
  <c r="AO259" i="15"/>
  <c r="AM259" i="15"/>
  <c r="AK259" i="15"/>
  <c r="O259" i="15"/>
  <c r="Q261" i="15"/>
  <c r="AR261" i="15"/>
  <c r="AJ261" i="15"/>
  <c r="AP261" i="15"/>
  <c r="AH261" i="15"/>
  <c r="AV261" i="15"/>
  <c r="AN261" i="15"/>
  <c r="AL261" i="15"/>
  <c r="AK261" i="15"/>
  <c r="AU261" i="15"/>
  <c r="AI261" i="15"/>
  <c r="AT261" i="15"/>
  <c r="AS261" i="15"/>
  <c r="AQ261" i="15"/>
  <c r="AO261" i="15"/>
  <c r="J261" i="15"/>
  <c r="AK250" i="15"/>
  <c r="Z236" i="15"/>
  <c r="F237" i="15"/>
  <c r="F239" i="15"/>
  <c r="AF240" i="15"/>
  <c r="T241" i="15"/>
  <c r="AF241" i="15"/>
  <c r="F242" i="15"/>
  <c r="O242" i="15"/>
  <c r="Y242" i="15"/>
  <c r="T243" i="15"/>
  <c r="T244" i="15"/>
  <c r="AD244" i="15"/>
  <c r="Z245" i="15"/>
  <c r="Z246" i="15"/>
  <c r="W247" i="15"/>
  <c r="AF247" i="15"/>
  <c r="J248" i="15"/>
  <c r="X248" i="15"/>
  <c r="K249" i="15"/>
  <c r="F250" i="15"/>
  <c r="Q250" i="15"/>
  <c r="L253" i="15"/>
  <c r="AR253" i="15"/>
  <c r="AJ253" i="15"/>
  <c r="AP253" i="15"/>
  <c r="AH253" i="15"/>
  <c r="AV253" i="15"/>
  <c r="AN253" i="15"/>
  <c r="AU253" i="15"/>
  <c r="AI253" i="15"/>
  <c r="AT253" i="15"/>
  <c r="AS253" i="15"/>
  <c r="AQ253" i="15"/>
  <c r="AO253" i="15"/>
  <c r="AM253" i="15"/>
  <c r="AL253" i="15"/>
  <c r="Z257" i="15"/>
  <c r="AK247" i="15"/>
  <c r="E236" i="15"/>
  <c r="AB236" i="15"/>
  <c r="G237" i="15"/>
  <c r="U237" i="15"/>
  <c r="K239" i="15"/>
  <c r="U241" i="15"/>
  <c r="G242" i="15"/>
  <c r="P242" i="15"/>
  <c r="AD242" i="15"/>
  <c r="E243" i="15"/>
  <c r="V243" i="15"/>
  <c r="U244" i="15"/>
  <c r="AE244" i="15"/>
  <c r="AB245" i="15"/>
  <c r="AB246" i="15"/>
  <c r="F247" i="15"/>
  <c r="P247" i="15"/>
  <c r="X247" i="15"/>
  <c r="AG247" i="15"/>
  <c r="K248" i="15"/>
  <c r="G250" i="15"/>
  <c r="AE250" i="15"/>
  <c r="V250" i="15"/>
  <c r="F253" i="15"/>
  <c r="AE255" i="15"/>
  <c r="AF255" i="15"/>
  <c r="Z255" i="15"/>
  <c r="AC256" i="15"/>
  <c r="Z256" i="15"/>
  <c r="T256" i="15"/>
  <c r="AD257" i="15"/>
  <c r="AA259" i="15"/>
  <c r="AB259" i="15"/>
  <c r="W259" i="15"/>
  <c r="V259" i="15"/>
  <c r="T259" i="15"/>
  <c r="AS254" i="15"/>
  <c r="AM261" i="15"/>
  <c r="AG248" i="15"/>
  <c r="AF248" i="15"/>
  <c r="O250" i="15"/>
  <c r="J236" i="15"/>
  <c r="AC236" i="15"/>
  <c r="H237" i="15"/>
  <c r="W237" i="15"/>
  <c r="M238" i="15"/>
  <c r="M239" i="15"/>
  <c r="V241" i="15"/>
  <c r="H242" i="15"/>
  <c r="Q242" i="15"/>
  <c r="AF242" i="15"/>
  <c r="I243" i="15"/>
  <c r="Y243" i="15"/>
  <c r="V244" i="15"/>
  <c r="AF244" i="15"/>
  <c r="AE245" i="15"/>
  <c r="AC246" i="15"/>
  <c r="G247" i="15"/>
  <c r="Q247" i="15"/>
  <c r="Y247" i="15"/>
  <c r="M248" i="15"/>
  <c r="AC248" i="15"/>
  <c r="H250" i="15"/>
  <c r="X250" i="15"/>
  <c r="O253" i="15"/>
  <c r="I254" i="15"/>
  <c r="W255" i="15"/>
  <c r="AB256" i="15"/>
  <c r="AD259" i="15"/>
  <c r="O237" i="15"/>
  <c r="K237" i="15"/>
  <c r="N239" i="15"/>
  <c r="I242" i="15"/>
  <c r="R242" i="15"/>
  <c r="AG242" i="15"/>
  <c r="AF245" i="15"/>
  <c r="AE246" i="15"/>
  <c r="Z247" i="15"/>
  <c r="J250" i="15"/>
  <c r="AA253" i="15"/>
  <c r="Y253" i="15"/>
  <c r="V253" i="15"/>
  <c r="M237" i="15"/>
  <c r="J242" i="15"/>
  <c r="T245" i="15"/>
  <c r="AG245" i="15"/>
  <c r="AB247" i="15"/>
  <c r="O248" i="15"/>
  <c r="AP248" i="15"/>
  <c r="AH248" i="15"/>
  <c r="AV248" i="15"/>
  <c r="AN248" i="15"/>
  <c r="AT248" i="15"/>
  <c r="AL248" i="15"/>
  <c r="AR248" i="15"/>
  <c r="AQ248" i="15"/>
  <c r="AO248" i="15"/>
  <c r="AM248" i="15"/>
  <c r="AK248" i="15"/>
  <c r="AJ248" i="15"/>
  <c r="AU248" i="15"/>
  <c r="AI248" i="15"/>
  <c r="Q248" i="15"/>
  <c r="L249" i="15"/>
  <c r="AR249" i="15"/>
  <c r="AJ249" i="15"/>
  <c r="AP249" i="15"/>
  <c r="AH249" i="15"/>
  <c r="AV249" i="15"/>
  <c r="AN249" i="15"/>
  <c r="AM249" i="15"/>
  <c r="AL249" i="15"/>
  <c r="P249" i="15"/>
  <c r="AK249" i="15"/>
  <c r="AU249" i="15"/>
  <c r="AI249" i="15"/>
  <c r="M249" i="15"/>
  <c r="AT249" i="15"/>
  <c r="AS249" i="15"/>
  <c r="AQ249" i="15"/>
  <c r="M250" i="15"/>
  <c r="AE253" i="15"/>
  <c r="Y258" i="15"/>
  <c r="N237" i="15"/>
  <c r="V239" i="15"/>
  <c r="E241" i="15"/>
  <c r="K242" i="15"/>
  <c r="V242" i="15"/>
  <c r="W245" i="15"/>
  <c r="T246" i="15"/>
  <c r="T247" i="15"/>
  <c r="AC247" i="15"/>
  <c r="E248" i="15"/>
  <c r="R248" i="15"/>
  <c r="E249" i="15"/>
  <c r="N250" i="15"/>
  <c r="AB257" i="15"/>
  <c r="AC257" i="15"/>
  <c r="Y257" i="15"/>
  <c r="X257" i="15"/>
  <c r="AF257" i="15"/>
  <c r="V257" i="15"/>
  <c r="AO249" i="15"/>
  <c r="L257" i="15"/>
  <c r="AR257" i="15"/>
  <c r="AJ257" i="15"/>
  <c r="AP257" i="15"/>
  <c r="AH257" i="15"/>
  <c r="AV257" i="15"/>
  <c r="AN257" i="15"/>
  <c r="M257" i="15"/>
  <c r="G260" i="15"/>
  <c r="Q260" i="15"/>
  <c r="AD260" i="15"/>
  <c r="J263" i="15"/>
  <c r="L265" i="15"/>
  <c r="AS265" i="15"/>
  <c r="AK265" i="15"/>
  <c r="AR265" i="15"/>
  <c r="AJ265" i="15"/>
  <c r="AQ265" i="15"/>
  <c r="AP265" i="15"/>
  <c r="AH265" i="15"/>
  <c r="R265" i="15"/>
  <c r="I265" i="15"/>
  <c r="AV265" i="15"/>
  <c r="AN265" i="15"/>
  <c r="P265" i="15"/>
  <c r="G265" i="15"/>
  <c r="O265" i="15"/>
  <c r="AH251" i="15"/>
  <c r="AU251" i="15"/>
  <c r="AQ252" i="15"/>
  <c r="AP255" i="15"/>
  <c r="AK256" i="15"/>
  <c r="AT257" i="15"/>
  <c r="AO258" i="15"/>
  <c r="AS260" i="15"/>
  <c r="AK262" i="15"/>
  <c r="AS263" i="15"/>
  <c r="AM265" i="15"/>
  <c r="Q264" i="15"/>
  <c r="AP264" i="15"/>
  <c r="AH264" i="15"/>
  <c r="AV264" i="15"/>
  <c r="AN264" i="15"/>
  <c r="AT264" i="15"/>
  <c r="AL264" i="15"/>
  <c r="R264" i="15"/>
  <c r="AE266" i="15"/>
  <c r="X266" i="15"/>
  <c r="AI251" i="15"/>
  <c r="AQ255" i="15"/>
  <c r="AM256" i="15"/>
  <c r="AI257" i="15"/>
  <c r="AU257" i="15"/>
  <c r="AQ258" i="15"/>
  <c r="AI260" i="15"/>
  <c r="AU260" i="15"/>
  <c r="AM262" i="15"/>
  <c r="AH263" i="15"/>
  <c r="AU263" i="15"/>
  <c r="AQ264" i="15"/>
  <c r="AO265" i="15"/>
  <c r="M252" i="15"/>
  <c r="AP252" i="15"/>
  <c r="AH252" i="15"/>
  <c r="AV252" i="15"/>
  <c r="AN252" i="15"/>
  <c r="AT252" i="15"/>
  <c r="AL252" i="15"/>
  <c r="F257" i="15"/>
  <c r="O257" i="15"/>
  <c r="I260" i="15"/>
  <c r="AF260" i="15"/>
  <c r="AB262" i="15"/>
  <c r="P263" i="15"/>
  <c r="J264" i="15"/>
  <c r="F265" i="15"/>
  <c r="AB265" i="15"/>
  <c r="AC265" i="15"/>
  <c r="Y265" i="15"/>
  <c r="AF265" i="15"/>
  <c r="Y266" i="15"/>
  <c r="AS252" i="15"/>
  <c r="AS255" i="15"/>
  <c r="AO256" i="15"/>
  <c r="AK257" i="15"/>
  <c r="AS258" i="15"/>
  <c r="AJ260" i="15"/>
  <c r="AI263" i="15"/>
  <c r="AR264" i="15"/>
  <c r="AT265" i="15"/>
  <c r="R251" i="15"/>
  <c r="AV251" i="15"/>
  <c r="AN251" i="15"/>
  <c r="AT251" i="15"/>
  <c r="AL251" i="15"/>
  <c r="AR251" i="15"/>
  <c r="AJ251" i="15"/>
  <c r="F252" i="15"/>
  <c r="Z252" i="15"/>
  <c r="AB254" i="15"/>
  <c r="O255" i="15"/>
  <c r="G257" i="15"/>
  <c r="P257" i="15"/>
  <c r="J260" i="15"/>
  <c r="V260" i="15"/>
  <c r="AG260" i="15"/>
  <c r="T261" i="15"/>
  <c r="L262" i="15"/>
  <c r="AT262" i="15"/>
  <c r="AL262" i="15"/>
  <c r="AR262" i="15"/>
  <c r="AJ262" i="15"/>
  <c r="AP262" i="15"/>
  <c r="AH262" i="15"/>
  <c r="Q263" i="15"/>
  <c r="K264" i="15"/>
  <c r="H265" i="15"/>
  <c r="O266" i="15"/>
  <c r="AU266" i="15"/>
  <c r="AM266" i="15"/>
  <c r="AT266" i="15"/>
  <c r="AL266" i="15"/>
  <c r="AS266" i="15"/>
  <c r="AK266" i="15"/>
  <c r="AR266" i="15"/>
  <c r="AJ266" i="15"/>
  <c r="H266" i="15"/>
  <c r="AP266" i="15"/>
  <c r="AH266" i="15"/>
  <c r="R266" i="15"/>
  <c r="Z266" i="15"/>
  <c r="AM251" i="15"/>
  <c r="AI252" i="15"/>
  <c r="AU252" i="15"/>
  <c r="AH255" i="15"/>
  <c r="AU255" i="15"/>
  <c r="AQ256" i="15"/>
  <c r="AL257" i="15"/>
  <c r="AK260" i="15"/>
  <c r="AO262" i="15"/>
  <c r="AS264" i="15"/>
  <c r="AU265" i="15"/>
  <c r="AN266" i="15"/>
  <c r="AT258" i="15"/>
  <c r="AL258" i="15"/>
  <c r="AR258" i="15"/>
  <c r="AJ258" i="15"/>
  <c r="AP258" i="15"/>
  <c r="AH258" i="15"/>
  <c r="K260" i="15"/>
  <c r="N263" i="15"/>
  <c r="AV263" i="15"/>
  <c r="AN263" i="15"/>
  <c r="AT263" i="15"/>
  <c r="AL263" i="15"/>
  <c r="AR263" i="15"/>
  <c r="AJ263" i="15"/>
  <c r="R263" i="15"/>
  <c r="J265" i="15"/>
  <c r="I266" i="15"/>
  <c r="AF266" i="15"/>
  <c r="AO251" i="15"/>
  <c r="AJ252" i="15"/>
  <c r="AM257" i="15"/>
  <c r="AI258" i="15"/>
  <c r="AV258" i="15"/>
  <c r="AM260" i="15"/>
  <c r="AQ262" i="15"/>
  <c r="AM263" i="15"/>
  <c r="AI264" i="15"/>
  <c r="AU264" i="15"/>
  <c r="AO266" i="15"/>
  <c r="U254" i="15"/>
  <c r="AD254" i="15"/>
  <c r="N255" i="15"/>
  <c r="AV255" i="15"/>
  <c r="AN255" i="15"/>
  <c r="AT255" i="15"/>
  <c r="AL255" i="15"/>
  <c r="AR255" i="15"/>
  <c r="AJ255" i="15"/>
  <c r="Q255" i="15"/>
  <c r="AP256" i="15"/>
  <c r="AH256" i="15"/>
  <c r="AV256" i="15"/>
  <c r="AN256" i="15"/>
  <c r="AT256" i="15"/>
  <c r="AL256" i="15"/>
  <c r="I257" i="15"/>
  <c r="R257" i="15"/>
  <c r="K258" i="15"/>
  <c r="N260" i="15"/>
  <c r="X260" i="15"/>
  <c r="Y261" i="15"/>
  <c r="G262" i="15"/>
  <c r="V262" i="15"/>
  <c r="AE262" i="15"/>
  <c r="G263" i="15"/>
  <c r="AD263" i="15"/>
  <c r="W263" i="15"/>
  <c r="K265" i="15"/>
  <c r="W265" i="15"/>
  <c r="J266" i="15"/>
  <c r="AG266" i="15"/>
  <c r="AP251" i="15"/>
  <c r="AK252" i="15"/>
  <c r="AK255" i="15"/>
  <c r="AS256" i="15"/>
  <c r="AO257" i="15"/>
  <c r="AK258" i="15"/>
  <c r="AS262" i="15"/>
  <c r="AO263" i="15"/>
  <c r="AJ264" i="15"/>
  <c r="AQ266" i="15"/>
  <c r="M260" i="15"/>
  <c r="AP260" i="15"/>
  <c r="AH260" i="15"/>
  <c r="AV260" i="15"/>
  <c r="AN260" i="15"/>
  <c r="AT260" i="15"/>
  <c r="AL260" i="15"/>
  <c r="O260" i="15"/>
  <c r="AQ251" i="15"/>
  <c r="AM252" i="15"/>
  <c r="AM255" i="15"/>
  <c r="AI256" i="15"/>
  <c r="AU256" i="15"/>
  <c r="AQ257" i="15"/>
  <c r="AM258" i="15"/>
  <c r="AQ260" i="15"/>
  <c r="AU262" i="15"/>
  <c r="AP263" i="15"/>
  <c r="AK264" i="15"/>
  <c r="AI265" i="15"/>
  <c r="AV266" i="15"/>
  <c r="D151" i="15"/>
  <c r="J198" i="15"/>
  <c r="AE198" i="15"/>
  <c r="G200" i="15"/>
  <c r="Y203" i="15"/>
  <c r="M204" i="15"/>
  <c r="AF209" i="15"/>
  <c r="W210" i="15"/>
  <c r="T211" i="15"/>
  <c r="AC211" i="15"/>
  <c r="E214" i="15"/>
  <c r="O214" i="15"/>
  <c r="AC216" i="15"/>
  <c r="I219" i="15"/>
  <c r="AM219" i="15" s="1"/>
  <c r="AD219" i="15"/>
  <c r="X220" i="15"/>
  <c r="K222" i="15"/>
  <c r="W222" i="15"/>
  <c r="Z223" i="15"/>
  <c r="T224" i="15"/>
  <c r="AD224" i="15"/>
  <c r="H225" i="15"/>
  <c r="AL225" i="15" s="1"/>
  <c r="K226" i="15"/>
  <c r="E227" i="15"/>
  <c r="N227" i="15"/>
  <c r="AR227" i="15" s="1"/>
  <c r="P228" i="15"/>
  <c r="AT228" i="15" s="1"/>
  <c r="AB229" i="15"/>
  <c r="AB211" i="15"/>
  <c r="N214" i="15"/>
  <c r="K198" i="15"/>
  <c r="U198" i="15"/>
  <c r="AF198" i="15"/>
  <c r="H200" i="15"/>
  <c r="AA200" i="15"/>
  <c r="R201" i="15"/>
  <c r="J202" i="15"/>
  <c r="H203" i="15"/>
  <c r="R203" i="15"/>
  <c r="Z203" i="15"/>
  <c r="P204" i="15"/>
  <c r="AF204" i="15"/>
  <c r="K205" i="15"/>
  <c r="J206" i="15"/>
  <c r="Y208" i="15"/>
  <c r="T209" i="15"/>
  <c r="AG209" i="15"/>
  <c r="AV209" i="15" s="1"/>
  <c r="M211" i="15"/>
  <c r="AQ211" i="15" s="1"/>
  <c r="U211" i="15"/>
  <c r="AD211" i="15"/>
  <c r="M212" i="15"/>
  <c r="AF213" i="15"/>
  <c r="F214" i="15"/>
  <c r="P214" i="15"/>
  <c r="F215" i="15"/>
  <c r="AB215" i="15"/>
  <c r="AQ215" i="15" s="1"/>
  <c r="T216" i="15"/>
  <c r="AD216" i="15"/>
  <c r="W217" i="15"/>
  <c r="J219" i="15"/>
  <c r="Y220" i="15"/>
  <c r="N222" i="15"/>
  <c r="AR222" i="15" s="1"/>
  <c r="AD222" i="15"/>
  <c r="AG223" i="15"/>
  <c r="U224" i="15"/>
  <c r="AE224" i="15"/>
  <c r="P225" i="15"/>
  <c r="AT225" i="15" s="1"/>
  <c r="R226" i="15"/>
  <c r="F227" i="15"/>
  <c r="AJ227" i="15" s="1"/>
  <c r="O227" i="15"/>
  <c r="Q228" i="15"/>
  <c r="AU228" i="15" s="1"/>
  <c r="D149" i="15"/>
  <c r="M198" i="15"/>
  <c r="I200" i="15"/>
  <c r="AB203" i="15"/>
  <c r="Q204" i="15"/>
  <c r="AB208" i="15"/>
  <c r="W209" i="15"/>
  <c r="N211" i="15"/>
  <c r="AR211" i="15" s="1"/>
  <c r="V211" i="15"/>
  <c r="AE211" i="15"/>
  <c r="P212" i="15"/>
  <c r="G214" i="15"/>
  <c r="Q214" i="15"/>
  <c r="J215" i="15"/>
  <c r="AN215" i="15" s="1"/>
  <c r="AD215" i="15"/>
  <c r="U216" i="15"/>
  <c r="AE216" i="15"/>
  <c r="X217" i="15"/>
  <c r="AF220" i="15"/>
  <c r="O222" i="15"/>
  <c r="AS222" i="15" s="1"/>
  <c r="AE222" i="15"/>
  <c r="I223" i="15"/>
  <c r="V224" i="15"/>
  <c r="AG224" i="15"/>
  <c r="G227" i="15"/>
  <c r="AK227" i="15" s="1"/>
  <c r="P227" i="15"/>
  <c r="AT227" i="15" s="1"/>
  <c r="Y227" i="15"/>
  <c r="R228" i="15"/>
  <c r="AV228" i="15" s="1"/>
  <c r="AC224" i="15"/>
  <c r="M227" i="15"/>
  <c r="AQ227" i="15" s="1"/>
  <c r="E198" i="15"/>
  <c r="N198" i="15"/>
  <c r="W198" i="15"/>
  <c r="K200" i="15"/>
  <c r="T203" i="15"/>
  <c r="AC203" i="15"/>
  <c r="E204" i="15"/>
  <c r="R204" i="15"/>
  <c r="M206" i="15"/>
  <c r="J207" i="15"/>
  <c r="AC208" i="15"/>
  <c r="X209" i="15"/>
  <c r="W211" i="15"/>
  <c r="AF211" i="15"/>
  <c r="Q212" i="15"/>
  <c r="H214" i="15"/>
  <c r="AL214" i="15" s="1"/>
  <c r="R214" i="15"/>
  <c r="V216" i="15"/>
  <c r="AF216" i="15"/>
  <c r="N219" i="15"/>
  <c r="AR219" i="15" s="1"/>
  <c r="AG220" i="15"/>
  <c r="T221" i="15"/>
  <c r="W224" i="15"/>
  <c r="H227" i="15"/>
  <c r="AL227" i="15" s="1"/>
  <c r="Q227" i="15"/>
  <c r="AU227" i="15" s="1"/>
  <c r="S134" i="15"/>
  <c r="F198" i="15"/>
  <c r="O198" i="15"/>
  <c r="X198" i="15"/>
  <c r="U203" i="15"/>
  <c r="AD203" i="15"/>
  <c r="H204" i="15"/>
  <c r="E206" i="15"/>
  <c r="N206" i="15"/>
  <c r="T208" i="15"/>
  <c r="AD208" i="15"/>
  <c r="Y209" i="15"/>
  <c r="F211" i="15"/>
  <c r="AJ211" i="15" s="1"/>
  <c r="P211" i="15"/>
  <c r="AT211" i="15" s="1"/>
  <c r="X211" i="15"/>
  <c r="AG211" i="15"/>
  <c r="E212" i="15"/>
  <c r="R212" i="15"/>
  <c r="AV212" i="15" s="1"/>
  <c r="I214" i="15"/>
  <c r="E216" i="15"/>
  <c r="W216" i="15"/>
  <c r="AG216" i="15"/>
  <c r="AE217" i="15"/>
  <c r="J218" i="15"/>
  <c r="O219" i="15"/>
  <c r="AS219" i="15" s="1"/>
  <c r="AB221" i="15"/>
  <c r="X224" i="15"/>
  <c r="I227" i="15"/>
  <c r="AM227" i="15" s="1"/>
  <c r="R227" i="15"/>
  <c r="AV227" i="15" s="1"/>
  <c r="H228" i="15"/>
  <c r="D138" i="15"/>
  <c r="G198" i="15"/>
  <c r="P198" i="15"/>
  <c r="Z198" i="15"/>
  <c r="J199" i="15"/>
  <c r="N203" i="15"/>
  <c r="V203" i="15"/>
  <c r="AE203" i="15"/>
  <c r="I204" i="15"/>
  <c r="F206" i="15"/>
  <c r="O206" i="15"/>
  <c r="V207" i="15"/>
  <c r="U208" i="15"/>
  <c r="AE208" i="15"/>
  <c r="Z209" i="15"/>
  <c r="G211" i="15"/>
  <c r="AK211" i="15" s="1"/>
  <c r="Q211" i="15"/>
  <c r="AU211" i="15" s="1"/>
  <c r="Y211" i="15"/>
  <c r="H212" i="15"/>
  <c r="X213" i="15"/>
  <c r="J214" i="15"/>
  <c r="T215" i="15"/>
  <c r="G216" i="15"/>
  <c r="X216" i="15"/>
  <c r="O217" i="15"/>
  <c r="AS217" i="15" s="1"/>
  <c r="AF217" i="15"/>
  <c r="K218" i="15"/>
  <c r="F219" i="15"/>
  <c r="AJ219" i="15" s="1"/>
  <c r="P219" i="15"/>
  <c r="AT219" i="15" s="1"/>
  <c r="Y219" i="15"/>
  <c r="P220" i="15"/>
  <c r="AT220" i="15" s="1"/>
  <c r="H222" i="15"/>
  <c r="AL222" i="15" s="1"/>
  <c r="R222" i="15"/>
  <c r="R223" i="15"/>
  <c r="AV223" i="15" s="1"/>
  <c r="E224" i="15"/>
  <c r="AI224" i="15" s="1"/>
  <c r="Y224" i="15"/>
  <c r="Y225" i="15"/>
  <c r="J227" i="15"/>
  <c r="AN227" i="15" s="1"/>
  <c r="AD227" i="15"/>
  <c r="I228" i="15"/>
  <c r="AM228" i="15" s="1"/>
  <c r="Y228" i="15"/>
  <c r="S135" i="15"/>
  <c r="S144" i="15"/>
  <c r="H198" i="15"/>
  <c r="Q198" i="15"/>
  <c r="AC198" i="15"/>
  <c r="W203" i="15"/>
  <c r="AF203" i="15"/>
  <c r="J204" i="15"/>
  <c r="G206" i="15"/>
  <c r="P206" i="15"/>
  <c r="V208" i="15"/>
  <c r="AF208" i="15"/>
  <c r="AB209" i="15"/>
  <c r="H211" i="15"/>
  <c r="AL211" i="15" s="1"/>
  <c r="R211" i="15"/>
  <c r="AV211" i="15" s="1"/>
  <c r="Z211" i="15"/>
  <c r="I212" i="15"/>
  <c r="K214" i="15"/>
  <c r="O216" i="15"/>
  <c r="Y216" i="15"/>
  <c r="R218" i="15"/>
  <c r="G219" i="15"/>
  <c r="AK219" i="15" s="1"/>
  <c r="Q219" i="15"/>
  <c r="AU219" i="15" s="1"/>
  <c r="M224" i="15"/>
  <c r="AB224" i="15"/>
  <c r="K227" i="15"/>
  <c r="AO227" i="15" s="1"/>
  <c r="J228" i="15"/>
  <c r="AN228" i="15" s="1"/>
  <c r="P166" i="15"/>
  <c r="L166" i="15"/>
  <c r="R183" i="15"/>
  <c r="AH183" i="15"/>
  <c r="N183" i="15"/>
  <c r="K183" i="15"/>
  <c r="T160" i="15"/>
  <c r="F166" i="15"/>
  <c r="F183" i="15"/>
  <c r="T186" i="15"/>
  <c r="D134" i="15"/>
  <c r="V160" i="15"/>
  <c r="Y161" i="15"/>
  <c r="K163" i="15"/>
  <c r="E164" i="15"/>
  <c r="Y165" i="15"/>
  <c r="T165" i="15"/>
  <c r="G166" i="15"/>
  <c r="W166" i="15"/>
  <c r="L167" i="15"/>
  <c r="X169" i="15"/>
  <c r="T170" i="15"/>
  <c r="G171" i="15"/>
  <c r="P172" i="15"/>
  <c r="AB186" i="15"/>
  <c r="AF163" i="15"/>
  <c r="U163" i="15"/>
  <c r="K164" i="15"/>
  <c r="J167" i="15"/>
  <c r="AA191" i="15"/>
  <c r="D145" i="15"/>
  <c r="W160" i="15"/>
  <c r="Z161" i="15"/>
  <c r="M163" i="15"/>
  <c r="X163" i="15"/>
  <c r="F164" i="15"/>
  <c r="U165" i="15"/>
  <c r="H166" i="15"/>
  <c r="AA167" i="15"/>
  <c r="AB167" i="15"/>
  <c r="Y167" i="15"/>
  <c r="Z169" i="15"/>
  <c r="U170" i="15"/>
  <c r="J171" i="15"/>
  <c r="AG180" i="15"/>
  <c r="AC180" i="15"/>
  <c r="Z180" i="15"/>
  <c r="L173" i="15"/>
  <c r="AH173" i="15"/>
  <c r="N173" i="15"/>
  <c r="AR173" i="15" s="1"/>
  <c r="M173" i="15"/>
  <c r="K173" i="15"/>
  <c r="F173" i="15"/>
  <c r="V163" i="15"/>
  <c r="AH185" i="15"/>
  <c r="L185" i="15"/>
  <c r="S153" i="15"/>
  <c r="Z160" i="15"/>
  <c r="Z163" i="15"/>
  <c r="H164" i="15"/>
  <c r="K166" i="15"/>
  <c r="AC170" i="15"/>
  <c r="K171" i="15"/>
  <c r="AC184" i="15"/>
  <c r="AD184" i="15"/>
  <c r="Z184" i="15"/>
  <c r="Y184" i="15"/>
  <c r="X184" i="15"/>
  <c r="W184" i="15"/>
  <c r="AG184" i="15"/>
  <c r="V184" i="15"/>
  <c r="AA186" i="15"/>
  <c r="Z186" i="15"/>
  <c r="Y186" i="15"/>
  <c r="AG186" i="15"/>
  <c r="X186" i="15"/>
  <c r="AF186" i="15"/>
  <c r="W186" i="15"/>
  <c r="AE186" i="15"/>
  <c r="V186" i="15"/>
  <c r="AD186" i="15"/>
  <c r="U186" i="15"/>
  <c r="S122" i="15"/>
  <c r="D129" i="15"/>
  <c r="D135" i="15"/>
  <c r="AB160" i="15"/>
  <c r="L163" i="15"/>
  <c r="J163" i="15"/>
  <c r="O163" i="15"/>
  <c r="AA163" i="15"/>
  <c r="I164" i="15"/>
  <c r="N166" i="15"/>
  <c r="M170" i="15"/>
  <c r="K170" i="15"/>
  <c r="M171" i="15"/>
  <c r="O172" i="15"/>
  <c r="K172" i="15"/>
  <c r="AO172" i="15" s="1"/>
  <c r="J172" i="15"/>
  <c r="I172" i="15"/>
  <c r="AM172" i="15" s="1"/>
  <c r="R172" i="15"/>
  <c r="H172" i="15"/>
  <c r="M176" i="15"/>
  <c r="AH176" i="15"/>
  <c r="P176" i="15"/>
  <c r="AD179" i="15"/>
  <c r="AF179" i="15"/>
  <c r="AE179" i="15"/>
  <c r="Z179" i="15"/>
  <c r="X179" i="15"/>
  <c r="W179" i="15"/>
  <c r="AA170" i="15"/>
  <c r="AB170" i="15"/>
  <c r="Z170" i="15"/>
  <c r="E173" i="15"/>
  <c r="S148" i="15"/>
  <c r="AE148" i="15" s="1"/>
  <c r="AD160" i="15"/>
  <c r="E162" i="15"/>
  <c r="E163" i="15"/>
  <c r="P163" i="15"/>
  <c r="AC163" i="15"/>
  <c r="J164" i="15"/>
  <c r="Q166" i="15"/>
  <c r="F168" i="15"/>
  <c r="AD169" i="15"/>
  <c r="AB169" i="15"/>
  <c r="Y169" i="15"/>
  <c r="AF169" i="15"/>
  <c r="J170" i="15"/>
  <c r="E172" i="15"/>
  <c r="G176" i="15"/>
  <c r="L171" i="15"/>
  <c r="AR171" i="15"/>
  <c r="H171" i="15"/>
  <c r="AL171" i="15" s="1"/>
  <c r="P171" i="15"/>
  <c r="AT171" i="15" s="1"/>
  <c r="F171" i="15"/>
  <c r="AJ171" i="15" s="1"/>
  <c r="O171" i="15"/>
  <c r="AS171" i="15" s="1"/>
  <c r="E171" i="15"/>
  <c r="AH171" i="15"/>
  <c r="D133" i="15"/>
  <c r="M133" i="15" s="1"/>
  <c r="AE160" i="15"/>
  <c r="U161" i="15"/>
  <c r="H162" i="15"/>
  <c r="F163" i="15"/>
  <c r="R163" i="15"/>
  <c r="AE163" i="15"/>
  <c r="M164" i="15"/>
  <c r="AC166" i="15"/>
  <c r="AB166" i="15"/>
  <c r="X166" i="15"/>
  <c r="AG166" i="15"/>
  <c r="AA168" i="15"/>
  <c r="W168" i="15"/>
  <c r="AE168" i="15"/>
  <c r="U168" i="15"/>
  <c r="AG168" i="15"/>
  <c r="T169" i="15"/>
  <c r="AG169" i="15"/>
  <c r="L170" i="15"/>
  <c r="R171" i="15"/>
  <c r="F172" i="15"/>
  <c r="AG188" i="15"/>
  <c r="AC188" i="15"/>
  <c r="Z188" i="15"/>
  <c r="U188" i="15"/>
  <c r="AH172" i="15"/>
  <c r="L177" i="15"/>
  <c r="AH177" i="15"/>
  <c r="M178" i="15"/>
  <c r="AV178" i="15"/>
  <c r="AN178" i="15"/>
  <c r="AS178" i="15"/>
  <c r="AK178" i="15"/>
  <c r="AR178" i="15"/>
  <c r="AJ178" i="15"/>
  <c r="AQ178" i="15"/>
  <c r="AI178" i="15"/>
  <c r="AP178" i="15"/>
  <c r="AH178" i="15"/>
  <c r="X178" i="15"/>
  <c r="AG178" i="15"/>
  <c r="Q180" i="15"/>
  <c r="AH180" i="15"/>
  <c r="N187" i="15"/>
  <c r="AH187" i="15"/>
  <c r="Q187" i="15"/>
  <c r="AU187" i="15" s="1"/>
  <c r="AB189" i="15"/>
  <c r="AE189" i="15"/>
  <c r="U189" i="15"/>
  <c r="AC189" i="15"/>
  <c r="AG189" i="15"/>
  <c r="AM174" i="15"/>
  <c r="AU178" i="15"/>
  <c r="F177" i="15"/>
  <c r="AJ177" i="15" s="1"/>
  <c r="O182" i="15"/>
  <c r="AH182" i="15"/>
  <c r="G187" i="15"/>
  <c r="R187" i="15"/>
  <c r="O190" i="15"/>
  <c r="J190" i="15"/>
  <c r="H190" i="15"/>
  <c r="AH190" i="15"/>
  <c r="P169" i="15"/>
  <c r="AD174" i="15"/>
  <c r="V176" i="15"/>
  <c r="G177" i="15"/>
  <c r="AK177" i="15" s="1"/>
  <c r="Z177" i="15"/>
  <c r="O178" i="15"/>
  <c r="Z178" i="15"/>
  <c r="K179" i="15"/>
  <c r="AO179" i="15" s="1"/>
  <c r="J180" i="15"/>
  <c r="AC181" i="15"/>
  <c r="H182" i="15"/>
  <c r="T185" i="15"/>
  <c r="H187" i="15"/>
  <c r="AD187" i="15"/>
  <c r="AS187" i="15" s="1"/>
  <c r="AE187" i="15"/>
  <c r="AT187" i="15" s="1"/>
  <c r="Q188" i="15"/>
  <c r="AH188" i="15"/>
  <c r="AO188" i="15"/>
  <c r="M188" i="15"/>
  <c r="AV188" i="15"/>
  <c r="J189" i="15"/>
  <c r="W189" i="15"/>
  <c r="I190" i="15"/>
  <c r="AU189" i="15"/>
  <c r="AE174" i="15"/>
  <c r="AT174" i="15" s="1"/>
  <c r="AH175" i="15"/>
  <c r="X176" i="15"/>
  <c r="Q177" i="15"/>
  <c r="AA177" i="15"/>
  <c r="AP177" i="15" s="1"/>
  <c r="AB178" i="15"/>
  <c r="O179" i="15"/>
  <c r="K180" i="15"/>
  <c r="AO180" i="15" s="1"/>
  <c r="AD181" i="15"/>
  <c r="I182" i="15"/>
  <c r="V183" i="15"/>
  <c r="M184" i="15"/>
  <c r="AR184" i="15"/>
  <c r="AH184" i="15"/>
  <c r="AO184" i="15"/>
  <c r="AV184" i="15"/>
  <c r="AN184" i="15"/>
  <c r="AM184" i="15"/>
  <c r="AL184" i="15"/>
  <c r="O184" i="15"/>
  <c r="AS184" i="15" s="1"/>
  <c r="Y185" i="15"/>
  <c r="L186" i="15"/>
  <c r="AS186" i="15"/>
  <c r="AK186" i="15"/>
  <c r="AP186" i="15"/>
  <c r="AH186" i="15"/>
  <c r="I187" i="15"/>
  <c r="W187" i="15"/>
  <c r="E188" i="15"/>
  <c r="M189" i="15"/>
  <c r="X189" i="15"/>
  <c r="K190" i="15"/>
  <c r="AM181" i="15"/>
  <c r="G169" i="15"/>
  <c r="R169" i="15"/>
  <c r="O174" i="15"/>
  <c r="AS174" i="15"/>
  <c r="AR174" i="15"/>
  <c r="AH174" i="15"/>
  <c r="T174" i="15"/>
  <c r="AF174" i="15"/>
  <c r="L175" i="15"/>
  <c r="AP175" i="15" s="1"/>
  <c r="Y176" i="15"/>
  <c r="R177" i="15"/>
  <c r="AV177" i="15" s="1"/>
  <c r="AB177" i="15"/>
  <c r="T178" i="15"/>
  <c r="AC178" i="15"/>
  <c r="M180" i="15"/>
  <c r="K181" i="15"/>
  <c r="U181" i="15"/>
  <c r="AE181" i="15"/>
  <c r="K182" i="15"/>
  <c r="AD183" i="15"/>
  <c r="P184" i="15"/>
  <c r="AT184" i="15" s="1"/>
  <c r="Z185" i="15"/>
  <c r="J187" i="15"/>
  <c r="X187" i="15"/>
  <c r="J188" i="15"/>
  <c r="Y189" i="15"/>
  <c r="P190" i="15"/>
  <c r="AL178" i="15"/>
  <c r="V174" i="15"/>
  <c r="AG174" i="15"/>
  <c r="AE176" i="15"/>
  <c r="U178" i="15"/>
  <c r="AD178" i="15"/>
  <c r="N179" i="15"/>
  <c r="AH179" i="15"/>
  <c r="AM179" i="15"/>
  <c r="AT179" i="15"/>
  <c r="AL179" i="15"/>
  <c r="AS179" i="15"/>
  <c r="Q179" i="15"/>
  <c r="AU179" i="15" s="1"/>
  <c r="R180" i="15"/>
  <c r="AV180" i="15" s="1"/>
  <c r="L181" i="15"/>
  <c r="AT181" i="15"/>
  <c r="AL181" i="15"/>
  <c r="AS181" i="15"/>
  <c r="AR181" i="15"/>
  <c r="AJ181" i="15"/>
  <c r="AH181" i="15"/>
  <c r="AO181" i="15"/>
  <c r="AV181" i="15"/>
  <c r="AN181" i="15"/>
  <c r="M181" i="15"/>
  <c r="AQ181" i="15" s="1"/>
  <c r="V181" i="15"/>
  <c r="AK181" i="15" s="1"/>
  <c r="AF181" i="15"/>
  <c r="P182" i="15"/>
  <c r="G184" i="15"/>
  <c r="AK184" i="15" s="1"/>
  <c r="Q184" i="15"/>
  <c r="AU184" i="15" s="1"/>
  <c r="AB185" i="15"/>
  <c r="K187" i="15"/>
  <c r="AO187" i="15" s="1"/>
  <c r="Y187" i="15"/>
  <c r="L189" i="15"/>
  <c r="AT189" i="15"/>
  <c r="AL189" i="15"/>
  <c r="AK189" i="15"/>
  <c r="AR189" i="15"/>
  <c r="AJ189" i="15"/>
  <c r="AQ189" i="15"/>
  <c r="K189" i="15"/>
  <c r="AH189" i="15"/>
  <c r="R189" i="15"/>
  <c r="I189" i="15"/>
  <c r="AM189" i="15" s="1"/>
  <c r="AV189" i="15"/>
  <c r="AN189" i="15"/>
  <c r="O189" i="15"/>
  <c r="AS189" i="15" s="1"/>
  <c r="Z189" i="15"/>
  <c r="AO189" i="15" s="1"/>
  <c r="Q190" i="15"/>
  <c r="AM178" i="15"/>
  <c r="F191" i="15"/>
  <c r="K191" i="15"/>
  <c r="AG91" i="15"/>
  <c r="H86" i="15"/>
  <c r="U87" i="15"/>
  <c r="AG87" i="15"/>
  <c r="P89" i="15"/>
  <c r="T91" i="15"/>
  <c r="T92" i="15"/>
  <c r="AE92" i="15"/>
  <c r="W94" i="15"/>
  <c r="I98" i="15"/>
  <c r="Z98" i="15"/>
  <c r="U99" i="15"/>
  <c r="J101" i="15"/>
  <c r="I103" i="15"/>
  <c r="W103" i="15"/>
  <c r="E105" i="15"/>
  <c r="AI105" i="15" s="1"/>
  <c r="N105" i="15"/>
  <c r="W105" i="15"/>
  <c r="Q106" i="15"/>
  <c r="H108" i="15"/>
  <c r="AF108" i="15"/>
  <c r="T110" i="15"/>
  <c r="AC110" i="15"/>
  <c r="N111" i="15"/>
  <c r="AR111" i="15" s="1"/>
  <c r="AT111" i="15"/>
  <c r="AH111" i="15"/>
  <c r="Q111" i="15"/>
  <c r="AU111" i="15" s="1"/>
  <c r="R114" i="15"/>
  <c r="AV114" i="15" s="1"/>
  <c r="AI101" i="15"/>
  <c r="AM103" i="15"/>
  <c r="AB110" i="15"/>
  <c r="D29" i="15"/>
  <c r="I85" i="15"/>
  <c r="V85" i="15"/>
  <c r="I86" i="15"/>
  <c r="K87" i="15"/>
  <c r="W87" i="15"/>
  <c r="F89" i="15"/>
  <c r="Q89" i="15"/>
  <c r="U91" i="15"/>
  <c r="V92" i="15"/>
  <c r="AF92" i="15"/>
  <c r="M94" i="15"/>
  <c r="X94" i="15"/>
  <c r="U95" i="15"/>
  <c r="M97" i="15"/>
  <c r="AP97" i="15"/>
  <c r="AH97" i="15"/>
  <c r="AO97" i="15"/>
  <c r="AV97" i="15"/>
  <c r="AN97" i="15"/>
  <c r="AU97" i="15"/>
  <c r="AM97" i="15"/>
  <c r="AT97" i="15"/>
  <c r="AL97" i="15"/>
  <c r="AS97" i="15"/>
  <c r="AK97" i="15"/>
  <c r="AR97" i="15"/>
  <c r="AJ97" i="15"/>
  <c r="P97" i="15"/>
  <c r="J98" i="15"/>
  <c r="AN98" i="15" s="1"/>
  <c r="AG98" i="15"/>
  <c r="V99" i="15"/>
  <c r="M100" i="15"/>
  <c r="AU100" i="15"/>
  <c r="AK100" i="15"/>
  <c r="AQ100" i="15"/>
  <c r="AH100" i="15"/>
  <c r="Z100" i="15"/>
  <c r="Q101" i="15"/>
  <c r="L102" i="15"/>
  <c r="J103" i="15"/>
  <c r="X103" i="15"/>
  <c r="R104" i="15"/>
  <c r="AV104" i="15"/>
  <c r="AH104" i="15"/>
  <c r="F105" i="15"/>
  <c r="AJ105" i="15" s="1"/>
  <c r="O105" i="15"/>
  <c r="X105" i="15"/>
  <c r="M107" i="15"/>
  <c r="AT107" i="15"/>
  <c r="AL107" i="15"/>
  <c r="AS107" i="15"/>
  <c r="AK107" i="15"/>
  <c r="AR107" i="15"/>
  <c r="AJ107" i="15"/>
  <c r="AQ107" i="15"/>
  <c r="AI107" i="15"/>
  <c r="AP107" i="15"/>
  <c r="AH107" i="15"/>
  <c r="AO107" i="15"/>
  <c r="AV107" i="15"/>
  <c r="AN107" i="15"/>
  <c r="I108" i="15"/>
  <c r="V108" i="15"/>
  <c r="AG108" i="15"/>
  <c r="P109" i="15"/>
  <c r="AH109" i="15"/>
  <c r="AV109" i="15"/>
  <c r="AU109" i="15"/>
  <c r="AT109" i="15"/>
  <c r="U110" i="15"/>
  <c r="AD110" i="15"/>
  <c r="G111" i="15"/>
  <c r="AK111" i="15" s="1"/>
  <c r="R111" i="15"/>
  <c r="AV111" i="15" s="1"/>
  <c r="AI97" i="15"/>
  <c r="AQ101" i="15"/>
  <c r="AU103" i="15"/>
  <c r="W85" i="15"/>
  <c r="J86" i="15"/>
  <c r="X87" i="15"/>
  <c r="G89" i="15"/>
  <c r="V91" i="15"/>
  <c r="W92" i="15"/>
  <c r="AG92" i="15"/>
  <c r="Z94" i="15"/>
  <c r="X95" i="15"/>
  <c r="K98" i="15"/>
  <c r="K103" i="15"/>
  <c r="Y103" i="15"/>
  <c r="G105" i="15"/>
  <c r="P105" i="15"/>
  <c r="AT105" i="15" s="1"/>
  <c r="Y105" i="15"/>
  <c r="O106" i="15"/>
  <c r="AR106" i="15"/>
  <c r="AJ106" i="15"/>
  <c r="AQ106" i="15"/>
  <c r="AI106" i="15"/>
  <c r="AP106" i="15"/>
  <c r="AH106" i="15"/>
  <c r="AO106" i="15"/>
  <c r="AV106" i="15"/>
  <c r="AN106" i="15"/>
  <c r="AU106" i="15"/>
  <c r="AM106" i="15"/>
  <c r="AT106" i="15"/>
  <c r="AL106" i="15"/>
  <c r="J108" i="15"/>
  <c r="W108" i="15"/>
  <c r="L110" i="15"/>
  <c r="AR110" i="15"/>
  <c r="AJ110" i="15"/>
  <c r="AQ110" i="15"/>
  <c r="AI110" i="15"/>
  <c r="AP110" i="15"/>
  <c r="AH110" i="15"/>
  <c r="AO110" i="15"/>
  <c r="AV110" i="15"/>
  <c r="AN110" i="15"/>
  <c r="AU110" i="15"/>
  <c r="AM110" i="15"/>
  <c r="AT110" i="15"/>
  <c r="AL110" i="15"/>
  <c r="V110" i="15"/>
  <c r="AE110" i="15"/>
  <c r="H111" i="15"/>
  <c r="AL111" i="15" s="1"/>
  <c r="AD111" i="15"/>
  <c r="Y111" i="15"/>
  <c r="AQ97" i="15"/>
  <c r="AK110" i="15"/>
  <c r="X85" i="15"/>
  <c r="K86" i="15"/>
  <c r="O87" i="15"/>
  <c r="Y87" i="15"/>
  <c r="H89" i="15"/>
  <c r="V89" i="15"/>
  <c r="Y91" i="15"/>
  <c r="L92" i="15"/>
  <c r="X92" i="15"/>
  <c r="AC94" i="15"/>
  <c r="Y95" i="15"/>
  <c r="N98" i="15"/>
  <c r="AP99" i="15"/>
  <c r="AH99" i="15"/>
  <c r="AB99" i="15"/>
  <c r="P102" i="15"/>
  <c r="AT102" i="15" s="1"/>
  <c r="O103" i="15"/>
  <c r="Z103" i="15"/>
  <c r="H105" i="15"/>
  <c r="AL105" i="15" s="1"/>
  <c r="Q105" i="15"/>
  <c r="AC105" i="15"/>
  <c r="H106" i="15"/>
  <c r="X106" i="15"/>
  <c r="T107" i="15"/>
  <c r="N108" i="15"/>
  <c r="X108" i="15"/>
  <c r="E110" i="15"/>
  <c r="W110" i="15"/>
  <c r="AF110" i="15"/>
  <c r="I111" i="15"/>
  <c r="AM111" i="15" s="1"/>
  <c r="AK106" i="15"/>
  <c r="AO108" i="15"/>
  <c r="AS110" i="15"/>
  <c r="Y85" i="15"/>
  <c r="E87" i="15"/>
  <c r="P87" i="15"/>
  <c r="Z87" i="15"/>
  <c r="I89" i="15"/>
  <c r="W89" i="15"/>
  <c r="AB91" i="15"/>
  <c r="O92" i="15"/>
  <c r="Y92" i="15"/>
  <c r="J93" i="15"/>
  <c r="R94" i="15"/>
  <c r="AD94" i="15"/>
  <c r="N95" i="15"/>
  <c r="AR95" i="15" s="1"/>
  <c r="AT95" i="15"/>
  <c r="AL95" i="15"/>
  <c r="AK95" i="15"/>
  <c r="AI95" i="15"/>
  <c r="AH95" i="15"/>
  <c r="AO95" i="15"/>
  <c r="AV95" i="15"/>
  <c r="AN95" i="15"/>
  <c r="O95" i="15"/>
  <c r="AS95" i="15" s="1"/>
  <c r="Z95" i="15"/>
  <c r="L96" i="15"/>
  <c r="AV96" i="15"/>
  <c r="AN96" i="15"/>
  <c r="AU96" i="15"/>
  <c r="AM96" i="15"/>
  <c r="AT96" i="15"/>
  <c r="AL96" i="15"/>
  <c r="AS96" i="15"/>
  <c r="AK96" i="15"/>
  <c r="AR96" i="15"/>
  <c r="AJ96" i="15"/>
  <c r="AQ96" i="15"/>
  <c r="AI96" i="15"/>
  <c r="AP96" i="15"/>
  <c r="AH96" i="15"/>
  <c r="H97" i="15"/>
  <c r="V97" i="15"/>
  <c r="Q98" i="15"/>
  <c r="E99" i="15"/>
  <c r="AI99" i="15" s="1"/>
  <c r="AC99" i="15"/>
  <c r="P100" i="15"/>
  <c r="AT100" i="15" s="1"/>
  <c r="AB102" i="15"/>
  <c r="AE103" i="15"/>
  <c r="I105" i="15"/>
  <c r="R105" i="15"/>
  <c r="AD105" i="15"/>
  <c r="I106" i="15"/>
  <c r="Y106" i="15"/>
  <c r="U107" i="15"/>
  <c r="Y108" i="15"/>
  <c r="K109" i="15"/>
  <c r="AO109" i="15" s="1"/>
  <c r="F110" i="15"/>
  <c r="X110" i="15"/>
  <c r="AG110" i="15"/>
  <c r="J111" i="15"/>
  <c r="AN111" i="15" s="1"/>
  <c r="X111" i="15"/>
  <c r="AS106" i="15"/>
  <c r="AD92" i="15"/>
  <c r="AA87" i="15"/>
  <c r="K89" i="15"/>
  <c r="AC91" i="15"/>
  <c r="Z92" i="15"/>
  <c r="AE94" i="15"/>
  <c r="L101" i="15"/>
  <c r="AP101" i="15"/>
  <c r="AH101" i="15"/>
  <c r="AO101" i="15"/>
  <c r="AV101" i="15"/>
  <c r="AN101" i="15"/>
  <c r="AU101" i="15"/>
  <c r="AM101" i="15"/>
  <c r="AT101" i="15"/>
  <c r="AL101" i="15"/>
  <c r="AS101" i="15"/>
  <c r="AK101" i="15"/>
  <c r="AR101" i="15"/>
  <c r="AJ101" i="15"/>
  <c r="N103" i="15"/>
  <c r="AT103" i="15"/>
  <c r="AL103" i="15"/>
  <c r="AS103" i="15"/>
  <c r="AK103" i="15"/>
  <c r="AR103" i="15"/>
  <c r="AJ103" i="15"/>
  <c r="AQ103" i="15"/>
  <c r="AI103" i="15"/>
  <c r="AP103" i="15"/>
  <c r="AH103" i="15"/>
  <c r="AO103" i="15"/>
  <c r="AV103" i="15"/>
  <c r="AN103" i="15"/>
  <c r="Q103" i="15"/>
  <c r="AF103" i="15"/>
  <c r="AE105" i="15"/>
  <c r="M108" i="15"/>
  <c r="AV108" i="15"/>
  <c r="AN108" i="15"/>
  <c r="AU108" i="15"/>
  <c r="AM108" i="15"/>
  <c r="AT108" i="15"/>
  <c r="AL108" i="15"/>
  <c r="AS108" i="15"/>
  <c r="AK108" i="15"/>
  <c r="AR108" i="15"/>
  <c r="AJ108" i="15"/>
  <c r="AQ108" i="15"/>
  <c r="AI108" i="15"/>
  <c r="AP108" i="15"/>
  <c r="AH108" i="15"/>
  <c r="P108" i="15"/>
  <c r="Y110" i="15"/>
  <c r="AH112" i="15"/>
  <c r="O114" i="15"/>
  <c r="AS114" i="15" s="1"/>
  <c r="AH114" i="15"/>
  <c r="P114" i="15"/>
  <c r="AT114" i="15" s="1"/>
  <c r="J114" i="15"/>
  <c r="AN114" i="15" s="1"/>
  <c r="I114" i="15"/>
  <c r="AM114" i="15" s="1"/>
  <c r="AF87" i="15"/>
  <c r="L105" i="15"/>
  <c r="AP105" i="15" s="1"/>
  <c r="AH105" i="15"/>
  <c r="AV105" i="15"/>
  <c r="AN105" i="15"/>
  <c r="AU105" i="15"/>
  <c r="AM105" i="15"/>
  <c r="AS105" i="15"/>
  <c r="AK105" i="15"/>
  <c r="AR105" i="15"/>
  <c r="M105" i="15"/>
  <c r="AQ105" i="15" s="1"/>
  <c r="S15" i="15"/>
  <c r="W15" i="15" s="1"/>
  <c r="N89" i="15"/>
  <c r="AA89" i="15"/>
  <c r="AD91" i="15"/>
  <c r="AB92" i="15"/>
  <c r="U94" i="15"/>
  <c r="AF94" i="15"/>
  <c r="AF95" i="15"/>
  <c r="P98" i="15"/>
  <c r="AT98" i="15" s="1"/>
  <c r="AR98" i="15"/>
  <c r="AJ98" i="15"/>
  <c r="AH98" i="15"/>
  <c r="AO98" i="15"/>
  <c r="AV98" i="15"/>
  <c r="AU98" i="15"/>
  <c r="AM98" i="15"/>
  <c r="AG99" i="15"/>
  <c r="G101" i="15"/>
  <c r="AJ102" i="15"/>
  <c r="AQ102" i="15"/>
  <c r="AP102" i="15"/>
  <c r="AH102" i="15"/>
  <c r="AN102" i="15"/>
  <c r="G103" i="15"/>
  <c r="R103" i="15"/>
  <c r="AG103" i="15"/>
  <c r="K105" i="15"/>
  <c r="AO105" i="15" s="1"/>
  <c r="U105" i="15"/>
  <c r="AF105" i="15"/>
  <c r="K106" i="15"/>
  <c r="AF106" i="15"/>
  <c r="AC107" i="15"/>
  <c r="F108" i="15"/>
  <c r="Q108" i="15"/>
  <c r="AD108" i="15"/>
  <c r="Z110" i="15"/>
  <c r="H114" i="15"/>
  <c r="AL114" i="15" s="1"/>
  <c r="AO96" i="15"/>
  <c r="AD113" i="15"/>
  <c r="Z114" i="15"/>
  <c r="U115" i="15"/>
  <c r="AJ113" i="15"/>
  <c r="AR113" i="15"/>
  <c r="K113" i="15"/>
  <c r="U113" i="15"/>
  <c r="AE113" i="15"/>
  <c r="AF114" i="15"/>
  <c r="AB115" i="15"/>
  <c r="AK113" i="15"/>
  <c r="AS113" i="15"/>
  <c r="M113" i="15"/>
  <c r="V113" i="15"/>
  <c r="AF113" i="15"/>
  <c r="AG114" i="15"/>
  <c r="AL113" i="15"/>
  <c r="AT113" i="15"/>
  <c r="AM113" i="15"/>
  <c r="AU113" i="15"/>
  <c r="AN113" i="15"/>
  <c r="AV113" i="15"/>
  <c r="AO113" i="15"/>
  <c r="AH113" i="15"/>
  <c r="AP113" i="15"/>
  <c r="H50" i="15"/>
  <c r="G65" i="15"/>
  <c r="R51" i="15"/>
  <c r="K62" i="15"/>
  <c r="AO62" i="15"/>
  <c r="K65" i="15"/>
  <c r="Q66" i="15"/>
  <c r="Q49" i="15"/>
  <c r="E55" i="15"/>
  <c r="N55" i="15"/>
  <c r="H56" i="15"/>
  <c r="R56" i="15"/>
  <c r="P57" i="15"/>
  <c r="P58" i="15"/>
  <c r="R59" i="15"/>
  <c r="L63" i="15"/>
  <c r="AP63" i="15"/>
  <c r="AH63" i="15"/>
  <c r="M63" i="15"/>
  <c r="G64" i="15"/>
  <c r="Q64" i="15"/>
  <c r="P65" i="15"/>
  <c r="R66" i="15"/>
  <c r="K70" i="15"/>
  <c r="AO70" i="15"/>
  <c r="N71" i="15"/>
  <c r="I72" i="15"/>
  <c r="H73" i="15"/>
  <c r="I74" i="15"/>
  <c r="AM74" i="15" s="1"/>
  <c r="R75" i="15"/>
  <c r="AH59" i="15"/>
  <c r="AK65" i="15"/>
  <c r="AH68" i="15"/>
  <c r="AH72" i="15"/>
  <c r="AA71" i="15"/>
  <c r="Y71" i="15"/>
  <c r="AG71" i="15"/>
  <c r="X71" i="15"/>
  <c r="AE71" i="15"/>
  <c r="V71" i="15"/>
  <c r="AD71" i="15"/>
  <c r="U71" i="15"/>
  <c r="AC71" i="15"/>
  <c r="T71" i="15"/>
  <c r="Z71" i="15"/>
  <c r="AO71" i="15" s="1"/>
  <c r="R65" i="15"/>
  <c r="I51" i="15"/>
  <c r="D24" i="15"/>
  <c r="F55" i="15"/>
  <c r="O55" i="15"/>
  <c r="Q57" i="15"/>
  <c r="Q58" i="15"/>
  <c r="Q65" i="15"/>
  <c r="P67" i="15"/>
  <c r="AT67" i="15"/>
  <c r="L71" i="15"/>
  <c r="AU71" i="15"/>
  <c r="AM71" i="15"/>
  <c r="AT71" i="15"/>
  <c r="AP71" i="15"/>
  <c r="AH71" i="15"/>
  <c r="O71" i="15"/>
  <c r="J72" i="15"/>
  <c r="I73" i="15"/>
  <c r="J74" i="15"/>
  <c r="Q76" i="15"/>
  <c r="AU76" i="15"/>
  <c r="AH58" i="15"/>
  <c r="AT63" i="15"/>
  <c r="AK71" i="15"/>
  <c r="AH73" i="15"/>
  <c r="AE51" i="15"/>
  <c r="V51" i="15"/>
  <c r="U51" i="15"/>
  <c r="AF51" i="15"/>
  <c r="AD51" i="15"/>
  <c r="X51" i="15"/>
  <c r="W71" i="15"/>
  <c r="D31" i="15"/>
  <c r="D19" i="15"/>
  <c r="G19" i="15" s="1"/>
  <c r="G47" i="15"/>
  <c r="J49" i="15"/>
  <c r="I50" i="15"/>
  <c r="J51" i="15"/>
  <c r="I55" i="15"/>
  <c r="R55" i="15"/>
  <c r="N56" i="15"/>
  <c r="I57" i="15"/>
  <c r="H58" i="15"/>
  <c r="I59" i="15"/>
  <c r="R60" i="15"/>
  <c r="AV60" i="15" s="1"/>
  <c r="H63" i="15"/>
  <c r="Q63" i="15"/>
  <c r="K64" i="15"/>
  <c r="AO64" i="15" s="1"/>
  <c r="H65" i="15"/>
  <c r="I66" i="15"/>
  <c r="R67" i="15"/>
  <c r="H71" i="15"/>
  <c r="AL71" i="15" s="1"/>
  <c r="R71" i="15"/>
  <c r="AV71" i="15" s="1"/>
  <c r="P72" i="15"/>
  <c r="P73" i="15"/>
  <c r="R74" i="15"/>
  <c r="AS58" i="15"/>
  <c r="AT59" i="15"/>
  <c r="AU60" i="15"/>
  <c r="AH62" i="15"/>
  <c r="AJ64" i="15"/>
  <c r="AV66" i="15"/>
  <c r="AV74" i="15"/>
  <c r="N65" i="15"/>
  <c r="AR65" i="15"/>
  <c r="AU66" i="15"/>
  <c r="H47" i="15"/>
  <c r="J50" i="15"/>
  <c r="K51" i="15"/>
  <c r="J55" i="15"/>
  <c r="O56" i="15"/>
  <c r="J57" i="15"/>
  <c r="I58" i="15"/>
  <c r="J59" i="15"/>
  <c r="R61" i="15"/>
  <c r="AV61" i="15" s="1"/>
  <c r="I65" i="15"/>
  <c r="J66" i="15"/>
  <c r="AN66" i="15" s="1"/>
  <c r="Q68" i="15"/>
  <c r="AU68" i="15"/>
  <c r="M72" i="15"/>
  <c r="AQ72" i="15"/>
  <c r="Q72" i="15"/>
  <c r="Q73" i="15"/>
  <c r="P75" i="15"/>
  <c r="AH75" i="15"/>
  <c r="AT75" i="15"/>
  <c r="AL58" i="15"/>
  <c r="AT58" i="15"/>
  <c r="AO63" i="15"/>
  <c r="AH67" i="15"/>
  <c r="AH70" i="15"/>
  <c r="AR71" i="15"/>
  <c r="AA47" i="15"/>
  <c r="U47" i="15"/>
  <c r="T47" i="15"/>
  <c r="Z47" i="15"/>
  <c r="Y47" i="15"/>
  <c r="X47" i="15"/>
  <c r="V47" i="15"/>
  <c r="I47" i="15"/>
  <c r="O49" i="15"/>
  <c r="K50" i="15"/>
  <c r="Q51" i="15"/>
  <c r="K55" i="15"/>
  <c r="F56" i="15"/>
  <c r="P56" i="15"/>
  <c r="K57" i="15"/>
  <c r="J58" i="15"/>
  <c r="K59" i="15"/>
  <c r="K61" i="15"/>
  <c r="J63" i="15"/>
  <c r="M64" i="15"/>
  <c r="AQ64" i="15" s="1"/>
  <c r="O64" i="15"/>
  <c r="J65" i="15"/>
  <c r="K66" i="15"/>
  <c r="AO66" i="15" s="1"/>
  <c r="K68" i="15"/>
  <c r="J71" i="15"/>
  <c r="AN71" i="15" s="1"/>
  <c r="G72" i="15"/>
  <c r="R72" i="15"/>
  <c r="R73" i="15"/>
  <c r="J75" i="15"/>
  <c r="AM58" i="15"/>
  <c r="AU58" i="15"/>
  <c r="AH61" i="15"/>
  <c r="AH65" i="15"/>
  <c r="AS71" i="15"/>
  <c r="AH76" i="15"/>
  <c r="Z50" i="15"/>
  <c r="Y50" i="15"/>
  <c r="W50" i="15"/>
  <c r="U50" i="15"/>
  <c r="T50" i="15"/>
  <c r="AB50" i="15"/>
  <c r="AB56" i="15"/>
  <c r="AC56" i="15"/>
  <c r="Z56" i="15"/>
  <c r="U56" i="15"/>
  <c r="O66" i="15"/>
  <c r="AS66" i="15" s="1"/>
  <c r="AH66" i="15"/>
  <c r="D27" i="15"/>
  <c r="G27" i="15" s="1"/>
  <c r="M55" i="15"/>
  <c r="K58" i="15"/>
  <c r="Q59" i="15"/>
  <c r="R69" i="15"/>
  <c r="AV69" i="15"/>
  <c r="N73" i="15"/>
  <c r="AR73" i="15" s="1"/>
  <c r="O74" i="15"/>
  <c r="AS74" i="15" s="1"/>
  <c r="AH74" i="15"/>
  <c r="AO74" i="15"/>
  <c r="AN58" i="15"/>
  <c r="AV58" i="15"/>
  <c r="AH60" i="15"/>
  <c r="AC57" i="15"/>
  <c r="AR57" i="15" s="1"/>
  <c r="AD57" i="15"/>
  <c r="AS57" i="15" s="1"/>
  <c r="V57" i="15"/>
  <c r="AK57" i="15" s="1"/>
  <c r="Z52" i="15"/>
  <c r="AE53" i="15"/>
  <c r="X55" i="15"/>
  <c r="AG55" i="15"/>
  <c r="AC58" i="15"/>
  <c r="AC59" i="15"/>
  <c r="AD60" i="15"/>
  <c r="AF61" i="15"/>
  <c r="Y63" i="15"/>
  <c r="T66" i="15"/>
  <c r="AE66" i="15"/>
  <c r="AD67" i="15"/>
  <c r="AE68" i="15"/>
  <c r="U72" i="15"/>
  <c r="U74" i="15"/>
  <c r="AF74" i="15"/>
  <c r="AC75" i="15"/>
  <c r="Z76" i="15"/>
  <c r="Z55" i="15"/>
  <c r="AF59" i="15"/>
  <c r="AB63" i="15"/>
  <c r="AQ63" i="15" s="1"/>
  <c r="AF75" i="15"/>
  <c r="AE76" i="15"/>
  <c r="AB55" i="15"/>
  <c r="T63" i="15"/>
  <c r="AI63" i="15" s="1"/>
  <c r="AC63" i="15"/>
  <c r="AR63" i="15" s="1"/>
  <c r="X66" i="15"/>
  <c r="AM66" i="15" s="1"/>
  <c r="V68" i="15"/>
  <c r="W69" i="15"/>
  <c r="Y74" i="15"/>
  <c r="AN74" i="15" s="1"/>
  <c r="U75" i="15"/>
  <c r="AG75" i="15"/>
  <c r="AV75" i="15" s="1"/>
  <c r="AG76" i="15"/>
  <c r="Z46" i="15"/>
  <c r="T55" i="15"/>
  <c r="AC55" i="15"/>
  <c r="V60" i="15"/>
  <c r="U63" i="15"/>
  <c r="AJ63" i="15" s="1"/>
  <c r="AD63" i="15"/>
  <c r="AS63" i="15" s="1"/>
  <c r="W68" i="15"/>
  <c r="W52" i="15"/>
  <c r="X53" i="15"/>
  <c r="V55" i="15"/>
  <c r="AE55" i="15"/>
  <c r="Z58" i="15"/>
  <c r="V59" i="15"/>
  <c r="Y60" i="15"/>
  <c r="AN60" i="15" s="1"/>
  <c r="Z61" i="15"/>
  <c r="W63" i="15"/>
  <c r="AF63" i="15"/>
  <c r="AD65" i="15"/>
  <c r="AB66" i="15"/>
  <c r="X67" i="15"/>
  <c r="Z68" i="15"/>
  <c r="AE69" i="15"/>
  <c r="AC74" i="15"/>
  <c r="Y75" i="15"/>
  <c r="W76" i="15"/>
  <c r="X77" i="15"/>
  <c r="V49" i="15"/>
  <c r="Y52" i="15"/>
  <c r="Z53" i="15"/>
  <c r="W55" i="15"/>
  <c r="AF55" i="15"/>
  <c r="AB58" i="15"/>
  <c r="X59" i="15"/>
  <c r="AM59" i="15" s="1"/>
  <c r="Z60" i="15"/>
  <c r="AO60" i="15" s="1"/>
  <c r="AE61" i="15"/>
  <c r="X63" i="15"/>
  <c r="AM63" i="15" s="1"/>
  <c r="AG63" i="15"/>
  <c r="AC66" i="15"/>
  <c r="AC67" i="15"/>
  <c r="AD68" i="15"/>
  <c r="AF69" i="15"/>
  <c r="T74" i="15"/>
  <c r="AE74" i="15"/>
  <c r="Z75" i="15"/>
  <c r="AO75" i="15" s="1"/>
  <c r="Y76" i="15"/>
  <c r="Z77" i="15"/>
  <c r="P245" i="15"/>
  <c r="H245" i="15"/>
  <c r="N245" i="15"/>
  <c r="F245" i="15"/>
  <c r="M245" i="15"/>
  <c r="E245" i="15"/>
  <c r="K245" i="15"/>
  <c r="F236" i="15"/>
  <c r="N236" i="15"/>
  <c r="V236" i="15"/>
  <c r="AD236" i="15"/>
  <c r="I237" i="15"/>
  <c r="Q237" i="15"/>
  <c r="Y237" i="15"/>
  <c r="AG237" i="15"/>
  <c r="T238" i="15"/>
  <c r="AB238" i="15"/>
  <c r="G239" i="15"/>
  <c r="O239" i="15"/>
  <c r="W239" i="15"/>
  <c r="AF239" i="15"/>
  <c r="E240" i="15"/>
  <c r="O240" i="15"/>
  <c r="X240" i="15"/>
  <c r="AG240" i="15"/>
  <c r="F241" i="15"/>
  <c r="O241" i="15"/>
  <c r="X241" i="15"/>
  <c r="Z242" i="15"/>
  <c r="AA243" i="15"/>
  <c r="L244" i="15"/>
  <c r="G245" i="15"/>
  <c r="Y251" i="15"/>
  <c r="K246" i="15"/>
  <c r="Q246" i="15"/>
  <c r="I246" i="15"/>
  <c r="P246" i="15"/>
  <c r="H246" i="15"/>
  <c r="N246" i="15"/>
  <c r="F246" i="15"/>
  <c r="M246" i="15"/>
  <c r="E246" i="15"/>
  <c r="G236" i="15"/>
  <c r="O236" i="15"/>
  <c r="W236" i="15"/>
  <c r="AE236" i="15"/>
  <c r="J237" i="15"/>
  <c r="R237" i="15"/>
  <c r="Z237" i="15"/>
  <c r="U238" i="15"/>
  <c r="AC238" i="15"/>
  <c r="H239" i="15"/>
  <c r="P239" i="15"/>
  <c r="X239" i="15"/>
  <c r="AG239" i="15"/>
  <c r="G240" i="15"/>
  <c r="P240" i="15"/>
  <c r="Y240" i="15"/>
  <c r="G241" i="15"/>
  <c r="P241" i="15"/>
  <c r="P243" i="15"/>
  <c r="H243" i="15"/>
  <c r="O243" i="15"/>
  <c r="G243" i="15"/>
  <c r="M243" i="15"/>
  <c r="Q243" i="15"/>
  <c r="N244" i="15"/>
  <c r="I245" i="15"/>
  <c r="J246" i="15"/>
  <c r="Z251" i="15"/>
  <c r="AF251" i="15"/>
  <c r="X251" i="15"/>
  <c r="AE251" i="15"/>
  <c r="W251" i="15"/>
  <c r="AD251" i="15"/>
  <c r="V251" i="15"/>
  <c r="AC251" i="15"/>
  <c r="U251" i="15"/>
  <c r="AB251" i="15"/>
  <c r="T251" i="15"/>
  <c r="H236" i="15"/>
  <c r="P236" i="15"/>
  <c r="X236" i="15"/>
  <c r="AF236" i="15"/>
  <c r="AA237" i="15"/>
  <c r="V238" i="15"/>
  <c r="AD238" i="15"/>
  <c r="I239" i="15"/>
  <c r="Q239" i="15"/>
  <c r="Y239" i="15"/>
  <c r="H240" i="15"/>
  <c r="Q240" i="15"/>
  <c r="Z240" i="15"/>
  <c r="H241" i="15"/>
  <c r="R241" i="15"/>
  <c r="O244" i="15"/>
  <c r="J245" i="15"/>
  <c r="L246" i="15"/>
  <c r="AB249" i="15"/>
  <c r="T249" i="15"/>
  <c r="Z249" i="15"/>
  <c r="AG249" i="15"/>
  <c r="Y249" i="15"/>
  <c r="AF249" i="15"/>
  <c r="AE249" i="15"/>
  <c r="W249" i="15"/>
  <c r="AD249" i="15"/>
  <c r="V249" i="15"/>
  <c r="AG251" i="15"/>
  <c r="M240" i="15"/>
  <c r="I236" i="15"/>
  <c r="Q236" i="15"/>
  <c r="Y236" i="15"/>
  <c r="AG236" i="15"/>
  <c r="T237" i="15"/>
  <c r="AB237" i="15"/>
  <c r="W238" i="15"/>
  <c r="AE238" i="15"/>
  <c r="J239" i="15"/>
  <c r="R239" i="15"/>
  <c r="Z239" i="15"/>
  <c r="I240" i="15"/>
  <c r="J241" i="15"/>
  <c r="AG241" i="15"/>
  <c r="Y241" i="15"/>
  <c r="AB241" i="15"/>
  <c r="AC242" i="15"/>
  <c r="U242" i="15"/>
  <c r="AB242" i="15"/>
  <c r="T242" i="15"/>
  <c r="AE242" i="15"/>
  <c r="F243" i="15"/>
  <c r="AF243" i="15"/>
  <c r="X243" i="15"/>
  <c r="AE243" i="15"/>
  <c r="W243" i="15"/>
  <c r="AC243" i="15"/>
  <c r="U243" i="15"/>
  <c r="AG243" i="15"/>
  <c r="L245" i="15"/>
  <c r="O246" i="15"/>
  <c r="U249" i="15"/>
  <c r="N240" i="15"/>
  <c r="F240" i="15"/>
  <c r="X238" i="15"/>
  <c r="AF238" i="15"/>
  <c r="AB239" i="15"/>
  <c r="J240" i="15"/>
  <c r="AD240" i="15"/>
  <c r="V240" i="15"/>
  <c r="AB240" i="15"/>
  <c r="K241" i="15"/>
  <c r="M244" i="15"/>
  <c r="E244" i="15"/>
  <c r="K244" i="15"/>
  <c r="R244" i="15"/>
  <c r="J244" i="15"/>
  <c r="P244" i="15"/>
  <c r="H244" i="15"/>
  <c r="O245" i="15"/>
  <c r="R246" i="15"/>
  <c r="AA238" i="15"/>
  <c r="K236" i="15"/>
  <c r="V237" i="15"/>
  <c r="Y238" i="15"/>
  <c r="AG238" i="15"/>
  <c r="T239" i="15"/>
  <c r="AC239" i="15"/>
  <c r="K240" i="15"/>
  <c r="T240" i="15"/>
  <c r="AC240" i="15"/>
  <c r="F244" i="15"/>
  <c r="Q245" i="15"/>
  <c r="AA249" i="15"/>
  <c r="D268" i="15"/>
  <c r="R268" i="15" s="1"/>
  <c r="U239" i="15"/>
  <c r="AD239" i="15"/>
  <c r="L240" i="15"/>
  <c r="U240" i="15"/>
  <c r="AE240" i="15"/>
  <c r="Q241" i="15"/>
  <c r="I241" i="15"/>
  <c r="M241" i="15"/>
  <c r="G244" i="15"/>
  <c r="R245" i="15"/>
  <c r="AA248" i="15"/>
  <c r="Y250" i="15"/>
  <c r="AG250" i="15"/>
  <c r="L251" i="15"/>
  <c r="G252" i="15"/>
  <c r="P252" i="15"/>
  <c r="G253" i="15"/>
  <c r="Q253" i="15"/>
  <c r="Z253" i="15"/>
  <c r="Q256" i="15"/>
  <c r="I256" i="15"/>
  <c r="P256" i="15"/>
  <c r="H256" i="15"/>
  <c r="O256" i="15"/>
  <c r="G256" i="15"/>
  <c r="R256" i="15"/>
  <c r="P258" i="15"/>
  <c r="H258" i="15"/>
  <c r="O258" i="15"/>
  <c r="G258" i="15"/>
  <c r="N258" i="15"/>
  <c r="F258" i="15"/>
  <c r="M258" i="15"/>
  <c r="E258" i="15"/>
  <c r="R258" i="15"/>
  <c r="J258" i="15"/>
  <c r="AA258" i="15"/>
  <c r="K267" i="15"/>
  <c r="R267" i="15"/>
  <c r="J267" i="15"/>
  <c r="Q267" i="15"/>
  <c r="I267" i="15"/>
  <c r="P267" i="15"/>
  <c r="H267" i="15"/>
  <c r="O267" i="15"/>
  <c r="G267" i="15"/>
  <c r="N267" i="15"/>
  <c r="F267" i="15"/>
  <c r="M267" i="15"/>
  <c r="E267" i="15"/>
  <c r="AA245" i="15"/>
  <c r="V246" i="15"/>
  <c r="AD246" i="15"/>
  <c r="L248" i="15"/>
  <c r="T248" i="15"/>
  <c r="AB248" i="15"/>
  <c r="G249" i="15"/>
  <c r="O249" i="15"/>
  <c r="Z250" i="15"/>
  <c r="E251" i="15"/>
  <c r="M251" i="15"/>
  <c r="H252" i="15"/>
  <c r="Q252" i="15"/>
  <c r="I253" i="15"/>
  <c r="R253" i="15"/>
  <c r="Y255" i="15"/>
  <c r="E256" i="15"/>
  <c r="AG256" i="15"/>
  <c r="Y256" i="15"/>
  <c r="AF256" i="15"/>
  <c r="X256" i="15"/>
  <c r="AE256" i="15"/>
  <c r="W256" i="15"/>
  <c r="AD256" i="15"/>
  <c r="I258" i="15"/>
  <c r="AB258" i="15"/>
  <c r="K259" i="15"/>
  <c r="R259" i="15"/>
  <c r="J259" i="15"/>
  <c r="Q259" i="15"/>
  <c r="I259" i="15"/>
  <c r="P259" i="15"/>
  <c r="H259" i="15"/>
  <c r="N259" i="15"/>
  <c r="M259" i="15"/>
  <c r="E259" i="15"/>
  <c r="L267" i="15"/>
  <c r="AA250" i="15"/>
  <c r="I252" i="15"/>
  <c r="R252" i="15"/>
  <c r="J253" i="15"/>
  <c r="AF253" i="15"/>
  <c r="X253" i="15"/>
  <c r="AB253" i="15"/>
  <c r="Z244" i="15"/>
  <c r="U245" i="15"/>
  <c r="AC245" i="15"/>
  <c r="X246" i="15"/>
  <c r="AF246" i="15"/>
  <c r="K247" i="15"/>
  <c r="F248" i="15"/>
  <c r="N248" i="15"/>
  <c r="V248" i="15"/>
  <c r="AD248" i="15"/>
  <c r="I249" i="15"/>
  <c r="Q249" i="15"/>
  <c r="T250" i="15"/>
  <c r="AB250" i="15"/>
  <c r="G251" i="15"/>
  <c r="O251" i="15"/>
  <c r="J252" i="15"/>
  <c r="AC252" i="15"/>
  <c r="U252" i="15"/>
  <c r="AB252" i="15"/>
  <c r="K253" i="15"/>
  <c r="T253" i="15"/>
  <c r="AC253" i="15"/>
  <c r="L254" i="15"/>
  <c r="AA255" i="15"/>
  <c r="J256" i="15"/>
  <c r="U256" i="15"/>
  <c r="L258" i="15"/>
  <c r="G259" i="15"/>
  <c r="V245" i="15"/>
  <c r="Y246" i="15"/>
  <c r="AG246" i="15"/>
  <c r="G248" i="15"/>
  <c r="W248" i="15"/>
  <c r="AE248" i="15"/>
  <c r="J249" i="15"/>
  <c r="R249" i="15"/>
  <c r="U250" i="15"/>
  <c r="AC250" i="15"/>
  <c r="H251" i="15"/>
  <c r="P251" i="15"/>
  <c r="K252" i="15"/>
  <c r="U253" i="15"/>
  <c r="AD253" i="15"/>
  <c r="M254" i="15"/>
  <c r="K256" i="15"/>
  <c r="V256" i="15"/>
  <c r="Q258" i="15"/>
  <c r="L259" i="15"/>
  <c r="L252" i="15"/>
  <c r="P253" i="15"/>
  <c r="H253" i="15"/>
  <c r="M253" i="15"/>
  <c r="AF258" i="15"/>
  <c r="X258" i="15"/>
  <c r="AE258" i="15"/>
  <c r="W258" i="15"/>
  <c r="AD258" i="15"/>
  <c r="V258" i="15"/>
  <c r="AC258" i="15"/>
  <c r="U258" i="15"/>
  <c r="Z258" i="15"/>
  <c r="Z264" i="15"/>
  <c r="AG264" i="15"/>
  <c r="Y264" i="15"/>
  <c r="AF264" i="15"/>
  <c r="X264" i="15"/>
  <c r="AE264" i="15"/>
  <c r="W264" i="15"/>
  <c r="AD264" i="15"/>
  <c r="V264" i="15"/>
  <c r="AC264" i="15"/>
  <c r="U264" i="15"/>
  <c r="AB264" i="15"/>
  <c r="T264" i="15"/>
  <c r="Y248" i="15"/>
  <c r="W250" i="15"/>
  <c r="J251" i="15"/>
  <c r="E252" i="15"/>
  <c r="N252" i="15"/>
  <c r="E253" i="15"/>
  <c r="N253" i="15"/>
  <c r="W253" i="15"/>
  <c r="AG253" i="15"/>
  <c r="AD255" i="15"/>
  <c r="V255" i="15"/>
  <c r="AC255" i="15"/>
  <c r="U255" i="15"/>
  <c r="AB255" i="15"/>
  <c r="T255" i="15"/>
  <c r="AG255" i="15"/>
  <c r="M256" i="15"/>
  <c r="AA256" i="15"/>
  <c r="T258" i="15"/>
  <c r="AA264" i="15"/>
  <c r="U259" i="15"/>
  <c r="AC259" i="15"/>
  <c r="K261" i="15"/>
  <c r="AA261" i="15"/>
  <c r="F262" i="15"/>
  <c r="N262" i="15"/>
  <c r="L264" i="15"/>
  <c r="U267" i="15"/>
  <c r="AC267" i="15"/>
  <c r="L261" i="15"/>
  <c r="E264" i="15"/>
  <c r="M264" i="15"/>
  <c r="AA266" i="15"/>
  <c r="V267" i="15"/>
  <c r="AD267" i="15"/>
  <c r="E261" i="15"/>
  <c r="M261" i="15"/>
  <c r="K263" i="15"/>
  <c r="AA263" i="15"/>
  <c r="F264" i="15"/>
  <c r="N264" i="15"/>
  <c r="L266" i="15"/>
  <c r="T266" i="15"/>
  <c r="AB266" i="15"/>
  <c r="W267" i="15"/>
  <c r="AE267" i="15"/>
  <c r="L255" i="15"/>
  <c r="X259" i="15"/>
  <c r="AF259" i="15"/>
  <c r="AA260" i="15"/>
  <c r="F261" i="15"/>
  <c r="N261" i="15"/>
  <c r="V261" i="15"/>
  <c r="AD261" i="15"/>
  <c r="I262" i="15"/>
  <c r="Q262" i="15"/>
  <c r="L263" i="15"/>
  <c r="T263" i="15"/>
  <c r="AB263" i="15"/>
  <c r="G264" i="15"/>
  <c r="O264" i="15"/>
  <c r="E266" i="15"/>
  <c r="M266" i="15"/>
  <c r="U266" i="15"/>
  <c r="AC266" i="15"/>
  <c r="X267" i="15"/>
  <c r="AF267" i="15"/>
  <c r="E255" i="15"/>
  <c r="M255" i="15"/>
  <c r="AA257" i="15"/>
  <c r="Y259" i="15"/>
  <c r="AG259" i="15"/>
  <c r="L260" i="15"/>
  <c r="T260" i="15"/>
  <c r="AB260" i="15"/>
  <c r="G261" i="15"/>
  <c r="O261" i="15"/>
  <c r="W261" i="15"/>
  <c r="AE261" i="15"/>
  <c r="J262" i="15"/>
  <c r="R262" i="15"/>
  <c r="E263" i="15"/>
  <c r="M263" i="15"/>
  <c r="U263" i="15"/>
  <c r="AC263" i="15"/>
  <c r="H264" i="15"/>
  <c r="P264" i="15"/>
  <c r="AA265" i="15"/>
  <c r="F266" i="15"/>
  <c r="N266" i="15"/>
  <c r="V266" i="15"/>
  <c r="AD266" i="15"/>
  <c r="Y267" i="15"/>
  <c r="AG267" i="15"/>
  <c r="F255" i="15"/>
  <c r="T257" i="15"/>
  <c r="Z259" i="15"/>
  <c r="E260" i="15"/>
  <c r="U260" i="15"/>
  <c r="H261" i="15"/>
  <c r="P261" i="15"/>
  <c r="X261" i="15"/>
  <c r="K262" i="15"/>
  <c r="F263" i="15"/>
  <c r="V263" i="15"/>
  <c r="I264" i="15"/>
  <c r="T265" i="15"/>
  <c r="G266" i="15"/>
  <c r="W266" i="15"/>
  <c r="Z267" i="15"/>
  <c r="I261" i="15"/>
  <c r="S268" i="15"/>
  <c r="AB201" i="15"/>
  <c r="Y198" i="15"/>
  <c r="AG198" i="15"/>
  <c r="L199" i="15"/>
  <c r="T199" i="15"/>
  <c r="U200" i="15"/>
  <c r="T201" i="15"/>
  <c r="AD201" i="15"/>
  <c r="U202" i="15"/>
  <c r="AE204" i="15"/>
  <c r="W204" i="15"/>
  <c r="AD204" i="15"/>
  <c r="V204" i="15"/>
  <c r="AB204" i="15"/>
  <c r="T204" i="15"/>
  <c r="AG204" i="15"/>
  <c r="AC206" i="15"/>
  <c r="U206" i="15"/>
  <c r="AB206" i="15"/>
  <c r="T206" i="15"/>
  <c r="Z206" i="15"/>
  <c r="AF206" i="15"/>
  <c r="K207" i="15"/>
  <c r="Y207" i="15"/>
  <c r="E208" i="15"/>
  <c r="Q208" i="15"/>
  <c r="L209" i="15"/>
  <c r="K210" i="15"/>
  <c r="AA210" i="15"/>
  <c r="AC214" i="15"/>
  <c r="U214" i="15"/>
  <c r="AB214" i="15"/>
  <c r="AQ214" i="15" s="1"/>
  <c r="T214" i="15"/>
  <c r="AD214" i="15"/>
  <c r="AA214" i="15"/>
  <c r="Z214" i="15"/>
  <c r="Y214" i="15"/>
  <c r="X214" i="15"/>
  <c r="AF214" i="15"/>
  <c r="V214" i="15"/>
  <c r="AB199" i="15"/>
  <c r="M213" i="15"/>
  <c r="AQ213" i="15" s="1"/>
  <c r="E213" i="15"/>
  <c r="AI213" i="15" s="1"/>
  <c r="K213" i="15"/>
  <c r="R213" i="15"/>
  <c r="J213" i="15"/>
  <c r="Q213" i="15"/>
  <c r="AU213" i="15" s="1"/>
  <c r="I213" i="15"/>
  <c r="AM213" i="15" s="1"/>
  <c r="O213" i="15"/>
  <c r="AS213" i="15" s="1"/>
  <c r="G213" i="15"/>
  <c r="AK213" i="15" s="1"/>
  <c r="S125" i="15"/>
  <c r="U199" i="15"/>
  <c r="J200" i="15"/>
  <c r="M200" i="15"/>
  <c r="V200" i="15"/>
  <c r="V201" i="15"/>
  <c r="AE201" i="15"/>
  <c r="H202" i="15"/>
  <c r="M202" i="15"/>
  <c r="V202" i="15"/>
  <c r="L207" i="15"/>
  <c r="Z207" i="15"/>
  <c r="P209" i="15"/>
  <c r="AT209" i="15" s="1"/>
  <c r="L210" i="15"/>
  <c r="AP210" i="15" s="1"/>
  <c r="AB210" i="15"/>
  <c r="H213" i="15"/>
  <c r="W199" i="15"/>
  <c r="K208" i="15"/>
  <c r="R208" i="15"/>
  <c r="J208" i="15"/>
  <c r="P208" i="15"/>
  <c r="H208" i="15"/>
  <c r="AA198" i="15"/>
  <c r="F199" i="15"/>
  <c r="V199" i="15"/>
  <c r="E200" i="15"/>
  <c r="W200" i="15"/>
  <c r="M201" i="15"/>
  <c r="E201" i="15"/>
  <c r="N201" i="15"/>
  <c r="W201" i="15"/>
  <c r="E202" i="15"/>
  <c r="W202" i="15"/>
  <c r="X204" i="15"/>
  <c r="R205" i="15"/>
  <c r="J205" i="15"/>
  <c r="Q205" i="15"/>
  <c r="I205" i="15"/>
  <c r="O205" i="15"/>
  <c r="G205" i="15"/>
  <c r="P205" i="15"/>
  <c r="W206" i="15"/>
  <c r="N207" i="15"/>
  <c r="AA207" i="15"/>
  <c r="G208" i="15"/>
  <c r="Q209" i="15"/>
  <c r="AU209" i="15" s="1"/>
  <c r="M210" i="15"/>
  <c r="AQ210" i="15" s="1"/>
  <c r="AC210" i="15"/>
  <c r="AF212" i="15"/>
  <c r="X212" i="15"/>
  <c r="AE212" i="15"/>
  <c r="W212" i="15"/>
  <c r="AD212" i="15"/>
  <c r="AS212" i="15" s="1"/>
  <c r="V212" i="15"/>
  <c r="AB212" i="15"/>
  <c r="T212" i="15"/>
  <c r="L213" i="15"/>
  <c r="AP213" i="15" s="1"/>
  <c r="AE214" i="15"/>
  <c r="AC201" i="15"/>
  <c r="U201" i="15"/>
  <c r="O208" i="15"/>
  <c r="D230" i="15"/>
  <c r="T198" i="15"/>
  <c r="G199" i="15"/>
  <c r="X199" i="15"/>
  <c r="F200" i="15"/>
  <c r="X200" i="15"/>
  <c r="F201" i="15"/>
  <c r="O201" i="15"/>
  <c r="X201" i="15"/>
  <c r="AG201" i="15"/>
  <c r="F202" i="15"/>
  <c r="Y204" i="15"/>
  <c r="E205" i="15"/>
  <c r="Z205" i="15"/>
  <c r="AG205" i="15"/>
  <c r="Y205" i="15"/>
  <c r="AE205" i="15"/>
  <c r="W205" i="15"/>
  <c r="AD205" i="15"/>
  <c r="X206" i="15"/>
  <c r="AB207" i="15"/>
  <c r="I208" i="15"/>
  <c r="U212" i="15"/>
  <c r="N213" i="15"/>
  <c r="AR213" i="15" s="1"/>
  <c r="AG214" i="15"/>
  <c r="Y199" i="15"/>
  <c r="Y201" i="15"/>
  <c r="P207" i="15"/>
  <c r="H207" i="15"/>
  <c r="O207" i="15"/>
  <c r="G207" i="15"/>
  <c r="M207" i="15"/>
  <c r="E207" i="15"/>
  <c r="R207" i="15"/>
  <c r="L208" i="15"/>
  <c r="O209" i="15"/>
  <c r="AS209" i="15" s="1"/>
  <c r="G209" i="15"/>
  <c r="N209" i="15"/>
  <c r="F209" i="15"/>
  <c r="M209" i="15"/>
  <c r="AQ209" i="15" s="1"/>
  <c r="E209" i="15"/>
  <c r="AI209" i="15" s="1"/>
  <c r="K209" i="15"/>
  <c r="AO209" i="15" s="1"/>
  <c r="Z210" i="15"/>
  <c r="AG210" i="15"/>
  <c r="Y210" i="15"/>
  <c r="AF210" i="15"/>
  <c r="X210" i="15"/>
  <c r="AD210" i="15"/>
  <c r="AS210" i="15" s="1"/>
  <c r="V210" i="15"/>
  <c r="P213" i="15"/>
  <c r="Z199" i="15"/>
  <c r="Z201" i="15"/>
  <c r="F207" i="15"/>
  <c r="AF207" i="15"/>
  <c r="X207" i="15"/>
  <c r="AE207" i="15"/>
  <c r="W207" i="15"/>
  <c r="AC207" i="15"/>
  <c r="U207" i="15"/>
  <c r="AG207" i="15"/>
  <c r="M208" i="15"/>
  <c r="H209" i="15"/>
  <c r="AL209" i="15" s="1"/>
  <c r="R210" i="15"/>
  <c r="AV210" i="15" s="1"/>
  <c r="J210" i="15"/>
  <c r="AN210" i="15" s="1"/>
  <c r="Q210" i="15"/>
  <c r="AU210" i="15" s="1"/>
  <c r="I210" i="15"/>
  <c r="AM210" i="15" s="1"/>
  <c r="P210" i="15"/>
  <c r="AT210" i="15" s="1"/>
  <c r="H210" i="15"/>
  <c r="AL210" i="15" s="1"/>
  <c r="N210" i="15"/>
  <c r="AR210" i="15" s="1"/>
  <c r="F210" i="15"/>
  <c r="T210" i="15"/>
  <c r="AA199" i="15"/>
  <c r="AB200" i="15"/>
  <c r="AA201" i="15"/>
  <c r="X202" i="15"/>
  <c r="AB202" i="15"/>
  <c r="I207" i="15"/>
  <c r="T207" i="15"/>
  <c r="N208" i="15"/>
  <c r="I209" i="15"/>
  <c r="AM209" i="15" s="1"/>
  <c r="E210" i="15"/>
  <c r="AI210" i="15" s="1"/>
  <c r="U210" i="15"/>
  <c r="L204" i="15"/>
  <c r="AA209" i="15"/>
  <c r="L212" i="15"/>
  <c r="AP212" i="15" s="1"/>
  <c r="W213" i="15"/>
  <c r="AE213" i="15"/>
  <c r="I215" i="15"/>
  <c r="AF215" i="15"/>
  <c r="X215" i="15"/>
  <c r="AE215" i="15"/>
  <c r="W215" i="15"/>
  <c r="AC215" i="15"/>
  <c r="F216" i="15"/>
  <c r="P216" i="15"/>
  <c r="K229" i="15"/>
  <c r="J229" i="15"/>
  <c r="I229" i="15"/>
  <c r="H229" i="15"/>
  <c r="G229" i="15"/>
  <c r="F229" i="15"/>
  <c r="M229" i="15"/>
  <c r="E229" i="15"/>
  <c r="AG218" i="15"/>
  <c r="Y218" i="15"/>
  <c r="AF218" i="15"/>
  <c r="AU218" i="15" s="1"/>
  <c r="X218" i="15"/>
  <c r="AE218" i="15"/>
  <c r="W218" i="15"/>
  <c r="AD218" i="15"/>
  <c r="V218" i="15"/>
  <c r="AC218" i="15"/>
  <c r="U218" i="15"/>
  <c r="AB218" i="15"/>
  <c r="T218" i="15"/>
  <c r="K203" i="15"/>
  <c r="F204" i="15"/>
  <c r="N204" i="15"/>
  <c r="Z208" i="15"/>
  <c r="U209" i="15"/>
  <c r="AC209" i="15"/>
  <c r="K211" i="15"/>
  <c r="AO211" i="15" s="1"/>
  <c r="F212" i="15"/>
  <c r="AJ212" i="15" s="1"/>
  <c r="N212" i="15"/>
  <c r="AR212" i="15" s="1"/>
  <c r="Y213" i="15"/>
  <c r="AG213" i="15"/>
  <c r="K215" i="15"/>
  <c r="AO215" i="15" s="1"/>
  <c r="U215" i="15"/>
  <c r="AG215" i="15"/>
  <c r="H216" i="15"/>
  <c r="Z218" i="15"/>
  <c r="G204" i="15"/>
  <c r="V209" i="15"/>
  <c r="G212" i="15"/>
  <c r="AK212" i="15" s="1"/>
  <c r="Z213" i="15"/>
  <c r="L215" i="15"/>
  <c r="AP215" i="15" s="1"/>
  <c r="V215" i="15"/>
  <c r="I216" i="15"/>
  <c r="AA218" i="15"/>
  <c r="L216" i="15"/>
  <c r="K221" i="15"/>
  <c r="R221" i="15"/>
  <c r="J221" i="15"/>
  <c r="Q221" i="15"/>
  <c r="I221" i="15"/>
  <c r="P221" i="15"/>
  <c r="H221" i="15"/>
  <c r="O221" i="15"/>
  <c r="G221" i="15"/>
  <c r="N221" i="15"/>
  <c r="F221" i="15"/>
  <c r="M221" i="15"/>
  <c r="AQ221" i="15" s="1"/>
  <c r="E221" i="15"/>
  <c r="AI221" i="15" s="1"/>
  <c r="P215" i="15"/>
  <c r="AT215" i="15" s="1"/>
  <c r="H215" i="15"/>
  <c r="AL215" i="15" s="1"/>
  <c r="O215" i="15"/>
  <c r="AS215" i="15" s="1"/>
  <c r="G215" i="15"/>
  <c r="AK215" i="15" s="1"/>
  <c r="N215" i="15"/>
  <c r="AR215" i="15" s="1"/>
  <c r="E215" i="15"/>
  <c r="AI215" i="15" s="1"/>
  <c r="Q215" i="15"/>
  <c r="AU215" i="15" s="1"/>
  <c r="K216" i="15"/>
  <c r="R216" i="15"/>
  <c r="J216" i="15"/>
  <c r="N216" i="15"/>
  <c r="Z226" i="15"/>
  <c r="AG226" i="15"/>
  <c r="Y226" i="15"/>
  <c r="AF226" i="15"/>
  <c r="AU226" i="15" s="1"/>
  <c r="X226" i="15"/>
  <c r="AE226" i="15"/>
  <c r="W226" i="15"/>
  <c r="AD226" i="15"/>
  <c r="V226" i="15"/>
  <c r="AC226" i="15"/>
  <c r="U226" i="15"/>
  <c r="AB226" i="15"/>
  <c r="T226" i="15"/>
  <c r="I217" i="15"/>
  <c r="AM217" i="15" s="1"/>
  <c r="Q217" i="15"/>
  <c r="AU217" i="15" s="1"/>
  <c r="Y217" i="15"/>
  <c r="AG217" i="15"/>
  <c r="L218" i="15"/>
  <c r="AP218" i="15" s="1"/>
  <c r="J220" i="15"/>
  <c r="AN220" i="15" s="1"/>
  <c r="R220" i="15"/>
  <c r="AV220" i="15" s="1"/>
  <c r="Z220" i="15"/>
  <c r="U221" i="15"/>
  <c r="AC221" i="15"/>
  <c r="X222" i="15"/>
  <c r="AF222" i="15"/>
  <c r="K223" i="15"/>
  <c r="AO223" i="15" s="1"/>
  <c r="AA223" i="15"/>
  <c r="F224" i="15"/>
  <c r="AJ224" i="15" s="1"/>
  <c r="N224" i="15"/>
  <c r="AR224" i="15" s="1"/>
  <c r="I225" i="15"/>
  <c r="AM225" i="15" s="1"/>
  <c r="Q225" i="15"/>
  <c r="AU225" i="15" s="1"/>
  <c r="AG225" i="15"/>
  <c r="L226" i="15"/>
  <c r="AP226" i="15" s="1"/>
  <c r="Z228" i="15"/>
  <c r="U229" i="15"/>
  <c r="E218" i="15"/>
  <c r="AI218" i="15" s="1"/>
  <c r="M218" i="15"/>
  <c r="AQ218" i="15" s="1"/>
  <c r="AA220" i="15"/>
  <c r="V221" i="15"/>
  <c r="AD221" i="15"/>
  <c r="Y222" i="15"/>
  <c r="AG222" i="15"/>
  <c r="L223" i="15"/>
  <c r="AP223" i="15" s="1"/>
  <c r="T223" i="15"/>
  <c r="AB223" i="15"/>
  <c r="G224" i="15"/>
  <c r="AK224" i="15" s="1"/>
  <c r="O224" i="15"/>
  <c r="AS224" i="15" s="1"/>
  <c r="J225" i="15"/>
  <c r="AN225" i="15" s="1"/>
  <c r="R225" i="15"/>
  <c r="AV225" i="15" s="1"/>
  <c r="E226" i="15"/>
  <c r="AI226" i="15" s="1"/>
  <c r="M226" i="15"/>
  <c r="AQ226" i="15" s="1"/>
  <c r="AA228" i="15"/>
  <c r="V229" i="15"/>
  <c r="K217" i="15"/>
  <c r="AO217" i="15" s="1"/>
  <c r="AA217" i="15"/>
  <c r="F218" i="15"/>
  <c r="AJ218" i="15" s="1"/>
  <c r="N218" i="15"/>
  <c r="AR218" i="15" s="1"/>
  <c r="L220" i="15"/>
  <c r="AP220" i="15" s="1"/>
  <c r="T220" i="15"/>
  <c r="AB220" i="15"/>
  <c r="W221" i="15"/>
  <c r="AE221" i="15"/>
  <c r="Z222" i="15"/>
  <c r="E223" i="15"/>
  <c r="AI223" i="15" s="1"/>
  <c r="M223" i="15"/>
  <c r="AQ223" i="15" s="1"/>
  <c r="U223" i="15"/>
  <c r="AC223" i="15"/>
  <c r="H224" i="15"/>
  <c r="AL224" i="15" s="1"/>
  <c r="P224" i="15"/>
  <c r="AT224" i="15" s="1"/>
  <c r="AF224" i="15"/>
  <c r="K225" i="15"/>
  <c r="AO225" i="15" s="1"/>
  <c r="AA225" i="15"/>
  <c r="F226" i="15"/>
  <c r="AJ226" i="15" s="1"/>
  <c r="N226" i="15"/>
  <c r="AR226" i="15" s="1"/>
  <c r="L228" i="15"/>
  <c r="AP228" i="15" s="1"/>
  <c r="T228" i="15"/>
  <c r="AB228" i="15"/>
  <c r="W229" i="15"/>
  <c r="L217" i="15"/>
  <c r="AP217" i="15" s="1"/>
  <c r="T217" i="15"/>
  <c r="AB217" i="15"/>
  <c r="G218" i="15"/>
  <c r="AK218" i="15" s="1"/>
  <c r="O218" i="15"/>
  <c r="AS218" i="15" s="1"/>
  <c r="E220" i="15"/>
  <c r="AI220" i="15" s="1"/>
  <c r="M220" i="15"/>
  <c r="AQ220" i="15" s="1"/>
  <c r="U220" i="15"/>
  <c r="AC220" i="15"/>
  <c r="X221" i="15"/>
  <c r="AF221" i="15"/>
  <c r="AA222" i="15"/>
  <c r="F223" i="15"/>
  <c r="AJ223" i="15" s="1"/>
  <c r="N223" i="15"/>
  <c r="AR223" i="15" s="1"/>
  <c r="V223" i="15"/>
  <c r="AD223" i="15"/>
  <c r="I224" i="15"/>
  <c r="AM224" i="15" s="1"/>
  <c r="Q224" i="15"/>
  <c r="AU224" i="15" s="1"/>
  <c r="L225" i="15"/>
  <c r="AP225" i="15" s="1"/>
  <c r="T225" i="15"/>
  <c r="AB225" i="15"/>
  <c r="G226" i="15"/>
  <c r="AK226" i="15" s="1"/>
  <c r="O226" i="15"/>
  <c r="AS226" i="15" s="1"/>
  <c r="E228" i="15"/>
  <c r="AI228" i="15" s="1"/>
  <c r="M228" i="15"/>
  <c r="AQ228" i="15" s="1"/>
  <c r="U228" i="15"/>
  <c r="AC228" i="15"/>
  <c r="X229" i="15"/>
  <c r="L214" i="15"/>
  <c r="AP214" i="15" s="1"/>
  <c r="Z216" i="15"/>
  <c r="E217" i="15"/>
  <c r="AI217" i="15" s="1"/>
  <c r="M217" i="15"/>
  <c r="AQ217" i="15" s="1"/>
  <c r="U217" i="15"/>
  <c r="AC217" i="15"/>
  <c r="AR217" i="15" s="1"/>
  <c r="H218" i="15"/>
  <c r="AL218" i="15" s="1"/>
  <c r="P218" i="15"/>
  <c r="AT218" i="15" s="1"/>
  <c r="K219" i="15"/>
  <c r="AO219" i="15" s="1"/>
  <c r="AA219" i="15"/>
  <c r="AP219" i="15" s="1"/>
  <c r="F220" i="15"/>
  <c r="AJ220" i="15" s="1"/>
  <c r="N220" i="15"/>
  <c r="AR220" i="15" s="1"/>
  <c r="V220" i="15"/>
  <c r="AD220" i="15"/>
  <c r="AS220" i="15" s="1"/>
  <c r="Y221" i="15"/>
  <c r="AG221" i="15"/>
  <c r="L222" i="15"/>
  <c r="AP222" i="15" s="1"/>
  <c r="T222" i="15"/>
  <c r="AB222" i="15"/>
  <c r="AQ222" i="15" s="1"/>
  <c r="G223" i="15"/>
  <c r="AK223" i="15" s="1"/>
  <c r="O223" i="15"/>
  <c r="AS223" i="15" s="1"/>
  <c r="W223" i="15"/>
  <c r="AE223" i="15"/>
  <c r="AT223" i="15" s="1"/>
  <c r="J224" i="15"/>
  <c r="AN224" i="15" s="1"/>
  <c r="R224" i="15"/>
  <c r="AV224" i="15" s="1"/>
  <c r="Z224" i="15"/>
  <c r="E225" i="15"/>
  <c r="AI225" i="15" s="1"/>
  <c r="M225" i="15"/>
  <c r="AQ225" i="15" s="1"/>
  <c r="U225" i="15"/>
  <c r="AC225" i="15"/>
  <c r="H226" i="15"/>
  <c r="AL226" i="15" s="1"/>
  <c r="P226" i="15"/>
  <c r="AT226" i="15" s="1"/>
  <c r="AA227" i="15"/>
  <c r="AP227" i="15" s="1"/>
  <c r="F228" i="15"/>
  <c r="AJ228" i="15" s="1"/>
  <c r="N228" i="15"/>
  <c r="AR228" i="15" s="1"/>
  <c r="V228" i="15"/>
  <c r="AD228" i="15"/>
  <c r="AS228" i="15" s="1"/>
  <c r="Y229" i="15"/>
  <c r="F217" i="15"/>
  <c r="AJ217" i="15" s="1"/>
  <c r="V217" i="15"/>
  <c r="I218" i="15"/>
  <c r="AM218" i="15" s="1"/>
  <c r="T219" i="15"/>
  <c r="G220" i="15"/>
  <c r="AK220" i="15" s="1"/>
  <c r="W220" i="15"/>
  <c r="Z221" i="15"/>
  <c r="E222" i="15"/>
  <c r="AI222" i="15" s="1"/>
  <c r="U222" i="15"/>
  <c r="H223" i="15"/>
  <c r="AL223" i="15" s="1"/>
  <c r="X223" i="15"/>
  <c r="K224" i="15"/>
  <c r="AO224" i="15" s="1"/>
  <c r="F225" i="15"/>
  <c r="AJ225" i="15" s="1"/>
  <c r="N225" i="15"/>
  <c r="AR225" i="15" s="1"/>
  <c r="V225" i="15"/>
  <c r="I226" i="15"/>
  <c r="AM226" i="15" s="1"/>
  <c r="T227" i="15"/>
  <c r="G228" i="15"/>
  <c r="AK228" i="15" s="1"/>
  <c r="W228" i="15"/>
  <c r="Z229" i="15"/>
  <c r="G225" i="15"/>
  <c r="AK225" i="15" s="1"/>
  <c r="S230" i="15"/>
  <c r="S231" i="15" s="1"/>
  <c r="D128" i="15"/>
  <c r="D130" i="15"/>
  <c r="D132" i="15"/>
  <c r="D124" i="15"/>
  <c r="D127" i="15"/>
  <c r="AC136" i="15"/>
  <c r="S123" i="15"/>
  <c r="Y123" i="15" s="1"/>
  <c r="D126" i="15"/>
  <c r="S126" i="15"/>
  <c r="E160" i="15"/>
  <c r="M160" i="15"/>
  <c r="U160" i="15"/>
  <c r="AC160" i="15"/>
  <c r="H161" i="15"/>
  <c r="X161" i="15"/>
  <c r="K162" i="15"/>
  <c r="T162" i="15"/>
  <c r="U164" i="15"/>
  <c r="H165" i="15"/>
  <c r="Z165" i="15"/>
  <c r="AE165" i="15"/>
  <c r="W165" i="15"/>
  <c r="AC165" i="15"/>
  <c r="M166" i="15"/>
  <c r="E166" i="15"/>
  <c r="R166" i="15"/>
  <c r="J166" i="15"/>
  <c r="O166" i="15"/>
  <c r="O167" i="15"/>
  <c r="G168" i="15"/>
  <c r="AG172" i="15"/>
  <c r="Y172" i="15"/>
  <c r="AE172" i="15"/>
  <c r="AT172" i="15" s="1"/>
  <c r="W172" i="15"/>
  <c r="AD172" i="15"/>
  <c r="AS172" i="15" s="1"/>
  <c r="V172" i="15"/>
  <c r="AC172" i="15"/>
  <c r="AR172" i="15" s="1"/>
  <c r="U172" i="15"/>
  <c r="AB172" i="15"/>
  <c r="AQ172" i="15" s="1"/>
  <c r="T172" i="15"/>
  <c r="AB162" i="15"/>
  <c r="F160" i="15"/>
  <c r="N160" i="15"/>
  <c r="L162" i="15"/>
  <c r="U162" i="15"/>
  <c r="V164" i="15"/>
  <c r="I165" i="15"/>
  <c r="J168" i="15"/>
  <c r="L160" i="15"/>
  <c r="G160" i="15"/>
  <c r="O160" i="15"/>
  <c r="W162" i="15"/>
  <c r="X164" i="15"/>
  <c r="K165" i="15"/>
  <c r="P167" i="15"/>
  <c r="H167" i="15"/>
  <c r="N167" i="15"/>
  <c r="F167" i="15"/>
  <c r="M167" i="15"/>
  <c r="E167" i="15"/>
  <c r="R167" i="15"/>
  <c r="L168" i="15"/>
  <c r="V162" i="15"/>
  <c r="S124" i="15"/>
  <c r="AC146" i="15"/>
  <c r="H160" i="15"/>
  <c r="P160" i="15"/>
  <c r="X160" i="15"/>
  <c r="AF160" i="15"/>
  <c r="K161" i="15"/>
  <c r="AA161" i="15"/>
  <c r="F162" i="15"/>
  <c r="X162" i="15"/>
  <c r="L165" i="15"/>
  <c r="V165" i="15"/>
  <c r="AG165" i="15"/>
  <c r="G167" i="15"/>
  <c r="AF167" i="15"/>
  <c r="X167" i="15"/>
  <c r="AD167" i="15"/>
  <c r="V167" i="15"/>
  <c r="AC167" i="15"/>
  <c r="U167" i="15"/>
  <c r="AG167" i="15"/>
  <c r="M168" i="15"/>
  <c r="Q170" i="15"/>
  <c r="I170" i="15"/>
  <c r="P170" i="15"/>
  <c r="H170" i="15"/>
  <c r="O170" i="15"/>
  <c r="G170" i="15"/>
  <c r="N170" i="15"/>
  <c r="F170" i="15"/>
  <c r="AA172" i="15"/>
  <c r="W164" i="15"/>
  <c r="AB164" i="15"/>
  <c r="T164" i="15"/>
  <c r="I160" i="15"/>
  <c r="Q160" i="15"/>
  <c r="Y160" i="15"/>
  <c r="AG160" i="15"/>
  <c r="T161" i="15"/>
  <c r="G162" i="15"/>
  <c r="Y162" i="15"/>
  <c r="AB163" i="15"/>
  <c r="T163" i="15"/>
  <c r="AG163" i="15"/>
  <c r="Y163" i="15"/>
  <c r="AD163" i="15"/>
  <c r="Z164" i="15"/>
  <c r="X165" i="15"/>
  <c r="I166" i="15"/>
  <c r="I167" i="15"/>
  <c r="T167" i="15"/>
  <c r="E170" i="15"/>
  <c r="AF172" i="15"/>
  <c r="AU172" i="15" s="1"/>
  <c r="D122" i="15"/>
  <c r="J160" i="15"/>
  <c r="R160" i="15"/>
  <c r="Z162" i="15"/>
  <c r="AA164" i="15"/>
  <c r="R165" i="15"/>
  <c r="J165" i="15"/>
  <c r="O165" i="15"/>
  <c r="G165" i="15"/>
  <c r="N165" i="15"/>
  <c r="K168" i="15"/>
  <c r="Q168" i="15"/>
  <c r="I168" i="15"/>
  <c r="P168" i="15"/>
  <c r="H168" i="15"/>
  <c r="O168" i="15"/>
  <c r="I162" i="15"/>
  <c r="AA162" i="15"/>
  <c r="E165" i="15"/>
  <c r="P165" i="15"/>
  <c r="K167" i="15"/>
  <c r="E168" i="15"/>
  <c r="R168" i="15"/>
  <c r="K175" i="15"/>
  <c r="R175" i="15"/>
  <c r="J175" i="15"/>
  <c r="Q175" i="15"/>
  <c r="I175" i="15"/>
  <c r="P175" i="15"/>
  <c r="H175" i="15"/>
  <c r="O175" i="15"/>
  <c r="G175" i="15"/>
  <c r="N175" i="15"/>
  <c r="F175" i="15"/>
  <c r="M175" i="15"/>
  <c r="AQ175" i="15" s="1"/>
  <c r="E175" i="15"/>
  <c r="AI175" i="15" s="1"/>
  <c r="I163" i="15"/>
  <c r="Q163" i="15"/>
  <c r="L164" i="15"/>
  <c r="Z166" i="15"/>
  <c r="X168" i="15"/>
  <c r="AF168" i="15"/>
  <c r="K169" i="15"/>
  <c r="AA169" i="15"/>
  <c r="V170" i="15"/>
  <c r="AD170" i="15"/>
  <c r="I171" i="15"/>
  <c r="AM171" i="15" s="1"/>
  <c r="Q171" i="15"/>
  <c r="AU171" i="15" s="1"/>
  <c r="Y171" i="15"/>
  <c r="AN171" i="15" s="1"/>
  <c r="AG171" i="15"/>
  <c r="L172" i="15"/>
  <c r="AP172" i="15" s="1"/>
  <c r="G173" i="15"/>
  <c r="AK173" i="15" s="1"/>
  <c r="O173" i="15"/>
  <c r="AS173" i="15" s="1"/>
  <c r="W173" i="15"/>
  <c r="AE173" i="15"/>
  <c r="J174" i="15"/>
  <c r="AN174" i="15" s="1"/>
  <c r="R174" i="15"/>
  <c r="AV174" i="15" s="1"/>
  <c r="Z174" i="15"/>
  <c r="U175" i="15"/>
  <c r="AC175" i="15"/>
  <c r="H176" i="15"/>
  <c r="Q176" i="15"/>
  <c r="Z176" i="15"/>
  <c r="I177" i="15"/>
  <c r="AF177" i="15"/>
  <c r="AU177" i="15" s="1"/>
  <c r="X177" i="15"/>
  <c r="AE177" i="15"/>
  <c r="W177" i="15"/>
  <c r="AC177" i="15"/>
  <c r="F178" i="15"/>
  <c r="P178" i="15"/>
  <c r="AF182" i="15"/>
  <c r="X182" i="15"/>
  <c r="AE182" i="15"/>
  <c r="W182" i="15"/>
  <c r="AD182" i="15"/>
  <c r="AS182" i="15" s="1"/>
  <c r="V182" i="15"/>
  <c r="AC182" i="15"/>
  <c r="U182" i="15"/>
  <c r="AB182" i="15"/>
  <c r="T182" i="15"/>
  <c r="Z182" i="15"/>
  <c r="AG182" i="15"/>
  <c r="Y182" i="15"/>
  <c r="AA166" i="15"/>
  <c r="L169" i="15"/>
  <c r="W170" i="15"/>
  <c r="AE170" i="15"/>
  <c r="Z171" i="15"/>
  <c r="AO171" i="15" s="1"/>
  <c r="H173" i="15"/>
  <c r="AL173" i="15" s="1"/>
  <c r="P173" i="15"/>
  <c r="AT173" i="15" s="1"/>
  <c r="X173" i="15"/>
  <c r="AF173" i="15"/>
  <c r="K174" i="15"/>
  <c r="AO174" i="15" s="1"/>
  <c r="AA174" i="15"/>
  <c r="V175" i="15"/>
  <c r="AD175" i="15"/>
  <c r="I176" i="15"/>
  <c r="AM176" i="15" s="1"/>
  <c r="R176" i="15"/>
  <c r="AV176" i="15" s="1"/>
  <c r="J177" i="15"/>
  <c r="AN177" i="15" s="1"/>
  <c r="G178" i="15"/>
  <c r="Q178" i="15"/>
  <c r="Q185" i="15"/>
  <c r="AU185" i="15" s="1"/>
  <c r="I185" i="15"/>
  <c r="P185" i="15"/>
  <c r="H185" i="15"/>
  <c r="O185" i="15"/>
  <c r="G185" i="15"/>
  <c r="N185" i="15"/>
  <c r="F185" i="15"/>
  <c r="M185" i="15"/>
  <c r="AQ185" i="15" s="1"/>
  <c r="E185" i="15"/>
  <c r="AI185" i="15" s="1"/>
  <c r="K185" i="15"/>
  <c r="AO185" i="15" s="1"/>
  <c r="R185" i="15"/>
  <c r="J185" i="15"/>
  <c r="AN185" i="15" s="1"/>
  <c r="X170" i="15"/>
  <c r="AF170" i="15"/>
  <c r="AA171" i="15"/>
  <c r="AP171" i="15" s="1"/>
  <c r="I173" i="15"/>
  <c r="AM173" i="15" s="1"/>
  <c r="Q173" i="15"/>
  <c r="AU173" i="15" s="1"/>
  <c r="Y173" i="15"/>
  <c r="AG173" i="15"/>
  <c r="L174" i="15"/>
  <c r="AP174" i="15" s="1"/>
  <c r="W175" i="15"/>
  <c r="AE175" i="15"/>
  <c r="J176" i="15"/>
  <c r="AN176" i="15" s="1"/>
  <c r="AC176" i="15"/>
  <c r="U176" i="15"/>
  <c r="AB176" i="15"/>
  <c r="AQ176" i="15" s="1"/>
  <c r="K177" i="15"/>
  <c r="AO177" i="15" s="1"/>
  <c r="H178" i="15"/>
  <c r="G164" i="15"/>
  <c r="U166" i="15"/>
  <c r="F169" i="15"/>
  <c r="V169" i="15"/>
  <c r="Y170" i="15"/>
  <c r="AG170" i="15"/>
  <c r="T171" i="15"/>
  <c r="AB171" i="15"/>
  <c r="AQ171" i="15" s="1"/>
  <c r="G172" i="15"/>
  <c r="AK172" i="15" s="1"/>
  <c r="J173" i="15"/>
  <c r="AN173" i="15" s="1"/>
  <c r="R173" i="15"/>
  <c r="AV173" i="15" s="1"/>
  <c r="Z173" i="15"/>
  <c r="E174" i="15"/>
  <c r="AI174" i="15" s="1"/>
  <c r="M174" i="15"/>
  <c r="AQ174" i="15" s="1"/>
  <c r="U174" i="15"/>
  <c r="AJ174" i="15" s="1"/>
  <c r="X175" i="15"/>
  <c r="AF175" i="15"/>
  <c r="K176" i="15"/>
  <c r="AO176" i="15" s="1"/>
  <c r="T176" i="15"/>
  <c r="AD176" i="15"/>
  <c r="I178" i="15"/>
  <c r="AA173" i="15"/>
  <c r="AP173" i="15" s="1"/>
  <c r="Y175" i="15"/>
  <c r="AG175" i="15"/>
  <c r="L176" i="15"/>
  <c r="AP176" i="15" s="1"/>
  <c r="P177" i="15"/>
  <c r="AT177" i="15" s="1"/>
  <c r="H177" i="15"/>
  <c r="AL177" i="15" s="1"/>
  <c r="O177" i="15"/>
  <c r="AS177" i="15" s="1"/>
  <c r="M177" i="15"/>
  <c r="AQ177" i="15" s="1"/>
  <c r="L178" i="15"/>
  <c r="V171" i="15"/>
  <c r="AK171" i="15" s="1"/>
  <c r="T173" i="15"/>
  <c r="AB173" i="15"/>
  <c r="G174" i="15"/>
  <c r="AK174" i="15" s="1"/>
  <c r="Z175" i="15"/>
  <c r="E176" i="15"/>
  <c r="AI176" i="15" s="1"/>
  <c r="N176" i="15"/>
  <c r="AR176" i="15" s="1"/>
  <c r="W176" i="15"/>
  <c r="AF176" i="15"/>
  <c r="E177" i="15"/>
  <c r="AI177" i="15" s="1"/>
  <c r="N177" i="15"/>
  <c r="AR177" i="15" s="1"/>
  <c r="U173" i="15"/>
  <c r="F176" i="15"/>
  <c r="AJ176" i="15" s="1"/>
  <c r="O176" i="15"/>
  <c r="AS176" i="15" s="1"/>
  <c r="K178" i="15"/>
  <c r="R178" i="15"/>
  <c r="J178" i="15"/>
  <c r="N178" i="15"/>
  <c r="AF190" i="15"/>
  <c r="X190" i="15"/>
  <c r="AE190" i="15"/>
  <c r="W190" i="15"/>
  <c r="AD190" i="15"/>
  <c r="AS190" i="15" s="1"/>
  <c r="V190" i="15"/>
  <c r="AC190" i="15"/>
  <c r="U190" i="15"/>
  <c r="AB190" i="15"/>
  <c r="T190" i="15"/>
  <c r="Z190" i="15"/>
  <c r="AO190" i="15" s="1"/>
  <c r="AG190" i="15"/>
  <c r="AV190" i="15" s="1"/>
  <c r="Y190" i="15"/>
  <c r="AA180" i="15"/>
  <c r="Q182" i="15"/>
  <c r="AU182" i="15" s="1"/>
  <c r="L183" i="15"/>
  <c r="AP183" i="15" s="1"/>
  <c r="T183" i="15"/>
  <c r="AB183" i="15"/>
  <c r="E186" i="15"/>
  <c r="AI186" i="15" s="1"/>
  <c r="M186" i="15"/>
  <c r="AQ186" i="15" s="1"/>
  <c r="AA188" i="15"/>
  <c r="L191" i="15"/>
  <c r="T191" i="15"/>
  <c r="AB191" i="15"/>
  <c r="Y179" i="15"/>
  <c r="AN179" i="15" s="1"/>
  <c r="AG179" i="15"/>
  <c r="AV179" i="15" s="1"/>
  <c r="L180" i="15"/>
  <c r="AP180" i="15" s="1"/>
  <c r="T180" i="15"/>
  <c r="AI180" i="15" s="1"/>
  <c r="AB180" i="15"/>
  <c r="J182" i="15"/>
  <c r="AN182" i="15" s="1"/>
  <c r="R182" i="15"/>
  <c r="AV182" i="15" s="1"/>
  <c r="E183" i="15"/>
  <c r="AI183" i="15" s="1"/>
  <c r="M183" i="15"/>
  <c r="AQ183" i="15" s="1"/>
  <c r="U183" i="15"/>
  <c r="AC183" i="15"/>
  <c r="AA185" i="15"/>
  <c r="F186" i="15"/>
  <c r="AJ186" i="15" s="1"/>
  <c r="N186" i="15"/>
  <c r="AR186" i="15" s="1"/>
  <c r="AG187" i="15"/>
  <c r="L188" i="15"/>
  <c r="AP188" i="15" s="1"/>
  <c r="T188" i="15"/>
  <c r="AB188" i="15"/>
  <c r="E191" i="15"/>
  <c r="M191" i="15"/>
  <c r="U191" i="15"/>
  <c r="AA179" i="15"/>
  <c r="F180" i="15"/>
  <c r="N180" i="15"/>
  <c r="AR180" i="15" s="1"/>
  <c r="V180" i="15"/>
  <c r="AD180" i="15"/>
  <c r="L182" i="15"/>
  <c r="AP182" i="15" s="1"/>
  <c r="G183" i="15"/>
  <c r="AK183" i="15" s="1"/>
  <c r="O183" i="15"/>
  <c r="AS183" i="15" s="1"/>
  <c r="W183" i="15"/>
  <c r="AE183" i="15"/>
  <c r="U185" i="15"/>
  <c r="AC185" i="15"/>
  <c r="H186" i="15"/>
  <c r="AL186" i="15" s="1"/>
  <c r="P186" i="15"/>
  <c r="AT186" i="15" s="1"/>
  <c r="AA187" i="15"/>
  <c r="F188" i="15"/>
  <c r="AJ188" i="15" s="1"/>
  <c r="N188" i="15"/>
  <c r="AR188" i="15" s="1"/>
  <c r="V188" i="15"/>
  <c r="AD188" i="15"/>
  <c r="L190" i="15"/>
  <c r="AP190" i="15" s="1"/>
  <c r="G191" i="15"/>
  <c r="W191" i="15"/>
  <c r="L179" i="15"/>
  <c r="AP179" i="15" s="1"/>
  <c r="T179" i="15"/>
  <c r="AB179" i="15"/>
  <c r="G180" i="15"/>
  <c r="AK180" i="15" s="1"/>
  <c r="O180" i="15"/>
  <c r="AS180" i="15" s="1"/>
  <c r="W180" i="15"/>
  <c r="AE180" i="15"/>
  <c r="E182" i="15"/>
  <c r="AI182" i="15" s="1"/>
  <c r="M182" i="15"/>
  <c r="AQ182" i="15" s="1"/>
  <c r="H183" i="15"/>
  <c r="AL183" i="15" s="1"/>
  <c r="P183" i="15"/>
  <c r="AT183" i="15" s="1"/>
  <c r="X183" i="15"/>
  <c r="AF183" i="15"/>
  <c r="AA184" i="15"/>
  <c r="V185" i="15"/>
  <c r="AD185" i="15"/>
  <c r="I186" i="15"/>
  <c r="AM186" i="15" s="1"/>
  <c r="Q186" i="15"/>
  <c r="AU186" i="15" s="1"/>
  <c r="L187" i="15"/>
  <c r="AP187" i="15" s="1"/>
  <c r="T187" i="15"/>
  <c r="AB187" i="15"/>
  <c r="G188" i="15"/>
  <c r="AK188" i="15" s="1"/>
  <c r="O188" i="15"/>
  <c r="AS188" i="15" s="1"/>
  <c r="W188" i="15"/>
  <c r="AE188" i="15"/>
  <c r="E190" i="15"/>
  <c r="M190" i="15"/>
  <c r="AQ190" i="15" s="1"/>
  <c r="H191" i="15"/>
  <c r="X191" i="15"/>
  <c r="E179" i="15"/>
  <c r="AI179" i="15" s="1"/>
  <c r="M179" i="15"/>
  <c r="AQ179" i="15" s="1"/>
  <c r="U179" i="15"/>
  <c r="AC179" i="15"/>
  <c r="AR179" i="15" s="1"/>
  <c r="H180" i="15"/>
  <c r="AL180" i="15" s="1"/>
  <c r="P180" i="15"/>
  <c r="AT180" i="15" s="1"/>
  <c r="X180" i="15"/>
  <c r="AF180" i="15"/>
  <c r="AU180" i="15" s="1"/>
  <c r="AA181" i="15"/>
  <c r="AP181" i="15" s="1"/>
  <c r="F182" i="15"/>
  <c r="AJ182" i="15" s="1"/>
  <c r="N182" i="15"/>
  <c r="AR182" i="15" s="1"/>
  <c r="I183" i="15"/>
  <c r="AM183" i="15" s="1"/>
  <c r="Q183" i="15"/>
  <c r="AU183" i="15" s="1"/>
  <c r="Y183" i="15"/>
  <c r="AG183" i="15"/>
  <c r="AV183" i="15" s="1"/>
  <c r="L184" i="15"/>
  <c r="AP184" i="15" s="1"/>
  <c r="T184" i="15"/>
  <c r="AB184" i="15"/>
  <c r="AQ184" i="15" s="1"/>
  <c r="W185" i="15"/>
  <c r="AE185" i="15"/>
  <c r="J186" i="15"/>
  <c r="AN186" i="15" s="1"/>
  <c r="R186" i="15"/>
  <c r="AV186" i="15" s="1"/>
  <c r="E187" i="15"/>
  <c r="AI187" i="15" s="1"/>
  <c r="M187" i="15"/>
  <c r="AQ187" i="15" s="1"/>
  <c r="U187" i="15"/>
  <c r="AC187" i="15"/>
  <c r="AR187" i="15" s="1"/>
  <c r="H188" i="15"/>
  <c r="AL188" i="15" s="1"/>
  <c r="P188" i="15"/>
  <c r="AT188" i="15" s="1"/>
  <c r="X188" i="15"/>
  <c r="AF188" i="15"/>
  <c r="AU188" i="15" s="1"/>
  <c r="AA189" i="15"/>
  <c r="AP189" i="15" s="1"/>
  <c r="F190" i="15"/>
  <c r="AJ190" i="15" s="1"/>
  <c r="N190" i="15"/>
  <c r="AR190" i="15" s="1"/>
  <c r="I191" i="15"/>
  <c r="Y191" i="15"/>
  <c r="F179" i="15"/>
  <c r="AJ179" i="15" s="1"/>
  <c r="V179" i="15"/>
  <c r="AK179" i="15" s="1"/>
  <c r="I180" i="15"/>
  <c r="AM180" i="15" s="1"/>
  <c r="Y180" i="15"/>
  <c r="T181" i="15"/>
  <c r="AI181" i="15" s="1"/>
  <c r="G182" i="15"/>
  <c r="AK182" i="15" s="1"/>
  <c r="J183" i="15"/>
  <c r="AN183" i="15" s="1"/>
  <c r="Z183" i="15"/>
  <c r="E184" i="15"/>
  <c r="AI184" i="15" s="1"/>
  <c r="U184" i="15"/>
  <c r="AJ184" i="15" s="1"/>
  <c r="X185" i="15"/>
  <c r="K186" i="15"/>
  <c r="AO186" i="15" s="1"/>
  <c r="F187" i="15"/>
  <c r="AJ187" i="15" s="1"/>
  <c r="V187" i="15"/>
  <c r="I188" i="15"/>
  <c r="AM188" i="15" s="1"/>
  <c r="Y188" i="15"/>
  <c r="T189" i="15"/>
  <c r="AI189" i="15" s="1"/>
  <c r="G190" i="15"/>
  <c r="AK190" i="15" s="1"/>
  <c r="J191" i="15"/>
  <c r="Z191" i="15"/>
  <c r="N139" i="15"/>
  <c r="AH139" i="15"/>
  <c r="P139" i="15"/>
  <c r="G139" i="15"/>
  <c r="F139" i="15"/>
  <c r="D136" i="15"/>
  <c r="G136" i="15" s="1"/>
  <c r="J139" i="15"/>
  <c r="O139" i="15"/>
  <c r="D125" i="15"/>
  <c r="AF136" i="15"/>
  <c r="F147" i="15"/>
  <c r="P147" i="15"/>
  <c r="D192" i="15"/>
  <c r="S192" i="15"/>
  <c r="AA150" i="15"/>
  <c r="H139" i="15"/>
  <c r="Q139" i="15"/>
  <c r="I139" i="15"/>
  <c r="R139" i="15"/>
  <c r="K139" i="15"/>
  <c r="L139" i="15"/>
  <c r="E139" i="15"/>
  <c r="M139" i="15"/>
  <c r="P142" i="15"/>
  <c r="L147" i="15"/>
  <c r="AP147" i="15" s="1"/>
  <c r="F84" i="15"/>
  <c r="N84" i="15"/>
  <c r="V84" i="15"/>
  <c r="AD84" i="15"/>
  <c r="L86" i="15"/>
  <c r="T86" i="15"/>
  <c r="AB86" i="15"/>
  <c r="H88" i="15"/>
  <c r="T88" i="15"/>
  <c r="V90" i="15"/>
  <c r="I91" i="15"/>
  <c r="N92" i="15"/>
  <c r="F92" i="15"/>
  <c r="M92" i="15"/>
  <c r="E92" i="15"/>
  <c r="K92" i="15"/>
  <c r="R92" i="15"/>
  <c r="J92" i="15"/>
  <c r="AG93" i="15"/>
  <c r="Y93" i="15"/>
  <c r="AF93" i="15"/>
  <c r="X93" i="15"/>
  <c r="AE93" i="15"/>
  <c r="W93" i="15"/>
  <c r="AD93" i="15"/>
  <c r="V93" i="15"/>
  <c r="AC93" i="15"/>
  <c r="U93" i="15"/>
  <c r="AB93" i="15"/>
  <c r="T93" i="15"/>
  <c r="K96" i="15"/>
  <c r="G84" i="15"/>
  <c r="O84" i="15"/>
  <c r="W84" i="15"/>
  <c r="AE84" i="15"/>
  <c r="J85" i="15"/>
  <c r="Z85" i="15"/>
  <c r="E86" i="15"/>
  <c r="M86" i="15"/>
  <c r="U86" i="15"/>
  <c r="AD87" i="15"/>
  <c r="V87" i="15"/>
  <c r="AB87" i="15"/>
  <c r="T87" i="15"/>
  <c r="AE87" i="15"/>
  <c r="J88" i="15"/>
  <c r="U88" i="15"/>
  <c r="AE89" i="15"/>
  <c r="Y90" i="15"/>
  <c r="L91" i="15"/>
  <c r="G92" i="15"/>
  <c r="Z93" i="15"/>
  <c r="H84" i="15"/>
  <c r="P84" i="15"/>
  <c r="X84" i="15"/>
  <c r="AF84" i="15"/>
  <c r="K85" i="15"/>
  <c r="F86" i="15"/>
  <c r="V86" i="15"/>
  <c r="K88" i="15"/>
  <c r="X88" i="15"/>
  <c r="Z90" i="15"/>
  <c r="M91" i="15"/>
  <c r="H92" i="15"/>
  <c r="AA93" i="15"/>
  <c r="Z96" i="15"/>
  <c r="AG96" i="15"/>
  <c r="Y96" i="15"/>
  <c r="AF96" i="15"/>
  <c r="X96" i="15"/>
  <c r="AE96" i="15"/>
  <c r="W96" i="15"/>
  <c r="AD96" i="15"/>
  <c r="V96" i="15"/>
  <c r="AC96" i="15"/>
  <c r="U96" i="15"/>
  <c r="I84" i="15"/>
  <c r="Q84" i="15"/>
  <c r="Y84" i="15"/>
  <c r="AG84" i="15"/>
  <c r="G86" i="15"/>
  <c r="W86" i="15"/>
  <c r="L88" i="15"/>
  <c r="Z88" i="15"/>
  <c r="AC89" i="15"/>
  <c r="U89" i="15"/>
  <c r="AB89" i="15"/>
  <c r="T89" i="15"/>
  <c r="Z89" i="15"/>
  <c r="AG89" i="15"/>
  <c r="Y89" i="15"/>
  <c r="AA90" i="15"/>
  <c r="N91" i="15"/>
  <c r="I92" i="15"/>
  <c r="T96" i="15"/>
  <c r="M99" i="15"/>
  <c r="AQ99" i="15" s="1"/>
  <c r="K99" i="15"/>
  <c r="AO99" i="15" s="1"/>
  <c r="R99" i="15"/>
  <c r="AV99" i="15" s="1"/>
  <c r="J99" i="15"/>
  <c r="AN99" i="15" s="1"/>
  <c r="Q99" i="15"/>
  <c r="AU99" i="15" s="1"/>
  <c r="I99" i="15"/>
  <c r="AM99" i="15" s="1"/>
  <c r="P99" i="15"/>
  <c r="AT99" i="15" s="1"/>
  <c r="H99" i="15"/>
  <c r="AL99" i="15" s="1"/>
  <c r="O99" i="15"/>
  <c r="AS99" i="15" s="1"/>
  <c r="G99" i="15"/>
  <c r="AK99" i="15" s="1"/>
  <c r="N99" i="15"/>
  <c r="AR99" i="15" s="1"/>
  <c r="F99" i="15"/>
  <c r="AJ99" i="15" s="1"/>
  <c r="J84" i="15"/>
  <c r="R84" i="15"/>
  <c r="X86" i="15"/>
  <c r="M88" i="15"/>
  <c r="AA88" i="15"/>
  <c r="K84" i="15"/>
  <c r="Y86" i="15"/>
  <c r="AB88" i="15"/>
  <c r="K91" i="15"/>
  <c r="R91" i="15"/>
  <c r="J91" i="15"/>
  <c r="P91" i="15"/>
  <c r="H91" i="15"/>
  <c r="O91" i="15"/>
  <c r="G91" i="15"/>
  <c r="Z86" i="15"/>
  <c r="I88" i="15"/>
  <c r="G88" i="15"/>
  <c r="F88" i="15"/>
  <c r="E91" i="15"/>
  <c r="Y88" i="15"/>
  <c r="W88" i="15"/>
  <c r="V88" i="15"/>
  <c r="X90" i="15"/>
  <c r="W90" i="15"/>
  <c r="U90" i="15"/>
  <c r="AB90" i="15"/>
  <c r="T90" i="15"/>
  <c r="F91" i="15"/>
  <c r="R96" i="15"/>
  <c r="J96" i="15"/>
  <c r="Q96" i="15"/>
  <c r="I96" i="15"/>
  <c r="P96" i="15"/>
  <c r="H96" i="15"/>
  <c r="O96" i="15"/>
  <c r="G96" i="15"/>
  <c r="N96" i="15"/>
  <c r="F96" i="15"/>
  <c r="M96" i="15"/>
  <c r="E96" i="15"/>
  <c r="L93" i="15"/>
  <c r="X97" i="15"/>
  <c r="AF97" i="15"/>
  <c r="AA98" i="15"/>
  <c r="I100" i="15"/>
  <c r="AM100" i="15" s="1"/>
  <c r="R100" i="15"/>
  <c r="AV100" i="15" s="1"/>
  <c r="AF101" i="15"/>
  <c r="X101" i="15"/>
  <c r="AB101" i="15"/>
  <c r="E104" i="15"/>
  <c r="AI104" i="15" s="1"/>
  <c r="U104" i="15"/>
  <c r="L107" i="15"/>
  <c r="Z109" i="15"/>
  <c r="AA112" i="15"/>
  <c r="L90" i="15"/>
  <c r="W91" i="15"/>
  <c r="AE91" i="15"/>
  <c r="E93" i="15"/>
  <c r="M93" i="15"/>
  <c r="H94" i="15"/>
  <c r="P94" i="15"/>
  <c r="AA95" i="15"/>
  <c r="Y97" i="15"/>
  <c r="AG97" i="15"/>
  <c r="L98" i="15"/>
  <c r="AP98" i="15" s="1"/>
  <c r="T98" i="15"/>
  <c r="AB98" i="15"/>
  <c r="W99" i="15"/>
  <c r="AE99" i="15"/>
  <c r="J100" i="15"/>
  <c r="AN100" i="15" s="1"/>
  <c r="AC100" i="15"/>
  <c r="U100" i="15"/>
  <c r="AB100" i="15"/>
  <c r="K101" i="15"/>
  <c r="T101" i="15"/>
  <c r="AC101" i="15"/>
  <c r="K102" i="15"/>
  <c r="AO102" i="15" s="1"/>
  <c r="Q102" i="15"/>
  <c r="AU102" i="15" s="1"/>
  <c r="I102" i="15"/>
  <c r="AM102" i="15" s="1"/>
  <c r="N102" i="15"/>
  <c r="AR102" i="15" s="1"/>
  <c r="J104" i="15"/>
  <c r="AN104" i="15" s="1"/>
  <c r="Z104" i="15"/>
  <c r="L87" i="15"/>
  <c r="J89" i="15"/>
  <c r="R89" i="15"/>
  <c r="E90" i="15"/>
  <c r="M90" i="15"/>
  <c r="X91" i="15"/>
  <c r="AF91" i="15"/>
  <c r="AA92" i="15"/>
  <c r="F93" i="15"/>
  <c r="N93" i="15"/>
  <c r="I94" i="15"/>
  <c r="Q94" i="15"/>
  <c r="Y94" i="15"/>
  <c r="AG94" i="15"/>
  <c r="L95" i="15"/>
  <c r="AP95" i="15" s="1"/>
  <c r="T95" i="15"/>
  <c r="AB95" i="15"/>
  <c r="J97" i="15"/>
  <c r="R97" i="15"/>
  <c r="Z97" i="15"/>
  <c r="E98" i="15"/>
  <c r="AI98" i="15" s="1"/>
  <c r="M98" i="15"/>
  <c r="AQ98" i="15" s="1"/>
  <c r="U98" i="15"/>
  <c r="AC98" i="15"/>
  <c r="X99" i="15"/>
  <c r="AF99" i="15"/>
  <c r="K100" i="15"/>
  <c r="AO100" i="15" s="1"/>
  <c r="T100" i="15"/>
  <c r="AD100" i="15"/>
  <c r="U101" i="15"/>
  <c r="AD101" i="15"/>
  <c r="E102" i="15"/>
  <c r="AI102" i="15" s="1"/>
  <c r="O102" i="15"/>
  <c r="AS102" i="15" s="1"/>
  <c r="K104" i="15"/>
  <c r="AO104" i="15" s="1"/>
  <c r="AA104" i="15"/>
  <c r="G93" i="15"/>
  <c r="O93" i="15"/>
  <c r="AA97" i="15"/>
  <c r="V98" i="15"/>
  <c r="AD98" i="15"/>
  <c r="L100" i="15"/>
  <c r="AP100" i="15" s="1"/>
  <c r="P101" i="15"/>
  <c r="H101" i="15"/>
  <c r="M101" i="15"/>
  <c r="V101" i="15"/>
  <c r="AE101" i="15"/>
  <c r="L104" i="15"/>
  <c r="AP104" i="15" s="1"/>
  <c r="R112" i="15"/>
  <c r="AV112" i="15" s="1"/>
  <c r="J112" i="15"/>
  <c r="AN112" i="15" s="1"/>
  <c r="Q112" i="15"/>
  <c r="AU112" i="15" s="1"/>
  <c r="I112" i="15"/>
  <c r="AM112" i="15" s="1"/>
  <c r="P112" i="15"/>
  <c r="AT112" i="15" s="1"/>
  <c r="H112" i="15"/>
  <c r="AL112" i="15" s="1"/>
  <c r="O112" i="15"/>
  <c r="AS112" i="15" s="1"/>
  <c r="G112" i="15"/>
  <c r="AK112" i="15" s="1"/>
  <c r="N112" i="15"/>
  <c r="AR112" i="15" s="1"/>
  <c r="F112" i="15"/>
  <c r="AJ112" i="15" s="1"/>
  <c r="M112" i="15"/>
  <c r="AQ112" i="15" s="1"/>
  <c r="E112" i="15"/>
  <c r="AI112" i="15" s="1"/>
  <c r="K115" i="15"/>
  <c r="J115" i="15"/>
  <c r="I115" i="15"/>
  <c r="H115" i="15"/>
  <c r="G115" i="15"/>
  <c r="F115" i="15"/>
  <c r="F87" i="15"/>
  <c r="L89" i="15"/>
  <c r="G90" i="15"/>
  <c r="Z91" i="15"/>
  <c r="U92" i="15"/>
  <c r="H93" i="15"/>
  <c r="P93" i="15"/>
  <c r="K94" i="15"/>
  <c r="AA94" i="15"/>
  <c r="F95" i="15"/>
  <c r="AJ95" i="15" s="1"/>
  <c r="V95" i="15"/>
  <c r="AD95" i="15"/>
  <c r="L97" i="15"/>
  <c r="T97" i="15"/>
  <c r="AB97" i="15"/>
  <c r="G98" i="15"/>
  <c r="AK98" i="15" s="1"/>
  <c r="O98" i="15"/>
  <c r="AS98" i="15" s="1"/>
  <c r="W98" i="15"/>
  <c r="AE98" i="15"/>
  <c r="Z99" i="15"/>
  <c r="E100" i="15"/>
  <c r="AI100" i="15" s="1"/>
  <c r="N100" i="15"/>
  <c r="AR100" i="15" s="1"/>
  <c r="W100" i="15"/>
  <c r="AF100" i="15"/>
  <c r="E101" i="15"/>
  <c r="N101" i="15"/>
  <c r="W101" i="15"/>
  <c r="AG101" i="15"/>
  <c r="G102" i="15"/>
  <c r="AK102" i="15" s="1"/>
  <c r="R102" i="15"/>
  <c r="AV102" i="15" s="1"/>
  <c r="M104" i="15"/>
  <c r="AQ104" i="15" s="1"/>
  <c r="K112" i="15"/>
  <c r="AO112" i="15" s="1"/>
  <c r="E115" i="15"/>
  <c r="E89" i="15"/>
  <c r="H90" i="15"/>
  <c r="I93" i="15"/>
  <c r="T94" i="15"/>
  <c r="W95" i="15"/>
  <c r="E97" i="15"/>
  <c r="U97" i="15"/>
  <c r="H98" i="15"/>
  <c r="AL98" i="15" s="1"/>
  <c r="X98" i="15"/>
  <c r="F100" i="15"/>
  <c r="AJ100" i="15" s="1"/>
  <c r="O100" i="15"/>
  <c r="AS100" i="15" s="1"/>
  <c r="X100" i="15"/>
  <c r="AG100" i="15"/>
  <c r="F101" i="15"/>
  <c r="O101" i="15"/>
  <c r="Y101" i="15"/>
  <c r="H102" i="15"/>
  <c r="AL102" i="15" s="1"/>
  <c r="L112" i="15"/>
  <c r="AP112" i="15" s="1"/>
  <c r="L115" i="15"/>
  <c r="AG104" i="15"/>
  <c r="Y104" i="15"/>
  <c r="AF104" i="15"/>
  <c r="X104" i="15"/>
  <c r="AE104" i="15"/>
  <c r="W104" i="15"/>
  <c r="AD104" i="15"/>
  <c r="V104" i="15"/>
  <c r="AC104" i="15"/>
  <c r="K107" i="15"/>
  <c r="R107" i="15"/>
  <c r="J107" i="15"/>
  <c r="Q107" i="15"/>
  <c r="I107" i="15"/>
  <c r="P107" i="15"/>
  <c r="H107" i="15"/>
  <c r="O107" i="15"/>
  <c r="G107" i="15"/>
  <c r="N107" i="15"/>
  <c r="F107" i="15"/>
  <c r="Z112" i="15"/>
  <c r="AG112" i="15"/>
  <c r="Y112" i="15"/>
  <c r="AF112" i="15"/>
  <c r="X112" i="15"/>
  <c r="AE112" i="15"/>
  <c r="W112" i="15"/>
  <c r="AD112" i="15"/>
  <c r="V112" i="15"/>
  <c r="AC112" i="15"/>
  <c r="U112" i="15"/>
  <c r="Q104" i="15"/>
  <c r="AU104" i="15" s="1"/>
  <c r="I104" i="15"/>
  <c r="AM104" i="15" s="1"/>
  <c r="P104" i="15"/>
  <c r="AT104" i="15" s="1"/>
  <c r="H104" i="15"/>
  <c r="AL104" i="15" s="1"/>
  <c r="O104" i="15"/>
  <c r="AS104" i="15" s="1"/>
  <c r="G104" i="15"/>
  <c r="AK104" i="15" s="1"/>
  <c r="N104" i="15"/>
  <c r="AR104" i="15" s="1"/>
  <c r="F104" i="15"/>
  <c r="AJ104" i="15" s="1"/>
  <c r="T104" i="15"/>
  <c r="E107" i="15"/>
  <c r="AG109" i="15"/>
  <c r="Y109" i="15"/>
  <c r="AF109" i="15"/>
  <c r="X109" i="15"/>
  <c r="AE109" i="15"/>
  <c r="W109" i="15"/>
  <c r="AD109" i="15"/>
  <c r="V109" i="15"/>
  <c r="AC109" i="15"/>
  <c r="U109" i="15"/>
  <c r="AB109" i="15"/>
  <c r="T109" i="15"/>
  <c r="T112" i="15"/>
  <c r="AA106" i="15"/>
  <c r="V107" i="15"/>
  <c r="AD107" i="15"/>
  <c r="L109" i="15"/>
  <c r="AP109" i="15" s="1"/>
  <c r="G110" i="15"/>
  <c r="O110" i="15"/>
  <c r="Z111" i="15"/>
  <c r="K114" i="15"/>
  <c r="AO114" i="15" s="1"/>
  <c r="AA114" i="15"/>
  <c r="V115" i="15"/>
  <c r="AA103" i="15"/>
  <c r="L106" i="15"/>
  <c r="T106" i="15"/>
  <c r="AB106" i="15"/>
  <c r="W107" i="15"/>
  <c r="AE107" i="15"/>
  <c r="E109" i="15"/>
  <c r="AI109" i="15" s="1"/>
  <c r="M109" i="15"/>
  <c r="AQ109" i="15" s="1"/>
  <c r="H110" i="15"/>
  <c r="P110" i="15"/>
  <c r="AA111" i="15"/>
  <c r="L114" i="15"/>
  <c r="AP114" i="15" s="1"/>
  <c r="T114" i="15"/>
  <c r="AB114" i="15"/>
  <c r="W115" i="15"/>
  <c r="L103" i="15"/>
  <c r="T103" i="15"/>
  <c r="AB103" i="15"/>
  <c r="Z105" i="15"/>
  <c r="E106" i="15"/>
  <c r="M106" i="15"/>
  <c r="U106" i="15"/>
  <c r="AC106" i="15"/>
  <c r="X107" i="15"/>
  <c r="AF107" i="15"/>
  <c r="K108" i="15"/>
  <c r="AA108" i="15"/>
  <c r="F109" i="15"/>
  <c r="AJ109" i="15" s="1"/>
  <c r="N109" i="15"/>
  <c r="AR109" i="15" s="1"/>
  <c r="I110" i="15"/>
  <c r="Q110" i="15"/>
  <c r="L111" i="15"/>
  <c r="AP111" i="15" s="1"/>
  <c r="T111" i="15"/>
  <c r="AB111" i="15"/>
  <c r="E114" i="15"/>
  <c r="AI114" i="15" s="1"/>
  <c r="M114" i="15"/>
  <c r="AQ114" i="15" s="1"/>
  <c r="U114" i="15"/>
  <c r="AC114" i="15"/>
  <c r="X115" i="15"/>
  <c r="E103" i="15"/>
  <c r="M103" i="15"/>
  <c r="U103" i="15"/>
  <c r="AC103" i="15"/>
  <c r="AA105" i="15"/>
  <c r="F106" i="15"/>
  <c r="N106" i="15"/>
  <c r="V106" i="15"/>
  <c r="AD106" i="15"/>
  <c r="Y107" i="15"/>
  <c r="AG107" i="15"/>
  <c r="L108" i="15"/>
  <c r="T108" i="15"/>
  <c r="AB108" i="15"/>
  <c r="G109" i="15"/>
  <c r="AK109" i="15" s="1"/>
  <c r="O109" i="15"/>
  <c r="AS109" i="15" s="1"/>
  <c r="J110" i="15"/>
  <c r="R110" i="15"/>
  <c r="E111" i="15"/>
  <c r="AI111" i="15" s="1"/>
  <c r="M111" i="15"/>
  <c r="AQ111" i="15" s="1"/>
  <c r="U111" i="15"/>
  <c r="AC111" i="15"/>
  <c r="AA113" i="15"/>
  <c r="F114" i="15"/>
  <c r="AJ114" i="15" s="1"/>
  <c r="N114" i="15"/>
  <c r="AR114" i="15" s="1"/>
  <c r="V114" i="15"/>
  <c r="AD114" i="15"/>
  <c r="Y115" i="15"/>
  <c r="F103" i="15"/>
  <c r="V103" i="15"/>
  <c r="T105" i="15"/>
  <c r="G106" i="15"/>
  <c r="W106" i="15"/>
  <c r="Z107" i="15"/>
  <c r="E108" i="15"/>
  <c r="U108" i="15"/>
  <c r="H109" i="15"/>
  <c r="AL109" i="15" s="1"/>
  <c r="K110" i="15"/>
  <c r="F111" i="15"/>
  <c r="AJ111" i="15" s="1"/>
  <c r="V111" i="15"/>
  <c r="T113" i="15"/>
  <c r="G114" i="15"/>
  <c r="AK114" i="15" s="1"/>
  <c r="W114" i="15"/>
  <c r="Z115" i="15"/>
  <c r="S116" i="15"/>
  <c r="D116" i="15"/>
  <c r="AA62" i="15"/>
  <c r="V48" i="15"/>
  <c r="W49" i="15"/>
  <c r="AE49" i="15"/>
  <c r="Y51" i="15"/>
  <c r="AG51" i="15"/>
  <c r="AA53" i="15"/>
  <c r="T54" i="15"/>
  <c r="AB54" i="15"/>
  <c r="V56" i="15"/>
  <c r="AD56" i="15"/>
  <c r="W57" i="15"/>
  <c r="AE57" i="15"/>
  <c r="Y59" i="15"/>
  <c r="AN59" i="15" s="1"/>
  <c r="AG59" i="15"/>
  <c r="AV59" i="15" s="1"/>
  <c r="AA61" i="15"/>
  <c r="T62" i="15"/>
  <c r="AB62" i="15"/>
  <c r="V64" i="15"/>
  <c r="AK64" i="15" s="1"/>
  <c r="AD64" i="15"/>
  <c r="W65" i="15"/>
  <c r="AE65" i="15"/>
  <c r="AT65" i="15" s="1"/>
  <c r="Y67" i="15"/>
  <c r="AN67" i="15" s="1"/>
  <c r="AG67" i="15"/>
  <c r="AV67" i="15" s="1"/>
  <c r="AA69" i="15"/>
  <c r="T70" i="15"/>
  <c r="AB70" i="15"/>
  <c r="V72" i="15"/>
  <c r="AD72" i="15"/>
  <c r="AS72" i="15" s="1"/>
  <c r="W73" i="15"/>
  <c r="AL73" i="15" s="1"/>
  <c r="AE73" i="15"/>
  <c r="AA77" i="15"/>
  <c r="W48" i="15"/>
  <c r="X49" i="15"/>
  <c r="AF49" i="15"/>
  <c r="Z51" i="15"/>
  <c r="AA52" i="15"/>
  <c r="T53" i="15"/>
  <c r="AB53" i="15"/>
  <c r="U54" i="15"/>
  <c r="AC54" i="15"/>
  <c r="W56" i="15"/>
  <c r="AE56" i="15"/>
  <c r="X57" i="15"/>
  <c r="AM57" i="15" s="1"/>
  <c r="AF57" i="15"/>
  <c r="Z59" i="15"/>
  <c r="AO59" i="15" s="1"/>
  <c r="AA60" i="15"/>
  <c r="T61" i="15"/>
  <c r="AB61" i="15"/>
  <c r="U62" i="15"/>
  <c r="AC62" i="15"/>
  <c r="W64" i="15"/>
  <c r="AL64" i="15" s="1"/>
  <c r="AE64" i="15"/>
  <c r="AT64" i="15" s="1"/>
  <c r="X65" i="15"/>
  <c r="AF65" i="15"/>
  <c r="Z67" i="15"/>
  <c r="AO67" i="15" s="1"/>
  <c r="AA68" i="15"/>
  <c r="T69" i="15"/>
  <c r="AB69" i="15"/>
  <c r="U70" i="15"/>
  <c r="AC70" i="15"/>
  <c r="W72" i="15"/>
  <c r="AL72" i="15" s="1"/>
  <c r="AE72" i="15"/>
  <c r="X73" i="15"/>
  <c r="AM73" i="15" s="1"/>
  <c r="AF73" i="15"/>
  <c r="AA76" i="15"/>
  <c r="T77" i="15"/>
  <c r="AB77" i="15"/>
  <c r="X48" i="15"/>
  <c r="Y49" i="15"/>
  <c r="AG49" i="15"/>
  <c r="AA51" i="15"/>
  <c r="T52" i="15"/>
  <c r="AB52" i="15"/>
  <c r="U53" i="15"/>
  <c r="AC53" i="15"/>
  <c r="V54" i="15"/>
  <c r="AD54" i="15"/>
  <c r="X56" i="15"/>
  <c r="AF56" i="15"/>
  <c r="Y57" i="15"/>
  <c r="AG57" i="15"/>
  <c r="AV57" i="15" s="1"/>
  <c r="AA59" i="15"/>
  <c r="T60" i="15"/>
  <c r="AB60" i="15"/>
  <c r="U61" i="15"/>
  <c r="AC61" i="15"/>
  <c r="V62" i="15"/>
  <c r="AD62" i="15"/>
  <c r="X64" i="15"/>
  <c r="AF64" i="15"/>
  <c r="Y65" i="15"/>
  <c r="AG65" i="15"/>
  <c r="AV65" i="15" s="1"/>
  <c r="AA67" i="15"/>
  <c r="T68" i="15"/>
  <c r="AB68" i="15"/>
  <c r="U69" i="15"/>
  <c r="AC69" i="15"/>
  <c r="V70" i="15"/>
  <c r="AD70" i="15"/>
  <c r="X72" i="15"/>
  <c r="AM72" i="15" s="1"/>
  <c r="AF72" i="15"/>
  <c r="Y73" i="15"/>
  <c r="AN73" i="15" s="1"/>
  <c r="AG73" i="15"/>
  <c r="AV73" i="15" s="1"/>
  <c r="AA75" i="15"/>
  <c r="T76" i="15"/>
  <c r="AB76" i="15"/>
  <c r="U77" i="15"/>
  <c r="AA54" i="15"/>
  <c r="AA70" i="15"/>
  <c r="Y48" i="15"/>
  <c r="Z49" i="15"/>
  <c r="AA50" i="15"/>
  <c r="T51" i="15"/>
  <c r="AB51" i="15"/>
  <c r="U52" i="15"/>
  <c r="V53" i="15"/>
  <c r="AD53" i="15"/>
  <c r="W54" i="15"/>
  <c r="AE54" i="15"/>
  <c r="Y56" i="15"/>
  <c r="AG56" i="15"/>
  <c r="Z57" i="15"/>
  <c r="AA58" i="15"/>
  <c r="T59" i="15"/>
  <c r="AB59" i="15"/>
  <c r="U60" i="15"/>
  <c r="AC60" i="15"/>
  <c r="V61" i="15"/>
  <c r="AD61" i="15"/>
  <c r="W62" i="15"/>
  <c r="AE62" i="15"/>
  <c r="Y64" i="15"/>
  <c r="AN64" i="15" s="1"/>
  <c r="AG64" i="15"/>
  <c r="AV64" i="15" s="1"/>
  <c r="Z65" i="15"/>
  <c r="AO65" i="15" s="1"/>
  <c r="AA66" i="15"/>
  <c r="T67" i="15"/>
  <c r="AB67" i="15"/>
  <c r="U68" i="15"/>
  <c r="AC68" i="15"/>
  <c r="V69" i="15"/>
  <c r="AD69" i="15"/>
  <c r="W70" i="15"/>
  <c r="AE70" i="15"/>
  <c r="Y72" i="15"/>
  <c r="AN72" i="15" s="1"/>
  <c r="AG72" i="15"/>
  <c r="Z73" i="15"/>
  <c r="AO73" i="15" s="1"/>
  <c r="AA74" i="15"/>
  <c r="T75" i="15"/>
  <c r="AB75" i="15"/>
  <c r="U76" i="15"/>
  <c r="AC76" i="15"/>
  <c r="V77" i="15"/>
  <c r="Z48" i="15"/>
  <c r="AA49" i="15"/>
  <c r="X54" i="15"/>
  <c r="AF54" i="15"/>
  <c r="AA57" i="15"/>
  <c r="X62" i="15"/>
  <c r="AF62" i="15"/>
  <c r="AA65" i="15"/>
  <c r="X70" i="15"/>
  <c r="AF70" i="15"/>
  <c r="AA73" i="15"/>
  <c r="AA48" i="15"/>
  <c r="T49" i="15"/>
  <c r="AB49" i="15"/>
  <c r="Y54" i="15"/>
  <c r="AG54" i="15"/>
  <c r="AA56" i="15"/>
  <c r="T57" i="15"/>
  <c r="AB57" i="15"/>
  <c r="Y62" i="15"/>
  <c r="AG62" i="15"/>
  <c r="AA64" i="15"/>
  <c r="T65" i="15"/>
  <c r="AB65" i="15"/>
  <c r="Y70" i="15"/>
  <c r="AG70" i="15"/>
  <c r="AA72" i="15"/>
  <c r="T73" i="15"/>
  <c r="AB73" i="15"/>
  <c r="T48" i="15"/>
  <c r="U49" i="15"/>
  <c r="V50" i="15"/>
  <c r="W51" i="15"/>
  <c r="X52" i="15"/>
  <c r="Y53" i="15"/>
  <c r="T56" i="15"/>
  <c r="U57" i="15"/>
  <c r="V58" i="15"/>
  <c r="W59" i="15"/>
  <c r="X60" i="15"/>
  <c r="Y61" i="15"/>
  <c r="T64" i="15"/>
  <c r="U65" i="15"/>
  <c r="V66" i="15"/>
  <c r="W67" i="15"/>
  <c r="X68" i="15"/>
  <c r="Y69" i="15"/>
  <c r="T72" i="15"/>
  <c r="U73" i="15"/>
  <c r="V74" i="15"/>
  <c r="W75" i="15"/>
  <c r="X76" i="15"/>
  <c r="Y77" i="15"/>
  <c r="AA46" i="15"/>
  <c r="T46" i="15"/>
  <c r="AB46" i="15"/>
  <c r="U46" i="15"/>
  <c r="AC46" i="15"/>
  <c r="V46" i="15"/>
  <c r="AD46" i="15"/>
  <c r="W46" i="15"/>
  <c r="AE46" i="15"/>
  <c r="X46" i="15"/>
  <c r="AF46" i="15"/>
  <c r="Y46" i="15"/>
  <c r="S14" i="15"/>
  <c r="S29" i="15"/>
  <c r="AE29" i="15" s="1"/>
  <c r="S13" i="15"/>
  <c r="W13" i="15" s="1"/>
  <c r="S21" i="15"/>
  <c r="W21" i="15" s="1"/>
  <c r="S37" i="15"/>
  <c r="L46" i="15"/>
  <c r="L54" i="15"/>
  <c r="L62" i="15"/>
  <c r="AP62" i="15" s="1"/>
  <c r="O65" i="15"/>
  <c r="AS65" i="15" s="1"/>
  <c r="H66" i="15"/>
  <c r="AL66" i="15" s="1"/>
  <c r="P66" i="15"/>
  <c r="AT66" i="15" s="1"/>
  <c r="I67" i="15"/>
  <c r="AM67" i="15" s="1"/>
  <c r="Q67" i="15"/>
  <c r="AU67" i="15" s="1"/>
  <c r="J68" i="15"/>
  <c r="AN68" i="15" s="1"/>
  <c r="R68" i="15"/>
  <c r="AV68" i="15" s="1"/>
  <c r="K69" i="15"/>
  <c r="AO69" i="15" s="1"/>
  <c r="L70" i="15"/>
  <c r="AP70" i="15" s="1"/>
  <c r="E71" i="15"/>
  <c r="AI71" i="15" s="1"/>
  <c r="M71" i="15"/>
  <c r="AQ71" i="15" s="1"/>
  <c r="F72" i="15"/>
  <c r="AJ72" i="15" s="1"/>
  <c r="N72" i="15"/>
  <c r="AR72" i="15" s="1"/>
  <c r="G73" i="15"/>
  <c r="AK73" i="15" s="1"/>
  <c r="O73" i="15"/>
  <c r="AS73" i="15" s="1"/>
  <c r="H74" i="15"/>
  <c r="AL74" i="15" s="1"/>
  <c r="P74" i="15"/>
  <c r="AT74" i="15" s="1"/>
  <c r="I75" i="15"/>
  <c r="AM75" i="15" s="1"/>
  <c r="Q75" i="15"/>
  <c r="AU75" i="15" s="1"/>
  <c r="J76" i="15"/>
  <c r="AN76" i="15" s="1"/>
  <c r="R76" i="15"/>
  <c r="AV76" i="15" s="1"/>
  <c r="K77" i="15"/>
  <c r="E46" i="15"/>
  <c r="M46" i="15"/>
  <c r="L53" i="15"/>
  <c r="E54" i="15"/>
  <c r="M54" i="15"/>
  <c r="L61" i="15"/>
  <c r="AP61" i="15" s="1"/>
  <c r="E62" i="15"/>
  <c r="AI62" i="15" s="1"/>
  <c r="M62" i="15"/>
  <c r="AQ62" i="15" s="1"/>
  <c r="L69" i="15"/>
  <c r="AP69" i="15" s="1"/>
  <c r="E70" i="15"/>
  <c r="AI70" i="15" s="1"/>
  <c r="M70" i="15"/>
  <c r="AQ70" i="15" s="1"/>
  <c r="L77" i="15"/>
  <c r="F46" i="15"/>
  <c r="N46" i="15"/>
  <c r="L52" i="15"/>
  <c r="E53" i="15"/>
  <c r="M53" i="15"/>
  <c r="F54" i="15"/>
  <c r="N54" i="15"/>
  <c r="L60" i="15"/>
  <c r="AP60" i="15" s="1"/>
  <c r="E61" i="15"/>
  <c r="AI61" i="15" s="1"/>
  <c r="M61" i="15"/>
  <c r="AQ61" i="15" s="1"/>
  <c r="F62" i="15"/>
  <c r="AJ62" i="15" s="1"/>
  <c r="N62" i="15"/>
  <c r="AR62" i="15" s="1"/>
  <c r="L68" i="15"/>
  <c r="AP68" i="15" s="1"/>
  <c r="E69" i="15"/>
  <c r="AI69" i="15" s="1"/>
  <c r="M69" i="15"/>
  <c r="AQ69" i="15" s="1"/>
  <c r="F70" i="15"/>
  <c r="AJ70" i="15" s="1"/>
  <c r="N70" i="15"/>
  <c r="AR70" i="15" s="1"/>
  <c r="L76" i="15"/>
  <c r="AP76" i="15" s="1"/>
  <c r="E77" i="15"/>
  <c r="M77" i="15"/>
  <c r="G46" i="15"/>
  <c r="O46" i="15"/>
  <c r="L51" i="15"/>
  <c r="E52" i="15"/>
  <c r="M52" i="15"/>
  <c r="F53" i="15"/>
  <c r="N53" i="15"/>
  <c r="G54" i="15"/>
  <c r="O54" i="15"/>
  <c r="L59" i="15"/>
  <c r="AP59" i="15" s="1"/>
  <c r="E60" i="15"/>
  <c r="AI60" i="15" s="1"/>
  <c r="M60" i="15"/>
  <c r="AQ60" i="15" s="1"/>
  <c r="F61" i="15"/>
  <c r="AJ61" i="15" s="1"/>
  <c r="N61" i="15"/>
  <c r="AR61" i="15" s="1"/>
  <c r="G62" i="15"/>
  <c r="AK62" i="15" s="1"/>
  <c r="O62" i="15"/>
  <c r="AS62" i="15" s="1"/>
  <c r="L67" i="15"/>
  <c r="AP67" i="15" s="1"/>
  <c r="E68" i="15"/>
  <c r="AI68" i="15" s="1"/>
  <c r="M68" i="15"/>
  <c r="AQ68" i="15" s="1"/>
  <c r="F69" i="15"/>
  <c r="AJ69" i="15" s="1"/>
  <c r="N69" i="15"/>
  <c r="AR69" i="15" s="1"/>
  <c r="G70" i="15"/>
  <c r="AK70" i="15" s="1"/>
  <c r="O70" i="15"/>
  <c r="AS70" i="15" s="1"/>
  <c r="L75" i="15"/>
  <c r="AP75" i="15" s="1"/>
  <c r="E76" i="15"/>
  <c r="AI76" i="15" s="1"/>
  <c r="M76" i="15"/>
  <c r="AQ76" i="15" s="1"/>
  <c r="F77" i="15"/>
  <c r="H46" i="15"/>
  <c r="P46" i="15"/>
  <c r="L50" i="15"/>
  <c r="E51" i="15"/>
  <c r="M51" i="15"/>
  <c r="F52" i="15"/>
  <c r="G53" i="15"/>
  <c r="O53" i="15"/>
  <c r="H54" i="15"/>
  <c r="P54" i="15"/>
  <c r="L58" i="15"/>
  <c r="AP58" i="15" s="1"/>
  <c r="E59" i="15"/>
  <c r="AI59" i="15" s="1"/>
  <c r="M59" i="15"/>
  <c r="AQ59" i="15" s="1"/>
  <c r="F60" i="15"/>
  <c r="AJ60" i="15" s="1"/>
  <c r="N60" i="15"/>
  <c r="AR60" i="15" s="1"/>
  <c r="G61" i="15"/>
  <c r="AK61" i="15" s="1"/>
  <c r="O61" i="15"/>
  <c r="AS61" i="15" s="1"/>
  <c r="H62" i="15"/>
  <c r="AL62" i="15" s="1"/>
  <c r="P62" i="15"/>
  <c r="AT62" i="15" s="1"/>
  <c r="L66" i="15"/>
  <c r="AP66" i="15" s="1"/>
  <c r="E67" i="15"/>
  <c r="AI67" i="15" s="1"/>
  <c r="M67" i="15"/>
  <c r="AQ67" i="15" s="1"/>
  <c r="F68" i="15"/>
  <c r="AJ68" i="15" s="1"/>
  <c r="N68" i="15"/>
  <c r="AR68" i="15" s="1"/>
  <c r="G69" i="15"/>
  <c r="AK69" i="15" s="1"/>
  <c r="O69" i="15"/>
  <c r="AS69" i="15" s="1"/>
  <c r="H70" i="15"/>
  <c r="AL70" i="15" s="1"/>
  <c r="P70" i="15"/>
  <c r="AT70" i="15" s="1"/>
  <c r="L74" i="15"/>
  <c r="AP74" i="15" s="1"/>
  <c r="E75" i="15"/>
  <c r="AI75" i="15" s="1"/>
  <c r="M75" i="15"/>
  <c r="AQ75" i="15" s="1"/>
  <c r="F76" i="15"/>
  <c r="AJ76" i="15" s="1"/>
  <c r="N76" i="15"/>
  <c r="AR76" i="15" s="1"/>
  <c r="G77" i="15"/>
  <c r="I46" i="15"/>
  <c r="Q46" i="15"/>
  <c r="J47" i="15"/>
  <c r="L49" i="15"/>
  <c r="E50" i="15"/>
  <c r="M50" i="15"/>
  <c r="F51" i="15"/>
  <c r="N51" i="15"/>
  <c r="G52" i="15"/>
  <c r="H53" i="15"/>
  <c r="P53" i="15"/>
  <c r="I54" i="15"/>
  <c r="Q54" i="15"/>
  <c r="L57" i="15"/>
  <c r="AP57" i="15" s="1"/>
  <c r="E58" i="15"/>
  <c r="AI58" i="15" s="1"/>
  <c r="M58" i="15"/>
  <c r="AQ58" i="15" s="1"/>
  <c r="F59" i="15"/>
  <c r="AJ59" i="15" s="1"/>
  <c r="N59" i="15"/>
  <c r="AR59" i="15" s="1"/>
  <c r="G60" i="15"/>
  <c r="AK60" i="15" s="1"/>
  <c r="O60" i="15"/>
  <c r="AS60" i="15" s="1"/>
  <c r="H61" i="15"/>
  <c r="AL61" i="15" s="1"/>
  <c r="P61" i="15"/>
  <c r="AT61" i="15" s="1"/>
  <c r="I62" i="15"/>
  <c r="AM62" i="15" s="1"/>
  <c r="Q62" i="15"/>
  <c r="AU62" i="15" s="1"/>
  <c r="L65" i="15"/>
  <c r="AP65" i="15" s="1"/>
  <c r="E66" i="15"/>
  <c r="AI66" i="15" s="1"/>
  <c r="M66" i="15"/>
  <c r="AQ66" i="15" s="1"/>
  <c r="F67" i="15"/>
  <c r="AJ67" i="15" s="1"/>
  <c r="N67" i="15"/>
  <c r="AR67" i="15" s="1"/>
  <c r="G68" i="15"/>
  <c r="AK68" i="15" s="1"/>
  <c r="O68" i="15"/>
  <c r="AS68" i="15" s="1"/>
  <c r="H69" i="15"/>
  <c r="AL69" i="15" s="1"/>
  <c r="P69" i="15"/>
  <c r="AT69" i="15" s="1"/>
  <c r="I70" i="15"/>
  <c r="AM70" i="15" s="1"/>
  <c r="Q70" i="15"/>
  <c r="AU70" i="15" s="1"/>
  <c r="L73" i="15"/>
  <c r="AP73" i="15" s="1"/>
  <c r="E74" i="15"/>
  <c r="AI74" i="15" s="1"/>
  <c r="M74" i="15"/>
  <c r="AQ74" i="15" s="1"/>
  <c r="F75" i="15"/>
  <c r="AJ75" i="15" s="1"/>
  <c r="N75" i="15"/>
  <c r="AR75" i="15" s="1"/>
  <c r="G76" i="15"/>
  <c r="AK76" i="15" s="1"/>
  <c r="O76" i="15"/>
  <c r="H77" i="15"/>
  <c r="J46" i="15"/>
  <c r="R46" i="15"/>
  <c r="K47" i="15"/>
  <c r="L48" i="15"/>
  <c r="E49" i="15"/>
  <c r="M49" i="15"/>
  <c r="F50" i="15"/>
  <c r="G51" i="15"/>
  <c r="O51" i="15"/>
  <c r="H52" i="15"/>
  <c r="I53" i="15"/>
  <c r="Q53" i="15"/>
  <c r="J54" i="15"/>
  <c r="R54" i="15"/>
  <c r="L56" i="15"/>
  <c r="E57" i="15"/>
  <c r="AI57" i="15" s="1"/>
  <c r="M57" i="15"/>
  <c r="AQ57" i="15" s="1"/>
  <c r="F58" i="15"/>
  <c r="AJ58" i="15" s="1"/>
  <c r="N58" i="15"/>
  <c r="AR58" i="15" s="1"/>
  <c r="G59" i="15"/>
  <c r="AK59" i="15" s="1"/>
  <c r="O59" i="15"/>
  <c r="AS59" i="15" s="1"/>
  <c r="H60" i="15"/>
  <c r="AL60" i="15" s="1"/>
  <c r="P60" i="15"/>
  <c r="AT60" i="15" s="1"/>
  <c r="I61" i="15"/>
  <c r="AM61" i="15" s="1"/>
  <c r="Q61" i="15"/>
  <c r="AU61" i="15" s="1"/>
  <c r="J62" i="15"/>
  <c r="AN62" i="15" s="1"/>
  <c r="R62" i="15"/>
  <c r="AV62" i="15" s="1"/>
  <c r="L64" i="15"/>
  <c r="AP64" i="15" s="1"/>
  <c r="E65" i="15"/>
  <c r="AI65" i="15" s="1"/>
  <c r="M65" i="15"/>
  <c r="AQ65" i="15" s="1"/>
  <c r="F66" i="15"/>
  <c r="AJ66" i="15" s="1"/>
  <c r="N66" i="15"/>
  <c r="AR66" i="15" s="1"/>
  <c r="G67" i="15"/>
  <c r="AK67" i="15" s="1"/>
  <c r="O67" i="15"/>
  <c r="AS67" i="15" s="1"/>
  <c r="H68" i="15"/>
  <c r="AL68" i="15" s="1"/>
  <c r="P68" i="15"/>
  <c r="AT68" i="15" s="1"/>
  <c r="I69" i="15"/>
  <c r="AM69" i="15" s="1"/>
  <c r="Q69" i="15"/>
  <c r="AU69" i="15" s="1"/>
  <c r="J70" i="15"/>
  <c r="AN70" i="15" s="1"/>
  <c r="R70" i="15"/>
  <c r="AV70" i="15" s="1"/>
  <c r="L72" i="15"/>
  <c r="AP72" i="15" s="1"/>
  <c r="E73" i="15"/>
  <c r="AI73" i="15" s="1"/>
  <c r="M73" i="15"/>
  <c r="AQ73" i="15" s="1"/>
  <c r="F74" i="15"/>
  <c r="AJ74" i="15" s="1"/>
  <c r="N74" i="15"/>
  <c r="AR74" i="15" s="1"/>
  <c r="G75" i="15"/>
  <c r="AK75" i="15" s="1"/>
  <c r="O75" i="15"/>
  <c r="AS75" i="15" s="1"/>
  <c r="H76" i="15"/>
  <c r="AL76" i="15" s="1"/>
  <c r="P76" i="15"/>
  <c r="AT76" i="15" s="1"/>
  <c r="I77" i="15"/>
  <c r="E48" i="15"/>
  <c r="F49" i="15"/>
  <c r="G50" i="15"/>
  <c r="H51" i="15"/>
  <c r="I52" i="15"/>
  <c r="J53" i="15"/>
  <c r="E56" i="15"/>
  <c r="F57" i="15"/>
  <c r="AJ57" i="15" s="1"/>
  <c r="G58" i="15"/>
  <c r="AK58" i="15" s="1"/>
  <c r="H59" i="15"/>
  <c r="AL59" i="15" s="1"/>
  <c r="I60" i="15"/>
  <c r="AM60" i="15" s="1"/>
  <c r="J61" i="15"/>
  <c r="AN61" i="15" s="1"/>
  <c r="E64" i="15"/>
  <c r="AI64" i="15" s="1"/>
  <c r="F65" i="15"/>
  <c r="AJ65" i="15" s="1"/>
  <c r="G66" i="15"/>
  <c r="AK66" i="15" s="1"/>
  <c r="H67" i="15"/>
  <c r="AL67" i="15" s="1"/>
  <c r="I68" i="15"/>
  <c r="AM68" i="15" s="1"/>
  <c r="J69" i="15"/>
  <c r="AN69" i="15" s="1"/>
  <c r="E72" i="15"/>
  <c r="AI72" i="15" s="1"/>
  <c r="F73" i="15"/>
  <c r="AJ73" i="15" s="1"/>
  <c r="G74" i="15"/>
  <c r="AK74" i="15" s="1"/>
  <c r="H75" i="15"/>
  <c r="AL75" i="15" s="1"/>
  <c r="I76" i="15"/>
  <c r="AM76" i="15" s="1"/>
  <c r="J77" i="15"/>
  <c r="D34" i="15"/>
  <c r="D26" i="15"/>
  <c r="D20" i="15"/>
  <c r="Q20" i="15" s="1"/>
  <c r="D36" i="15"/>
  <c r="D28" i="15"/>
  <c r="I28" i="15" s="1"/>
  <c r="D22" i="15"/>
  <c r="K22" i="15" s="1"/>
  <c r="D71" i="14"/>
  <c r="C71" i="14"/>
  <c r="C91" i="14" s="1"/>
  <c r="D41" i="14"/>
  <c r="AE150" i="15" l="1"/>
  <c r="X150" i="15"/>
  <c r="T150" i="15"/>
  <c r="Y150" i="15"/>
  <c r="T136" i="15"/>
  <c r="AA136" i="15"/>
  <c r="P131" i="15"/>
  <c r="W22" i="15"/>
  <c r="X22" i="15"/>
  <c r="AC22" i="15"/>
  <c r="AG22" i="15"/>
  <c r="AF150" i="15"/>
  <c r="AG150" i="15"/>
  <c r="Z150" i="15"/>
  <c r="Z140" i="15"/>
  <c r="T149" i="15"/>
  <c r="AB142" i="15"/>
  <c r="AD149" i="15"/>
  <c r="AE146" i="15"/>
  <c r="AB150" i="15"/>
  <c r="U150" i="15"/>
  <c r="AC150" i="15"/>
  <c r="V150" i="15"/>
  <c r="AD150" i="15"/>
  <c r="AF149" i="15"/>
  <c r="T140" i="15"/>
  <c r="X140" i="15"/>
  <c r="H131" i="15"/>
  <c r="F131" i="15"/>
  <c r="X145" i="15"/>
  <c r="AC147" i="15"/>
  <c r="Z147" i="15"/>
  <c r="V147" i="15"/>
  <c r="AD147" i="15"/>
  <c r="AB145" i="15"/>
  <c r="AA147" i="15"/>
  <c r="J38" i="15"/>
  <c r="AA142" i="15"/>
  <c r="K122" i="15"/>
  <c r="E35" i="15"/>
  <c r="F33" i="15"/>
  <c r="E147" i="15"/>
  <c r="O142" i="15"/>
  <c r="AH147" i="15"/>
  <c r="G148" i="15"/>
  <c r="H142" i="15"/>
  <c r="N142" i="15"/>
  <c r="M147" i="15"/>
  <c r="R142" i="15"/>
  <c r="J142" i="15"/>
  <c r="I147" i="15"/>
  <c r="E142" i="15"/>
  <c r="AM147" i="15"/>
  <c r="K142" i="15"/>
  <c r="M142" i="15"/>
  <c r="AQ142" i="15" s="1"/>
  <c r="L142" i="15"/>
  <c r="AP142" i="15" s="1"/>
  <c r="O147" i="15"/>
  <c r="AH142" i="15"/>
  <c r="G142" i="15"/>
  <c r="I142" i="15"/>
  <c r="AU142" i="15"/>
  <c r="AU57" i="15"/>
  <c r="G33" i="15"/>
  <c r="H33" i="15"/>
  <c r="AL57" i="15"/>
  <c r="L35" i="15"/>
  <c r="AO76" i="15"/>
  <c r="AT57" i="15"/>
  <c r="K36" i="15"/>
  <c r="AJ185" i="15"/>
  <c r="AR185" i="15"/>
  <c r="AS185" i="15"/>
  <c r="AT185" i="15"/>
  <c r="AM185" i="15"/>
  <c r="AM177" i="15"/>
  <c r="AU176" i="15"/>
  <c r="AL176" i="15"/>
  <c r="AJ175" i="15"/>
  <c r="AR175" i="15"/>
  <c r="AK175" i="15"/>
  <c r="AS175" i="15"/>
  <c r="AL175" i="15"/>
  <c r="AT175" i="15"/>
  <c r="AM175" i="15"/>
  <c r="AU175" i="15"/>
  <c r="AN175" i="15"/>
  <c r="AV175" i="15"/>
  <c r="AO175" i="15"/>
  <c r="AJ221" i="15"/>
  <c r="AR221" i="15"/>
  <c r="AK221" i="15"/>
  <c r="AS221" i="15"/>
  <c r="AL221" i="15"/>
  <c r="AT221" i="15"/>
  <c r="AM221" i="15"/>
  <c r="AU221" i="15"/>
  <c r="AN221" i="15"/>
  <c r="AV221" i="15"/>
  <c r="AO221" i="15"/>
  <c r="AM215" i="15"/>
  <c r="AJ210" i="15"/>
  <c r="AT213" i="15"/>
  <c r="AJ209" i="15"/>
  <c r="AR209" i="15"/>
  <c r="AK209" i="15"/>
  <c r="AL213" i="15"/>
  <c r="AG125" i="15"/>
  <c r="AN213" i="15"/>
  <c r="AV213" i="15"/>
  <c r="AO213" i="15"/>
  <c r="AO210" i="15"/>
  <c r="AP209" i="15"/>
  <c r="AU59" i="15"/>
  <c r="AO58" i="15"/>
  <c r="AN75" i="15"/>
  <c r="AV72" i="15"/>
  <c r="AK72" i="15"/>
  <c r="AO68" i="15"/>
  <c r="AN65" i="15"/>
  <c r="AS64" i="15"/>
  <c r="AN63" i="15"/>
  <c r="AO61" i="15"/>
  <c r="AO57" i="15"/>
  <c r="AU73" i="15"/>
  <c r="AU72" i="15"/>
  <c r="AM65" i="15"/>
  <c r="AN57" i="15"/>
  <c r="AT73" i="15"/>
  <c r="AT72" i="15"/>
  <c r="AL65" i="15"/>
  <c r="AU63" i="15"/>
  <c r="AL63" i="15"/>
  <c r="AU65" i="15"/>
  <c r="AU64" i="15"/>
  <c r="AC15" i="15"/>
  <c r="AU190" i="15"/>
  <c r="AT182" i="15"/>
  <c r="AT190" i="15"/>
  <c r="AN188" i="15"/>
  <c r="AN187" i="15"/>
  <c r="AO182" i="15"/>
  <c r="AQ180" i="15"/>
  <c r="AI188" i="15"/>
  <c r="AM187" i="15"/>
  <c r="AM182" i="15"/>
  <c r="AM190" i="15"/>
  <c r="AQ188" i="15"/>
  <c r="AL187" i="15"/>
  <c r="AL182" i="15"/>
  <c r="AN180" i="15"/>
  <c r="AL190" i="15"/>
  <c r="AN190" i="15"/>
  <c r="AV187" i="15"/>
  <c r="AK187" i="15"/>
  <c r="AJ172" i="15"/>
  <c r="AV171" i="15"/>
  <c r="AI171" i="15"/>
  <c r="AK176" i="15"/>
  <c r="AI172" i="15"/>
  <c r="AI173" i="15"/>
  <c r="AT176" i="15"/>
  <c r="AL172" i="15"/>
  <c r="AV172" i="15"/>
  <c r="AN172" i="15"/>
  <c r="AD122" i="15"/>
  <c r="AP185" i="15"/>
  <c r="AJ173" i="15"/>
  <c r="AO173" i="15"/>
  <c r="AQ173" i="15"/>
  <c r="AJ183" i="15"/>
  <c r="AO183" i="15"/>
  <c r="AR183" i="15"/>
  <c r="AQ224" i="15"/>
  <c r="AV218" i="15"/>
  <c r="AO214" i="15"/>
  <c r="AM212" i="15"/>
  <c r="AD144" i="15"/>
  <c r="AA135" i="15"/>
  <c r="AV222" i="15"/>
  <c r="AO218" i="15"/>
  <c r="AN214" i="15"/>
  <c r="AL212" i="15"/>
  <c r="AL228" i="15"/>
  <c r="AN218" i="15"/>
  <c r="AM214" i="15"/>
  <c r="AI212" i="15"/>
  <c r="AD134" i="15"/>
  <c r="AV214" i="15"/>
  <c r="AU212" i="15"/>
  <c r="AM223" i="15"/>
  <c r="AU214" i="15"/>
  <c r="AK214" i="15"/>
  <c r="AT212" i="15"/>
  <c r="AS227" i="15"/>
  <c r="AV226" i="15"/>
  <c r="AN219" i="15"/>
  <c r="AJ215" i="15"/>
  <c r="AT214" i="15"/>
  <c r="AJ214" i="15"/>
  <c r="AQ212" i="15"/>
  <c r="AR214" i="15"/>
  <c r="AI227" i="15"/>
  <c r="AO226" i="15"/>
  <c r="AO222" i="15"/>
  <c r="AS214" i="15"/>
  <c r="AI214" i="15"/>
  <c r="AK217" i="15"/>
  <c r="AN209" i="15"/>
  <c r="AO220" i="15"/>
  <c r="AM64" i="15"/>
  <c r="AM220" i="15"/>
  <c r="AT217" i="15"/>
  <c r="AU222" i="15"/>
  <c r="AL220" i="15"/>
  <c r="AI219" i="15"/>
  <c r="AV217" i="15"/>
  <c r="AS211" i="15"/>
  <c r="AU174" i="15"/>
  <c r="AJ71" i="15"/>
  <c r="AN222" i="15"/>
  <c r="AN217" i="15"/>
  <c r="AV63" i="15"/>
  <c r="AM222" i="15"/>
  <c r="AL217" i="15"/>
  <c r="AE143" i="15"/>
  <c r="AA138" i="15"/>
  <c r="AC127" i="15"/>
  <c r="AB22" i="15"/>
  <c r="AB38" i="15"/>
  <c r="AC149" i="15"/>
  <c r="X133" i="15"/>
  <c r="AD152" i="15"/>
  <c r="AF146" i="15"/>
  <c r="AE30" i="15"/>
  <c r="AE130" i="15"/>
  <c r="AE31" i="15"/>
  <c r="AE23" i="15"/>
  <c r="AE151" i="15"/>
  <c r="AG142" i="15"/>
  <c r="AV142" i="15" s="1"/>
  <c r="AA129" i="15"/>
  <c r="AD132" i="15"/>
  <c r="AB136" i="15"/>
  <c r="AU181" i="15"/>
  <c r="AN223" i="15"/>
  <c r="AU74" i="15"/>
  <c r="AK210" i="15"/>
  <c r="AN211" i="15"/>
  <c r="AT222" i="15"/>
  <c r="AM211" i="15"/>
  <c r="AN226" i="15"/>
  <c r="AJ222" i="15"/>
  <c r="AU220" i="15"/>
  <c r="AI211" i="15"/>
  <c r="AV215" i="15"/>
  <c r="AF128" i="15"/>
  <c r="AC139" i="15"/>
  <c r="AR139" i="15" s="1"/>
  <c r="AE141" i="15"/>
  <c r="AB137" i="15"/>
  <c r="AD131" i="15"/>
  <c r="AO228" i="15"/>
  <c r="U147" i="15"/>
  <c r="AS76" i="15"/>
  <c r="O38" i="15"/>
  <c r="AI190" i="15"/>
  <c r="E152" i="15"/>
  <c r="AJ180" i="15"/>
  <c r="F142" i="15"/>
  <c r="AV185" i="15"/>
  <c r="R147" i="15"/>
  <c r="AK185" i="15"/>
  <c r="G147" i="15"/>
  <c r="AK147" i="15" s="1"/>
  <c r="AL185" i="15"/>
  <c r="H147" i="15"/>
  <c r="K127" i="15"/>
  <c r="E132" i="15"/>
  <c r="O130" i="15"/>
  <c r="R128" i="15"/>
  <c r="K31" i="15"/>
  <c r="I29" i="15"/>
  <c r="P135" i="15"/>
  <c r="P129" i="15"/>
  <c r="Q149" i="15"/>
  <c r="J33" i="15"/>
  <c r="P30" i="15"/>
  <c r="M131" i="15"/>
  <c r="I21" i="15"/>
  <c r="J37" i="15"/>
  <c r="K23" i="15"/>
  <c r="J25" i="15"/>
  <c r="L32" i="15"/>
  <c r="N147" i="15"/>
  <c r="AR147" i="15" s="1"/>
  <c r="I153" i="15"/>
  <c r="AC135" i="15"/>
  <c r="AD135" i="15"/>
  <c r="U145" i="15"/>
  <c r="AC23" i="15"/>
  <c r="AF137" i="15"/>
  <c r="AD137" i="15"/>
  <c r="U23" i="15"/>
  <c r="Y23" i="15"/>
  <c r="AF145" i="15"/>
  <c r="M153" i="15"/>
  <c r="E129" i="15"/>
  <c r="M150" i="15"/>
  <c r="AQ150" i="15" s="1"/>
  <c r="R151" i="15"/>
  <c r="L150" i="15"/>
  <c r="AH133" i="15"/>
  <c r="O133" i="15"/>
  <c r="H150" i="15"/>
  <c r="E153" i="15"/>
  <c r="H153" i="15"/>
  <c r="M19" i="15"/>
  <c r="M124" i="15"/>
  <c r="F19" i="15"/>
  <c r="L19" i="15"/>
  <c r="AA153" i="15"/>
  <c r="F230" i="15"/>
  <c r="F231" i="15" s="1"/>
  <c r="I144" i="15"/>
  <c r="L144" i="15"/>
  <c r="N30" i="15"/>
  <c r="Q30" i="15"/>
  <c r="X153" i="15"/>
  <c r="U153" i="15"/>
  <c r="Y14" i="15"/>
  <c r="T14" i="15"/>
  <c r="X137" i="15"/>
  <c r="AG145" i="15"/>
  <c r="Y146" i="15"/>
  <c r="AA149" i="15"/>
  <c r="E143" i="15"/>
  <c r="T146" i="15"/>
  <c r="Z145" i="15"/>
  <c r="AB149" i="15"/>
  <c r="AH146" i="15"/>
  <c r="W39" i="15"/>
  <c r="Y145" i="15"/>
  <c r="AE145" i="15"/>
  <c r="AD145" i="15"/>
  <c r="G143" i="15"/>
  <c r="AD146" i="15"/>
  <c r="V149" i="15"/>
  <c r="V146" i="15"/>
  <c r="Z149" i="15"/>
  <c r="W145" i="15"/>
  <c r="V145" i="15"/>
  <c r="J143" i="15"/>
  <c r="AE128" i="15"/>
  <c r="AC145" i="15"/>
  <c r="W146" i="15"/>
  <c r="M143" i="15"/>
  <c r="U146" i="15"/>
  <c r="AC152" i="15"/>
  <c r="K143" i="15"/>
  <c r="Z128" i="15"/>
  <c r="H152" i="15"/>
  <c r="X149" i="15"/>
  <c r="X146" i="15"/>
  <c r="AG149" i="15"/>
  <c r="N24" i="15"/>
  <c r="AE149" i="15"/>
  <c r="Z146" i="15"/>
  <c r="AB146" i="15"/>
  <c r="W149" i="15"/>
  <c r="K146" i="15"/>
  <c r="Y149" i="15"/>
  <c r="AA146" i="15"/>
  <c r="T145" i="15"/>
  <c r="AG135" i="15"/>
  <c r="AS147" i="15"/>
  <c r="J147" i="15"/>
  <c r="H230" i="15"/>
  <c r="H231" i="15" s="1"/>
  <c r="AJ147" i="15"/>
  <c r="K147" i="15"/>
  <c r="AO147" i="15" s="1"/>
  <c r="AP150" i="15"/>
  <c r="L132" i="15"/>
  <c r="F122" i="15"/>
  <c r="Q122" i="15"/>
  <c r="Y124" i="15"/>
  <c r="T30" i="15"/>
  <c r="W147" i="15"/>
  <c r="W30" i="15"/>
  <c r="AE147" i="15"/>
  <c r="AT147" i="15" s="1"/>
  <c r="Y30" i="15"/>
  <c r="T147" i="15"/>
  <c r="AI147" i="15" s="1"/>
  <c r="Y147" i="15"/>
  <c r="AN147" i="15" s="1"/>
  <c r="W151" i="15"/>
  <c r="AB147" i="15"/>
  <c r="AQ147" i="15" s="1"/>
  <c r="AG147" i="15"/>
  <c r="AF147" i="15"/>
  <c r="AU147" i="15" s="1"/>
  <c r="X132" i="15"/>
  <c r="K30" i="15"/>
  <c r="I30" i="15"/>
  <c r="R148" i="15"/>
  <c r="J151" i="15"/>
  <c r="L152" i="15"/>
  <c r="E145" i="15"/>
  <c r="N132" i="15"/>
  <c r="R143" i="15"/>
  <c r="R129" i="15"/>
  <c r="K148" i="15"/>
  <c r="AH152" i="15"/>
  <c r="F132" i="15"/>
  <c r="O30" i="15"/>
  <c r="F30" i="15"/>
  <c r="Q148" i="15"/>
  <c r="I151" i="15"/>
  <c r="P151" i="15"/>
  <c r="AT151" i="15" s="1"/>
  <c r="H145" i="15"/>
  <c r="N148" i="15"/>
  <c r="E148" i="15"/>
  <c r="Q152" i="15"/>
  <c r="F152" i="15"/>
  <c r="M151" i="15"/>
  <c r="E30" i="15"/>
  <c r="AI30" i="15" s="1"/>
  <c r="H30" i="15"/>
  <c r="AL30" i="15" s="1"/>
  <c r="E151" i="15"/>
  <c r="I148" i="15"/>
  <c r="H151" i="15"/>
  <c r="P145" i="15"/>
  <c r="F143" i="15"/>
  <c r="N152" i="15"/>
  <c r="AR152" i="15" s="1"/>
  <c r="I143" i="15"/>
  <c r="AH143" i="15"/>
  <c r="P152" i="15"/>
  <c r="M30" i="15"/>
  <c r="AH30" i="15"/>
  <c r="P148" i="15"/>
  <c r="O143" i="15"/>
  <c r="O152" i="15"/>
  <c r="AS152" i="15" s="1"/>
  <c r="H129" i="15"/>
  <c r="M148" i="15"/>
  <c r="AL145" i="15"/>
  <c r="K129" i="15"/>
  <c r="R25" i="15"/>
  <c r="L30" i="15"/>
  <c r="J30" i="15"/>
  <c r="AN30" i="15" s="1"/>
  <c r="L151" i="15"/>
  <c r="H148" i="15"/>
  <c r="H143" i="15"/>
  <c r="Q143" i="15"/>
  <c r="N143" i="15"/>
  <c r="AH148" i="15"/>
  <c r="AT145" i="15"/>
  <c r="L143" i="15"/>
  <c r="K152" i="15"/>
  <c r="I152" i="15"/>
  <c r="Q151" i="15"/>
  <c r="R30" i="15"/>
  <c r="AT30" i="15"/>
  <c r="G30" i="15"/>
  <c r="K151" i="15"/>
  <c r="M152" i="15"/>
  <c r="O148" i="15"/>
  <c r="P143" i="15"/>
  <c r="AT143" i="15" s="1"/>
  <c r="F148" i="15"/>
  <c r="AT148" i="15"/>
  <c r="L148" i="15"/>
  <c r="R152" i="15"/>
  <c r="U30" i="15"/>
  <c r="AJ30" i="15" s="1"/>
  <c r="AG151" i="15"/>
  <c r="AB139" i="15"/>
  <c r="AQ139" i="15" s="1"/>
  <c r="AB30" i="15"/>
  <c r="Y151" i="15"/>
  <c r="AN151" i="15" s="1"/>
  <c r="AF138" i="15"/>
  <c r="W129" i="15"/>
  <c r="T129" i="15"/>
  <c r="AA30" i="15"/>
  <c r="X138" i="15"/>
  <c r="AE129" i="15"/>
  <c r="AG129" i="15"/>
  <c r="Y132" i="15"/>
  <c r="AF30" i="15"/>
  <c r="AU30" i="15" s="1"/>
  <c r="X151" i="15"/>
  <c r="AC138" i="15"/>
  <c r="AB129" i="15"/>
  <c r="AA132" i="15"/>
  <c r="K21" i="15"/>
  <c r="M123" i="15"/>
  <c r="H123" i="15"/>
  <c r="E21" i="15"/>
  <c r="I27" i="15"/>
  <c r="O21" i="15"/>
  <c r="J123" i="15"/>
  <c r="Q21" i="15"/>
  <c r="AH21" i="15"/>
  <c r="N21" i="15"/>
  <c r="G21" i="15"/>
  <c r="L21" i="15"/>
  <c r="E123" i="15"/>
  <c r="G123" i="15"/>
  <c r="F123" i="15"/>
  <c r="L123" i="15"/>
  <c r="I123" i="15"/>
  <c r="J21" i="15"/>
  <c r="F21" i="15"/>
  <c r="H21" i="15"/>
  <c r="AL21" i="15" s="1"/>
  <c r="R21" i="15"/>
  <c r="P21" i="15"/>
  <c r="M21" i="15"/>
  <c r="L37" i="15"/>
  <c r="E230" i="15"/>
  <c r="E231" i="15" s="1"/>
  <c r="R27" i="15"/>
  <c r="L128" i="15"/>
  <c r="H37" i="15"/>
  <c r="N27" i="15"/>
  <c r="M27" i="15"/>
  <c r="G128" i="15"/>
  <c r="N141" i="15"/>
  <c r="H27" i="15"/>
  <c r="P133" i="15"/>
  <c r="K132" i="15"/>
  <c r="I133" i="15"/>
  <c r="E146" i="15"/>
  <c r="I132" i="15"/>
  <c r="Q141" i="15"/>
  <c r="Q146" i="15"/>
  <c r="Q133" i="15"/>
  <c r="H133" i="15"/>
  <c r="AU146" i="15"/>
  <c r="Q132" i="15"/>
  <c r="G146" i="15"/>
  <c r="AK146" i="15" s="1"/>
  <c r="H146" i="15"/>
  <c r="AL146" i="15" s="1"/>
  <c r="I146" i="15"/>
  <c r="AM146" i="15" s="1"/>
  <c r="J133" i="15"/>
  <c r="K124" i="15"/>
  <c r="O146" i="15"/>
  <c r="R132" i="15"/>
  <c r="E149" i="15"/>
  <c r="R37" i="15"/>
  <c r="R149" i="15"/>
  <c r="O132" i="15"/>
  <c r="F133" i="15"/>
  <c r="R133" i="15"/>
  <c r="P132" i="15"/>
  <c r="R146" i="15"/>
  <c r="AV146" i="15" s="1"/>
  <c r="J146" i="15"/>
  <c r="AN146" i="15" s="1"/>
  <c r="H149" i="15"/>
  <c r="AL149" i="15" s="1"/>
  <c r="P146" i="15"/>
  <c r="AT146" i="15" s="1"/>
  <c r="F146" i="15"/>
  <c r="AJ146" i="15" s="1"/>
  <c r="F37" i="15"/>
  <c r="G132" i="15"/>
  <c r="N133" i="15"/>
  <c r="K133" i="15"/>
  <c r="J124" i="15"/>
  <c r="E133" i="15"/>
  <c r="AI146" i="15"/>
  <c r="AO146" i="15"/>
  <c r="AM133" i="15"/>
  <c r="L124" i="15"/>
  <c r="M146" i="15"/>
  <c r="AQ146" i="15" s="1"/>
  <c r="E37" i="15"/>
  <c r="Q37" i="15"/>
  <c r="K37" i="15"/>
  <c r="M37" i="15"/>
  <c r="J141" i="15"/>
  <c r="H132" i="15"/>
  <c r="G133" i="15"/>
  <c r="L133" i="15"/>
  <c r="AS146" i="15"/>
  <c r="L146" i="15"/>
  <c r="AP146" i="15" s="1"/>
  <c r="N146" i="15"/>
  <c r="AR146" i="15" s="1"/>
  <c r="AA22" i="15"/>
  <c r="V22" i="15"/>
  <c r="U22" i="15"/>
  <c r="Z148" i="15"/>
  <c r="AD142" i="15"/>
  <c r="AS142" i="15" s="1"/>
  <c r="U136" i="15"/>
  <c r="AG137" i="15"/>
  <c r="AB144" i="15"/>
  <c r="T137" i="15"/>
  <c r="W148" i="15"/>
  <c r="AA137" i="15"/>
  <c r="U142" i="15"/>
  <c r="AC148" i="15"/>
  <c r="AR148" i="15" s="1"/>
  <c r="AE137" i="15"/>
  <c r="Y137" i="15"/>
  <c r="V136" i="15"/>
  <c r="AE22" i="15"/>
  <c r="AC137" i="15"/>
  <c r="Z137" i="15"/>
  <c r="T142" i="15"/>
  <c r="AI142" i="15" s="1"/>
  <c r="AC142" i="15"/>
  <c r="AR142" i="15" s="1"/>
  <c r="Y136" i="15"/>
  <c r="V144" i="15"/>
  <c r="T144" i="15"/>
  <c r="AD136" i="15"/>
  <c r="T122" i="15"/>
  <c r="X136" i="15"/>
  <c r="AE144" i="15"/>
  <c r="AF22" i="15"/>
  <c r="AD22" i="15"/>
  <c r="AA148" i="15"/>
  <c r="U137" i="15"/>
  <c r="AG141" i="15"/>
  <c r="V142" i="15"/>
  <c r="AK142" i="15" s="1"/>
  <c r="W142" i="15"/>
  <c r="AL142" i="15" s="1"/>
  <c r="AC144" i="15"/>
  <c r="AE136" i="15"/>
  <c r="Y142" i="15"/>
  <c r="AN142" i="15" s="1"/>
  <c r="AE142" i="15"/>
  <c r="AT142" i="15" s="1"/>
  <c r="U144" i="15"/>
  <c r="V148" i="15"/>
  <c r="AK148" i="15" s="1"/>
  <c r="T153" i="15"/>
  <c r="AG136" i="15"/>
  <c r="W144" i="15"/>
  <c r="T22" i="15"/>
  <c r="X14" i="15"/>
  <c r="Z22" i="15"/>
  <c r="W137" i="15"/>
  <c r="V137" i="15"/>
  <c r="W136" i="15"/>
  <c r="Z142" i="15"/>
  <c r="AO142" i="15" s="1"/>
  <c r="X142" i="15"/>
  <c r="AM142" i="15" s="1"/>
  <c r="U148" i="15"/>
  <c r="AB148" i="15"/>
  <c r="N144" i="15"/>
  <c r="M144" i="15"/>
  <c r="AH144" i="15"/>
  <c r="F144" i="15"/>
  <c r="E144" i="15"/>
  <c r="AI144" i="15"/>
  <c r="AQ144" i="15"/>
  <c r="H144" i="15"/>
  <c r="K144" i="15"/>
  <c r="E130" i="15"/>
  <c r="AJ144" i="15"/>
  <c r="L130" i="15"/>
  <c r="O144" i="15"/>
  <c r="P130" i="15"/>
  <c r="AR144" i="15"/>
  <c r="J130" i="15"/>
  <c r="AL144" i="15"/>
  <c r="AS144" i="15"/>
  <c r="G144" i="15"/>
  <c r="AK144" i="15" s="1"/>
  <c r="R130" i="15"/>
  <c r="M138" i="15"/>
  <c r="Q144" i="15"/>
  <c r="P144" i="15"/>
  <c r="AT144" i="15" s="1"/>
  <c r="Q138" i="15"/>
  <c r="D43" i="14"/>
  <c r="V135" i="15"/>
  <c r="Z135" i="15"/>
  <c r="AA31" i="15"/>
  <c r="Z141" i="15"/>
  <c r="W135" i="15"/>
  <c r="AG122" i="15"/>
  <c r="D49" i="14"/>
  <c r="AD31" i="15"/>
  <c r="AF31" i="15"/>
  <c r="T141" i="15"/>
  <c r="AE135" i="15"/>
  <c r="X122" i="15"/>
  <c r="D45" i="14"/>
  <c r="T135" i="15"/>
  <c r="X135" i="15"/>
  <c r="Y122" i="15"/>
  <c r="D60" i="14"/>
  <c r="AB135" i="15"/>
  <c r="AF135" i="15"/>
  <c r="U122" i="15"/>
  <c r="AC122" i="15"/>
  <c r="U141" i="15"/>
  <c r="X31" i="15"/>
  <c r="U135" i="15"/>
  <c r="Y135" i="15"/>
  <c r="AB122" i="15"/>
  <c r="N33" i="15"/>
  <c r="H23" i="15"/>
  <c r="N23" i="15"/>
  <c r="O150" i="15"/>
  <c r="O19" i="15"/>
  <c r="H19" i="15"/>
  <c r="H35" i="15"/>
  <c r="I35" i="15"/>
  <c r="J35" i="15"/>
  <c r="F23" i="15"/>
  <c r="AJ23" i="15" s="1"/>
  <c r="K19" i="15"/>
  <c r="F38" i="15"/>
  <c r="P32" i="15"/>
  <c r="N32" i="15"/>
  <c r="Q35" i="15"/>
  <c r="M24" i="15"/>
  <c r="F24" i="15"/>
  <c r="J24" i="15"/>
  <c r="I150" i="15"/>
  <c r="G150" i="15"/>
  <c r="N150" i="15"/>
  <c r="J145" i="15"/>
  <c r="I145" i="15"/>
  <c r="M145" i="15"/>
  <c r="M129" i="15"/>
  <c r="AN145" i="15"/>
  <c r="AM145" i="15"/>
  <c r="P33" i="15"/>
  <c r="P23" i="15"/>
  <c r="AT23" i="15" s="1"/>
  <c r="Q150" i="15"/>
  <c r="AU150" i="15" s="1"/>
  <c r="P19" i="15"/>
  <c r="P35" i="15"/>
  <c r="J19" i="15"/>
  <c r="R35" i="15"/>
  <c r="O23" i="15"/>
  <c r="Q33" i="15"/>
  <c r="I23" i="15"/>
  <c r="P38" i="15"/>
  <c r="K32" i="15"/>
  <c r="H32" i="15"/>
  <c r="F32" i="15"/>
  <c r="K35" i="15"/>
  <c r="G35" i="15"/>
  <c r="L25" i="15"/>
  <c r="Q24" i="15"/>
  <c r="N19" i="15"/>
  <c r="L24" i="15"/>
  <c r="M23" i="15"/>
  <c r="F150" i="15"/>
  <c r="Q145" i="15"/>
  <c r="R150" i="15"/>
  <c r="AV150" i="15" s="1"/>
  <c r="AQ145" i="15"/>
  <c r="AU145" i="15"/>
  <c r="AM150" i="15"/>
  <c r="R33" i="15"/>
  <c r="L38" i="15"/>
  <c r="K38" i="15"/>
  <c r="R19" i="15"/>
  <c r="E38" i="15"/>
  <c r="H24" i="15"/>
  <c r="R23" i="15"/>
  <c r="I38" i="15"/>
  <c r="AH38" i="15"/>
  <c r="J32" i="15"/>
  <c r="I33" i="15"/>
  <c r="L23" i="15"/>
  <c r="E24" i="15"/>
  <c r="J150" i="15"/>
  <c r="AN150" i="15" s="1"/>
  <c r="F145" i="15"/>
  <c r="K145" i="15"/>
  <c r="AO145" i="15" s="1"/>
  <c r="R137" i="15"/>
  <c r="AS150" i="15"/>
  <c r="AR150" i="15"/>
  <c r="L145" i="15"/>
  <c r="AP145" i="15" s="1"/>
  <c r="AH145" i="15"/>
  <c r="R145" i="15"/>
  <c r="AV145" i="15" s="1"/>
  <c r="AK150" i="15"/>
  <c r="N129" i="15"/>
  <c r="L129" i="15"/>
  <c r="R38" i="15"/>
  <c r="AV38" i="15" s="1"/>
  <c r="G23" i="15"/>
  <c r="G38" i="15"/>
  <c r="M35" i="15"/>
  <c r="F35" i="15"/>
  <c r="G24" i="15"/>
  <c r="E23" i="15"/>
  <c r="N145" i="15"/>
  <c r="I140" i="15"/>
  <c r="AH150" i="15"/>
  <c r="AT140" i="15"/>
  <c r="AJ145" i="15"/>
  <c r="AR145" i="15"/>
  <c r="G129" i="15"/>
  <c r="I129" i="15"/>
  <c r="O33" i="15"/>
  <c r="Q23" i="15"/>
  <c r="AL150" i="15"/>
  <c r="P24" i="15"/>
  <c r="K24" i="15"/>
  <c r="J23" i="15"/>
  <c r="AN23" i="15" s="1"/>
  <c r="M33" i="15"/>
  <c r="Q19" i="15"/>
  <c r="K33" i="15"/>
  <c r="E19" i="15"/>
  <c r="N38" i="15"/>
  <c r="Q32" i="15"/>
  <c r="O32" i="15"/>
  <c r="M32" i="15"/>
  <c r="AH23" i="15"/>
  <c r="R24" i="15"/>
  <c r="N35" i="15"/>
  <c r="G145" i="15"/>
  <c r="AK145" i="15" s="1"/>
  <c r="O129" i="15"/>
  <c r="AI145" i="15"/>
  <c r="F129" i="15"/>
  <c r="K150" i="15"/>
  <c r="AO150" i="15" s="1"/>
  <c r="Q129" i="15"/>
  <c r="E150" i="15"/>
  <c r="AI150" i="15" s="1"/>
  <c r="E33" i="15"/>
  <c r="I19" i="15"/>
  <c r="M38" i="15"/>
  <c r="AQ38" i="15" s="1"/>
  <c r="AR23" i="15"/>
  <c r="O35" i="15"/>
  <c r="H38" i="15"/>
  <c r="I32" i="15"/>
  <c r="G32" i="15"/>
  <c r="E32" i="15"/>
  <c r="L33" i="15"/>
  <c r="P150" i="15"/>
  <c r="AT150" i="15" s="1"/>
  <c r="O145" i="15"/>
  <c r="AS145" i="15" s="1"/>
  <c r="J129" i="15"/>
  <c r="AV140" i="15"/>
  <c r="AJ150" i="15"/>
  <c r="U131" i="15"/>
  <c r="Z23" i="15"/>
  <c r="AO23" i="15" s="1"/>
  <c r="AG140" i="15"/>
  <c r="AF140" i="15"/>
  <c r="T23" i="15"/>
  <c r="AE140" i="15"/>
  <c r="U140" i="15"/>
  <c r="Z131" i="15"/>
  <c r="Y140" i="15"/>
  <c r="P27" i="15"/>
  <c r="J27" i="15"/>
  <c r="O37" i="15"/>
  <c r="K27" i="15"/>
  <c r="E27" i="15"/>
  <c r="L149" i="15"/>
  <c r="AP149" i="15" s="1"/>
  <c r="L153" i="15"/>
  <c r="E131" i="15"/>
  <c r="P149" i="15"/>
  <c r="K141" i="15"/>
  <c r="G141" i="15"/>
  <c r="G131" i="15"/>
  <c r="F149" i="15"/>
  <c r="Q27" i="15"/>
  <c r="N37" i="15"/>
  <c r="K149" i="15"/>
  <c r="AO149" i="15" s="1"/>
  <c r="E141" i="15"/>
  <c r="AI141" i="15" s="1"/>
  <c r="H141" i="15"/>
  <c r="G37" i="15"/>
  <c r="F153" i="15"/>
  <c r="J153" i="15"/>
  <c r="K131" i="15"/>
  <c r="P122" i="15"/>
  <c r="R131" i="15"/>
  <c r="O141" i="15"/>
  <c r="J131" i="15"/>
  <c r="K123" i="15"/>
  <c r="O131" i="15"/>
  <c r="J149" i="15"/>
  <c r="AT149" i="15"/>
  <c r="O27" i="15"/>
  <c r="AH37" i="15"/>
  <c r="P37" i="15"/>
  <c r="H122" i="15"/>
  <c r="AU149" i="15"/>
  <c r="M141" i="15"/>
  <c r="AH141" i="15"/>
  <c r="AS141" i="15"/>
  <c r="Q131" i="15"/>
  <c r="AI149" i="15"/>
  <c r="O149" i="15"/>
  <c r="AS149" i="15" s="1"/>
  <c r="L27" i="15"/>
  <c r="F27" i="15"/>
  <c r="G153" i="15"/>
  <c r="K153" i="15"/>
  <c r="AV149" i="15"/>
  <c r="M149" i="15"/>
  <c r="AQ149" i="15" s="1"/>
  <c r="F141" i="15"/>
  <c r="AJ141" i="15" s="1"/>
  <c r="AN149" i="15"/>
  <c r="L141" i="15"/>
  <c r="I131" i="15"/>
  <c r="I37" i="15"/>
  <c r="R141" i="15"/>
  <c r="AV141" i="15" s="1"/>
  <c r="M122" i="15"/>
  <c r="AJ149" i="15"/>
  <c r="N131" i="15"/>
  <c r="P141" i="15"/>
  <c r="AT141" i="15" s="1"/>
  <c r="AO141" i="15"/>
  <c r="I141" i="15"/>
  <c r="N149" i="15"/>
  <c r="AR149" i="15" s="1"/>
  <c r="I149" i="15"/>
  <c r="AM149" i="15" s="1"/>
  <c r="AH149" i="15"/>
  <c r="G149" i="15"/>
  <c r="AK149" i="15" s="1"/>
  <c r="AD127" i="15"/>
  <c r="AE131" i="15"/>
  <c r="Y131" i="15"/>
  <c r="D50" i="14"/>
  <c r="W31" i="15"/>
  <c r="AA23" i="15"/>
  <c r="AF23" i="15"/>
  <c r="T148" i="15"/>
  <c r="AF148" i="15"/>
  <c r="AU148" i="15" s="1"/>
  <c r="AB141" i="15"/>
  <c r="W141" i="15"/>
  <c r="AA122" i="15"/>
  <c r="AB127" i="15"/>
  <c r="AG131" i="15"/>
  <c r="AF144" i="15"/>
  <c r="AB140" i="15"/>
  <c r="AG127" i="15"/>
  <c r="Z153" i="15"/>
  <c r="AB153" i="15"/>
  <c r="T127" i="15"/>
  <c r="W23" i="15"/>
  <c r="AL23" i="15" s="1"/>
  <c r="AB31" i="15"/>
  <c r="AG31" i="15"/>
  <c r="V31" i="15"/>
  <c r="Y153" i="15"/>
  <c r="X148" i="15"/>
  <c r="V153" i="15"/>
  <c r="AF127" i="15"/>
  <c r="W127" i="15"/>
  <c r="W131" i="15"/>
  <c r="V140" i="15"/>
  <c r="X144" i="15"/>
  <c r="AD140" i="15"/>
  <c r="T131" i="15"/>
  <c r="V122" i="15"/>
  <c r="Z122" i="15"/>
  <c r="V131" i="15"/>
  <c r="AC31" i="15"/>
  <c r="T31" i="15"/>
  <c r="Y31" i="15"/>
  <c r="V23" i="15"/>
  <c r="Z31" i="15"/>
  <c r="X23" i="15"/>
  <c r="AG148" i="15"/>
  <c r="AV148" i="15" s="1"/>
  <c r="Y141" i="15"/>
  <c r="AN141" i="15" s="1"/>
  <c r="U127" i="15"/>
  <c r="AE127" i="15"/>
  <c r="AA131" i="15"/>
  <c r="AG144" i="15"/>
  <c r="AA140" i="15"/>
  <c r="AC131" i="15"/>
  <c r="W122" i="15"/>
  <c r="AA127" i="15"/>
  <c r="AF122" i="15"/>
  <c r="AE122" i="15"/>
  <c r="D48" i="14"/>
  <c r="X127" i="15"/>
  <c r="D57" i="14"/>
  <c r="U31" i="15"/>
  <c r="AD23" i="15"/>
  <c r="Y148" i="15"/>
  <c r="AN148" i="15" s="1"/>
  <c r="AC140" i="15"/>
  <c r="AF141" i="15"/>
  <c r="AF131" i="15"/>
  <c r="Z127" i="15"/>
  <c r="AD148" i="15"/>
  <c r="X141" i="15"/>
  <c r="Y144" i="15"/>
  <c r="Y127" i="15"/>
  <c r="D58" i="14"/>
  <c r="AB23" i="15"/>
  <c r="AG23" i="15"/>
  <c r="AV23" i="15" s="1"/>
  <c r="W153" i="15"/>
  <c r="AA141" i="15"/>
  <c r="V141" i="15"/>
  <c r="AK141" i="15" s="1"/>
  <c r="X131" i="15"/>
  <c r="V127" i="15"/>
  <c r="Z144" i="15"/>
  <c r="AO144" i="15" s="1"/>
  <c r="AC141" i="15"/>
  <c r="AR141" i="15" s="1"/>
  <c r="AB131" i="15"/>
  <c r="AA144" i="15"/>
  <c r="AP144" i="15" s="1"/>
  <c r="F25" i="15"/>
  <c r="G137" i="15"/>
  <c r="AK137" i="15" s="1"/>
  <c r="Q140" i="15"/>
  <c r="J137" i="15"/>
  <c r="F138" i="15"/>
  <c r="J138" i="15"/>
  <c r="AP140" i="15"/>
  <c r="AH138" i="15"/>
  <c r="I137" i="15"/>
  <c r="E140" i="15"/>
  <c r="N25" i="15"/>
  <c r="M137" i="15"/>
  <c r="AQ137" i="15" s="1"/>
  <c r="L138" i="15"/>
  <c r="N138" i="15"/>
  <c r="AR138" i="15" s="1"/>
  <c r="R138" i="15"/>
  <c r="AH140" i="15"/>
  <c r="AV137" i="15"/>
  <c r="AK140" i="15"/>
  <c r="H137" i="15"/>
  <c r="AL137" i="15" s="1"/>
  <c r="K140" i="15"/>
  <c r="F31" i="15"/>
  <c r="AJ31" i="15" s="1"/>
  <c r="I25" i="15"/>
  <c r="N137" i="15"/>
  <c r="E137" i="15"/>
  <c r="G138" i="15"/>
  <c r="K138" i="15"/>
  <c r="AQ140" i="15"/>
  <c r="AU138" i="15"/>
  <c r="P137" i="15"/>
  <c r="AT137" i="15"/>
  <c r="AN137" i="15"/>
  <c r="AP138" i="15"/>
  <c r="E25" i="15"/>
  <c r="F137" i="15"/>
  <c r="AJ137" i="15" s="1"/>
  <c r="O138" i="15"/>
  <c r="AI140" i="15"/>
  <c r="AL140" i="15"/>
  <c r="Q137" i="15"/>
  <c r="AM137" i="15"/>
  <c r="J140" i="15"/>
  <c r="M25" i="15"/>
  <c r="G25" i="15"/>
  <c r="K25" i="15"/>
  <c r="L137" i="15"/>
  <c r="K137" i="15"/>
  <c r="AO137" i="15" s="1"/>
  <c r="N140" i="15"/>
  <c r="H138" i="15"/>
  <c r="AS140" i="15"/>
  <c r="AI137" i="15"/>
  <c r="AU137" i="15"/>
  <c r="AR137" i="15"/>
  <c r="R140" i="15"/>
  <c r="L140" i="15"/>
  <c r="H140" i="15"/>
  <c r="O25" i="15"/>
  <c r="H25" i="15"/>
  <c r="Q25" i="15"/>
  <c r="G140" i="15"/>
  <c r="P138" i="15"/>
  <c r="P140" i="15"/>
  <c r="AJ140" i="15"/>
  <c r="AH137" i="15"/>
  <c r="O137" i="15"/>
  <c r="AS137" i="15" s="1"/>
  <c r="AO140" i="15"/>
  <c r="P25" i="15"/>
  <c r="O140" i="15"/>
  <c r="E138" i="15"/>
  <c r="I138" i="15"/>
  <c r="AM138" i="15" s="1"/>
  <c r="AM140" i="15"/>
  <c r="AR140" i="15"/>
  <c r="AP137" i="15"/>
  <c r="M140" i="15"/>
  <c r="AN140" i="15"/>
  <c r="F140" i="15"/>
  <c r="AF38" i="15"/>
  <c r="AU38" i="15" s="1"/>
  <c r="AE15" i="15"/>
  <c r="Z30" i="15"/>
  <c r="AO30" i="15" s="1"/>
  <c r="Z138" i="15"/>
  <c r="AO138" i="15" s="1"/>
  <c r="AG139" i="15"/>
  <c r="AV139" i="15" s="1"/>
  <c r="AD139" i="15"/>
  <c r="AS139" i="15" s="1"/>
  <c r="U138" i="15"/>
  <c r="U133" i="15"/>
  <c r="AD128" i="15"/>
  <c r="AB151" i="15"/>
  <c r="T128" i="15"/>
  <c r="AC132" i="15"/>
  <c r="AE38" i="15"/>
  <c r="AT38" i="15" s="1"/>
  <c r="V139" i="15"/>
  <c r="AK139" i="15" s="1"/>
  <c r="AG15" i="15"/>
  <c r="AC30" i="15"/>
  <c r="AR30" i="15" s="1"/>
  <c r="Z151" i="15"/>
  <c r="W139" i="15"/>
  <c r="AL139" i="15" s="1"/>
  <c r="AF139" i="15"/>
  <c r="AU139" i="15" s="1"/>
  <c r="AE138" i="15"/>
  <c r="Z129" i="15"/>
  <c r="U128" i="15"/>
  <c r="V128" i="15"/>
  <c r="W133" i="15"/>
  <c r="AL133" i="15" s="1"/>
  <c r="Y15" i="15"/>
  <c r="Z15" i="15"/>
  <c r="AD30" i="15"/>
  <c r="AF151" i="15"/>
  <c r="U139" i="15"/>
  <c r="AJ139" i="15" s="1"/>
  <c r="W138" i="15"/>
  <c r="AL138" i="15" s="1"/>
  <c r="AD138" i="15"/>
  <c r="AA139" i="15"/>
  <c r="AP139" i="15" s="1"/>
  <c r="U129" i="15"/>
  <c r="AA130" i="15"/>
  <c r="AF129" i="15"/>
  <c r="AC151" i="15"/>
  <c r="AB132" i="15"/>
  <c r="AF132" i="15"/>
  <c r="AG128" i="15"/>
  <c r="Z139" i="15"/>
  <c r="AO139" i="15" s="1"/>
  <c r="AE132" i="15"/>
  <c r="AB138" i="15"/>
  <c r="AD151" i="15"/>
  <c r="AB15" i="15"/>
  <c r="Z133" i="15"/>
  <c r="V138" i="15"/>
  <c r="AC129" i="15"/>
  <c r="X130" i="15"/>
  <c r="U151" i="15"/>
  <c r="V132" i="15"/>
  <c r="Y128" i="15"/>
  <c r="T151" i="15"/>
  <c r="Z132" i="15"/>
  <c r="T132" i="15"/>
  <c r="AB143" i="15"/>
  <c r="AQ143" i="15" s="1"/>
  <c r="U15" i="15"/>
  <c r="AG138" i="15"/>
  <c r="AV138" i="15" s="1"/>
  <c r="AE139" i="15"/>
  <c r="AT139" i="15" s="1"/>
  <c r="V129" i="15"/>
  <c r="AC128" i="15"/>
  <c r="Y129" i="15"/>
  <c r="X129" i="15"/>
  <c r="V151" i="15"/>
  <c r="Y139" i="15"/>
  <c r="AN139" i="15" s="1"/>
  <c r="AC143" i="15"/>
  <c r="AR143" i="15" s="1"/>
  <c r="AA128" i="15"/>
  <c r="W132" i="15"/>
  <c r="X128" i="15"/>
  <c r="U132" i="15"/>
  <c r="T15" i="15"/>
  <c r="X30" i="15"/>
  <c r="AM30" i="15" s="1"/>
  <c r="X15" i="15"/>
  <c r="AF15" i="15"/>
  <c r="AD15" i="15"/>
  <c r="AG30" i="15"/>
  <c r="V15" i="15"/>
  <c r="AA15" i="15"/>
  <c r="Y38" i="15"/>
  <c r="AN38" i="15" s="1"/>
  <c r="V30" i="15"/>
  <c r="X139" i="15"/>
  <c r="AM139" i="15" s="1"/>
  <c r="Y138" i="15"/>
  <c r="AN138" i="15" s="1"/>
  <c r="T139" i="15"/>
  <c r="AI139" i="15" s="1"/>
  <c r="AD129" i="15"/>
  <c r="W128" i="15"/>
  <c r="AA151" i="15"/>
  <c r="T138" i="15"/>
  <c r="AB128" i="15"/>
  <c r="AG132" i="15"/>
  <c r="Q31" i="15"/>
  <c r="AU31" i="15" s="1"/>
  <c r="AH31" i="15"/>
  <c r="J31" i="15"/>
  <c r="AN31" i="15" s="1"/>
  <c r="N26" i="15"/>
  <c r="L31" i="15"/>
  <c r="AP31" i="15" s="1"/>
  <c r="O31" i="15"/>
  <c r="AS31" i="15" s="1"/>
  <c r="G31" i="15"/>
  <c r="AK31" i="15" s="1"/>
  <c r="AO31" i="15"/>
  <c r="I31" i="15"/>
  <c r="AM31" i="15" s="1"/>
  <c r="M31" i="15"/>
  <c r="AQ31" i="15" s="1"/>
  <c r="H268" i="15"/>
  <c r="H269" i="15" s="1"/>
  <c r="P31" i="15"/>
  <c r="AT31" i="15" s="1"/>
  <c r="R31" i="15"/>
  <c r="AV31" i="15" s="1"/>
  <c r="H31" i="15"/>
  <c r="D269" i="15"/>
  <c r="Q269" i="15" s="1"/>
  <c r="E31" i="15"/>
  <c r="AI31" i="15" s="1"/>
  <c r="E268" i="15"/>
  <c r="E269" i="15" s="1"/>
  <c r="N31" i="15"/>
  <c r="AR31" i="15" s="1"/>
  <c r="AL31" i="15"/>
  <c r="N268" i="15"/>
  <c r="K128" i="15"/>
  <c r="L268" i="15"/>
  <c r="L269" i="15" s="1"/>
  <c r="D231" i="15"/>
  <c r="K231" i="15" s="1"/>
  <c r="E22" i="15"/>
  <c r="H128" i="15"/>
  <c r="N128" i="15"/>
  <c r="I128" i="15"/>
  <c r="G268" i="15"/>
  <c r="G269" i="15" s="1"/>
  <c r="P128" i="15"/>
  <c r="O128" i="15"/>
  <c r="M128" i="15"/>
  <c r="P268" i="15"/>
  <c r="P36" i="15"/>
  <c r="Q128" i="15"/>
  <c r="E128" i="15"/>
  <c r="J128" i="15"/>
  <c r="F128" i="15"/>
  <c r="K268" i="15"/>
  <c r="X38" i="15"/>
  <c r="W38" i="15"/>
  <c r="AD38" i="15"/>
  <c r="AF143" i="15"/>
  <c r="AF130" i="15"/>
  <c r="AB133" i="15"/>
  <c r="AQ133" i="15" s="1"/>
  <c r="U143" i="15"/>
  <c r="Y143" i="15"/>
  <c r="AN143" i="15" s="1"/>
  <c r="T133" i="15"/>
  <c r="V38" i="15"/>
  <c r="X143" i="15"/>
  <c r="AM143" i="15" s="1"/>
  <c r="AD133" i="15"/>
  <c r="AS133" i="15" s="1"/>
  <c r="V130" i="15"/>
  <c r="Y130" i="15"/>
  <c r="AC133" i="15"/>
  <c r="W125" i="15"/>
  <c r="AG143" i="15"/>
  <c r="AV143" i="15" s="1"/>
  <c r="W130" i="15"/>
  <c r="T38" i="15"/>
  <c r="Z38" i="15"/>
  <c r="AO38" i="15" s="1"/>
  <c r="V133" i="15"/>
  <c r="T130" i="15"/>
  <c r="AG130" i="15"/>
  <c r="AE133" i="15"/>
  <c r="AT133" i="15" s="1"/>
  <c r="AD143" i="15"/>
  <c r="V143" i="15"/>
  <c r="AK143" i="15" s="1"/>
  <c r="AB130" i="15"/>
  <c r="AA38" i="15"/>
  <c r="U38" i="15"/>
  <c r="AJ38" i="15" s="1"/>
  <c r="AG133" i="15"/>
  <c r="Z130" i="15"/>
  <c r="AA133" i="15"/>
  <c r="W143" i="15"/>
  <c r="AD130" i="15"/>
  <c r="T143" i="15"/>
  <c r="AI143" i="15" s="1"/>
  <c r="Z143" i="15"/>
  <c r="Y133" i="15"/>
  <c r="AA143" i="15"/>
  <c r="AC38" i="15"/>
  <c r="U130" i="15"/>
  <c r="AC130" i="15"/>
  <c r="AF133" i="15"/>
  <c r="AU133" i="15" s="1"/>
  <c r="W29" i="15"/>
  <c r="V39" i="15"/>
  <c r="U152" i="15"/>
  <c r="AB134" i="15"/>
  <c r="AF152" i="15"/>
  <c r="AB152" i="15"/>
  <c r="AQ152" i="15" s="1"/>
  <c r="V134" i="15"/>
  <c r="AC134" i="15"/>
  <c r="T134" i="15"/>
  <c r="Y152" i="15"/>
  <c r="AN152" i="15" s="1"/>
  <c r="T152" i="15"/>
  <c r="AI152" i="15" s="1"/>
  <c r="AA152" i="15"/>
  <c r="AP152" i="15" s="1"/>
  <c r="U134" i="15"/>
  <c r="Z134" i="15"/>
  <c r="AG134" i="15"/>
  <c r="U39" i="15"/>
  <c r="Y134" i="15"/>
  <c r="W134" i="15"/>
  <c r="AG152" i="15"/>
  <c r="AV152" i="15" s="1"/>
  <c r="Z152" i="15"/>
  <c r="X39" i="15"/>
  <c r="AE134" i="15"/>
  <c r="AB39" i="15"/>
  <c r="Y39" i="15"/>
  <c r="V152" i="15"/>
  <c r="AK152" i="15" s="1"/>
  <c r="AA134" i="15"/>
  <c r="AF134" i="15"/>
  <c r="AE152" i="15"/>
  <c r="X134" i="15"/>
  <c r="AA39" i="15"/>
  <c r="T39" i="15"/>
  <c r="Z39" i="15"/>
  <c r="W152" i="15"/>
  <c r="X152" i="15"/>
  <c r="J230" i="15"/>
  <c r="J231" i="15" s="1"/>
  <c r="M22" i="15"/>
  <c r="O24" i="15"/>
  <c r="K130" i="15"/>
  <c r="M130" i="15"/>
  <c r="G130" i="15"/>
  <c r="K230" i="15"/>
  <c r="I268" i="15"/>
  <c r="I269" i="15" s="1"/>
  <c r="M268" i="15"/>
  <c r="M269" i="15" s="1"/>
  <c r="R22" i="15"/>
  <c r="Q34" i="15"/>
  <c r="L122" i="15"/>
  <c r="H130" i="15"/>
  <c r="AH151" i="15"/>
  <c r="AV151" i="15"/>
  <c r="G151" i="15"/>
  <c r="G230" i="15"/>
  <c r="G231" i="15" s="1"/>
  <c r="L230" i="15"/>
  <c r="L231" i="15" s="1"/>
  <c r="Q268" i="15"/>
  <c r="F268" i="15"/>
  <c r="F269" i="15" s="1"/>
  <c r="R144" i="15"/>
  <c r="AV144" i="15" s="1"/>
  <c r="J144" i="15"/>
  <c r="AN144" i="15" s="1"/>
  <c r="K136" i="15"/>
  <c r="I130" i="15"/>
  <c r="AU151" i="15"/>
  <c r="AI151" i="15"/>
  <c r="N151" i="15"/>
  <c r="AO151" i="15"/>
  <c r="F151" i="15"/>
  <c r="AJ151" i="15" s="1"/>
  <c r="AL151" i="15"/>
  <c r="O151" i="15"/>
  <c r="AS151" i="15" s="1"/>
  <c r="AR151" i="15"/>
  <c r="I230" i="15"/>
  <c r="I231" i="15" s="1"/>
  <c r="M230" i="15"/>
  <c r="M231" i="15" s="1"/>
  <c r="J268" i="15"/>
  <c r="J269" i="15" s="1"/>
  <c r="I24" i="15"/>
  <c r="N122" i="15"/>
  <c r="F130" i="15"/>
  <c r="Q130" i="15"/>
  <c r="G124" i="15"/>
  <c r="AK151" i="15"/>
  <c r="AQ151" i="15"/>
  <c r="AM151" i="15"/>
  <c r="O268" i="15"/>
  <c r="D86" i="14"/>
  <c r="D85" i="14"/>
  <c r="D79" i="14"/>
  <c r="D81" i="14"/>
  <c r="C76" i="14"/>
  <c r="L126" i="15"/>
  <c r="E135" i="15"/>
  <c r="R136" i="15"/>
  <c r="F124" i="15"/>
  <c r="AT135" i="15"/>
  <c r="T126" i="15"/>
  <c r="H124" i="15"/>
  <c r="O136" i="15"/>
  <c r="I124" i="15"/>
  <c r="N134" i="15"/>
  <c r="Y126" i="15"/>
  <c r="X126" i="15"/>
  <c r="L134" i="15"/>
  <c r="E124" i="15"/>
  <c r="Q135" i="15"/>
  <c r="AU135" i="15"/>
  <c r="AH135" i="15"/>
  <c r="AR134" i="15"/>
  <c r="N135" i="15"/>
  <c r="K135" i="15"/>
  <c r="AO135" i="15" s="1"/>
  <c r="AH134" i="15"/>
  <c r="H135" i="15"/>
  <c r="F134" i="15"/>
  <c r="AJ134" i="15" s="1"/>
  <c r="R135" i="15"/>
  <c r="R127" i="15"/>
  <c r="AV135" i="15"/>
  <c r="K134" i="15"/>
  <c r="I135" i="15"/>
  <c r="AM135" i="15" s="1"/>
  <c r="AR135" i="15"/>
  <c r="AI135" i="15"/>
  <c r="O135" i="15"/>
  <c r="P134" i="15"/>
  <c r="AT134" i="15" s="1"/>
  <c r="O134" i="15"/>
  <c r="AS134" i="15" s="1"/>
  <c r="G135" i="15"/>
  <c r="AK135" i="15" s="1"/>
  <c r="F135" i="15"/>
  <c r="AJ135" i="15" s="1"/>
  <c r="E134" i="15"/>
  <c r="M134" i="15"/>
  <c r="Q134" i="15"/>
  <c r="AU134" i="15" s="1"/>
  <c r="AS135" i="15"/>
  <c r="AP134" i="15"/>
  <c r="AI134" i="15"/>
  <c r="J135" i="15"/>
  <c r="AN135" i="15" s="1"/>
  <c r="G134" i="15"/>
  <c r="I134" i="15"/>
  <c r="AM134" i="15" s="1"/>
  <c r="J134" i="15"/>
  <c r="AN134" i="15" s="1"/>
  <c r="AQ134" i="15"/>
  <c r="M135" i="15"/>
  <c r="AQ135" i="15" s="1"/>
  <c r="L135" i="15"/>
  <c r="AP135" i="15" s="1"/>
  <c r="H134" i="15"/>
  <c r="AL134" i="15" s="1"/>
  <c r="R134" i="15"/>
  <c r="AV134" i="15" s="1"/>
  <c r="AK134" i="15"/>
  <c r="AL135" i="15"/>
  <c r="AO134" i="15"/>
  <c r="I20" i="15"/>
  <c r="Q28" i="15"/>
  <c r="E29" i="15"/>
  <c r="N20" i="15"/>
  <c r="J29" i="15"/>
  <c r="F29" i="15"/>
  <c r="O29" i="15"/>
  <c r="N28" i="15"/>
  <c r="R29" i="15"/>
  <c r="L29" i="15"/>
  <c r="P29" i="15"/>
  <c r="AT29" i="15" s="1"/>
  <c r="K29" i="15"/>
  <c r="G20" i="15"/>
  <c r="J20" i="15"/>
  <c r="H29" i="15"/>
  <c r="AL29" i="15" s="1"/>
  <c r="AH29" i="15"/>
  <c r="M29" i="15"/>
  <c r="H28" i="15"/>
  <c r="P20" i="15"/>
  <c r="P28" i="15"/>
  <c r="N29" i="15"/>
  <c r="M20" i="15"/>
  <c r="Q29" i="15"/>
  <c r="G29" i="15"/>
  <c r="J36" i="15"/>
  <c r="F36" i="15"/>
  <c r="I36" i="15"/>
  <c r="F34" i="15"/>
  <c r="I34" i="15"/>
  <c r="AD268" i="15"/>
  <c r="V268" i="15"/>
  <c r="V269" i="15" s="1"/>
  <c r="AC268" i="15"/>
  <c r="U268" i="15"/>
  <c r="U269" i="15" s="1"/>
  <c r="AB268" i="15"/>
  <c r="AB269" i="15" s="1"/>
  <c r="T268" i="15"/>
  <c r="T269" i="15" s="1"/>
  <c r="AA268" i="15"/>
  <c r="AA269" i="15" s="1"/>
  <c r="Z268" i="15"/>
  <c r="AG268" i="15"/>
  <c r="Y268" i="15"/>
  <c r="Y269" i="15" s="1"/>
  <c r="S269" i="15"/>
  <c r="AF268" i="15"/>
  <c r="X268" i="15"/>
  <c r="X269" i="15" s="1"/>
  <c r="AE268" i="15"/>
  <c r="W268" i="15"/>
  <c r="W269" i="15" s="1"/>
  <c r="Z125" i="15"/>
  <c r="AB123" i="15"/>
  <c r="U125" i="15"/>
  <c r="T123" i="15"/>
  <c r="AF125" i="15"/>
  <c r="AA125" i="15"/>
  <c r="U123" i="15"/>
  <c r="X125" i="15"/>
  <c r="X123" i="15"/>
  <c r="AC125" i="15"/>
  <c r="Y125" i="15"/>
  <c r="N130" i="15"/>
  <c r="AB125" i="15"/>
  <c r="S154" i="15"/>
  <c r="AE125" i="15"/>
  <c r="AD125" i="15"/>
  <c r="V125" i="15"/>
  <c r="T125" i="15"/>
  <c r="V123" i="15"/>
  <c r="AA123" i="15"/>
  <c r="V230" i="15"/>
  <c r="V231" i="15" s="1"/>
  <c r="U230" i="15"/>
  <c r="U231" i="15" s="1"/>
  <c r="AB230" i="15"/>
  <c r="AB231" i="15" s="1"/>
  <c r="T230" i="15"/>
  <c r="T231" i="15" s="1"/>
  <c r="AA230" i="15"/>
  <c r="AA231" i="15" s="1"/>
  <c r="Z230" i="15"/>
  <c r="Y230" i="15"/>
  <c r="Y231" i="15" s="1"/>
  <c r="X230" i="15"/>
  <c r="X231" i="15" s="1"/>
  <c r="W230" i="15"/>
  <c r="W231" i="15" s="1"/>
  <c r="W126" i="15"/>
  <c r="E127" i="15"/>
  <c r="P127" i="15"/>
  <c r="J136" i="15"/>
  <c r="G127" i="15"/>
  <c r="AB126" i="15"/>
  <c r="I126" i="15"/>
  <c r="G126" i="15"/>
  <c r="F126" i="15"/>
  <c r="N127" i="15"/>
  <c r="H126" i="15"/>
  <c r="E126" i="15"/>
  <c r="J126" i="15"/>
  <c r="Q127" i="15"/>
  <c r="I127" i="15"/>
  <c r="K126" i="15"/>
  <c r="M127" i="15"/>
  <c r="H127" i="15"/>
  <c r="L127" i="15"/>
  <c r="J127" i="15"/>
  <c r="Z126" i="15"/>
  <c r="V126" i="15"/>
  <c r="U126" i="15"/>
  <c r="M126" i="15"/>
  <c r="AA126" i="15"/>
  <c r="M132" i="15"/>
  <c r="J132" i="15"/>
  <c r="Z123" i="15"/>
  <c r="W123" i="15"/>
  <c r="O127" i="15"/>
  <c r="F127" i="15"/>
  <c r="R122" i="15"/>
  <c r="J122" i="15"/>
  <c r="E122" i="15"/>
  <c r="I122" i="15"/>
  <c r="AA124" i="15"/>
  <c r="V124" i="15"/>
  <c r="U124" i="15"/>
  <c r="T124" i="15"/>
  <c r="W124" i="15"/>
  <c r="AB124" i="15"/>
  <c r="Z124" i="15"/>
  <c r="X124" i="15"/>
  <c r="G122" i="15"/>
  <c r="O122" i="15"/>
  <c r="F192" i="15"/>
  <c r="F193" i="15" s="1"/>
  <c r="M192" i="15"/>
  <c r="M193" i="15" s="1"/>
  <c r="E192" i="15"/>
  <c r="E193" i="15" s="1"/>
  <c r="L192" i="15"/>
  <c r="L193" i="15" s="1"/>
  <c r="K192" i="15"/>
  <c r="J192" i="15"/>
  <c r="J193" i="15" s="1"/>
  <c r="D193" i="15"/>
  <c r="I192" i="15"/>
  <c r="I193" i="15" s="1"/>
  <c r="H192" i="15"/>
  <c r="H193" i="15" s="1"/>
  <c r="G192" i="15"/>
  <c r="G193" i="15" s="1"/>
  <c r="L125" i="15"/>
  <c r="O125" i="15"/>
  <c r="F125" i="15"/>
  <c r="N125" i="15"/>
  <c r="M125" i="15"/>
  <c r="R125" i="15"/>
  <c r="I125" i="15"/>
  <c r="H125" i="15"/>
  <c r="G125" i="15"/>
  <c r="P125" i="15"/>
  <c r="J125" i="15"/>
  <c r="E125" i="15"/>
  <c r="Q125" i="15"/>
  <c r="K125" i="15"/>
  <c r="V192" i="15"/>
  <c r="V193" i="15" s="1"/>
  <c r="U192" i="15"/>
  <c r="U193" i="15" s="1"/>
  <c r="AB192" i="15"/>
  <c r="AB193" i="15" s="1"/>
  <c r="T192" i="15"/>
  <c r="T193" i="15" s="1"/>
  <c r="AA192" i="15"/>
  <c r="AA193" i="15" s="1"/>
  <c r="Z192" i="15"/>
  <c r="Y192" i="15"/>
  <c r="Y193" i="15" s="1"/>
  <c r="S193" i="15"/>
  <c r="X192" i="15"/>
  <c r="X193" i="15" s="1"/>
  <c r="W192" i="15"/>
  <c r="W193" i="15" s="1"/>
  <c r="L136" i="15"/>
  <c r="AS136" i="15"/>
  <c r="AK136" i="15"/>
  <c r="AV136" i="15"/>
  <c r="AN136" i="15"/>
  <c r="F136" i="15"/>
  <c r="AJ136" i="15" s="1"/>
  <c r="E136" i="15"/>
  <c r="AI136" i="15" s="1"/>
  <c r="Q136" i="15"/>
  <c r="AU136" i="15" s="1"/>
  <c r="M136" i="15"/>
  <c r="AQ136" i="15" s="1"/>
  <c r="AH136" i="15"/>
  <c r="AP136" i="15"/>
  <c r="I136" i="15"/>
  <c r="AM136" i="15" s="1"/>
  <c r="P136" i="15"/>
  <c r="AT136" i="15" s="1"/>
  <c r="N136" i="15"/>
  <c r="AR136" i="15" s="1"/>
  <c r="AO136" i="15"/>
  <c r="H136" i="15"/>
  <c r="AL136" i="15"/>
  <c r="D154" i="15"/>
  <c r="M28" i="15"/>
  <c r="O20" i="15"/>
  <c r="J28" i="15"/>
  <c r="K20" i="15"/>
  <c r="K28" i="15"/>
  <c r="E26" i="15"/>
  <c r="L20" i="15"/>
  <c r="R28" i="15"/>
  <c r="G28" i="15"/>
  <c r="F20" i="15"/>
  <c r="O28" i="15"/>
  <c r="F26" i="15"/>
  <c r="R20" i="15"/>
  <c r="L28" i="15"/>
  <c r="F28" i="15"/>
  <c r="H20" i="15"/>
  <c r="Q26" i="15"/>
  <c r="M36" i="15"/>
  <c r="H36" i="15"/>
  <c r="U14" i="15"/>
  <c r="Q36" i="15"/>
  <c r="R36" i="15"/>
  <c r="AA14" i="15"/>
  <c r="Z14" i="15"/>
  <c r="F116" i="15"/>
  <c r="F117" i="15" s="1"/>
  <c r="M116" i="15"/>
  <c r="M117" i="15" s="1"/>
  <c r="E116" i="15"/>
  <c r="E117" i="15" s="1"/>
  <c r="L116" i="15"/>
  <c r="L117" i="15" s="1"/>
  <c r="K116" i="15"/>
  <c r="J116" i="15"/>
  <c r="J117" i="15" s="1"/>
  <c r="H116" i="15"/>
  <c r="H117" i="15" s="1"/>
  <c r="I116" i="15"/>
  <c r="I117" i="15" s="1"/>
  <c r="G116" i="15"/>
  <c r="G117" i="15" s="1"/>
  <c r="D117" i="15"/>
  <c r="V116" i="15"/>
  <c r="V117" i="15" s="1"/>
  <c r="U116" i="15"/>
  <c r="U117" i="15" s="1"/>
  <c r="AB116" i="15"/>
  <c r="AB117" i="15" s="1"/>
  <c r="T116" i="15"/>
  <c r="T117" i="15" s="1"/>
  <c r="AA116" i="15"/>
  <c r="AA117" i="15" s="1"/>
  <c r="Z116" i="15"/>
  <c r="S117" i="15"/>
  <c r="X116" i="15"/>
  <c r="X117" i="15" s="1"/>
  <c r="Y116" i="15"/>
  <c r="Y117" i="15" s="1"/>
  <c r="W116" i="15"/>
  <c r="W117" i="15" s="1"/>
  <c r="G36" i="15"/>
  <c r="O36" i="15"/>
  <c r="N36" i="15"/>
  <c r="AE13" i="15"/>
  <c r="AE21" i="15"/>
  <c r="S27" i="15"/>
  <c r="AH27" i="15" s="1"/>
  <c r="S20" i="15"/>
  <c r="S35" i="15"/>
  <c r="AH35" i="15" s="1"/>
  <c r="S9" i="15"/>
  <c r="S33" i="15"/>
  <c r="AH33" i="15" s="1"/>
  <c r="AB14" i="15"/>
  <c r="W14" i="15"/>
  <c r="V14" i="15"/>
  <c r="S26" i="15"/>
  <c r="AH26" i="15" s="1"/>
  <c r="S12" i="15"/>
  <c r="S18" i="15"/>
  <c r="S16" i="15"/>
  <c r="AF16" i="15" s="1"/>
  <c r="S25" i="15"/>
  <c r="AH25" i="15" s="1"/>
  <c r="S34" i="15"/>
  <c r="AH34" i="15" s="1"/>
  <c r="S19" i="15"/>
  <c r="AH19" i="15" s="1"/>
  <c r="S24" i="15"/>
  <c r="S36" i="15"/>
  <c r="S28" i="15"/>
  <c r="S32" i="15"/>
  <c r="S11" i="15"/>
  <c r="S17" i="15"/>
  <c r="S10" i="15"/>
  <c r="S78" i="15"/>
  <c r="S8" i="15"/>
  <c r="AE8" i="15" s="1"/>
  <c r="AA37" i="15"/>
  <c r="AB37" i="15"/>
  <c r="AQ37" i="15" s="1"/>
  <c r="Z37" i="15"/>
  <c r="X37" i="15"/>
  <c r="AG37" i="15"/>
  <c r="AV37" i="15" s="1"/>
  <c r="V37" i="15"/>
  <c r="AK37" i="15" s="1"/>
  <c r="AF37" i="15"/>
  <c r="AU37" i="15" s="1"/>
  <c r="U37" i="15"/>
  <c r="AD37" i="15"/>
  <c r="T37" i="15"/>
  <c r="AC37" i="15"/>
  <c r="Y37" i="15"/>
  <c r="AA13" i="15"/>
  <c r="AD13" i="15"/>
  <c r="T13" i="15"/>
  <c r="AC13" i="15"/>
  <c r="Y13" i="15"/>
  <c r="X13" i="15"/>
  <c r="AG13" i="15"/>
  <c r="V13" i="15"/>
  <c r="AF13" i="15"/>
  <c r="U13" i="15"/>
  <c r="AB13" i="15"/>
  <c r="Z13" i="15"/>
  <c r="AE37" i="15"/>
  <c r="AT37" i="15" s="1"/>
  <c r="W37" i="15"/>
  <c r="AL37" i="15" s="1"/>
  <c r="AA29" i="15"/>
  <c r="Z29" i="15"/>
  <c r="Y29" i="15"/>
  <c r="AG29" i="15"/>
  <c r="AV29" i="15" s="1"/>
  <c r="V29" i="15"/>
  <c r="AF29" i="15"/>
  <c r="U29" i="15"/>
  <c r="AJ29" i="15" s="1"/>
  <c r="AD29" i="15"/>
  <c r="AS29" i="15" s="1"/>
  <c r="T29" i="15"/>
  <c r="AC29" i="15"/>
  <c r="AB29" i="15"/>
  <c r="AQ29" i="15" s="1"/>
  <c r="X29" i="15"/>
  <c r="AA21" i="15"/>
  <c r="AB21" i="15"/>
  <c r="Z21" i="15"/>
  <c r="AO21" i="15" s="1"/>
  <c r="X21" i="15"/>
  <c r="AM21" i="15" s="1"/>
  <c r="AG21" i="15"/>
  <c r="AV21" i="15" s="1"/>
  <c r="V21" i="15"/>
  <c r="AF21" i="15"/>
  <c r="AU21" i="15" s="1"/>
  <c r="U21" i="15"/>
  <c r="AD21" i="15"/>
  <c r="AS21" i="15" s="1"/>
  <c r="T21" i="15"/>
  <c r="AI21" i="15" s="1"/>
  <c r="AC21" i="15"/>
  <c r="AR21" i="15" s="1"/>
  <c r="Y21" i="15"/>
  <c r="M26" i="15"/>
  <c r="N34" i="15"/>
  <c r="G26" i="15"/>
  <c r="H26" i="15"/>
  <c r="H34" i="15"/>
  <c r="O26" i="15"/>
  <c r="P26" i="15"/>
  <c r="P34" i="15"/>
  <c r="E34" i="15"/>
  <c r="G34" i="15"/>
  <c r="M34" i="15"/>
  <c r="O34" i="15"/>
  <c r="I26" i="15"/>
  <c r="K26" i="15"/>
  <c r="J26" i="15"/>
  <c r="L26" i="15"/>
  <c r="R26" i="15"/>
  <c r="K34" i="15"/>
  <c r="R34" i="15"/>
  <c r="J34" i="15"/>
  <c r="L34" i="15"/>
  <c r="E28" i="15"/>
  <c r="AH28" i="15"/>
  <c r="E36" i="15"/>
  <c r="L36" i="15"/>
  <c r="AH36" i="15"/>
  <c r="J22" i="15"/>
  <c r="AN22" i="15" s="1"/>
  <c r="AH22" i="15"/>
  <c r="I22" i="15"/>
  <c r="AM22" i="15" s="1"/>
  <c r="AI22" i="15"/>
  <c r="AQ22" i="15"/>
  <c r="L22" i="15"/>
  <c r="AP22" i="15" s="1"/>
  <c r="N22" i="15"/>
  <c r="AR22" i="15" s="1"/>
  <c r="O22" i="15"/>
  <c r="AS22" i="15" s="1"/>
  <c r="P22" i="15"/>
  <c r="AT22" i="15" s="1"/>
  <c r="AV22" i="15"/>
  <c r="G22" i="15"/>
  <c r="AK22" i="15" s="1"/>
  <c r="F22" i="15"/>
  <c r="AJ22" i="15" s="1"/>
  <c r="AO22" i="15"/>
  <c r="H22" i="15"/>
  <c r="AL22" i="15" s="1"/>
  <c r="Q22" i="15"/>
  <c r="AU22" i="15" s="1"/>
  <c r="E20" i="15"/>
  <c r="AH20" i="15"/>
  <c r="C87" i="14"/>
  <c r="D89" i="14"/>
  <c r="D88" i="14"/>
  <c r="C72" i="14"/>
  <c r="D90" i="14"/>
  <c r="D87" i="14"/>
  <c r="D78" i="14"/>
  <c r="C77" i="14"/>
  <c r="D91" i="14"/>
  <c r="C79" i="14"/>
  <c r="D72" i="14"/>
  <c r="D82" i="14"/>
  <c r="C82" i="14"/>
  <c r="C74" i="14"/>
  <c r="C85" i="14"/>
  <c r="C88" i="14"/>
  <c r="D73" i="14"/>
  <c r="C80" i="14"/>
  <c r="D74" i="14"/>
  <c r="D76" i="14"/>
  <c r="D80" i="14"/>
  <c r="D77" i="14"/>
  <c r="C75" i="14"/>
  <c r="C90" i="14"/>
  <c r="C86" i="14"/>
  <c r="C81" i="14"/>
  <c r="C78" i="14"/>
  <c r="C73" i="14"/>
  <c r="D75" i="14"/>
  <c r="C89" i="14"/>
  <c r="D46" i="14"/>
  <c r="D42" i="14"/>
  <c r="D55" i="14"/>
  <c r="D51" i="14"/>
  <c r="D59" i="14"/>
  <c r="D52" i="14"/>
  <c r="D47" i="14"/>
  <c r="D44" i="14"/>
  <c r="D56" i="14"/>
  <c r="D61" i="14"/>
  <c r="AM29" i="15" l="1"/>
  <c r="AN29" i="15"/>
  <c r="AS38" i="15"/>
  <c r="AN37" i="15"/>
  <c r="AM23" i="15"/>
  <c r="AS23" i="15"/>
  <c r="AI29" i="15"/>
  <c r="AP29" i="15"/>
  <c r="AS37" i="15"/>
  <c r="AP37" i="15"/>
  <c r="AK23" i="15"/>
  <c r="AP23" i="15"/>
  <c r="X32" i="15"/>
  <c r="AH32" i="15"/>
  <c r="AF24" i="15"/>
  <c r="AU24" i="15" s="1"/>
  <c r="AH24" i="15"/>
  <c r="AK29" i="15"/>
  <c r="AU29" i="15"/>
  <c r="AR29" i="15"/>
  <c r="AO29" i="15"/>
  <c r="AI138" i="15"/>
  <c r="AT138" i="15"/>
  <c r="AS138" i="15"/>
  <c r="AK138" i="15"/>
  <c r="AJ138" i="15"/>
  <c r="AM141" i="15"/>
  <c r="AM37" i="15"/>
  <c r="AP141" i="15"/>
  <c r="AQ141" i="15"/>
  <c r="AL141" i="15"/>
  <c r="AR37" i="15"/>
  <c r="AM32" i="15"/>
  <c r="AL38" i="15"/>
  <c r="AR38" i="15"/>
  <c r="AU23" i="15"/>
  <c r="AI23" i="15"/>
  <c r="AK38" i="15"/>
  <c r="AM38" i="15"/>
  <c r="AI38" i="15"/>
  <c r="AP38" i="15"/>
  <c r="AQ23" i="15"/>
  <c r="AU144" i="15"/>
  <c r="AQ138" i="15"/>
  <c r="AP133" i="15"/>
  <c r="AK133" i="15"/>
  <c r="AO37" i="15"/>
  <c r="AI37" i="15"/>
  <c r="AI133" i="15"/>
  <c r="AO133" i="15"/>
  <c r="AR133" i="15"/>
  <c r="AJ37" i="15"/>
  <c r="AV133" i="15"/>
  <c r="AJ133" i="15"/>
  <c r="AN133" i="15"/>
  <c r="AU141" i="15"/>
  <c r="AQ21" i="15"/>
  <c r="AT21" i="15"/>
  <c r="AJ21" i="15"/>
  <c r="AN21" i="15"/>
  <c r="AP21" i="15"/>
  <c r="AK21" i="15"/>
  <c r="AP148" i="15"/>
  <c r="AJ148" i="15"/>
  <c r="AS148" i="15"/>
  <c r="AK30" i="15"/>
  <c r="AV30" i="15"/>
  <c r="AM152" i="15"/>
  <c r="AO152" i="15"/>
  <c r="AP143" i="15"/>
  <c r="AU143" i="15"/>
  <c r="AL143" i="15"/>
  <c r="AL148" i="15"/>
  <c r="AP151" i="15"/>
  <c r="AP30" i="15"/>
  <c r="AQ148" i="15"/>
  <c r="AS143" i="15"/>
  <c r="AQ30" i="15"/>
  <c r="AT152" i="15"/>
  <c r="AJ143" i="15"/>
  <c r="AM148" i="15"/>
  <c r="AJ152" i="15"/>
  <c r="AU152" i="15"/>
  <c r="AI148" i="15"/>
  <c r="AS30" i="15"/>
  <c r="AO148" i="15"/>
  <c r="AL152" i="15"/>
  <c r="AO143" i="15"/>
  <c r="AM144" i="15"/>
  <c r="AL147" i="15"/>
  <c r="AV147" i="15"/>
  <c r="AJ142" i="15"/>
  <c r="N269" i="15"/>
  <c r="R269" i="15"/>
  <c r="K269" i="15"/>
  <c r="O269" i="15"/>
  <c r="P269" i="15"/>
  <c r="V78" i="15"/>
  <c r="V79" i="15" s="1"/>
  <c r="AA154" i="15"/>
  <c r="Z154" i="15"/>
  <c r="W154" i="15"/>
  <c r="Z193" i="15"/>
  <c r="AE269" i="15"/>
  <c r="AG269" i="15"/>
  <c r="AF269" i="15"/>
  <c r="AD269" i="15"/>
  <c r="AC269" i="15"/>
  <c r="Z269" i="15"/>
  <c r="T154" i="15"/>
  <c r="Z231" i="15"/>
  <c r="Z117" i="15"/>
  <c r="K117" i="15"/>
  <c r="K193" i="15"/>
  <c r="X154" i="15"/>
  <c r="U154" i="15"/>
  <c r="AB154" i="15"/>
  <c r="S155" i="15"/>
  <c r="Y154" i="15"/>
  <c r="V154" i="15"/>
  <c r="AA32" i="15"/>
  <c r="AP32" i="15" s="1"/>
  <c r="W16" i="15"/>
  <c r="F154" i="15"/>
  <c r="M154" i="15"/>
  <c r="I154" i="15"/>
  <c r="D155" i="15"/>
  <c r="E154" i="15"/>
  <c r="L154" i="15"/>
  <c r="H154" i="15"/>
  <c r="K154" i="15"/>
  <c r="G154" i="15"/>
  <c r="J154" i="15"/>
  <c r="AG32" i="15"/>
  <c r="AV32" i="15" s="1"/>
  <c r="Z32" i="15"/>
  <c r="AO32" i="15" s="1"/>
  <c r="U78" i="15"/>
  <c r="U79" i="15" s="1"/>
  <c r="AB32" i="15"/>
  <c r="AQ32" i="15" s="1"/>
  <c r="AA35" i="15"/>
  <c r="AP35" i="15" s="1"/>
  <c r="AD35" i="15"/>
  <c r="AS35" i="15" s="1"/>
  <c r="X35" i="15"/>
  <c r="AM35" i="15" s="1"/>
  <c r="AB35" i="15"/>
  <c r="AQ35" i="15" s="1"/>
  <c r="AF35" i="15"/>
  <c r="AU35" i="15" s="1"/>
  <c r="T35" i="15"/>
  <c r="AI35" i="15" s="1"/>
  <c r="V35" i="15"/>
  <c r="AK35" i="15" s="1"/>
  <c r="W35" i="15"/>
  <c r="AL35" i="15" s="1"/>
  <c r="Z35" i="15"/>
  <c r="AO35" i="15" s="1"/>
  <c r="U35" i="15"/>
  <c r="AJ35" i="15" s="1"/>
  <c r="AE35" i="15"/>
  <c r="AT35" i="15" s="1"/>
  <c r="Y35" i="15"/>
  <c r="AN35" i="15" s="1"/>
  <c r="AC35" i="15"/>
  <c r="AR35" i="15" s="1"/>
  <c r="AG35" i="15"/>
  <c r="AV35" i="15" s="1"/>
  <c r="S79" i="15"/>
  <c r="W78" i="15"/>
  <c r="W79" i="15" s="1"/>
  <c r="U32" i="15"/>
  <c r="AJ32" i="15" s="1"/>
  <c r="AC32" i="15"/>
  <c r="AR32" i="15" s="1"/>
  <c r="AA9" i="15"/>
  <c r="X9" i="15"/>
  <c r="T9" i="15"/>
  <c r="V9" i="15"/>
  <c r="W9" i="15"/>
  <c r="U9" i="15"/>
  <c r="Y9" i="15"/>
  <c r="Z9" i="15"/>
  <c r="AB9" i="15"/>
  <c r="Z78" i="15"/>
  <c r="Y32" i="15"/>
  <c r="AN32" i="15" s="1"/>
  <c r="AA78" i="15"/>
  <c r="AA79" i="15" s="1"/>
  <c r="V32" i="15"/>
  <c r="AK32" i="15" s="1"/>
  <c r="AD32" i="15"/>
  <c r="AS32" i="15" s="1"/>
  <c r="Z16" i="15"/>
  <c r="U16" i="15"/>
  <c r="AA16" i="15"/>
  <c r="X16" i="15"/>
  <c r="AG16" i="15"/>
  <c r="Y16" i="15"/>
  <c r="AC16" i="15"/>
  <c r="AE16" i="15"/>
  <c r="T16" i="15"/>
  <c r="AD16" i="15"/>
  <c r="AB16" i="15"/>
  <c r="V16" i="15"/>
  <c r="AB12" i="15"/>
  <c r="U12" i="15"/>
  <c r="V12" i="15"/>
  <c r="T12" i="15"/>
  <c r="Y12" i="15"/>
  <c r="Z12" i="15"/>
  <c r="AA12" i="15"/>
  <c r="X12" i="15"/>
  <c r="W12" i="15"/>
  <c r="T78" i="15"/>
  <c r="T79" i="15" s="1"/>
  <c r="X78" i="15"/>
  <c r="X79" i="15" s="1"/>
  <c r="W24" i="15"/>
  <c r="AL24" i="15" s="1"/>
  <c r="Z18" i="15"/>
  <c r="AA18" i="15"/>
  <c r="X18" i="15"/>
  <c r="T18" i="15"/>
  <c r="U18" i="15"/>
  <c r="AF18" i="15"/>
  <c r="AB18" i="15"/>
  <c r="W18" i="15"/>
  <c r="AE18" i="15"/>
  <c r="V18" i="15"/>
  <c r="Y18" i="15"/>
  <c r="AC18" i="15"/>
  <c r="AD18" i="15"/>
  <c r="AG18" i="15"/>
  <c r="AB20" i="15"/>
  <c r="AQ20" i="15" s="1"/>
  <c r="T20" i="15"/>
  <c r="AI20" i="15" s="1"/>
  <c r="AC20" i="15"/>
  <c r="AR20" i="15" s="1"/>
  <c r="AG20" i="15"/>
  <c r="AV20" i="15" s="1"/>
  <c r="AE20" i="15"/>
  <c r="AT20" i="15" s="1"/>
  <c r="Z20" i="15"/>
  <c r="AO20" i="15" s="1"/>
  <c r="U20" i="15"/>
  <c r="AJ20" i="15" s="1"/>
  <c r="V20" i="15"/>
  <c r="AK20" i="15" s="1"/>
  <c r="X20" i="15"/>
  <c r="AM20" i="15" s="1"/>
  <c r="AD20" i="15"/>
  <c r="AS20" i="15" s="1"/>
  <c r="W20" i="15"/>
  <c r="AL20" i="15" s="1"/>
  <c r="AF20" i="15"/>
  <c r="AU20" i="15" s="1"/>
  <c r="Y20" i="15"/>
  <c r="AN20" i="15" s="1"/>
  <c r="AA20" i="15"/>
  <c r="AP20" i="15" s="1"/>
  <c r="Z34" i="15"/>
  <c r="AO34" i="15" s="1"/>
  <c r="V34" i="15"/>
  <c r="AK34" i="15" s="1"/>
  <c r="T34" i="15"/>
  <c r="AI34" i="15" s="1"/>
  <c r="AD34" i="15"/>
  <c r="AS34" i="15" s="1"/>
  <c r="X34" i="15"/>
  <c r="AM34" i="15" s="1"/>
  <c r="AE34" i="15"/>
  <c r="AT34" i="15" s="1"/>
  <c r="AA34" i="15"/>
  <c r="AP34" i="15" s="1"/>
  <c r="AB34" i="15"/>
  <c r="AQ34" i="15" s="1"/>
  <c r="AF34" i="15"/>
  <c r="AU34" i="15" s="1"/>
  <c r="Y34" i="15"/>
  <c r="AN34" i="15" s="1"/>
  <c r="U34" i="15"/>
  <c r="AJ34" i="15" s="1"/>
  <c r="AG34" i="15"/>
  <c r="AV34" i="15" s="1"/>
  <c r="AC34" i="15"/>
  <c r="AR34" i="15" s="1"/>
  <c r="W34" i="15"/>
  <c r="AL34" i="15" s="1"/>
  <c r="AB78" i="15"/>
  <c r="AB79" i="15" s="1"/>
  <c r="AA17" i="15"/>
  <c r="W17" i="15"/>
  <c r="V17" i="15"/>
  <c r="AE17" i="15"/>
  <c r="Z17" i="15"/>
  <c r="X17" i="15"/>
  <c r="AG17" i="15"/>
  <c r="AB17" i="15"/>
  <c r="AF17" i="15"/>
  <c r="T17" i="15"/>
  <c r="Y17" i="15"/>
  <c r="AC17" i="15"/>
  <c r="AD17" i="15"/>
  <c r="U17" i="15"/>
  <c r="X11" i="15"/>
  <c r="Y11" i="15"/>
  <c r="AC11" i="15"/>
  <c r="AA11" i="15"/>
  <c r="AE11" i="15"/>
  <c r="W11" i="15"/>
  <c r="AF11" i="15"/>
  <c r="AG11" i="15"/>
  <c r="V11" i="15"/>
  <c r="Z11" i="15"/>
  <c r="T11" i="15"/>
  <c r="AD11" i="15"/>
  <c r="AB11" i="15"/>
  <c r="U11" i="15"/>
  <c r="AA33" i="15"/>
  <c r="AP33" i="15" s="1"/>
  <c r="AG33" i="15"/>
  <c r="AV33" i="15" s="1"/>
  <c r="AE33" i="15"/>
  <c r="AT33" i="15" s="1"/>
  <c r="AB33" i="15"/>
  <c r="AQ33" i="15" s="1"/>
  <c r="Y33" i="15"/>
  <c r="AN33" i="15" s="1"/>
  <c r="X33" i="15"/>
  <c r="AM33" i="15" s="1"/>
  <c r="Z33" i="15"/>
  <c r="AO33" i="15" s="1"/>
  <c r="W33" i="15"/>
  <c r="AL33" i="15" s="1"/>
  <c r="T33" i="15"/>
  <c r="AI33" i="15" s="1"/>
  <c r="U33" i="15"/>
  <c r="AJ33" i="15" s="1"/>
  <c r="AF33" i="15"/>
  <c r="AU33" i="15" s="1"/>
  <c r="AC33" i="15"/>
  <c r="AR33" i="15" s="1"/>
  <c r="AD33" i="15"/>
  <c r="AS33" i="15" s="1"/>
  <c r="V33" i="15"/>
  <c r="AK33" i="15" s="1"/>
  <c r="T32" i="15"/>
  <c r="AI32" i="15" s="1"/>
  <c r="AE32" i="15"/>
  <c r="AT32" i="15" s="1"/>
  <c r="AE24" i="15"/>
  <c r="AT24" i="15" s="1"/>
  <c r="V24" i="15"/>
  <c r="AK24" i="15" s="1"/>
  <c r="T24" i="15"/>
  <c r="AI24" i="15" s="1"/>
  <c r="AD24" i="15"/>
  <c r="AS24" i="15" s="1"/>
  <c r="AB24" i="15"/>
  <c r="AQ24" i="15" s="1"/>
  <c r="U24" i="15"/>
  <c r="AJ24" i="15" s="1"/>
  <c r="X24" i="15"/>
  <c r="AM24" i="15" s="1"/>
  <c r="AC24" i="15"/>
  <c r="AR24" i="15" s="1"/>
  <c r="AG24" i="15"/>
  <c r="AV24" i="15" s="1"/>
  <c r="Y24" i="15"/>
  <c r="AN24" i="15" s="1"/>
  <c r="Z24" i="15"/>
  <c r="AO24" i="15" s="1"/>
  <c r="AA24" i="15"/>
  <c r="AP24" i="15" s="1"/>
  <c r="AB28" i="15"/>
  <c r="AQ28" i="15" s="1"/>
  <c r="Y28" i="15"/>
  <c r="AN28" i="15" s="1"/>
  <c r="AA28" i="15"/>
  <c r="AP28" i="15" s="1"/>
  <c r="U28" i="15"/>
  <c r="AJ28" i="15" s="1"/>
  <c r="V28" i="15"/>
  <c r="AK28" i="15" s="1"/>
  <c r="W28" i="15"/>
  <c r="AL28" i="15" s="1"/>
  <c r="AG28" i="15"/>
  <c r="AV28" i="15" s="1"/>
  <c r="X28" i="15"/>
  <c r="AM28" i="15" s="1"/>
  <c r="AD28" i="15"/>
  <c r="AS28" i="15" s="1"/>
  <c r="AE28" i="15"/>
  <c r="AT28" i="15" s="1"/>
  <c r="T28" i="15"/>
  <c r="AI28" i="15" s="1"/>
  <c r="AC28" i="15"/>
  <c r="AR28" i="15" s="1"/>
  <c r="AF28" i="15"/>
  <c r="AU28" i="15" s="1"/>
  <c r="Z28" i="15"/>
  <c r="AO28" i="15" s="1"/>
  <c r="AA19" i="15"/>
  <c r="AP19" i="15" s="1"/>
  <c r="T19" i="15"/>
  <c r="AI19" i="15" s="1"/>
  <c r="Z19" i="15"/>
  <c r="AO19" i="15" s="1"/>
  <c r="AD19" i="15"/>
  <c r="AS19" i="15" s="1"/>
  <c r="Y19" i="15"/>
  <c r="AN19" i="15" s="1"/>
  <c r="U19" i="15"/>
  <c r="AJ19" i="15" s="1"/>
  <c r="AG19" i="15"/>
  <c r="AV19" i="15" s="1"/>
  <c r="AB19" i="15"/>
  <c r="AQ19" i="15" s="1"/>
  <c r="AC19" i="15"/>
  <c r="AR19" i="15" s="1"/>
  <c r="X19" i="15"/>
  <c r="AM19" i="15" s="1"/>
  <c r="W19" i="15"/>
  <c r="AL19" i="15" s="1"/>
  <c r="AF19" i="15"/>
  <c r="AU19" i="15" s="1"/>
  <c r="V19" i="15"/>
  <c r="AK19" i="15" s="1"/>
  <c r="AE19" i="15"/>
  <c r="AT19" i="15" s="1"/>
  <c r="Y78" i="15"/>
  <c r="Y79" i="15" s="1"/>
  <c r="AF32" i="15"/>
  <c r="AU32" i="15" s="1"/>
  <c r="W32" i="15"/>
  <c r="AL32" i="15" s="1"/>
  <c r="AD36" i="15"/>
  <c r="AS36" i="15" s="1"/>
  <c r="AB36" i="15"/>
  <c r="AQ36" i="15" s="1"/>
  <c r="AE36" i="15"/>
  <c r="AT36" i="15" s="1"/>
  <c r="AC36" i="15"/>
  <c r="AR36" i="15" s="1"/>
  <c r="Y36" i="15"/>
  <c r="AN36" i="15" s="1"/>
  <c r="U36" i="15"/>
  <c r="AJ36" i="15" s="1"/>
  <c r="AG36" i="15"/>
  <c r="AV36" i="15" s="1"/>
  <c r="X36" i="15"/>
  <c r="AM36" i="15" s="1"/>
  <c r="AA36" i="15"/>
  <c r="AP36" i="15" s="1"/>
  <c r="V36" i="15"/>
  <c r="AK36" i="15" s="1"/>
  <c r="W36" i="15"/>
  <c r="AL36" i="15" s="1"/>
  <c r="AF36" i="15"/>
  <c r="AU36" i="15" s="1"/>
  <c r="Z36" i="15"/>
  <c r="AO36" i="15" s="1"/>
  <c r="T36" i="15"/>
  <c r="AI36" i="15" s="1"/>
  <c r="AA25" i="15"/>
  <c r="AP25" i="15" s="1"/>
  <c r="AF25" i="15"/>
  <c r="AU25" i="15" s="1"/>
  <c r="T25" i="15"/>
  <c r="AI25" i="15" s="1"/>
  <c r="Y25" i="15"/>
  <c r="AN25" i="15" s="1"/>
  <c r="W25" i="15"/>
  <c r="AL25" i="15" s="1"/>
  <c r="AB25" i="15"/>
  <c r="AQ25" i="15" s="1"/>
  <c r="AC25" i="15"/>
  <c r="AR25" i="15" s="1"/>
  <c r="V25" i="15"/>
  <c r="AK25" i="15" s="1"/>
  <c r="U25" i="15"/>
  <c r="AJ25" i="15" s="1"/>
  <c r="AD25" i="15"/>
  <c r="AS25" i="15" s="1"/>
  <c r="AE25" i="15"/>
  <c r="AT25" i="15" s="1"/>
  <c r="X25" i="15"/>
  <c r="AM25" i="15" s="1"/>
  <c r="Z25" i="15"/>
  <c r="AO25" i="15" s="1"/>
  <c r="AG25" i="15"/>
  <c r="AV25" i="15" s="1"/>
  <c r="AA27" i="15"/>
  <c r="AP27" i="15" s="1"/>
  <c r="AB27" i="15"/>
  <c r="AQ27" i="15" s="1"/>
  <c r="U27" i="15"/>
  <c r="AJ27" i="15" s="1"/>
  <c r="AF27" i="15"/>
  <c r="AU27" i="15" s="1"/>
  <c r="AC27" i="15"/>
  <c r="AR27" i="15" s="1"/>
  <c r="T27" i="15"/>
  <c r="AI27" i="15" s="1"/>
  <c r="V27" i="15"/>
  <c r="AK27" i="15" s="1"/>
  <c r="AD27" i="15"/>
  <c r="AS27" i="15" s="1"/>
  <c r="Y27" i="15"/>
  <c r="AN27" i="15" s="1"/>
  <c r="Z27" i="15"/>
  <c r="AO27" i="15" s="1"/>
  <c r="W27" i="15"/>
  <c r="AL27" i="15" s="1"/>
  <c r="AG27" i="15"/>
  <c r="AV27" i="15" s="1"/>
  <c r="X27" i="15"/>
  <c r="AM27" i="15" s="1"/>
  <c r="AE27" i="15"/>
  <c r="AT27" i="15" s="1"/>
  <c r="Z10" i="15"/>
  <c r="U10" i="15"/>
  <c r="AA10" i="15"/>
  <c r="V10" i="15"/>
  <c r="X10" i="15"/>
  <c r="T10" i="15"/>
  <c r="AB10" i="15"/>
  <c r="Y10" i="15"/>
  <c r="W10" i="15"/>
  <c r="Z26" i="15"/>
  <c r="AO26" i="15" s="1"/>
  <c r="U26" i="15"/>
  <c r="AJ26" i="15" s="1"/>
  <c r="AG26" i="15"/>
  <c r="AV26" i="15" s="1"/>
  <c r="AC26" i="15"/>
  <c r="AR26" i="15" s="1"/>
  <c r="AA26" i="15"/>
  <c r="AP26" i="15" s="1"/>
  <c r="X26" i="15"/>
  <c r="AM26" i="15" s="1"/>
  <c r="AF26" i="15"/>
  <c r="AU26" i="15" s="1"/>
  <c r="AB26" i="15"/>
  <c r="AQ26" i="15" s="1"/>
  <c r="V26" i="15"/>
  <c r="AK26" i="15" s="1"/>
  <c r="AD26" i="15"/>
  <c r="AS26" i="15" s="1"/>
  <c r="W26" i="15"/>
  <c r="AL26" i="15" s="1"/>
  <c r="T26" i="15"/>
  <c r="AI26" i="15" s="1"/>
  <c r="AE26" i="15"/>
  <c r="AT26" i="15" s="1"/>
  <c r="Y26" i="15"/>
  <c r="AN26" i="15" s="1"/>
  <c r="AF8" i="15"/>
  <c r="W8" i="15"/>
  <c r="V8" i="15"/>
  <c r="AD8" i="15"/>
  <c r="X8" i="15"/>
  <c r="AC8" i="15"/>
  <c r="S40" i="15"/>
  <c r="AA8" i="15"/>
  <c r="AG8" i="15"/>
  <c r="AB8" i="15"/>
  <c r="Z8" i="15"/>
  <c r="T8" i="15"/>
  <c r="U8" i="15"/>
  <c r="Y8" i="15"/>
  <c r="Z79" i="15" l="1"/>
  <c r="AB155" i="15"/>
  <c r="T155" i="15"/>
  <c r="AA155" i="15"/>
  <c r="Y155" i="15"/>
  <c r="Z155" i="15"/>
  <c r="X155" i="15"/>
  <c r="W155" i="15"/>
  <c r="V155" i="15"/>
  <c r="U155" i="15"/>
  <c r="K155" i="15"/>
  <c r="I155" i="15"/>
  <c r="H155" i="15"/>
  <c r="J155" i="15"/>
  <c r="G155" i="15"/>
  <c r="M155" i="15"/>
  <c r="F155" i="15"/>
  <c r="E155" i="15"/>
  <c r="L155" i="15"/>
  <c r="V40" i="15"/>
  <c r="Y40" i="15"/>
  <c r="U40" i="15"/>
  <c r="AB40" i="15"/>
  <c r="X40" i="15"/>
  <c r="T40" i="15"/>
  <c r="AA40" i="15"/>
  <c r="W40" i="15"/>
  <c r="S41" i="15"/>
  <c r="Z40" i="15"/>
  <c r="V41" i="15" l="1"/>
  <c r="AB41" i="15"/>
  <c r="Y41" i="15"/>
  <c r="U41" i="15"/>
  <c r="X41" i="15"/>
  <c r="T41" i="15"/>
  <c r="AA41" i="15"/>
  <c r="W41" i="15"/>
  <c r="Z41" i="15"/>
  <c r="J61" i="14" l="1"/>
  <c r="J60" i="14"/>
  <c r="J59" i="14"/>
  <c r="J58" i="14"/>
  <c r="J57" i="14"/>
  <c r="J56" i="14"/>
  <c r="J55" i="14"/>
  <c r="J52" i="14"/>
  <c r="J51" i="14"/>
  <c r="J50" i="14"/>
  <c r="J49" i="14"/>
  <c r="J48" i="14"/>
  <c r="J47" i="14"/>
  <c r="J46" i="14"/>
  <c r="J45" i="14"/>
  <c r="J44" i="14"/>
  <c r="J43" i="14"/>
  <c r="J42" i="14"/>
  <c r="J41" i="14"/>
  <c r="O61" i="14"/>
  <c r="O60" i="14"/>
  <c r="O59" i="14"/>
  <c r="O58" i="14"/>
  <c r="O57" i="14"/>
  <c r="O56" i="14"/>
  <c r="O55" i="14"/>
  <c r="O52" i="14"/>
  <c r="O51" i="14"/>
  <c r="O50" i="14"/>
  <c r="O49" i="14"/>
  <c r="O48" i="14"/>
  <c r="O47" i="14"/>
  <c r="O46" i="14"/>
  <c r="O45" i="14"/>
  <c r="O44" i="14"/>
  <c r="O43" i="14"/>
  <c r="O42" i="14"/>
  <c r="O41" i="14"/>
  <c r="O91" i="14"/>
  <c r="O90" i="14"/>
  <c r="O89" i="14"/>
  <c r="O88" i="14"/>
  <c r="O87" i="14"/>
  <c r="O86" i="14"/>
  <c r="O85" i="14"/>
  <c r="O82" i="14"/>
  <c r="O81" i="14"/>
  <c r="O80" i="14"/>
  <c r="O79" i="14"/>
  <c r="O78" i="14"/>
  <c r="O77" i="14"/>
  <c r="O76" i="14"/>
  <c r="O75" i="14"/>
  <c r="O74" i="14"/>
  <c r="O73" i="14"/>
  <c r="O72" i="14"/>
  <c r="O71" i="14"/>
  <c r="E91" i="14"/>
  <c r="E90" i="14"/>
  <c r="E89" i="14"/>
  <c r="E88" i="14"/>
  <c r="E87" i="14"/>
  <c r="E86" i="14"/>
  <c r="E85" i="14"/>
  <c r="E82" i="14"/>
  <c r="E81" i="14"/>
  <c r="E80" i="14"/>
  <c r="E79" i="14"/>
  <c r="E78" i="14"/>
  <c r="E77" i="14"/>
  <c r="E76" i="14"/>
  <c r="E75" i="14"/>
  <c r="E74" i="14"/>
  <c r="E73" i="14"/>
  <c r="E72" i="14"/>
  <c r="E71" i="14"/>
  <c r="E124" i="14"/>
  <c r="E123" i="14"/>
  <c r="E121" i="14"/>
  <c r="E120" i="14"/>
  <c r="E119" i="14"/>
  <c r="E118" i="14"/>
  <c r="E117" i="14"/>
  <c r="E116" i="14"/>
  <c r="E115" i="14"/>
  <c r="E113" i="14"/>
  <c r="E112" i="14"/>
  <c r="E111" i="14"/>
  <c r="E110" i="14"/>
  <c r="E109" i="14"/>
  <c r="E108" i="14"/>
  <c r="E107" i="14"/>
  <c r="E106" i="14"/>
  <c r="E105" i="14"/>
  <c r="E104" i="14"/>
  <c r="E103" i="14"/>
  <c r="E102" i="14"/>
  <c r="E101" i="14"/>
  <c r="AE229" i="15"/>
  <c r="AE191" i="15"/>
  <c r="AE153" i="15" s="1"/>
  <c r="AE202" i="15"/>
  <c r="AE164" i="15"/>
  <c r="AE200" i="15"/>
  <c r="AE162" i="15"/>
  <c r="AE124" i="15" s="1"/>
  <c r="AE199" i="15"/>
  <c r="AE161" i="15"/>
  <c r="M370" i="11"/>
  <c r="M366" i="11"/>
  <c r="AE115" i="15"/>
  <c r="AE77" i="15"/>
  <c r="AE90" i="15"/>
  <c r="AE52" i="15"/>
  <c r="AE14" i="15" s="1"/>
  <c r="AE88" i="15"/>
  <c r="AE50" i="15"/>
  <c r="AE86" i="15"/>
  <c r="AE48" i="15"/>
  <c r="AE85" i="15"/>
  <c r="AE47" i="15"/>
  <c r="M369" i="11"/>
  <c r="M368" i="11"/>
  <c r="P229" i="15"/>
  <c r="P191" i="15"/>
  <c r="P202" i="15"/>
  <c r="P164" i="15"/>
  <c r="P200" i="15"/>
  <c r="P162" i="15"/>
  <c r="P199" i="15"/>
  <c r="P161" i="15"/>
  <c r="M357" i="11"/>
  <c r="P115" i="15"/>
  <c r="P77" i="15"/>
  <c r="P90" i="15"/>
  <c r="P52" i="15"/>
  <c r="P88" i="15"/>
  <c r="P50" i="15"/>
  <c r="P86" i="15"/>
  <c r="P48" i="15"/>
  <c r="P85" i="15"/>
  <c r="P47" i="15"/>
  <c r="M356" i="11"/>
  <c r="M355" i="11"/>
  <c r="M372" i="11" l="1"/>
  <c r="AF90" i="15"/>
  <c r="AC77" i="15"/>
  <c r="AC47" i="15"/>
  <c r="AC115" i="15"/>
  <c r="M353" i="11"/>
  <c r="C353" i="11"/>
  <c r="M359" i="11"/>
  <c r="N52" i="15"/>
  <c r="P153" i="15"/>
  <c r="P124" i="15"/>
  <c r="N90" i="15"/>
  <c r="P126" i="15"/>
  <c r="Q164" i="15"/>
  <c r="AE39" i="15"/>
  <c r="AE12" i="15"/>
  <c r="AF200" i="15"/>
  <c r="I92" i="14"/>
  <c r="N92" i="14"/>
  <c r="AE123" i="15"/>
  <c r="AE192" i="15"/>
  <c r="AE193" i="15"/>
  <c r="AE126" i="15"/>
  <c r="AE230" i="15"/>
  <c r="AE231" i="15"/>
  <c r="C370" i="11"/>
  <c r="N83" i="14"/>
  <c r="AC162" i="15"/>
  <c r="AC164" i="15"/>
  <c r="AC191" i="15"/>
  <c r="AC229" i="15"/>
  <c r="AC161" i="15"/>
  <c r="AC200" i="15"/>
  <c r="AC199" i="15"/>
  <c r="C366" i="11"/>
  <c r="I83" i="14"/>
  <c r="AC202" i="15"/>
  <c r="H92" i="14"/>
  <c r="M92" i="14"/>
  <c r="P192" i="15"/>
  <c r="P123" i="15"/>
  <c r="P193" i="15"/>
  <c r="P230" i="15"/>
  <c r="P231" i="15"/>
  <c r="O162" i="15"/>
  <c r="C357" i="11"/>
  <c r="M83" i="14"/>
  <c r="N161" i="15"/>
  <c r="N200" i="15"/>
  <c r="H83" i="14"/>
  <c r="N202" i="15"/>
  <c r="N199" i="15"/>
  <c r="N229" i="15"/>
  <c r="N162" i="15"/>
  <c r="N164" i="15"/>
  <c r="N191" i="15"/>
  <c r="AE78" i="15"/>
  <c r="AE9" i="15"/>
  <c r="AE79" i="15"/>
  <c r="I62" i="14"/>
  <c r="AE116" i="15"/>
  <c r="AE117" i="15"/>
  <c r="N62" i="14"/>
  <c r="AE10" i="15"/>
  <c r="I54" i="14"/>
  <c r="N53" i="14"/>
  <c r="AC50" i="15"/>
  <c r="AF47" i="15"/>
  <c r="N64" i="14"/>
  <c r="AC85" i="15"/>
  <c r="AC9" i="15" s="1"/>
  <c r="AC90" i="15"/>
  <c r="AC88" i="15"/>
  <c r="AC48" i="15"/>
  <c r="C368" i="11"/>
  <c r="I53" i="14"/>
  <c r="AC86" i="15"/>
  <c r="AC52" i="15"/>
  <c r="C355" i="11"/>
  <c r="H62" i="14"/>
  <c r="M62" i="14"/>
  <c r="P116" i="15"/>
  <c r="P117" i="15"/>
  <c r="H54" i="14"/>
  <c r="N50" i="15"/>
  <c r="N47" i="15"/>
  <c r="N88" i="15"/>
  <c r="M53" i="14"/>
  <c r="N77" i="15"/>
  <c r="N85" i="15"/>
  <c r="N86" i="15"/>
  <c r="C356" i="11"/>
  <c r="H53" i="14"/>
  <c r="N48" i="15"/>
  <c r="N115" i="15"/>
  <c r="D53" i="14" l="1"/>
  <c r="C359" i="11"/>
  <c r="C7" i="11" s="1"/>
  <c r="D62" i="14"/>
  <c r="AD52" i="15"/>
  <c r="X321" i="11"/>
  <c r="AD115" i="15"/>
  <c r="AC39" i="15"/>
  <c r="H346" i="11"/>
  <c r="H316" i="11"/>
  <c r="X314" i="11"/>
  <c r="D20" i="14"/>
  <c r="I20" i="14" s="1"/>
  <c r="C369" i="11"/>
  <c r="C372" i="11" s="1"/>
  <c r="D7" i="11" s="1"/>
  <c r="H314" i="11"/>
  <c r="X316" i="11"/>
  <c r="X319" i="11"/>
  <c r="AD86" i="15"/>
  <c r="H319" i="11"/>
  <c r="X317" i="11"/>
  <c r="AD77" i="15"/>
  <c r="X346" i="11"/>
  <c r="H317" i="11"/>
  <c r="C30" i="14"/>
  <c r="O191" i="15"/>
  <c r="U321" i="11"/>
  <c r="O88" i="15"/>
  <c r="E314" i="11"/>
  <c r="U317" i="11"/>
  <c r="U319" i="11"/>
  <c r="R48" i="15"/>
  <c r="E317" i="11"/>
  <c r="E316" i="11"/>
  <c r="U316" i="11"/>
  <c r="E319" i="11"/>
  <c r="E346" i="11"/>
  <c r="O48" i="15"/>
  <c r="U314" i="11"/>
  <c r="U346" i="11"/>
  <c r="H64" i="14"/>
  <c r="H63" i="14"/>
  <c r="N126" i="15"/>
  <c r="N153" i="15"/>
  <c r="Q115" i="15"/>
  <c r="O83" i="14"/>
  <c r="D83" i="14"/>
  <c r="AE155" i="15"/>
  <c r="AC153" i="15"/>
  <c r="AE154" i="15"/>
  <c r="D92" i="14"/>
  <c r="AD191" i="15"/>
  <c r="AD200" i="15"/>
  <c r="AF229" i="15"/>
  <c r="I84" i="14"/>
  <c r="O53" i="14"/>
  <c r="AC78" i="15"/>
  <c r="AD229" i="15"/>
  <c r="AD164" i="15"/>
  <c r="AC124" i="15"/>
  <c r="D22" i="14"/>
  <c r="I94" i="14"/>
  <c r="I93" i="14"/>
  <c r="AF164" i="15"/>
  <c r="AD162" i="15"/>
  <c r="AD124" i="15" s="1"/>
  <c r="AF199" i="15"/>
  <c r="AC230" i="15"/>
  <c r="AC231" i="15"/>
  <c r="AC192" i="15"/>
  <c r="AC123" i="15"/>
  <c r="AC193" i="15"/>
  <c r="AC155" i="15" s="1"/>
  <c r="N84" i="14"/>
  <c r="AF162" i="15"/>
  <c r="AF124" i="15" s="1"/>
  <c r="AD202" i="15"/>
  <c r="AF161" i="15"/>
  <c r="AD39" i="15"/>
  <c r="AD199" i="15"/>
  <c r="AD161" i="15"/>
  <c r="AF202" i="15"/>
  <c r="AF191" i="15"/>
  <c r="AC126" i="15"/>
  <c r="D23" i="14"/>
  <c r="I23" i="14" s="1"/>
  <c r="N94" i="14"/>
  <c r="N93" i="14"/>
  <c r="P155" i="15"/>
  <c r="P154" i="15"/>
  <c r="J92" i="14"/>
  <c r="C92" i="14"/>
  <c r="M84" i="14"/>
  <c r="O202" i="15"/>
  <c r="N123" i="15"/>
  <c r="N192" i="15"/>
  <c r="N193" i="15"/>
  <c r="O164" i="15"/>
  <c r="Q229" i="15"/>
  <c r="O200" i="15"/>
  <c r="O124" i="15" s="1"/>
  <c r="N124" i="15"/>
  <c r="N230" i="15"/>
  <c r="N231" i="15"/>
  <c r="Q161" i="15"/>
  <c r="R191" i="15"/>
  <c r="J83" i="14"/>
  <c r="C83" i="14"/>
  <c r="E83" i="14" s="1"/>
  <c r="Q162" i="15"/>
  <c r="O161" i="15"/>
  <c r="Q202" i="15"/>
  <c r="Q126" i="15" s="1"/>
  <c r="Q199" i="15"/>
  <c r="Q200" i="15"/>
  <c r="H84" i="14"/>
  <c r="C22" i="14"/>
  <c r="H93" i="14"/>
  <c r="H94" i="14"/>
  <c r="O229" i="15"/>
  <c r="Q191" i="15"/>
  <c r="O199" i="15"/>
  <c r="C23" i="14"/>
  <c r="M93" i="14"/>
  <c r="M94" i="14"/>
  <c r="R162" i="15"/>
  <c r="AC79" i="15"/>
  <c r="N63" i="14"/>
  <c r="AE41" i="15"/>
  <c r="AE40" i="15"/>
  <c r="J53" i="14"/>
  <c r="AG86" i="15"/>
  <c r="AG115" i="15"/>
  <c r="AC116" i="15"/>
  <c r="AC40" i="15" s="1"/>
  <c r="AC117" i="15"/>
  <c r="AF50" i="15"/>
  <c r="AD48" i="15"/>
  <c r="AD10" i="15" s="1"/>
  <c r="AF85" i="15"/>
  <c r="AF77" i="15"/>
  <c r="N54" i="14"/>
  <c r="D54" i="14" s="1"/>
  <c r="AF115" i="15"/>
  <c r="D19" i="14"/>
  <c r="I63" i="14"/>
  <c r="I64" i="14"/>
  <c r="D64" i="14" s="1"/>
  <c r="AD90" i="15"/>
  <c r="AD14" i="15" s="1"/>
  <c r="AD85" i="15"/>
  <c r="AC14" i="15"/>
  <c r="AF52" i="15"/>
  <c r="AF14" i="15" s="1"/>
  <c r="AF88" i="15"/>
  <c r="AD88" i="15"/>
  <c r="AG52" i="15"/>
  <c r="AD47" i="15"/>
  <c r="AC12" i="15"/>
  <c r="D30" i="14"/>
  <c r="I65" i="14"/>
  <c r="I66" i="14"/>
  <c r="AF86" i="15"/>
  <c r="AC10" i="15"/>
  <c r="AD50" i="15"/>
  <c r="AD12" i="15" s="1"/>
  <c r="AF48" i="15"/>
  <c r="AG77" i="15"/>
  <c r="AG39" i="15" s="1"/>
  <c r="M54" i="14"/>
  <c r="Q90" i="15"/>
  <c r="Q50" i="15"/>
  <c r="O86" i="15"/>
  <c r="Q48" i="15"/>
  <c r="O52" i="15"/>
  <c r="O50" i="15"/>
  <c r="R88" i="15"/>
  <c r="Q47" i="15"/>
  <c r="Q77" i="15"/>
  <c r="N116" i="15"/>
  <c r="N117" i="15"/>
  <c r="Q86" i="15"/>
  <c r="Q52" i="15"/>
  <c r="O85" i="15"/>
  <c r="Q88" i="15"/>
  <c r="O115" i="15"/>
  <c r="Q85" i="15"/>
  <c r="O90" i="15"/>
  <c r="C20" i="14"/>
  <c r="C18" i="14" s="1"/>
  <c r="M64" i="14"/>
  <c r="O64" i="14" s="1"/>
  <c r="M63" i="14"/>
  <c r="O77" i="15"/>
  <c r="O47" i="15"/>
  <c r="AQ208" i="15"/>
  <c r="AI208" i="15"/>
  <c r="AP208" i="15"/>
  <c r="AH208" i="15"/>
  <c r="AO208" i="15"/>
  <c r="AV208" i="15"/>
  <c r="AN208" i="15"/>
  <c r="AU208" i="15"/>
  <c r="AM208" i="15"/>
  <c r="AT208" i="15"/>
  <c r="AL208" i="15"/>
  <c r="AS208" i="15"/>
  <c r="AK208" i="15"/>
  <c r="AR208" i="15"/>
  <c r="AJ208" i="15"/>
  <c r="AO246" i="15"/>
  <c r="AV246" i="15"/>
  <c r="AN246" i="15"/>
  <c r="AU246" i="15"/>
  <c r="AM246" i="15"/>
  <c r="AT246" i="15"/>
  <c r="AL246" i="15"/>
  <c r="AS246" i="15"/>
  <c r="AK246" i="15"/>
  <c r="AR246" i="15"/>
  <c r="AJ246" i="15"/>
  <c r="AQ246" i="15"/>
  <c r="AI246" i="15"/>
  <c r="AP246" i="15"/>
  <c r="AH246" i="15"/>
  <c r="AS170" i="15"/>
  <c r="AK170" i="15"/>
  <c r="AR170" i="15"/>
  <c r="AJ170" i="15"/>
  <c r="AQ170" i="15"/>
  <c r="AI170" i="15"/>
  <c r="AP170" i="15"/>
  <c r="AH170" i="15"/>
  <c r="AO170" i="15"/>
  <c r="AV170" i="15"/>
  <c r="AN170" i="15"/>
  <c r="AU170" i="15"/>
  <c r="AM170" i="15"/>
  <c r="AT170" i="15"/>
  <c r="AL170" i="15"/>
  <c r="AS94" i="15"/>
  <c r="AK94" i="15"/>
  <c r="AR94" i="15"/>
  <c r="AJ94" i="15"/>
  <c r="AQ94" i="15"/>
  <c r="AI94" i="15"/>
  <c r="AP94" i="15"/>
  <c r="AH94" i="15"/>
  <c r="AO94" i="15"/>
  <c r="AV94" i="15"/>
  <c r="AN94" i="15"/>
  <c r="AL94" i="15"/>
  <c r="AM94" i="15"/>
  <c r="AU94" i="15"/>
  <c r="AT94" i="15"/>
  <c r="AU56" i="15"/>
  <c r="AM56" i="15"/>
  <c r="AT56" i="15"/>
  <c r="AL56" i="15"/>
  <c r="AR56" i="15"/>
  <c r="AJ56" i="15"/>
  <c r="AQ56" i="15"/>
  <c r="AI56" i="15"/>
  <c r="AP56" i="15"/>
  <c r="AO56" i="15"/>
  <c r="AN56" i="15"/>
  <c r="AK56" i="15"/>
  <c r="AH56" i="15"/>
  <c r="AS56" i="15"/>
  <c r="AV56" i="15"/>
  <c r="D18" i="15"/>
  <c r="L18" i="15" s="1"/>
  <c r="O63" i="14" l="1"/>
  <c r="D63" i="14"/>
  <c r="O93" i="14"/>
  <c r="H66" i="14"/>
  <c r="H65" i="14"/>
  <c r="K12" i="11"/>
  <c r="M12" i="11"/>
  <c r="I12" i="11"/>
  <c r="L12" i="11"/>
  <c r="F20" i="11"/>
  <c r="AF153" i="15"/>
  <c r="H20" i="11"/>
  <c r="C12" i="11"/>
  <c r="E20" i="11"/>
  <c r="C20" i="11"/>
  <c r="E12" i="11"/>
  <c r="F12" i="11"/>
  <c r="G12" i="11"/>
  <c r="O153" i="15"/>
  <c r="Q153" i="15"/>
  <c r="AD153" i="15"/>
  <c r="AC41" i="15"/>
  <c r="O94" i="14"/>
  <c r="AG161" i="15"/>
  <c r="D34" i="14"/>
  <c r="I34" i="14" s="1"/>
  <c r="N95" i="14"/>
  <c r="N96" i="14"/>
  <c r="AG162" i="15"/>
  <c r="D94" i="14"/>
  <c r="AD230" i="15"/>
  <c r="AD231" i="15"/>
  <c r="D21" i="14"/>
  <c r="I21" i="14" s="1"/>
  <c r="I22" i="14"/>
  <c r="AG229" i="15"/>
  <c r="AG202" i="15"/>
  <c r="AG199" i="15"/>
  <c r="AC154" i="15"/>
  <c r="AF126" i="15"/>
  <c r="AG164" i="15"/>
  <c r="AG200" i="15"/>
  <c r="AF123" i="15"/>
  <c r="AF192" i="15"/>
  <c r="AF193" i="15"/>
  <c r="AD126" i="15"/>
  <c r="D84" i="14"/>
  <c r="AD123" i="15"/>
  <c r="AD192" i="15"/>
  <c r="AD193" i="15"/>
  <c r="AF230" i="15"/>
  <c r="AF231" i="15"/>
  <c r="D93" i="14"/>
  <c r="D33" i="14"/>
  <c r="I95" i="14"/>
  <c r="I96" i="14"/>
  <c r="AG191" i="15"/>
  <c r="C21" i="14"/>
  <c r="C25" i="14" s="1"/>
  <c r="Q230" i="15"/>
  <c r="Q231" i="15"/>
  <c r="Q124" i="15"/>
  <c r="R229" i="15"/>
  <c r="R153" i="15" s="1"/>
  <c r="C33" i="14"/>
  <c r="H96" i="14"/>
  <c r="H95" i="14"/>
  <c r="O230" i="15"/>
  <c r="O231" i="15"/>
  <c r="O126" i="15"/>
  <c r="R202" i="15"/>
  <c r="J84" i="14"/>
  <c r="C84" i="14"/>
  <c r="R199" i="15"/>
  <c r="O192" i="15"/>
  <c r="O123" i="15"/>
  <c r="O193" i="15"/>
  <c r="R164" i="15"/>
  <c r="J94" i="14"/>
  <c r="C94" i="14"/>
  <c r="R200" i="15"/>
  <c r="R124" i="15" s="1"/>
  <c r="N155" i="15"/>
  <c r="J93" i="14"/>
  <c r="C93" i="14"/>
  <c r="R161" i="15"/>
  <c r="Q123" i="15"/>
  <c r="Q192" i="15"/>
  <c r="Q193" i="15"/>
  <c r="N154" i="15"/>
  <c r="C34" i="14"/>
  <c r="M96" i="14"/>
  <c r="M95" i="14"/>
  <c r="AF78" i="15"/>
  <c r="AD116" i="15"/>
  <c r="AD117" i="15"/>
  <c r="D18" i="14"/>
  <c r="I19" i="14"/>
  <c r="AF39" i="15"/>
  <c r="AG85" i="15"/>
  <c r="AF79" i="15"/>
  <c r="D31" i="14"/>
  <c r="I31" i="14" s="1"/>
  <c r="N66" i="14"/>
  <c r="D66" i="14" s="1"/>
  <c r="N65" i="14"/>
  <c r="D65" i="14" s="1"/>
  <c r="I30" i="14"/>
  <c r="AG88" i="15"/>
  <c r="AF116" i="15"/>
  <c r="AF40" i="15" s="1"/>
  <c r="AF117" i="15"/>
  <c r="AG50" i="15"/>
  <c r="AG90" i="15"/>
  <c r="AG14" i="15" s="1"/>
  <c r="AF9" i="15"/>
  <c r="J63" i="14"/>
  <c r="J64" i="14"/>
  <c r="AG47" i="15"/>
  <c r="AG48" i="15"/>
  <c r="AG10" i="15" s="1"/>
  <c r="AF10" i="15"/>
  <c r="AD78" i="15"/>
  <c r="AD9" i="15"/>
  <c r="AD79" i="15"/>
  <c r="AD41" i="15" s="1"/>
  <c r="AF12" i="15"/>
  <c r="Q116" i="15"/>
  <c r="Q117" i="15"/>
  <c r="R86" i="15"/>
  <c r="R115" i="15"/>
  <c r="R50" i="15"/>
  <c r="R77" i="15"/>
  <c r="R47" i="15"/>
  <c r="R52" i="15"/>
  <c r="R90" i="15"/>
  <c r="C31" i="14"/>
  <c r="C29" i="14" s="1"/>
  <c r="M66" i="14"/>
  <c r="M65" i="14"/>
  <c r="O116" i="15"/>
  <c r="O117" i="15"/>
  <c r="R85" i="15"/>
  <c r="J18" i="15"/>
  <c r="AN18" i="15"/>
  <c r="AP18" i="15"/>
  <c r="AH18" i="15"/>
  <c r="AU132" i="15"/>
  <c r="AT132" i="15"/>
  <c r="AQ132" i="15"/>
  <c r="AI132" i="15"/>
  <c r="AP132" i="15"/>
  <c r="AH132" i="15"/>
  <c r="AO132" i="15"/>
  <c r="AN132" i="15"/>
  <c r="AM132" i="15"/>
  <c r="AV132" i="15"/>
  <c r="AL132" i="15"/>
  <c r="AS132" i="15"/>
  <c r="AK132" i="15"/>
  <c r="AR132" i="15"/>
  <c r="AJ132" i="15"/>
  <c r="F18" i="15"/>
  <c r="AJ18" i="15" s="1"/>
  <c r="K18" i="15"/>
  <c r="AO18" i="15" s="1"/>
  <c r="M18" i="15"/>
  <c r="AQ18" i="15" s="1"/>
  <c r="R18" i="15"/>
  <c r="AV18" i="15" s="1"/>
  <c r="E18" i="15"/>
  <c r="AI18" i="15" s="1"/>
  <c r="N18" i="15"/>
  <c r="AR18" i="15" s="1"/>
  <c r="I18" i="15"/>
  <c r="AM18" i="15" s="1"/>
  <c r="H18" i="15"/>
  <c r="AL18" i="15" s="1"/>
  <c r="G18" i="15"/>
  <c r="AK18" i="15" s="1"/>
  <c r="Q18" i="15"/>
  <c r="AU18" i="15" s="1"/>
  <c r="P18" i="15"/>
  <c r="AT18" i="15" s="1"/>
  <c r="O18" i="15"/>
  <c r="AS18" i="15" s="1"/>
  <c r="D3" i="26" l="1"/>
  <c r="D3" i="25"/>
  <c r="AD154" i="15"/>
  <c r="I3" i="23"/>
  <c r="I3" i="24"/>
  <c r="E93" i="14"/>
  <c r="D96" i="14"/>
  <c r="E94" i="14"/>
  <c r="AG126" i="15"/>
  <c r="R126" i="15"/>
  <c r="Q154" i="15"/>
  <c r="Q155" i="15"/>
  <c r="O154" i="15"/>
  <c r="AD155" i="15"/>
  <c r="AD40" i="15"/>
  <c r="D95" i="14"/>
  <c r="D32" i="14"/>
  <c r="I32" i="14" s="1"/>
  <c r="I33" i="14"/>
  <c r="AF155" i="15"/>
  <c r="AG153" i="15"/>
  <c r="AF154" i="15"/>
  <c r="AG230" i="15"/>
  <c r="AG231" i="15"/>
  <c r="AG123" i="15"/>
  <c r="AG192" i="15"/>
  <c r="AG193" i="15"/>
  <c r="AG124" i="15"/>
  <c r="O155" i="15"/>
  <c r="R192" i="15"/>
  <c r="R123" i="15"/>
  <c r="R193" i="15"/>
  <c r="R230" i="15"/>
  <c r="R231" i="15"/>
  <c r="J95" i="14"/>
  <c r="C95" i="14"/>
  <c r="J96" i="14"/>
  <c r="C96" i="14"/>
  <c r="C32" i="14"/>
  <c r="C36" i="14" s="1"/>
  <c r="AG12" i="15"/>
  <c r="AG78" i="15"/>
  <c r="AG9" i="15"/>
  <c r="AG79" i="15"/>
  <c r="D25" i="14"/>
  <c r="I25" i="14" s="1"/>
  <c r="I18" i="14"/>
  <c r="AF41" i="15"/>
  <c r="AG116" i="15"/>
  <c r="AG117" i="15"/>
  <c r="D29" i="14"/>
  <c r="R116" i="15"/>
  <c r="R117" i="15"/>
  <c r="AO50" i="15"/>
  <c r="AV50" i="15"/>
  <c r="AN50" i="15"/>
  <c r="AT50" i="15"/>
  <c r="AL50" i="15"/>
  <c r="AS50" i="15"/>
  <c r="AK50" i="15"/>
  <c r="AJ50" i="15"/>
  <c r="AI50" i="15"/>
  <c r="AH50" i="15"/>
  <c r="AU50" i="15"/>
  <c r="AR50" i="15"/>
  <c r="AQ50" i="15"/>
  <c r="AP50" i="15"/>
  <c r="AM50" i="15"/>
  <c r="AR161" i="15"/>
  <c r="AJ161" i="15"/>
  <c r="AQ161" i="15"/>
  <c r="AI161" i="15"/>
  <c r="AO161" i="15"/>
  <c r="AV161" i="15"/>
  <c r="AN161" i="15"/>
  <c r="AT161" i="15"/>
  <c r="AL161" i="15"/>
  <c r="AK161" i="15"/>
  <c r="AH161" i="15"/>
  <c r="AU161" i="15"/>
  <c r="AS161" i="15"/>
  <c r="AP161" i="15"/>
  <c r="AM161" i="15"/>
  <c r="AR169" i="15"/>
  <c r="AJ169" i="15"/>
  <c r="AQ169" i="15"/>
  <c r="AI169" i="15"/>
  <c r="AP169" i="15"/>
  <c r="AH169" i="15"/>
  <c r="AO169" i="15"/>
  <c r="AV169" i="15"/>
  <c r="AN169" i="15"/>
  <c r="AU169" i="15"/>
  <c r="AM169" i="15"/>
  <c r="AT169" i="15"/>
  <c r="AL169" i="15"/>
  <c r="AS169" i="15"/>
  <c r="AK169" i="15"/>
  <c r="AU204" i="15"/>
  <c r="AM204" i="15"/>
  <c r="AT204" i="15"/>
  <c r="AL204" i="15"/>
  <c r="AS204" i="15"/>
  <c r="AK204" i="15"/>
  <c r="AR204" i="15"/>
  <c r="AJ204" i="15"/>
  <c r="AQ204" i="15"/>
  <c r="AI204" i="15"/>
  <c r="AP204" i="15"/>
  <c r="AH204" i="15"/>
  <c r="AO204" i="15"/>
  <c r="AV204" i="15"/>
  <c r="AN204" i="15"/>
  <c r="AR229" i="15"/>
  <c r="AJ229" i="15"/>
  <c r="AQ229" i="15"/>
  <c r="AI229" i="15"/>
  <c r="AP229" i="15"/>
  <c r="AH229" i="15"/>
  <c r="AO229" i="15"/>
  <c r="AV229" i="15"/>
  <c r="AN229" i="15"/>
  <c r="AU229" i="15"/>
  <c r="AM229" i="15"/>
  <c r="AT229" i="15"/>
  <c r="AL229" i="15"/>
  <c r="AS229" i="15"/>
  <c r="AK229" i="15"/>
  <c r="AP239" i="15"/>
  <c r="AH239" i="15"/>
  <c r="AO239" i="15"/>
  <c r="AV239" i="15"/>
  <c r="AN239" i="15"/>
  <c r="AU239" i="15"/>
  <c r="AM239" i="15"/>
  <c r="AT239" i="15"/>
  <c r="AL239" i="15"/>
  <c r="AS239" i="15"/>
  <c r="AK239" i="15"/>
  <c r="AR239" i="15"/>
  <c r="AJ239" i="15"/>
  <c r="AI239" i="15"/>
  <c r="AQ239" i="15"/>
  <c r="AT243" i="15"/>
  <c r="AL243" i="15"/>
  <c r="AS243" i="15"/>
  <c r="AK243" i="15"/>
  <c r="AR243" i="15"/>
  <c r="AJ243" i="15"/>
  <c r="AQ243" i="15"/>
  <c r="AI243" i="15"/>
  <c r="AP243" i="15"/>
  <c r="AH243" i="15"/>
  <c r="AO243" i="15"/>
  <c r="AV243" i="15"/>
  <c r="AN243" i="15"/>
  <c r="AM243" i="15"/>
  <c r="AU243" i="15"/>
  <c r="AO90" i="15"/>
  <c r="AV90" i="15"/>
  <c r="AN90" i="15"/>
  <c r="AU90" i="15"/>
  <c r="AM90" i="15"/>
  <c r="AT90" i="15"/>
  <c r="AL90" i="15"/>
  <c r="AS90" i="15"/>
  <c r="AK90" i="15"/>
  <c r="AR90" i="15"/>
  <c r="AJ90" i="15"/>
  <c r="AH90" i="15"/>
  <c r="AI90" i="15"/>
  <c r="AQ90" i="15"/>
  <c r="AP90" i="15"/>
  <c r="AV165" i="15"/>
  <c r="AN165" i="15"/>
  <c r="AU165" i="15"/>
  <c r="AM165" i="15"/>
  <c r="AS165" i="15"/>
  <c r="AK165" i="15"/>
  <c r="AR165" i="15"/>
  <c r="AJ165" i="15"/>
  <c r="AQ165" i="15"/>
  <c r="AI165" i="15"/>
  <c r="AP165" i="15"/>
  <c r="AH165" i="15"/>
  <c r="AT165" i="15"/>
  <c r="AO165" i="15"/>
  <c r="AL165" i="15"/>
  <c r="AQ200" i="15"/>
  <c r="AI200" i="15"/>
  <c r="AP200" i="15"/>
  <c r="AH200" i="15"/>
  <c r="AO200" i="15"/>
  <c r="AV200" i="15"/>
  <c r="AN200" i="15"/>
  <c r="AU200" i="15"/>
  <c r="AM200" i="15"/>
  <c r="AT200" i="15"/>
  <c r="AL200" i="15"/>
  <c r="AS200" i="15"/>
  <c r="AK200" i="15"/>
  <c r="AR200" i="15"/>
  <c r="AJ200" i="15"/>
  <c r="AP51" i="15"/>
  <c r="AH51" i="15"/>
  <c r="AO51" i="15"/>
  <c r="AU51" i="15"/>
  <c r="AM51" i="15"/>
  <c r="AT51" i="15"/>
  <c r="AL51" i="15"/>
  <c r="AK51" i="15"/>
  <c r="AJ51" i="15"/>
  <c r="AI51" i="15"/>
  <c r="AV51" i="15"/>
  <c r="AS51" i="15"/>
  <c r="AR51" i="15"/>
  <c r="AN51" i="15"/>
  <c r="AQ51" i="15"/>
  <c r="AP91" i="15"/>
  <c r="AH91" i="15"/>
  <c r="AO91" i="15"/>
  <c r="AV91" i="15"/>
  <c r="AN91" i="15"/>
  <c r="AU91" i="15"/>
  <c r="AM91" i="15"/>
  <c r="AT91" i="15"/>
  <c r="AL91" i="15"/>
  <c r="AS91" i="15"/>
  <c r="AK91" i="15"/>
  <c r="AR91" i="15"/>
  <c r="AQ91" i="15"/>
  <c r="AJ91" i="15"/>
  <c r="AI91" i="15"/>
  <c r="AV89" i="15"/>
  <c r="AN89" i="15"/>
  <c r="AU89" i="15"/>
  <c r="AM89" i="15"/>
  <c r="AS89" i="15"/>
  <c r="AK89" i="15"/>
  <c r="AR89" i="15"/>
  <c r="AJ89" i="15"/>
  <c r="AQ89" i="15"/>
  <c r="AI89" i="15"/>
  <c r="AT89" i="15"/>
  <c r="AP89" i="15"/>
  <c r="AO89" i="15"/>
  <c r="AL89" i="15"/>
  <c r="AH89" i="15"/>
  <c r="AQ84" i="15"/>
  <c r="AI84" i="15"/>
  <c r="AP84" i="15"/>
  <c r="AH84" i="15"/>
  <c r="AV84" i="15"/>
  <c r="AN84" i="15"/>
  <c r="AU84" i="15"/>
  <c r="AM84" i="15"/>
  <c r="AT84" i="15"/>
  <c r="AS84" i="15"/>
  <c r="AR84" i="15"/>
  <c r="AO84" i="15"/>
  <c r="AL84" i="15"/>
  <c r="AK84" i="15"/>
  <c r="AJ84" i="15"/>
  <c r="AS162" i="15"/>
  <c r="AK162" i="15"/>
  <c r="AR162" i="15"/>
  <c r="AJ162" i="15"/>
  <c r="AP162" i="15"/>
  <c r="AH162" i="15"/>
  <c r="AO162" i="15"/>
  <c r="AU162" i="15"/>
  <c r="AM162" i="15"/>
  <c r="AQ162" i="15"/>
  <c r="AN162" i="15"/>
  <c r="AL162" i="15"/>
  <c r="AI162" i="15"/>
  <c r="AV162" i="15"/>
  <c r="AT162" i="15"/>
  <c r="AT191" i="15"/>
  <c r="AL191" i="15"/>
  <c r="AS191" i="15"/>
  <c r="AK191" i="15"/>
  <c r="AR191" i="15"/>
  <c r="AJ191" i="15"/>
  <c r="AQ191" i="15"/>
  <c r="AI191" i="15"/>
  <c r="AP191" i="15"/>
  <c r="AH191" i="15"/>
  <c r="AO191" i="15"/>
  <c r="AV191" i="15"/>
  <c r="AN191" i="15"/>
  <c r="AU191" i="15"/>
  <c r="AM191" i="15"/>
  <c r="AR201" i="15"/>
  <c r="AJ201" i="15"/>
  <c r="AQ201" i="15"/>
  <c r="AI201" i="15"/>
  <c r="AP201" i="15"/>
  <c r="AH201" i="15"/>
  <c r="AO201" i="15"/>
  <c r="AV201" i="15"/>
  <c r="AN201" i="15"/>
  <c r="AU201" i="15"/>
  <c r="AM201" i="15"/>
  <c r="AT201" i="15"/>
  <c r="AL201" i="15"/>
  <c r="AS201" i="15"/>
  <c r="AK201" i="15"/>
  <c r="AV205" i="15"/>
  <c r="AN205" i="15"/>
  <c r="AU205" i="15"/>
  <c r="AM205" i="15"/>
  <c r="AT205" i="15"/>
  <c r="AL205" i="15"/>
  <c r="AS205" i="15"/>
  <c r="AK205" i="15"/>
  <c r="AR205" i="15"/>
  <c r="AJ205" i="15"/>
  <c r="AQ205" i="15"/>
  <c r="AI205" i="15"/>
  <c r="AP205" i="15"/>
  <c r="AH205" i="15"/>
  <c r="AO205" i="15"/>
  <c r="AU236" i="15"/>
  <c r="AM236" i="15"/>
  <c r="AT236" i="15"/>
  <c r="AL236" i="15"/>
  <c r="AS236" i="15"/>
  <c r="AK236" i="15"/>
  <c r="AR236" i="15"/>
  <c r="AJ236" i="15"/>
  <c r="AQ236" i="15"/>
  <c r="AI236" i="15"/>
  <c r="AP236" i="15"/>
  <c r="AH236" i="15"/>
  <c r="AO236" i="15"/>
  <c r="AV236" i="15"/>
  <c r="AN236" i="15"/>
  <c r="AQ240" i="15"/>
  <c r="AI240" i="15"/>
  <c r="AP240" i="15"/>
  <c r="AH240" i="15"/>
  <c r="AO240" i="15"/>
  <c r="AV240" i="15"/>
  <c r="AN240" i="15"/>
  <c r="AU240" i="15"/>
  <c r="AM240" i="15"/>
  <c r="AT240" i="15"/>
  <c r="AL240" i="15"/>
  <c r="AS240" i="15"/>
  <c r="AK240" i="15"/>
  <c r="AR240" i="15"/>
  <c r="AJ240" i="15"/>
  <c r="AU244" i="15"/>
  <c r="AM244" i="15"/>
  <c r="AT244" i="15"/>
  <c r="AL244" i="15"/>
  <c r="AS244" i="15"/>
  <c r="AK244" i="15"/>
  <c r="AR244" i="15"/>
  <c r="AJ244" i="15"/>
  <c r="AQ244" i="15"/>
  <c r="AI244" i="15"/>
  <c r="AP244" i="15"/>
  <c r="AH244" i="15"/>
  <c r="AO244" i="15"/>
  <c r="AV244" i="15"/>
  <c r="AN244" i="15"/>
  <c r="AQ52" i="15"/>
  <c r="AI52" i="15"/>
  <c r="AP52" i="15"/>
  <c r="AH52" i="15"/>
  <c r="AV52" i="15"/>
  <c r="AN52" i="15"/>
  <c r="AU52" i="15"/>
  <c r="AM52" i="15"/>
  <c r="AL52" i="15"/>
  <c r="AO52" i="15"/>
  <c r="AK52" i="15"/>
  <c r="AJ52" i="15"/>
  <c r="AT52" i="15"/>
  <c r="AS52" i="15"/>
  <c r="AR52" i="15"/>
  <c r="AQ92" i="15"/>
  <c r="AI92" i="15"/>
  <c r="AP92" i="15"/>
  <c r="AH92" i="15"/>
  <c r="AO92" i="15"/>
  <c r="AV92" i="15"/>
  <c r="AN92" i="15"/>
  <c r="AU92" i="15"/>
  <c r="AM92" i="15"/>
  <c r="AT92" i="15"/>
  <c r="AL92" i="15"/>
  <c r="AJ92" i="15"/>
  <c r="AK92" i="15"/>
  <c r="AS92" i="15"/>
  <c r="AR92" i="15"/>
  <c r="AO166" i="15"/>
  <c r="AV166" i="15"/>
  <c r="AN166" i="15"/>
  <c r="AT166" i="15"/>
  <c r="AL166" i="15"/>
  <c r="AS166" i="15"/>
  <c r="AK166" i="15"/>
  <c r="AR166" i="15"/>
  <c r="AJ166" i="15"/>
  <c r="AQ166" i="15"/>
  <c r="AI166" i="15"/>
  <c r="AM166" i="15"/>
  <c r="AH166" i="15"/>
  <c r="AU166" i="15"/>
  <c r="AP166" i="15"/>
  <c r="AR53" i="15"/>
  <c r="AJ53" i="15"/>
  <c r="AQ53" i="15"/>
  <c r="AI53" i="15"/>
  <c r="AO53" i="15"/>
  <c r="AV53" i="15"/>
  <c r="AN53" i="15"/>
  <c r="AM53" i="15"/>
  <c r="AL53" i="15"/>
  <c r="AP53" i="15"/>
  <c r="AK53" i="15"/>
  <c r="AH53" i="15"/>
  <c r="AU53" i="15"/>
  <c r="AT53" i="15"/>
  <c r="AS53" i="15"/>
  <c r="AR85" i="15"/>
  <c r="AJ85" i="15"/>
  <c r="AQ85" i="15"/>
  <c r="AI85" i="15"/>
  <c r="AO85" i="15"/>
  <c r="AV85" i="15"/>
  <c r="AN85" i="15"/>
  <c r="AU85" i="15"/>
  <c r="AH85" i="15"/>
  <c r="AT85" i="15"/>
  <c r="AS85" i="15"/>
  <c r="AP85" i="15"/>
  <c r="AM85" i="15"/>
  <c r="AL85" i="15"/>
  <c r="AK85" i="15"/>
  <c r="AR93" i="15"/>
  <c r="AJ93" i="15"/>
  <c r="AQ93" i="15"/>
  <c r="AI93" i="15"/>
  <c r="AP93" i="15"/>
  <c r="AH93" i="15"/>
  <c r="AO93" i="15"/>
  <c r="AV93" i="15"/>
  <c r="AN93" i="15"/>
  <c r="AU93" i="15"/>
  <c r="AM93" i="15"/>
  <c r="AT93" i="15"/>
  <c r="AS93" i="15"/>
  <c r="AL93" i="15"/>
  <c r="AK93" i="15"/>
  <c r="AV49" i="15"/>
  <c r="AN49" i="15"/>
  <c r="AU49" i="15"/>
  <c r="AM49" i="15"/>
  <c r="AS49" i="15"/>
  <c r="AK49" i="15"/>
  <c r="AR49" i="15"/>
  <c r="AJ49" i="15"/>
  <c r="AI49" i="15"/>
  <c r="AH49" i="15"/>
  <c r="AT49" i="15"/>
  <c r="AQ49" i="15"/>
  <c r="AL49" i="15"/>
  <c r="AP49" i="15"/>
  <c r="AO49" i="15"/>
  <c r="AS86" i="15"/>
  <c r="AK86" i="15"/>
  <c r="AR86" i="15"/>
  <c r="AJ86" i="15"/>
  <c r="AP86" i="15"/>
  <c r="AH86" i="15"/>
  <c r="AO86" i="15"/>
  <c r="AV86" i="15"/>
  <c r="AU86" i="15"/>
  <c r="AT86" i="15"/>
  <c r="AQ86" i="15"/>
  <c r="AN86" i="15"/>
  <c r="AI86" i="15"/>
  <c r="AM86" i="15"/>
  <c r="AL86" i="15"/>
  <c r="AT163" i="15"/>
  <c r="AL163" i="15"/>
  <c r="AS163" i="15"/>
  <c r="AK163" i="15"/>
  <c r="AQ163" i="15"/>
  <c r="AI163" i="15"/>
  <c r="AP163" i="15"/>
  <c r="AH163" i="15"/>
  <c r="AV163" i="15"/>
  <c r="AN163" i="15"/>
  <c r="AU163" i="15"/>
  <c r="AR163" i="15"/>
  <c r="AO163" i="15"/>
  <c r="AM163" i="15"/>
  <c r="AJ163" i="15"/>
  <c r="AO198" i="15"/>
  <c r="AV198" i="15"/>
  <c r="AN198" i="15"/>
  <c r="AU198" i="15"/>
  <c r="AM198" i="15"/>
  <c r="AT198" i="15"/>
  <c r="AL198" i="15"/>
  <c r="AS198" i="15"/>
  <c r="AK198" i="15"/>
  <c r="AR198" i="15"/>
  <c r="AJ198" i="15"/>
  <c r="AQ198" i="15"/>
  <c r="AI198" i="15"/>
  <c r="AH198" i="15"/>
  <c r="AP198" i="15"/>
  <c r="AS202" i="15"/>
  <c r="AK202" i="15"/>
  <c r="AR202" i="15"/>
  <c r="AJ202" i="15"/>
  <c r="AQ202" i="15"/>
  <c r="AI202" i="15"/>
  <c r="AP202" i="15"/>
  <c r="AH202" i="15"/>
  <c r="AO202" i="15"/>
  <c r="AV202" i="15"/>
  <c r="AN202" i="15"/>
  <c r="AU202" i="15"/>
  <c r="AM202" i="15"/>
  <c r="AL202" i="15"/>
  <c r="AT202" i="15"/>
  <c r="AO206" i="15"/>
  <c r="AV206" i="15"/>
  <c r="AN206" i="15"/>
  <c r="AU206" i="15"/>
  <c r="AM206" i="15"/>
  <c r="AT206" i="15"/>
  <c r="AL206" i="15"/>
  <c r="AS206" i="15"/>
  <c r="AK206" i="15"/>
  <c r="AR206" i="15"/>
  <c r="AJ206" i="15"/>
  <c r="AQ206" i="15"/>
  <c r="AI206" i="15"/>
  <c r="AP206" i="15"/>
  <c r="AH206" i="15"/>
  <c r="AV237" i="15"/>
  <c r="AN237" i="15"/>
  <c r="AU237" i="15"/>
  <c r="AM237" i="15"/>
  <c r="AT237" i="15"/>
  <c r="AL237" i="15"/>
  <c r="AS237" i="15"/>
  <c r="AK237" i="15"/>
  <c r="AR237" i="15"/>
  <c r="AJ237" i="15"/>
  <c r="AQ237" i="15"/>
  <c r="AI237" i="15"/>
  <c r="AP237" i="15"/>
  <c r="AH237" i="15"/>
  <c r="AO237" i="15"/>
  <c r="AR241" i="15"/>
  <c r="AJ241" i="15"/>
  <c r="AQ241" i="15"/>
  <c r="AI241" i="15"/>
  <c r="AP241" i="15"/>
  <c r="AH241" i="15"/>
  <c r="AO241" i="15"/>
  <c r="AV241" i="15"/>
  <c r="AN241" i="15"/>
  <c r="AU241" i="15"/>
  <c r="AM241" i="15"/>
  <c r="AT241" i="15"/>
  <c r="AL241" i="15"/>
  <c r="AS241" i="15"/>
  <c r="AK241" i="15"/>
  <c r="AV245" i="15"/>
  <c r="AN245" i="15"/>
  <c r="AU245" i="15"/>
  <c r="AM245" i="15"/>
  <c r="AT245" i="15"/>
  <c r="AL245" i="15"/>
  <c r="AS245" i="15"/>
  <c r="AK245" i="15"/>
  <c r="AR245" i="15"/>
  <c r="AJ245" i="15"/>
  <c r="AQ245" i="15"/>
  <c r="AI245" i="15"/>
  <c r="AP245" i="15"/>
  <c r="AH245" i="15"/>
  <c r="AO245" i="15"/>
  <c r="AU48" i="15"/>
  <c r="AM48" i="15"/>
  <c r="AT48" i="15"/>
  <c r="AL48" i="15"/>
  <c r="AR48" i="15"/>
  <c r="AJ48" i="15"/>
  <c r="AQ48" i="15"/>
  <c r="AI48" i="15"/>
  <c r="AH48" i="15"/>
  <c r="AV48" i="15"/>
  <c r="AK48" i="15"/>
  <c r="AS48" i="15"/>
  <c r="AP48" i="15"/>
  <c r="AO48" i="15"/>
  <c r="AN48" i="15"/>
  <c r="AR46" i="15"/>
  <c r="AJ46" i="15"/>
  <c r="AQ46" i="15"/>
  <c r="AI46" i="15"/>
  <c r="AK46" i="15"/>
  <c r="AP46" i="15"/>
  <c r="AH46" i="15"/>
  <c r="AO46" i="15"/>
  <c r="AV46" i="15"/>
  <c r="AN46" i="15"/>
  <c r="AU46" i="15"/>
  <c r="AM46" i="15"/>
  <c r="AS46" i="15"/>
  <c r="AT46" i="15"/>
  <c r="AL46" i="15"/>
  <c r="AS54" i="15"/>
  <c r="AK54" i="15"/>
  <c r="AR54" i="15"/>
  <c r="AJ54" i="15"/>
  <c r="AP54" i="15"/>
  <c r="AH54" i="15"/>
  <c r="AO54" i="15"/>
  <c r="AN54" i="15"/>
  <c r="AM54" i="15"/>
  <c r="AL54" i="15"/>
  <c r="AQ54" i="15"/>
  <c r="AI54" i="15"/>
  <c r="AV54" i="15"/>
  <c r="AU54" i="15"/>
  <c r="AT54" i="15"/>
  <c r="AT115" i="15"/>
  <c r="AL115" i="15"/>
  <c r="AS115" i="15"/>
  <c r="AK115" i="15"/>
  <c r="AR115" i="15"/>
  <c r="AJ115" i="15"/>
  <c r="AQ115" i="15"/>
  <c r="AI115" i="15"/>
  <c r="AP115" i="15"/>
  <c r="AH115" i="15"/>
  <c r="AO115" i="15"/>
  <c r="AV115" i="15"/>
  <c r="AU115" i="15"/>
  <c r="AN115" i="15"/>
  <c r="AM115" i="15"/>
  <c r="AP167" i="15"/>
  <c r="AH167" i="15"/>
  <c r="AO167" i="15"/>
  <c r="AV167" i="15"/>
  <c r="AN167" i="15"/>
  <c r="AU167" i="15"/>
  <c r="AM167" i="15"/>
  <c r="AT167" i="15"/>
  <c r="AL167" i="15"/>
  <c r="AS167" i="15"/>
  <c r="AK167" i="15"/>
  <c r="AR167" i="15"/>
  <c r="AJ167" i="15"/>
  <c r="AQ167" i="15"/>
  <c r="AI167" i="15"/>
  <c r="AT47" i="15"/>
  <c r="AS47" i="15"/>
  <c r="AQ47" i="15"/>
  <c r="AP47" i="15"/>
  <c r="AK47" i="15"/>
  <c r="AV47" i="15"/>
  <c r="AJ47" i="15"/>
  <c r="AL47" i="15"/>
  <c r="AU47" i="15"/>
  <c r="AI47" i="15"/>
  <c r="AR47" i="15"/>
  <c r="AH47" i="15"/>
  <c r="AO47" i="15"/>
  <c r="AN47" i="15"/>
  <c r="AM47" i="15"/>
  <c r="AT55" i="15"/>
  <c r="AL55" i="15"/>
  <c r="AS55" i="15"/>
  <c r="AK55" i="15"/>
  <c r="AQ55" i="15"/>
  <c r="AI55" i="15"/>
  <c r="AP55" i="15"/>
  <c r="AH55" i="15"/>
  <c r="AO55" i="15"/>
  <c r="AN55" i="15"/>
  <c r="AM55" i="15"/>
  <c r="AJ55" i="15"/>
  <c r="AR55" i="15"/>
  <c r="AV55" i="15"/>
  <c r="AU55" i="15"/>
  <c r="AT87" i="15"/>
  <c r="AL87" i="15"/>
  <c r="AS87" i="15"/>
  <c r="AK87" i="15"/>
  <c r="AQ87" i="15"/>
  <c r="AI87" i="15"/>
  <c r="AP87" i="15"/>
  <c r="AH87" i="15"/>
  <c r="AO87" i="15"/>
  <c r="AJ87" i="15"/>
  <c r="AM87" i="15"/>
  <c r="AV87" i="15"/>
  <c r="AU87" i="15"/>
  <c r="AR87" i="15"/>
  <c r="AN87" i="15"/>
  <c r="AV77" i="15"/>
  <c r="AN77" i="15"/>
  <c r="AU77" i="15"/>
  <c r="AM77" i="15"/>
  <c r="AS77" i="15"/>
  <c r="AK77" i="15"/>
  <c r="AR77" i="15"/>
  <c r="AJ77" i="15"/>
  <c r="AQ77" i="15"/>
  <c r="AT77" i="15"/>
  <c r="AP77" i="15"/>
  <c r="AO77" i="15"/>
  <c r="AL77" i="15"/>
  <c r="AI77" i="15"/>
  <c r="AH77" i="15"/>
  <c r="AU88" i="15"/>
  <c r="AM88" i="15"/>
  <c r="AT88" i="15"/>
  <c r="AL88" i="15"/>
  <c r="AR88" i="15"/>
  <c r="AJ88" i="15"/>
  <c r="AQ88" i="15"/>
  <c r="AI88" i="15"/>
  <c r="AP88" i="15"/>
  <c r="AH88" i="15"/>
  <c r="AO88" i="15"/>
  <c r="AN88" i="15"/>
  <c r="AK88" i="15"/>
  <c r="AS88" i="15"/>
  <c r="AV88" i="15"/>
  <c r="AQ160" i="15"/>
  <c r="AI160" i="15"/>
  <c r="AP160" i="15"/>
  <c r="AH160" i="15"/>
  <c r="AV160" i="15"/>
  <c r="AN160" i="15"/>
  <c r="AU160" i="15"/>
  <c r="AM160" i="15"/>
  <c r="AS160" i="15"/>
  <c r="AK160" i="15"/>
  <c r="AT160" i="15"/>
  <c r="AR160" i="15"/>
  <c r="AO160" i="15"/>
  <c r="AL160" i="15"/>
  <c r="AJ160" i="15"/>
  <c r="AU164" i="15"/>
  <c r="AM164" i="15"/>
  <c r="AT164" i="15"/>
  <c r="AL164" i="15"/>
  <c r="AR164" i="15"/>
  <c r="AJ164" i="15"/>
  <c r="AQ164" i="15"/>
  <c r="AI164" i="15"/>
  <c r="AP164" i="15"/>
  <c r="AH164" i="15"/>
  <c r="AO164" i="15"/>
  <c r="AK164" i="15"/>
  <c r="AV164" i="15"/>
  <c r="AS164" i="15"/>
  <c r="AN164" i="15"/>
  <c r="AQ168" i="15"/>
  <c r="AI168" i="15"/>
  <c r="AP168" i="15"/>
  <c r="AH168" i="15"/>
  <c r="AO168" i="15"/>
  <c r="AV168" i="15"/>
  <c r="AN168" i="15"/>
  <c r="AU168" i="15"/>
  <c r="AM168" i="15"/>
  <c r="AT168" i="15"/>
  <c r="AL168" i="15"/>
  <c r="AS168" i="15"/>
  <c r="AK168" i="15"/>
  <c r="AR168" i="15"/>
  <c r="AJ168" i="15"/>
  <c r="AP199" i="15"/>
  <c r="AH199" i="15"/>
  <c r="AO199" i="15"/>
  <c r="AV199" i="15"/>
  <c r="AN199" i="15"/>
  <c r="AU199" i="15"/>
  <c r="AM199" i="15"/>
  <c r="AT199" i="15"/>
  <c r="AL199" i="15"/>
  <c r="AS199" i="15"/>
  <c r="AK199" i="15"/>
  <c r="AR199" i="15"/>
  <c r="AJ199" i="15"/>
  <c r="AQ199" i="15"/>
  <c r="AI199" i="15"/>
  <c r="AT203" i="15"/>
  <c r="AL203" i="15"/>
  <c r="AS203" i="15"/>
  <c r="AK203" i="15"/>
  <c r="AR203" i="15"/>
  <c r="AJ203" i="15"/>
  <c r="AQ203" i="15"/>
  <c r="AI203" i="15"/>
  <c r="AP203" i="15"/>
  <c r="AH203" i="15"/>
  <c r="AO203" i="15"/>
  <c r="AV203" i="15"/>
  <c r="AN203" i="15"/>
  <c r="AU203" i="15"/>
  <c r="AM203" i="15"/>
  <c r="AP207" i="15"/>
  <c r="AH207" i="15"/>
  <c r="AO207" i="15"/>
  <c r="AV207" i="15"/>
  <c r="AN207" i="15"/>
  <c r="AU207" i="15"/>
  <c r="AM207" i="15"/>
  <c r="AT207" i="15"/>
  <c r="AL207" i="15"/>
  <c r="AS207" i="15"/>
  <c r="AK207" i="15"/>
  <c r="AR207" i="15"/>
  <c r="AJ207" i="15"/>
  <c r="AQ207" i="15"/>
  <c r="AI207" i="15"/>
  <c r="AO238" i="15"/>
  <c r="AV238" i="15"/>
  <c r="AN238" i="15"/>
  <c r="AU238" i="15"/>
  <c r="AM238" i="15"/>
  <c r="AT238" i="15"/>
  <c r="AL238" i="15"/>
  <c r="AS238" i="15"/>
  <c r="AK238" i="15"/>
  <c r="AR238" i="15"/>
  <c r="AJ238" i="15"/>
  <c r="AQ238" i="15"/>
  <c r="AI238" i="15"/>
  <c r="AP238" i="15"/>
  <c r="AH238" i="15"/>
  <c r="AS242" i="15"/>
  <c r="AK242" i="15"/>
  <c r="AR242" i="15"/>
  <c r="AJ242" i="15"/>
  <c r="AQ242" i="15"/>
  <c r="AI242" i="15"/>
  <c r="AP242" i="15"/>
  <c r="AH242" i="15"/>
  <c r="AO242" i="15"/>
  <c r="AV242" i="15"/>
  <c r="AN242" i="15"/>
  <c r="AU242" i="15"/>
  <c r="AM242" i="15"/>
  <c r="AT242" i="15"/>
  <c r="AL242" i="15"/>
  <c r="AP267" i="15"/>
  <c r="AH267" i="15"/>
  <c r="AO267" i="15"/>
  <c r="AV267" i="15"/>
  <c r="AN267" i="15"/>
  <c r="AU267" i="15"/>
  <c r="AM267" i="15"/>
  <c r="AT267" i="15"/>
  <c r="AL267" i="15"/>
  <c r="AS267" i="15"/>
  <c r="AK267" i="15"/>
  <c r="AR267" i="15"/>
  <c r="AJ267" i="15"/>
  <c r="AQ267" i="15"/>
  <c r="AI267" i="15"/>
  <c r="AG155" i="15" l="1"/>
  <c r="AG154" i="15"/>
  <c r="R155" i="15"/>
  <c r="R154" i="15"/>
  <c r="AG41" i="15"/>
  <c r="D36" i="14"/>
  <c r="I36" i="14" s="1"/>
  <c r="I29" i="14"/>
  <c r="AG40" i="15"/>
  <c r="D16" i="15"/>
  <c r="D11" i="15"/>
  <c r="D12" i="15"/>
  <c r="D10" i="15"/>
  <c r="D14" i="15"/>
  <c r="D39" i="15"/>
  <c r="D13" i="15"/>
  <c r="D17" i="15"/>
  <c r="D9" i="15"/>
  <c r="D15" i="15"/>
  <c r="AH14" i="15" l="1"/>
  <c r="AH10" i="15"/>
  <c r="AH15" i="15"/>
  <c r="AH11" i="15"/>
  <c r="AP123" i="15"/>
  <c r="AH123" i="15"/>
  <c r="AO123" i="15"/>
  <c r="AV123" i="15"/>
  <c r="AN123" i="15"/>
  <c r="AU123" i="15"/>
  <c r="AM123" i="15"/>
  <c r="AT123" i="15"/>
  <c r="AL123" i="15"/>
  <c r="AS123" i="15"/>
  <c r="AK123" i="15"/>
  <c r="AR123" i="15"/>
  <c r="AQ123" i="15"/>
  <c r="AJ123" i="15"/>
  <c r="AI123" i="15"/>
  <c r="AH16" i="15"/>
  <c r="AH13" i="15"/>
  <c r="AH39" i="15"/>
  <c r="AH12" i="15"/>
  <c r="AH9" i="15"/>
  <c r="AH17" i="15"/>
  <c r="P17" i="15"/>
  <c r="AT17" i="15" s="1"/>
  <c r="K17" i="15"/>
  <c r="AO17" i="15" s="1"/>
  <c r="J17" i="15"/>
  <c r="AN17" i="15" s="1"/>
  <c r="R17" i="15"/>
  <c r="AV17" i="15" s="1"/>
  <c r="G17" i="15"/>
  <c r="AK17" i="15" s="1"/>
  <c r="I17" i="15"/>
  <c r="AM17" i="15" s="1"/>
  <c r="F17" i="15"/>
  <c r="AJ17" i="15" s="1"/>
  <c r="O17" i="15"/>
  <c r="AS17" i="15" s="1"/>
  <c r="Q17" i="15"/>
  <c r="AU17" i="15" s="1"/>
  <c r="L17" i="15"/>
  <c r="AP17" i="15" s="1"/>
  <c r="N17" i="15"/>
  <c r="AR17" i="15" s="1"/>
  <c r="E17" i="15"/>
  <c r="AI17" i="15" s="1"/>
  <c r="H17" i="15"/>
  <c r="AL17" i="15" s="1"/>
  <c r="M17" i="15"/>
  <c r="AQ17" i="15" s="1"/>
  <c r="R14" i="15"/>
  <c r="AV14" i="15" s="1"/>
  <c r="E14" i="15"/>
  <c r="AI14" i="15" s="1"/>
  <c r="M14" i="15"/>
  <c r="AQ14" i="15" s="1"/>
  <c r="F14" i="15"/>
  <c r="AJ14" i="15" s="1"/>
  <c r="J14" i="15"/>
  <c r="AN14" i="15" s="1"/>
  <c r="N14" i="15"/>
  <c r="AR14" i="15" s="1"/>
  <c r="G14" i="15"/>
  <c r="AK14" i="15" s="1"/>
  <c r="I14" i="15"/>
  <c r="AM14" i="15" s="1"/>
  <c r="O14" i="15"/>
  <c r="AS14" i="15" s="1"/>
  <c r="H14" i="15"/>
  <c r="AL14" i="15" s="1"/>
  <c r="Q14" i="15"/>
  <c r="AU14" i="15" s="1"/>
  <c r="P14" i="15"/>
  <c r="AT14" i="15" s="1"/>
  <c r="K14" i="15"/>
  <c r="AO14" i="15" s="1"/>
  <c r="L14" i="15"/>
  <c r="AP14" i="15" s="1"/>
  <c r="L15" i="15"/>
  <c r="AP15" i="15" s="1"/>
  <c r="I15" i="15"/>
  <c r="AM15" i="15" s="1"/>
  <c r="H15" i="15"/>
  <c r="AL15" i="15" s="1"/>
  <c r="P15" i="15"/>
  <c r="AT15" i="15" s="1"/>
  <c r="F15" i="15"/>
  <c r="AJ15" i="15" s="1"/>
  <c r="Q15" i="15"/>
  <c r="AU15" i="15" s="1"/>
  <c r="O15" i="15"/>
  <c r="AS15" i="15" s="1"/>
  <c r="N15" i="15"/>
  <c r="AR15" i="15" s="1"/>
  <c r="K15" i="15"/>
  <c r="AO15" i="15" s="1"/>
  <c r="J15" i="15"/>
  <c r="AN15" i="15" s="1"/>
  <c r="G15" i="15"/>
  <c r="AK15" i="15" s="1"/>
  <c r="E15" i="15"/>
  <c r="AI15" i="15" s="1"/>
  <c r="M15" i="15"/>
  <c r="AQ15" i="15" s="1"/>
  <c r="R15" i="15"/>
  <c r="AV15" i="15" s="1"/>
  <c r="P13" i="15"/>
  <c r="AT13" i="15" s="1"/>
  <c r="J13" i="15"/>
  <c r="AN13" i="15" s="1"/>
  <c r="K13" i="15"/>
  <c r="AO13" i="15" s="1"/>
  <c r="R13" i="15"/>
  <c r="AV13" i="15" s="1"/>
  <c r="I13" i="15"/>
  <c r="AM13" i="15" s="1"/>
  <c r="Q13" i="15"/>
  <c r="AU13" i="15" s="1"/>
  <c r="N13" i="15"/>
  <c r="AR13" i="15" s="1"/>
  <c r="L13" i="15"/>
  <c r="AP13" i="15" s="1"/>
  <c r="E13" i="15"/>
  <c r="AI13" i="15" s="1"/>
  <c r="G13" i="15"/>
  <c r="AK13" i="15" s="1"/>
  <c r="M13" i="15"/>
  <c r="AQ13" i="15" s="1"/>
  <c r="F13" i="15"/>
  <c r="AJ13" i="15" s="1"/>
  <c r="O13" i="15"/>
  <c r="AS13" i="15" s="1"/>
  <c r="H13" i="15"/>
  <c r="AL13" i="15" s="1"/>
  <c r="P10" i="15"/>
  <c r="AT10" i="15" s="1"/>
  <c r="J10" i="15"/>
  <c r="AN10" i="15" s="1"/>
  <c r="R10" i="15"/>
  <c r="AV10" i="15" s="1"/>
  <c r="K10" i="15"/>
  <c r="AO10" i="15" s="1"/>
  <c r="L10" i="15"/>
  <c r="AP10" i="15" s="1"/>
  <c r="H10" i="15"/>
  <c r="AL10" i="15" s="1"/>
  <c r="G10" i="15"/>
  <c r="AK10" i="15" s="1"/>
  <c r="O10" i="15"/>
  <c r="AS10" i="15" s="1"/>
  <c r="I10" i="15"/>
  <c r="AM10" i="15" s="1"/>
  <c r="E10" i="15"/>
  <c r="AI10" i="15" s="1"/>
  <c r="F10" i="15"/>
  <c r="AJ10" i="15" s="1"/>
  <c r="Q10" i="15"/>
  <c r="AU10" i="15" s="1"/>
  <c r="M10" i="15"/>
  <c r="AQ10" i="15" s="1"/>
  <c r="N10" i="15"/>
  <c r="AR10" i="15" s="1"/>
  <c r="L11" i="15"/>
  <c r="AP11" i="15" s="1"/>
  <c r="I11" i="15"/>
  <c r="AM11" i="15" s="1"/>
  <c r="R11" i="15"/>
  <c r="AV11" i="15" s="1"/>
  <c r="H11" i="15"/>
  <c r="AL11" i="15" s="1"/>
  <c r="P11" i="15"/>
  <c r="AT11" i="15" s="1"/>
  <c r="K11" i="15"/>
  <c r="AO11" i="15" s="1"/>
  <c r="J11" i="15"/>
  <c r="AN11" i="15" s="1"/>
  <c r="G11" i="15"/>
  <c r="AK11" i="15" s="1"/>
  <c r="F11" i="15"/>
  <c r="AJ11" i="15" s="1"/>
  <c r="Q11" i="15"/>
  <c r="AU11" i="15" s="1"/>
  <c r="O11" i="15"/>
  <c r="AS11" i="15" s="1"/>
  <c r="N11" i="15"/>
  <c r="AR11" i="15" s="1"/>
  <c r="E11" i="15"/>
  <c r="AI11" i="15" s="1"/>
  <c r="M11" i="15"/>
  <c r="AQ11" i="15" s="1"/>
  <c r="R39" i="15"/>
  <c r="AV39" i="15" s="1"/>
  <c r="M39" i="15"/>
  <c r="AQ39" i="15" s="1"/>
  <c r="E39" i="15"/>
  <c r="AI39" i="15" s="1"/>
  <c r="G39" i="15"/>
  <c r="AK39" i="15" s="1"/>
  <c r="L39" i="15"/>
  <c r="AP39" i="15" s="1"/>
  <c r="O39" i="15"/>
  <c r="AS39" i="15" s="1"/>
  <c r="I39" i="15"/>
  <c r="AM39" i="15" s="1"/>
  <c r="K39" i="15"/>
  <c r="AO39" i="15" s="1"/>
  <c r="F39" i="15"/>
  <c r="AJ39" i="15" s="1"/>
  <c r="H39" i="15"/>
  <c r="AL39" i="15" s="1"/>
  <c r="Q39" i="15"/>
  <c r="AU39" i="15" s="1"/>
  <c r="N39" i="15"/>
  <c r="AR39" i="15" s="1"/>
  <c r="P39" i="15"/>
  <c r="AT39" i="15" s="1"/>
  <c r="J39" i="15"/>
  <c r="AN39" i="15" s="1"/>
  <c r="N12" i="15"/>
  <c r="AR12" i="15" s="1"/>
  <c r="R12" i="15"/>
  <c r="AV12" i="15" s="1"/>
  <c r="Q12" i="15"/>
  <c r="AU12" i="15" s="1"/>
  <c r="J12" i="15"/>
  <c r="AN12" i="15" s="1"/>
  <c r="I12" i="15"/>
  <c r="AM12" i="15" s="1"/>
  <c r="H12" i="15"/>
  <c r="AL12" i="15" s="1"/>
  <c r="P12" i="15"/>
  <c r="AT12" i="15" s="1"/>
  <c r="O12" i="15"/>
  <c r="AS12" i="15" s="1"/>
  <c r="E12" i="15"/>
  <c r="AI12" i="15" s="1"/>
  <c r="M12" i="15"/>
  <c r="AQ12" i="15" s="1"/>
  <c r="K12" i="15"/>
  <c r="AO12" i="15" s="1"/>
  <c r="L12" i="15"/>
  <c r="AP12" i="15" s="1"/>
  <c r="F12" i="15"/>
  <c r="AJ12" i="15" s="1"/>
  <c r="G12" i="15"/>
  <c r="AK12" i="15" s="1"/>
  <c r="N16" i="15"/>
  <c r="AR16" i="15" s="1"/>
  <c r="R16" i="15"/>
  <c r="AV16" i="15" s="1"/>
  <c r="P16" i="15"/>
  <c r="AT16" i="15" s="1"/>
  <c r="Q16" i="15"/>
  <c r="AU16" i="15" s="1"/>
  <c r="K16" i="15"/>
  <c r="AO16" i="15" s="1"/>
  <c r="J16" i="15"/>
  <c r="AN16" i="15" s="1"/>
  <c r="I16" i="15"/>
  <c r="AM16" i="15" s="1"/>
  <c r="H16" i="15"/>
  <c r="AL16" i="15" s="1"/>
  <c r="F16" i="15"/>
  <c r="AJ16" i="15" s="1"/>
  <c r="E16" i="15"/>
  <c r="AI16" i="15" s="1"/>
  <c r="G16" i="15"/>
  <c r="AK16" i="15" s="1"/>
  <c r="M16" i="15"/>
  <c r="AQ16" i="15" s="1"/>
  <c r="O16" i="15"/>
  <c r="AS16" i="15" s="1"/>
  <c r="L16" i="15"/>
  <c r="AP16" i="15" s="1"/>
  <c r="N9" i="15"/>
  <c r="AR9" i="15" s="1"/>
  <c r="P9" i="15"/>
  <c r="AT9" i="15" s="1"/>
  <c r="J9" i="15"/>
  <c r="AN9" i="15" s="1"/>
  <c r="I9" i="15"/>
  <c r="AM9" i="15" s="1"/>
  <c r="H9" i="15"/>
  <c r="AL9" i="15" s="1"/>
  <c r="R9" i="15"/>
  <c r="AV9" i="15" s="1"/>
  <c r="Q9" i="15"/>
  <c r="AU9" i="15" s="1"/>
  <c r="G9" i="15"/>
  <c r="AK9" i="15" s="1"/>
  <c r="O9" i="15"/>
  <c r="AS9" i="15" s="1"/>
  <c r="L9" i="15"/>
  <c r="AP9" i="15" s="1"/>
  <c r="K9" i="15"/>
  <c r="AO9" i="15" s="1"/>
  <c r="M9" i="15"/>
  <c r="AQ9" i="15" s="1"/>
  <c r="E9" i="15"/>
  <c r="AI9" i="15" s="1"/>
  <c r="F9" i="15"/>
  <c r="AJ9" i="15" s="1"/>
  <c r="E35" i="14"/>
  <c r="E34" i="14"/>
  <c r="E33" i="14"/>
  <c r="E31" i="14"/>
  <c r="E30" i="14"/>
  <c r="E24" i="14"/>
  <c r="E23" i="14"/>
  <c r="E22" i="14"/>
  <c r="E20" i="14"/>
  <c r="E19" i="14"/>
  <c r="E13" i="14"/>
  <c r="E12" i="14"/>
  <c r="E11" i="14"/>
  <c r="E9" i="14"/>
  <c r="E8" i="14"/>
  <c r="AV129" i="15" l="1"/>
  <c r="AN129" i="15"/>
  <c r="AU129" i="15"/>
  <c r="AM129" i="15"/>
  <c r="AT129" i="15"/>
  <c r="AL129" i="15"/>
  <c r="AS129" i="15"/>
  <c r="AK129" i="15"/>
  <c r="AR129" i="15"/>
  <c r="AJ129" i="15"/>
  <c r="AQ129" i="15"/>
  <c r="AI129" i="15"/>
  <c r="AH129" i="15"/>
  <c r="AP129" i="15"/>
  <c r="AO129" i="15"/>
  <c r="AO122" i="15"/>
  <c r="AV122" i="15"/>
  <c r="AN122" i="15"/>
  <c r="AU122" i="15"/>
  <c r="AM122" i="15"/>
  <c r="AT122" i="15"/>
  <c r="AL122" i="15"/>
  <c r="AS122" i="15"/>
  <c r="AK122" i="15"/>
  <c r="AR122" i="15"/>
  <c r="AJ122" i="15"/>
  <c r="AP122" i="15"/>
  <c r="AQ122" i="15"/>
  <c r="AI122" i="15"/>
  <c r="AH122" i="15"/>
  <c r="AS230" i="15"/>
  <c r="AK230" i="15"/>
  <c r="AR230" i="15"/>
  <c r="AJ230" i="15"/>
  <c r="AQ230" i="15"/>
  <c r="AI230" i="15"/>
  <c r="AP230" i="15"/>
  <c r="AH230" i="15"/>
  <c r="AO230" i="15"/>
  <c r="AV230" i="15"/>
  <c r="AN230" i="15"/>
  <c r="AU230" i="15"/>
  <c r="AM230" i="15"/>
  <c r="AT230" i="15"/>
  <c r="AL230" i="15"/>
  <c r="AO130" i="15"/>
  <c r="AV130" i="15"/>
  <c r="AN130" i="15"/>
  <c r="AU130" i="15"/>
  <c r="AM130" i="15"/>
  <c r="AT130" i="15"/>
  <c r="AL130" i="15"/>
  <c r="AS130" i="15"/>
  <c r="AK130" i="15"/>
  <c r="AR130" i="15"/>
  <c r="AJ130" i="15"/>
  <c r="AQ130" i="15"/>
  <c r="AP130" i="15"/>
  <c r="AI130" i="15"/>
  <c r="AH130" i="15"/>
  <c r="AR125" i="15"/>
  <c r="AJ125" i="15"/>
  <c r="AQ125" i="15"/>
  <c r="AI125" i="15"/>
  <c r="AP125" i="15"/>
  <c r="AH125" i="15"/>
  <c r="AO125" i="15"/>
  <c r="AV125" i="15"/>
  <c r="AN125" i="15"/>
  <c r="AU125" i="15"/>
  <c r="AM125" i="15"/>
  <c r="AT125" i="15"/>
  <c r="AS125" i="15"/>
  <c r="AL125" i="15"/>
  <c r="AK125" i="15"/>
  <c r="AP131" i="15"/>
  <c r="AH131" i="15"/>
  <c r="AO131" i="15"/>
  <c r="AV131" i="15"/>
  <c r="AN131" i="15"/>
  <c r="AU131" i="15"/>
  <c r="AM131" i="15"/>
  <c r="AT131" i="15"/>
  <c r="AL131" i="15"/>
  <c r="AS131" i="15"/>
  <c r="AK131" i="15"/>
  <c r="AI131" i="15"/>
  <c r="AJ131" i="15"/>
  <c r="AR131" i="15"/>
  <c r="AQ131" i="15"/>
  <c r="AU192" i="15"/>
  <c r="AM192" i="15"/>
  <c r="AT192" i="15"/>
  <c r="AL192" i="15"/>
  <c r="AS192" i="15"/>
  <c r="AK192" i="15"/>
  <c r="AR192" i="15"/>
  <c r="AJ192" i="15"/>
  <c r="AQ192" i="15"/>
  <c r="AI192" i="15"/>
  <c r="AP192" i="15"/>
  <c r="AH192" i="15"/>
  <c r="AO192" i="15"/>
  <c r="AV192" i="15"/>
  <c r="AN192" i="15"/>
  <c r="AV153" i="15"/>
  <c r="AN153" i="15"/>
  <c r="AU153" i="15"/>
  <c r="AM153" i="15"/>
  <c r="AS153" i="15"/>
  <c r="AK153" i="15"/>
  <c r="AR153" i="15"/>
  <c r="AJ153" i="15"/>
  <c r="AP153" i="15"/>
  <c r="AO153" i="15"/>
  <c r="AL153" i="15"/>
  <c r="AI153" i="15"/>
  <c r="AH153" i="15"/>
  <c r="AT153" i="15"/>
  <c r="AQ153" i="15"/>
  <c r="AS126" i="15"/>
  <c r="AK126" i="15"/>
  <c r="AR126" i="15"/>
  <c r="AJ126" i="15"/>
  <c r="AQ126" i="15"/>
  <c r="AI126" i="15"/>
  <c r="AP126" i="15"/>
  <c r="AH126" i="15"/>
  <c r="AO126" i="15"/>
  <c r="AV126" i="15"/>
  <c r="AN126" i="15"/>
  <c r="AT126" i="15"/>
  <c r="AM126" i="15"/>
  <c r="AL126" i="15"/>
  <c r="AU126" i="15"/>
  <c r="AT127" i="15"/>
  <c r="AL127" i="15"/>
  <c r="AS127" i="15"/>
  <c r="AK127" i="15"/>
  <c r="AR127" i="15"/>
  <c r="AJ127" i="15"/>
  <c r="AQ127" i="15"/>
  <c r="AI127" i="15"/>
  <c r="AP127" i="15"/>
  <c r="AH127" i="15"/>
  <c r="AO127" i="15"/>
  <c r="AV127" i="15"/>
  <c r="AU127" i="15"/>
  <c r="AN127" i="15"/>
  <c r="AM127" i="15"/>
  <c r="AQ268" i="15"/>
  <c r="AI268" i="15"/>
  <c r="AP268" i="15"/>
  <c r="AH268" i="15"/>
  <c r="AO268" i="15"/>
  <c r="AV268" i="15"/>
  <c r="AN268" i="15"/>
  <c r="AU268" i="15"/>
  <c r="AM268" i="15"/>
  <c r="AT268" i="15"/>
  <c r="AL268" i="15"/>
  <c r="AS268" i="15"/>
  <c r="AK268" i="15"/>
  <c r="AR268" i="15"/>
  <c r="AJ268" i="15"/>
  <c r="AU116" i="15"/>
  <c r="AM116" i="15"/>
  <c r="AT116" i="15"/>
  <c r="AL116" i="15"/>
  <c r="AS116" i="15"/>
  <c r="AK116" i="15"/>
  <c r="AR116" i="15"/>
  <c r="AJ116" i="15"/>
  <c r="AQ116" i="15"/>
  <c r="AI116" i="15"/>
  <c r="AP116" i="15"/>
  <c r="AH116" i="15"/>
  <c r="AN116" i="15"/>
  <c r="AO116" i="15"/>
  <c r="AV116" i="15"/>
  <c r="AU128" i="15"/>
  <c r="AM128" i="15"/>
  <c r="AT128" i="15"/>
  <c r="AL128" i="15"/>
  <c r="AS128" i="15"/>
  <c r="AK128" i="15"/>
  <c r="AR128" i="15"/>
  <c r="AJ128" i="15"/>
  <c r="AQ128" i="15"/>
  <c r="AI128" i="15"/>
  <c r="AP128" i="15"/>
  <c r="AH128" i="15"/>
  <c r="AV128" i="15"/>
  <c r="AO128" i="15"/>
  <c r="AN128" i="15"/>
  <c r="AQ124" i="15"/>
  <c r="AI124" i="15"/>
  <c r="AP124" i="15"/>
  <c r="AH124" i="15"/>
  <c r="AO124" i="15"/>
  <c r="AV124" i="15"/>
  <c r="AN124" i="15"/>
  <c r="AU124" i="15"/>
  <c r="AM124" i="15"/>
  <c r="AT124" i="15"/>
  <c r="AL124" i="15"/>
  <c r="AR124" i="15"/>
  <c r="AK124" i="15"/>
  <c r="AS124" i="15"/>
  <c r="AJ124" i="15"/>
  <c r="O54" i="14"/>
  <c r="O95" i="14"/>
  <c r="E122" i="14"/>
  <c r="E125" i="14"/>
  <c r="J54" i="14"/>
  <c r="E114" i="14"/>
  <c r="J65" i="14"/>
  <c r="O92" i="14"/>
  <c r="O96" i="14"/>
  <c r="O65" i="14"/>
  <c r="J62" i="14"/>
  <c r="J66" i="14"/>
  <c r="E126" i="14"/>
  <c r="O62" i="14"/>
  <c r="O66" i="14"/>
  <c r="D78" i="15"/>
  <c r="D8" i="15"/>
  <c r="O84" i="14"/>
  <c r="E32" i="14"/>
  <c r="E29" i="14"/>
  <c r="E21" i="14"/>
  <c r="E18" i="14"/>
  <c r="C41" i="14"/>
  <c r="E41" i="14" s="1"/>
  <c r="N78" i="15" l="1"/>
  <c r="AR78" i="15" s="1"/>
  <c r="F78" i="15"/>
  <c r="F79" i="15" s="1"/>
  <c r="M78" i="15"/>
  <c r="M79" i="15" s="1"/>
  <c r="E78" i="15"/>
  <c r="E79" i="15" s="1"/>
  <c r="L78" i="15"/>
  <c r="L79" i="15" s="1"/>
  <c r="K78" i="15"/>
  <c r="AO78" i="15" s="1"/>
  <c r="R78" i="15"/>
  <c r="AV78" i="15" s="1"/>
  <c r="J78" i="15"/>
  <c r="J79" i="15" s="1"/>
  <c r="Q78" i="15"/>
  <c r="AU78" i="15" s="1"/>
  <c r="I78" i="15"/>
  <c r="I79" i="15" s="1"/>
  <c r="P78" i="15"/>
  <c r="AT78" i="15" s="1"/>
  <c r="H78" i="15"/>
  <c r="H79" i="15" s="1"/>
  <c r="O78" i="15"/>
  <c r="AS78" i="15" s="1"/>
  <c r="G78" i="15"/>
  <c r="G79" i="15" s="1"/>
  <c r="AO154" i="15"/>
  <c r="AV154" i="15"/>
  <c r="AN154" i="15"/>
  <c r="AT154" i="15"/>
  <c r="AL154" i="15"/>
  <c r="AS154" i="15"/>
  <c r="AK154" i="15"/>
  <c r="AQ154" i="15"/>
  <c r="AP154" i="15"/>
  <c r="AM154" i="15"/>
  <c r="AJ154" i="15"/>
  <c r="AI154" i="15"/>
  <c r="AH154" i="15"/>
  <c r="AU154" i="15"/>
  <c r="AR154" i="15"/>
  <c r="D79" i="15"/>
  <c r="AH78" i="15"/>
  <c r="AV193" i="15"/>
  <c r="AN193" i="15"/>
  <c r="AU193" i="15"/>
  <c r="AM193" i="15"/>
  <c r="AT193" i="15"/>
  <c r="AL193" i="15"/>
  <c r="AS193" i="15"/>
  <c r="AK193" i="15"/>
  <c r="AR193" i="15"/>
  <c r="AJ193" i="15"/>
  <c r="AQ193" i="15"/>
  <c r="AI193" i="15"/>
  <c r="AP193" i="15"/>
  <c r="AH193" i="15"/>
  <c r="AO193" i="15"/>
  <c r="AR269" i="15"/>
  <c r="AJ269" i="15"/>
  <c r="AQ269" i="15"/>
  <c r="AI269" i="15"/>
  <c r="AP269" i="15"/>
  <c r="AH269" i="15"/>
  <c r="AO269" i="15"/>
  <c r="AV269" i="15"/>
  <c r="AN269" i="15"/>
  <c r="AU269" i="15"/>
  <c r="AM269" i="15"/>
  <c r="AT269" i="15"/>
  <c r="AL269" i="15"/>
  <c r="AS269" i="15"/>
  <c r="AK269" i="15"/>
  <c r="AH8" i="15"/>
  <c r="AT231" i="15"/>
  <c r="AL231" i="15"/>
  <c r="AS231" i="15"/>
  <c r="AK231" i="15"/>
  <c r="AR231" i="15"/>
  <c r="AJ231" i="15"/>
  <c r="AQ231" i="15"/>
  <c r="AI231" i="15"/>
  <c r="AP231" i="15"/>
  <c r="AH231" i="15"/>
  <c r="AO231" i="15"/>
  <c r="AV231" i="15"/>
  <c r="AN231" i="15"/>
  <c r="AU231" i="15"/>
  <c r="AM231" i="15"/>
  <c r="AV117" i="15"/>
  <c r="AN117" i="15"/>
  <c r="AU117" i="15"/>
  <c r="AM117" i="15"/>
  <c r="AT117" i="15"/>
  <c r="AL117" i="15"/>
  <c r="AS117" i="15"/>
  <c r="AK117" i="15"/>
  <c r="AR117" i="15"/>
  <c r="AJ117" i="15"/>
  <c r="AQ117" i="15"/>
  <c r="AI117" i="15"/>
  <c r="AP117" i="15"/>
  <c r="AO117" i="15"/>
  <c r="AH117" i="15"/>
  <c r="E25" i="14"/>
  <c r="E36" i="14"/>
  <c r="C60" i="14"/>
  <c r="E60" i="14" s="1"/>
  <c r="C61" i="14"/>
  <c r="E61" i="14" s="1"/>
  <c r="D40" i="15"/>
  <c r="Q8" i="15"/>
  <c r="AU8" i="15" s="1"/>
  <c r="I8" i="15"/>
  <c r="AM8" i="15" s="1"/>
  <c r="P8" i="15"/>
  <c r="AT8" i="15" s="1"/>
  <c r="H8" i="15"/>
  <c r="AL8" i="15" s="1"/>
  <c r="O8" i="15"/>
  <c r="AS8" i="15" s="1"/>
  <c r="G8" i="15"/>
  <c r="AK8" i="15" s="1"/>
  <c r="N8" i="15"/>
  <c r="AR8" i="15" s="1"/>
  <c r="F8" i="15"/>
  <c r="AJ8" i="15" s="1"/>
  <c r="M8" i="15"/>
  <c r="AQ8" i="15" s="1"/>
  <c r="E8" i="15"/>
  <c r="AI8" i="15" s="1"/>
  <c r="L8" i="15"/>
  <c r="AP8" i="15" s="1"/>
  <c r="K8" i="15"/>
  <c r="AO8" i="15" s="1"/>
  <c r="R8" i="15"/>
  <c r="AV8" i="15" s="1"/>
  <c r="J8" i="15"/>
  <c r="AN8" i="15" s="1"/>
  <c r="C49" i="14"/>
  <c r="E49" i="14" s="1"/>
  <c r="E92" i="14"/>
  <c r="E96" i="14"/>
  <c r="C51" i="14"/>
  <c r="E51" i="14" s="1"/>
  <c r="C57" i="14"/>
  <c r="E57" i="14" s="1"/>
  <c r="C52" i="14"/>
  <c r="E52" i="14" s="1"/>
  <c r="C58" i="14"/>
  <c r="E58" i="14" s="1"/>
  <c r="C45" i="14"/>
  <c r="E45" i="14" s="1"/>
  <c r="C42" i="14"/>
  <c r="E42" i="14" s="1"/>
  <c r="C46" i="14"/>
  <c r="E46" i="14" s="1"/>
  <c r="C56" i="14"/>
  <c r="E56" i="14" s="1"/>
  <c r="C59" i="14"/>
  <c r="E59" i="14" s="1"/>
  <c r="C43" i="14"/>
  <c r="E43" i="14" s="1"/>
  <c r="E84" i="14"/>
  <c r="C44" i="14"/>
  <c r="E44" i="14" s="1"/>
  <c r="C55" i="14"/>
  <c r="E55" i="14" s="1"/>
  <c r="C48" i="14"/>
  <c r="E48" i="14" s="1"/>
  <c r="C47" i="14"/>
  <c r="E47" i="14" s="1"/>
  <c r="E95" i="14"/>
  <c r="C53" i="14"/>
  <c r="E53" i="14" s="1"/>
  <c r="C66" i="14"/>
  <c r="E66" i="14" s="1"/>
  <c r="C50" i="14"/>
  <c r="E50" i="14" s="1"/>
  <c r="C63" i="14"/>
  <c r="E63" i="14" s="1"/>
  <c r="C54" i="14"/>
  <c r="E54" i="14" s="1"/>
  <c r="C65" i="14"/>
  <c r="E65" i="14" s="1"/>
  <c r="C64" i="14"/>
  <c r="E64" i="14" s="1"/>
  <c r="C62" i="14"/>
  <c r="E62" i="14" s="1"/>
  <c r="AJ78" i="15" l="1"/>
  <c r="AQ78" i="15"/>
  <c r="AI78" i="15"/>
  <c r="AL78" i="15"/>
  <c r="AP78" i="15"/>
  <c r="AN78" i="15"/>
  <c r="AK78" i="15"/>
  <c r="AM78" i="15"/>
  <c r="P79" i="15"/>
  <c r="AT79" i="15" s="1"/>
  <c r="N79" i="15"/>
  <c r="AR79" i="15" s="1"/>
  <c r="K79" i="15"/>
  <c r="AO79" i="15" s="1"/>
  <c r="O79" i="15"/>
  <c r="AS79" i="15" s="1"/>
  <c r="R79" i="15"/>
  <c r="AV79" i="15" s="1"/>
  <c r="Q79" i="15"/>
  <c r="AU79" i="15" s="1"/>
  <c r="AH40" i="15"/>
  <c r="AP155" i="15"/>
  <c r="AH155" i="15"/>
  <c r="AO155" i="15"/>
  <c r="AU155" i="15"/>
  <c r="AM155" i="15"/>
  <c r="AT155" i="15"/>
  <c r="AL155" i="15"/>
  <c r="AR155" i="15"/>
  <c r="AS155" i="15"/>
  <c r="AQ155" i="15"/>
  <c r="AN155" i="15"/>
  <c r="AK155" i="15"/>
  <c r="AJ155" i="15"/>
  <c r="AI155" i="15"/>
  <c r="AV155" i="15"/>
  <c r="AP79" i="15"/>
  <c r="AH79" i="15"/>
  <c r="AM79" i="15"/>
  <c r="AL79" i="15"/>
  <c r="AQ79" i="15"/>
  <c r="AN79" i="15"/>
  <c r="AK79" i="15"/>
  <c r="AJ79" i="15"/>
  <c r="AI79" i="15"/>
  <c r="Q40" i="15"/>
  <c r="AU40" i="15" s="1"/>
  <c r="I40" i="15"/>
  <c r="AM40" i="15" s="1"/>
  <c r="P40" i="15"/>
  <c r="AT40" i="15" s="1"/>
  <c r="H40" i="15"/>
  <c r="AL40" i="15" s="1"/>
  <c r="N40" i="15"/>
  <c r="AR40" i="15" s="1"/>
  <c r="F40" i="15"/>
  <c r="AJ40" i="15" s="1"/>
  <c r="G40" i="15"/>
  <c r="AK40" i="15" s="1"/>
  <c r="E40" i="15"/>
  <c r="AI40" i="15" s="1"/>
  <c r="R40" i="15"/>
  <c r="AV40" i="15" s="1"/>
  <c r="O40" i="15"/>
  <c r="AS40" i="15" s="1"/>
  <c r="M40" i="15"/>
  <c r="AQ40" i="15" s="1"/>
  <c r="L40" i="15"/>
  <c r="AP40" i="15" s="1"/>
  <c r="K40" i="15"/>
  <c r="AO40" i="15" s="1"/>
  <c r="D41" i="15"/>
  <c r="J40" i="15"/>
  <c r="AN40" i="15" s="1"/>
  <c r="AH41" i="15" l="1"/>
  <c r="K41" i="15"/>
  <c r="AO41" i="15" s="1"/>
  <c r="R41" i="15"/>
  <c r="AV41" i="15" s="1"/>
  <c r="J41" i="15"/>
  <c r="AN41" i="15" s="1"/>
  <c r="P41" i="15"/>
  <c r="AT41" i="15" s="1"/>
  <c r="H41" i="15"/>
  <c r="AL41" i="15" s="1"/>
  <c r="F41" i="15"/>
  <c r="AJ41" i="15" s="1"/>
  <c r="Q41" i="15"/>
  <c r="AU41" i="15" s="1"/>
  <c r="E41" i="15"/>
  <c r="AI41" i="15" s="1"/>
  <c r="O41" i="15"/>
  <c r="AS41" i="15" s="1"/>
  <c r="N41" i="15"/>
  <c r="AR41" i="15" s="1"/>
  <c r="M41" i="15"/>
  <c r="AQ41" i="15" s="1"/>
  <c r="L41" i="15"/>
  <c r="AP41" i="15" s="1"/>
  <c r="I41" i="15"/>
  <c r="AM41" i="15" s="1"/>
  <c r="G41" i="15"/>
  <c r="AK41" i="15" s="1"/>
  <c r="H20" i="14" l="1"/>
  <c r="J20" i="14" s="1"/>
  <c r="H31" i="14"/>
  <c r="J31" i="14" s="1"/>
  <c r="H19" i="14"/>
  <c r="J19" i="14" s="1"/>
  <c r="H30" i="14"/>
  <c r="J30" i="14" s="1"/>
  <c r="H22" i="14"/>
  <c r="J22" i="14" s="1"/>
  <c r="H33" i="14"/>
  <c r="J33" i="14" s="1"/>
  <c r="H23" i="14"/>
  <c r="J23" i="14" s="1"/>
  <c r="H34" i="14"/>
  <c r="J34" i="14" s="1"/>
  <c r="H24" i="14"/>
  <c r="J24" i="14" s="1"/>
  <c r="H35" i="14"/>
  <c r="J35" i="14" s="1"/>
  <c r="E10" i="14"/>
  <c r="E14" i="14" l="1"/>
  <c r="E7" i="14"/>
  <c r="H21" i="14"/>
  <c r="J21" i="14" s="1"/>
  <c r="H32" i="14"/>
  <c r="J32" i="14" s="1"/>
  <c r="H18" i="14"/>
  <c r="J18" i="14" s="1"/>
  <c r="H29" i="14"/>
  <c r="J29" i="14" s="1"/>
  <c r="H25" i="14" l="1"/>
  <c r="J25" i="14" s="1"/>
  <c r="H36" i="14"/>
  <c r="J36" i="14" s="1"/>
</calcChain>
</file>

<file path=xl/sharedStrings.xml><?xml version="1.0" encoding="utf-8"?>
<sst xmlns="http://schemas.openxmlformats.org/spreadsheetml/2006/main" count="1782" uniqueCount="503">
  <si>
    <t>This workbook contains the following tabs:</t>
  </si>
  <si>
    <t>Tab Name</t>
  </si>
  <si>
    <t>Required Data Entry?</t>
  </si>
  <si>
    <t>Tab Purpose</t>
  </si>
  <si>
    <t>Reference Tables</t>
  </si>
  <si>
    <t>No</t>
  </si>
  <si>
    <t>Definitions</t>
  </si>
  <si>
    <t>Yes</t>
  </si>
  <si>
    <t>Line of Business Enrollment</t>
  </si>
  <si>
    <t>Mandatory Questions</t>
  </si>
  <si>
    <t>Insurers must answer questions on their data submission to ensure the submission aligns with the specifications outlined in the Implementation Manual.</t>
  </si>
  <si>
    <t>Validation by Market</t>
  </si>
  <si>
    <t>Validation by Provider</t>
  </si>
  <si>
    <t>Data Validation</t>
  </si>
  <si>
    <t>Insurer TME Data Specifications
Reference Tables</t>
  </si>
  <si>
    <t>Insurers' TME Filing Schedule Date</t>
  </si>
  <si>
    <t>Files Due</t>
  </si>
  <si>
    <t>CY 2018 and CY 2019 TME</t>
  </si>
  <si>
    <t>CY 2019, CY 2020 and CY 2021 TME</t>
  </si>
  <si>
    <t>CY 2021 and CY 2022 TME</t>
  </si>
  <si>
    <t>CY 2022 and CY 2023 TME</t>
  </si>
  <si>
    <t>CY 2023 and CY 2024 TME</t>
  </si>
  <si>
    <t>CY 2024 and CY 2025 TME</t>
  </si>
  <si>
    <t>Advanced Network/Insurer Carrier Org ID</t>
  </si>
  <si>
    <t>Advanced Network/Insurance Carrier Overall</t>
  </si>
  <si>
    <t>Insurance Carrier Overall</t>
  </si>
  <si>
    <t>Connecticut State Medical Society IPA</t>
  </si>
  <si>
    <t>Integrated Care Partners</t>
  </si>
  <si>
    <t>NA</t>
  </si>
  <si>
    <t>Northeast Medical Group</t>
  </si>
  <si>
    <t>Prospect Connecticut Medical Foundation Inc. (dba Prospect Medical, Prospect Health Services, Prospect Holdings)</t>
  </si>
  <si>
    <t>Southern New England Health Care Organization (aka SOHO Health, Trinity Health of New England ACO, LLC)</t>
  </si>
  <si>
    <t>Value Care Alliance</t>
  </si>
  <si>
    <t>Charter Oak Health Center</t>
  </si>
  <si>
    <t>CIFC Greater Danbury Community Health Center</t>
  </si>
  <si>
    <t>Community Health and Wellness Center of Greater Torrington</t>
  </si>
  <si>
    <t>Community Health Center</t>
  </si>
  <si>
    <t>Community Health Services</t>
  </si>
  <si>
    <t>Cornell Scott Hill Health Center</t>
  </si>
  <si>
    <t>Fair Haven Community Health Center</t>
  </si>
  <si>
    <t>Family Centers</t>
  </si>
  <si>
    <t>First Choice Community Health Centers</t>
  </si>
  <si>
    <t>Generations Family Health Center</t>
  </si>
  <si>
    <t>Norwalk Community Health Center</t>
  </si>
  <si>
    <t>Optimus Health Care, Inc.</t>
  </si>
  <si>
    <t>Southwest Community Health Center, Inc.</t>
  </si>
  <si>
    <t>Starling Physicians</t>
  </si>
  <si>
    <t>UConn Medical Group</t>
  </si>
  <si>
    <t>United Community and Family Services</t>
  </si>
  <si>
    <t>Wheeler Clinic</t>
  </si>
  <si>
    <t>Yale Medicine</t>
  </si>
  <si>
    <t>Members Not Attributed to an Advanced Network</t>
  </si>
  <si>
    <t>Insurance Carrier Organizational ID</t>
  </si>
  <si>
    <t>Insurer</t>
  </si>
  <si>
    <t>Aetna Health &amp; Life</t>
  </si>
  <si>
    <t>Anthem</t>
  </si>
  <si>
    <t>Cigna</t>
  </si>
  <si>
    <t>ConnectiCare</t>
  </si>
  <si>
    <t>UnitedHealthcare</t>
  </si>
  <si>
    <t>Connecticut Office of the State Comptroller (OSC)</t>
  </si>
  <si>
    <t>Wellcare</t>
  </si>
  <si>
    <t>Insurance Category Code</t>
  </si>
  <si>
    <t>Definition</t>
  </si>
  <si>
    <t>Medicare Managed Care (excluding Medicare/Medicaid Dual Eligibles)</t>
  </si>
  <si>
    <t>Medicaid including CHIP (excluding Medicare/Medicaid Dual Eligibles)</t>
  </si>
  <si>
    <t>Commercial - Full Claims</t>
  </si>
  <si>
    <t>Commercial - Partial Claims</t>
  </si>
  <si>
    <t>Medicare Expenditures for Medicare/Medicaid Dual Eligibles</t>
  </si>
  <si>
    <t>Medicaid Expenditures for Medicare/Medicaid Dual Eligibles</t>
  </si>
  <si>
    <t>Other</t>
  </si>
  <si>
    <t>Line of Business Enrollment Category Code</t>
  </si>
  <si>
    <t>Individual</t>
  </si>
  <si>
    <t>Large group, fully insured</t>
  </si>
  <si>
    <t>Small group, fully insured</t>
  </si>
  <si>
    <t>Self-insured</t>
  </si>
  <si>
    <t>Student Market</t>
  </si>
  <si>
    <t>Medicare Managed Care</t>
  </si>
  <si>
    <t>Medicaid/CHIP Managed Care</t>
  </si>
  <si>
    <t>Medicare/Medicaid Duals</t>
  </si>
  <si>
    <t>Market Code</t>
  </si>
  <si>
    <t>Medicare (Insurance Category Codes 1 and 5)</t>
  </si>
  <si>
    <t>Medicaid (Insurance Category Codes 2 and 6)</t>
  </si>
  <si>
    <t>Commercial (Insurance Category Codes 3 and 4)</t>
  </si>
  <si>
    <t>Age Band Code</t>
  </si>
  <si>
    <t>0 to 1 year old</t>
  </si>
  <si>
    <t>2 to 18 years old</t>
  </si>
  <si>
    <t>19 to 39 years old</t>
  </si>
  <si>
    <t>40 to 54 years old</t>
  </si>
  <si>
    <t>55 to 64 years old</t>
  </si>
  <si>
    <t>65 to 74 years old</t>
  </si>
  <si>
    <t>75 to 84 years old</t>
  </si>
  <si>
    <t>85 + years old</t>
  </si>
  <si>
    <t>Sex Code</t>
  </si>
  <si>
    <t>Female</t>
  </si>
  <si>
    <t>Male</t>
  </si>
  <si>
    <t>Advanced Network Tab</t>
  </si>
  <si>
    <t>Term</t>
  </si>
  <si>
    <t>Advanced Network/Carrier Overall ID</t>
  </si>
  <si>
    <t>Member Months (annual)</t>
  </si>
  <si>
    <t>The number of unique members participating in a plan each month with at least a medical benefit, regardless of whether the member has any paid claims. Member months should be calculated by taking the number of members with a medical benefit and multiplying that sum by the number of months in the member’s policy.</t>
  </si>
  <si>
    <t>Clinical Risk Score</t>
  </si>
  <si>
    <t>A value that measures a member’s illness burden and predicted resource use based on differences in patient characteristics or other risk factors. Insurance carriers must disclose the clinical risk adjustment tool, version number and underlying methodology in the Header Record File. While this information will not be used to adjust payer data, OHS will still collect this information to compare results of payer-reported risk-adjustment with the new methodology to use age/sex factors first applied by CY 2019, CY 2020 and CY 2021 data.</t>
  </si>
  <si>
    <t>Claims: Hospital Inpatient</t>
  </si>
  <si>
    <t>The TME paid to hospitals for inpatient services generated from claims. Includes all room and board and ancillary payments. Includes all hospital types. Includes payments for emergency room services when the member is admitted to the hospital, in accordance with the specific payer’s payment rules. Does not include payments made for observation services. Does not include payments made for physician services provided during an inpatient stay that have been billed directly by a physician group practice or an individual physician. Does not include inpatient services at non-hospital facilities.</t>
  </si>
  <si>
    <t>Claims: Hospital Outpatient</t>
  </si>
  <si>
    <t>The TME paid to hospitals for outpatient services generated from claims. Includes all hospital types and includes payments made for hospital-licensed satellite clinics. Includes emergency room services not resulting in admittance. Includes observation services. Does not include payments made for physician services provided on an outpatient basis that have been billed directly by a physician group practice or an individual physician.</t>
  </si>
  <si>
    <t>Claims: Professional, Primary Care</t>
  </si>
  <si>
    <t>Claims: Professional, Primary Care (for Monitoring Purposes)</t>
  </si>
  <si>
    <t>Claims: Professional, Specialty</t>
  </si>
  <si>
    <t>Claims: Professional Other</t>
  </si>
  <si>
    <t>The TME paid from claims to healthcare providers for services provided by a licensed practitioner other than a physician but is not identified as primary care in the first primary care definition above. This includes, but is not limited to, licensed podiatrists, non-primary care nurse practitioners, non-primary care physician assistants, physical therapists, occupational therapists, speech therapists, psychologists, licensed clinical social workers, counselors, dieticians, dentists, chiropractors and any professional fees that do not fit other categories.</t>
  </si>
  <si>
    <t>Claims: Pharmacy</t>
  </si>
  <si>
    <t>The TME paid from claims to healthcare providers for prescription drugs, biological products or vaccines as defined by the insurance carrier’s prescription drug benefit. This category should not include claims paid for pharmaceuticals under the carrier’s medical benefit. Pharmacy spending provided under the medical benefit should be attributed to the location in which it was delivered (e.g., pharmaceuticals delivered in a hospital inpatient setting should be attributed to Claims: Hospital Inpatient). Medicare managed care, i.e., Medicare Advantage, insurance carriers that offer stand-alone prescription drug plans (PDPs) should exclude stand-alone PDP data from their TME. Pharmacy data is to be reported gross of applicable rebates.</t>
  </si>
  <si>
    <t>Claims: Long-Term Care</t>
  </si>
  <si>
    <t>All TME data from claims to providers for: (1) nursing homes and skilled nursing facilities; (2) intermediate care facilities for individuals with intellectual disability (ICF/ID) and assisted living facilities; and (3) providers of home- and community-based services, including personal care (e.g., assistance with dressing, bathing, eating, etc.), homemaker and chore services, home-delivered meal programs, home health services, adult daycare, self-directed personal assistance services (e.g., assistance with grocery shopping, etc.), and programs designed to assist individuals with long-term care needs who receive care in their home and community, such as PACE and Money Follows the Person. Does not include payments made for professional services rendered during a facility stay that have been billed directly by a physician group practice or an individual practitioner.</t>
  </si>
  <si>
    <t>Claims: Other</t>
  </si>
  <si>
    <t>Non-Claims: Prospective Capitated, Prospective Global Budget, Prospective Case Rate, or Prospective Episode-Based Payments</t>
  </si>
  <si>
    <t xml:space="preserve">All non-claims based payments for services delivered under the following payment arrangements: (1) capitation payments, i.e., single payments to providers to provide healthcare services over a defined period of time; (2) global budget payments, i.e., prospective payments made to providers for a comprehensive set of services for a broadly defined population or a defined set of services where certain benefits (e.g., behavioral health, pharmacy) are carved out; (3) case rate payments, i.e., prospective payments made to providers in a given provider organization for a patient receiving a defined set of services for a specific period of time and (4) prospective episode-based payments, i.e., payments received by providers (which can span multiple provider organizations) for a patient receiving a defined set of services for a specific condition across a continuum of care, or care for a specific condition over a specific time period. </t>
  </si>
  <si>
    <t>Non-Claims: Performance Incentive Payments</t>
  </si>
  <si>
    <t>All payments to reward providers for achieving quality or cost-savings goals, or payments received by providers that may be reduced if costs exceed a defined pre-determined, risk-adjusted target. Includes pay-for-performance, i.e., payments to reward providers for achieving a set target, and pay-for-reporting, i.e., payments to providers for reporting on a set of metrics, usually to build capacity for pay-for-performance, payments. Includes shared savings distributions, i.e., payments received by providers if costs of services are below a set target, and shared risk recoupments, i.e., payments providers must recoup if costs of services are above a set target.</t>
  </si>
  <si>
    <t>Non-Claims: Payments to Support Population Health and Practice Infrastructure</t>
  </si>
  <si>
    <t>All payments made to develop provider capacity and practice infrastructure to help coordinate care, improve quality and control costs. Includes, but is not limited to payments that support care management, care coordination and population; data analytics; EHR/HIT infrastructure payments; medication reconciliation; patient-centered medical home (PCMH) recognition payments and primary care and behavioral health integration that are not reimbursable through claims.</t>
  </si>
  <si>
    <t>Non-Claims: Provider Salaries</t>
  </si>
  <si>
    <t>All payments for salaries of providers who provide healthcare services not otherwise included in other claims and non-claims categories. This category is typically only applicable to closed delivery systems.</t>
  </si>
  <si>
    <t>Non-Claims: Recovery</t>
  </si>
  <si>
    <t>All payments received from a provider, member/beneficiary or other payer, which were distributed by a payer and then later recouped due to a review, audit or investigation. This field should be reported as a negative number. Only report data in this category not otherwise included elsewhere (e.g., if Inpatient Hospital is reported net of Recovery, do not separately report the same Recovery amount in this category).</t>
  </si>
  <si>
    <t>Non-Claims: Other</t>
  </si>
  <si>
    <t>All other payments made pursuant to the insurer’s contract with a provider not made on the basis of a claim for healthcare benefits/services and cannot be properly classified elsewhere. This may include governmental payer shortfall payments, grants or other surplus payments. For CY 2020, this may also include supportive funds made to providers to support clinical and business operations during the global COVID 19 pandemic. Only payments made to providers are to be reported; insurer administrative expenditures (including corporate allocations) are not included in TME.</t>
  </si>
  <si>
    <t>Non-Claims: Total Primary Care Non-Claims-Based Payments</t>
  </si>
  <si>
    <t>All non-claims-based payments included in the above six categories that are specifically made to a primary care provider or provider organization. Payments in this category should be a sub-set of payments reported in the other non-claims categories. This category is the only category not mutually exclusive to the other non-claims categories.</t>
  </si>
  <si>
    <t>Total Claims Excluded because of Truncation</t>
  </si>
  <si>
    <t>The total claims-based spending truncated using the truncation points listed in the Implementation Manual. This variable is collected by Insurance Category Code for each Advanced Network and for the Carrier Overall. 
While OHS recognizes that some insurance carriers separately truncate medical and pharmacy spending in their total cost of care contracts, OHS requests that truncation be applied to individuals’ total spending, inclusive of all medical and pharmacy spending.
For insurance carriers reporting Insurance Category Code 4 spending (Commercial: Partial Claims), the member level truncation should be applied after estimates of carve-out spending have been made, so that truncation is being applied to an estimate of individual members’ total claims spending.</t>
  </si>
  <si>
    <t>Count of Members with Claims Truncated</t>
  </si>
  <si>
    <t xml:space="preserve">The number of members whose spending was above the truncation threshold applicable to the Insurance Category Code and Advanced Network to which the member was attributed. This variable is collected by Insurance Category Code for each Advanced Network and for the Carrier Overall. </t>
  </si>
  <si>
    <t>RX Rebates Tab</t>
  </si>
  <si>
    <t>A number that indicates the insurance category that pharmacy rebates are being reported on. Use the applicable Insurance Category Code as defined previously in the Advanced Network Record File (not all Insurance Category Codes may be applicable to pharmacy rebates).</t>
  </si>
  <si>
    <t>Retail Pharmacy Rebates</t>
  </si>
  <si>
    <t>Medical Pharmacy Rebates</t>
  </si>
  <si>
    <t>Line of Business Enrollment Tab</t>
  </si>
  <si>
    <t>Line of Business Category Code</t>
  </si>
  <si>
    <t>The number of members participating in a plan categorized by the insurance carrier as individual, large group – fully insured, small group – fully insured, self-insured, student market, Medicare managed care and Medicare/Medicaid duals. Carriers should not include Medigap members, but should include D-SNP members. Insurance carriers should report member months (see definition below) by line of business category listed in the References Tables tab.</t>
  </si>
  <si>
    <t>Income from Fees of Uninsured Plans</t>
  </si>
  <si>
    <t xml:space="preserve">OHS requests insurance carriers to report aggregate information on the premiums earned from their self-insured accounts (e.g., “fees from uninsured plans”). Carriers should follow the instructions for Part 1, Line 12 on the NAIC SCHE for their Connecticut-situs self-insured accounts. Carriers must report this for self-insured plans since this is not typically reported in the SHCE filed with the Connecticut Insurance Department. </t>
  </si>
  <si>
    <t>Standard Deviation Tab</t>
  </si>
  <si>
    <t>Total Truncated Spending</t>
  </si>
  <si>
    <t>The total claims-based spending after truncation attributed to each member participating in a plan each month with a medical benefit consistent with the general cost growth target specifications on how to calculate claims-based spending. The spending in these cells should be after member-level truncation is applied using the truncation points listed in the Implementation Manual. Do not include any non-claims spending categories.
Some insurers will attribute members to Advanced Networks on a monthly basis. If a member is attributed to more than one Advanced Network during the year, the payer should “reset the clock” by calculating total spending attributed to the Advanced Network for all Advanced Networks to which the member was reported and identify the total spending above the truncation point by each Advanced Network.
For insurers reporting in Insurance Category Code 4 (Partial Claims, Adjusted), the member level truncation should be applied after estimates of carve-out spending have been made, so that truncation is being applied to an estimate of individual members’ total claims spending.</t>
  </si>
  <si>
    <t>Standard Deviation of Claims Expenditures</t>
  </si>
  <si>
    <t xml:space="preserve">The calculated standard deviation for all members for the applicable market and Advanced Network, reported as a PMPM value. Insurance carriers should include all members attributed to an Advanced Network, including members with no utilization. Standard deviation should be based on per-member-per-month (PMPM) spending. Insurance carriers should calculate the standard deviation PMPM after partial claims adjustments. Non-claims expenditures should be excluded from the calculation. 
</t>
  </si>
  <si>
    <t>Age/Sex Factors Tab</t>
  </si>
  <si>
    <t>Sex Band Code</t>
  </si>
  <si>
    <t>Code associated with the sex of the members whose spending is being reported. See References Tables tab.</t>
  </si>
  <si>
    <t>Total Member Months by Age/Sex Band</t>
  </si>
  <si>
    <t>The number of unique Connecticut resident members for the age/sex cell participating in a plan each month with a medical benefit, regardless of whether the member has any paid claims. Member months should be calculated by summing the number of months each member was enrolled in a plan with a medical benefit for one calendar year. The age of the member should be determined as of January 1st of the calendar year.</t>
  </si>
  <si>
    <t>Total Spending before Truncation is Applied</t>
  </si>
  <si>
    <t>The annual total claims-based spending attributed to each member participating in a plan each month with a medical benefit consistent with aforementioned specifications on how to calculate claims-based spending. The spending in these cells should be before member-level truncation is applied. Do not include any non-claims spending categories.</t>
  </si>
  <si>
    <t>Count of Members whose Spending was Truncated</t>
  </si>
  <si>
    <t xml:space="preserve">The number of members whose spending was above the truncation threshold applicable to the Insurance Category Code and Advanced Network to which the member was attributed. This variable is collected by Insurance Category Code for each Advanced Network. </t>
  </si>
  <si>
    <t>Total Spending After Applying Truncation at the Member Level</t>
  </si>
  <si>
    <t>Total Spending Excluded from Spending After Applying Truncation at the Member Level</t>
  </si>
  <si>
    <t>The sum of all dollars that were removed from total spending after applying truncation at the member level.</t>
  </si>
  <si>
    <t>Connecticut</t>
  </si>
  <si>
    <t>Black = Payer-reported data </t>
  </si>
  <si>
    <t>HD001</t>
  </si>
  <si>
    <t>HD002</t>
  </si>
  <si>
    <t>HD003</t>
  </si>
  <si>
    <t>HD004</t>
  </si>
  <si>
    <t>HD005</t>
  </si>
  <si>
    <t>HD006</t>
  </si>
  <si>
    <t>HD007</t>
  </si>
  <si>
    <t>Insurer Carrier Org ID</t>
  </si>
  <si>
    <t>Period Beginning Date</t>
  </si>
  <si>
    <t>Period Ending Date</t>
  </si>
  <si>
    <t>Insurer Comments</t>
  </si>
  <si>
    <t>Clinical Risk Adjustment Tool</t>
  </si>
  <si>
    <t>Clinical Risk Adjustment Version</t>
  </si>
  <si>
    <t>"Doing Business As"</t>
  </si>
  <si>
    <t>Header Record Template - 2022</t>
  </si>
  <si>
    <t>Check for Member Months</t>
  </si>
  <si>
    <t>Check for Truncated and Non-Truncated Spending</t>
  </si>
  <si>
    <t>Check for Average Truncated Claims Per Member</t>
  </si>
  <si>
    <t>Blue = OHS-calculated data</t>
  </si>
  <si>
    <t>A1</t>
  </si>
  <si>
    <t>A2</t>
  </si>
  <si>
    <t>A3</t>
  </si>
  <si>
    <t>A4</t>
  </si>
  <si>
    <t>A5</t>
  </si>
  <si>
    <t>A6</t>
  </si>
  <si>
    <t>A7</t>
  </si>
  <si>
    <t>A8</t>
  </si>
  <si>
    <t>A9</t>
  </si>
  <si>
    <t>A10</t>
  </si>
  <si>
    <t>A11</t>
  </si>
  <si>
    <t>A12</t>
  </si>
  <si>
    <t>A13</t>
  </si>
  <si>
    <t>A14</t>
  </si>
  <si>
    <t>A15</t>
  </si>
  <si>
    <t>A16</t>
  </si>
  <si>
    <t>A17</t>
  </si>
  <si>
    <t>A18</t>
  </si>
  <si>
    <t>A19</t>
  </si>
  <si>
    <t>A20</t>
  </si>
  <si>
    <t>A21</t>
  </si>
  <si>
    <t>A22</t>
  </si>
  <si>
    <t>A23</t>
  </si>
  <si>
    <t>A24</t>
  </si>
  <si>
    <t>A25</t>
  </si>
  <si>
    <t>A26</t>
  </si>
  <si>
    <t>A27</t>
  </si>
  <si>
    <t>A28</t>
  </si>
  <si>
    <t>A29</t>
  </si>
  <si>
    <t>Advanced Network/Insurance Carrier Org ID</t>
  </si>
  <si>
    <t>Member Months</t>
  </si>
  <si>
    <t>TOTAL Non-Truncated Unadjusted Claims Expenses</t>
  </si>
  <si>
    <t>TOTAL Truncated Unadjusted Claims Expenses (A21 -A19)</t>
  </si>
  <si>
    <t>TOTAL Non-Claims Expenses</t>
  </si>
  <si>
    <t>TOTAL Non-Truncated Unadjusted Expenses (A21 + A23)</t>
  </si>
  <si>
    <t>Non-Truncated Unadjusted TME (PMPM) (A24 / A1)</t>
  </si>
  <si>
    <t>Truncated Unadjusted TME (PMPM) (A25 / A1)</t>
  </si>
  <si>
    <t>Average Claims Truncated Per Member</t>
  </si>
  <si>
    <t>Total Claims Excluded (A19)/Total Non-Truncated Claims Expenses (A21)</t>
  </si>
  <si>
    <t>Total Medical Expenses Calculation Template - 2022</t>
  </si>
  <si>
    <t>Check for alignment of member months</t>
  </si>
  <si>
    <t>Total Pharmacy Rebates</t>
  </si>
  <si>
    <t>Pharmacy Rebate Template - 2022</t>
  </si>
  <si>
    <t>B1</t>
  </si>
  <si>
    <t>B3</t>
  </si>
  <si>
    <t>B4</t>
  </si>
  <si>
    <t>2022 Member Months</t>
  </si>
  <si>
    <t>2022 Income from Fees of Uninsured Plans</t>
  </si>
  <si>
    <t>Check for alignment of truncated spending by market</t>
  </si>
  <si>
    <t>Medicare</t>
  </si>
  <si>
    <t>Market ID</t>
  </si>
  <si>
    <t>Total Spending After Truncation</t>
  </si>
  <si>
    <t>Standard Deviation PMPM</t>
  </si>
  <si>
    <t>Standard Deviation Template - 2022</t>
  </si>
  <si>
    <t>Advanced Network ID</t>
  </si>
  <si>
    <t>Total Dollars Excluded from Spending After Applying Truncation at the Member Level</t>
  </si>
  <si>
    <t>Truncated Spending + Dollars Excluded = Total Spending before Truncation is Applied?</t>
  </si>
  <si>
    <t>Age/Sex Factors Template - 2022</t>
  </si>
  <si>
    <t>Connecticut Insurer TME Data Specifications
Mandatory Questions</t>
  </si>
  <si>
    <t>I verify that the information in this workbook is accurate.</t>
  </si>
  <si>
    <t>Contact Name:</t>
  </si>
  <si>
    <t>[Input Required]</t>
  </si>
  <si>
    <t>Contact Email:</t>
  </si>
  <si>
    <t>All questions in this tab must be answered.</t>
  </si>
  <si>
    <t>Questions</t>
  </si>
  <si>
    <t>Response - 2022 Reporting</t>
  </si>
  <si>
    <t>Comments</t>
  </si>
  <si>
    <t>Does the clinical risk adjustment tool correspond to the market reported?</t>
  </si>
  <si>
    <t>Do the clinical risk scores reflect only Connecticut residents for each Insurance Category code?</t>
  </si>
  <si>
    <t>Does the clinical risk adjustment tool use concurrent modeling?</t>
  </si>
  <si>
    <t>Does the clinical risk adjustment tool use truncation?</t>
  </si>
  <si>
    <t>Is the clinical adjustment tool based on all-encounter diagnosis-based inputs?</t>
  </si>
  <si>
    <t>Is the clinical adjustment tool and version the same as that used to report 2019-2021 data in 2022?</t>
  </si>
  <si>
    <t>Does the TME data include Connecticut residents only?</t>
  </si>
  <si>
    <t>Do the data represent members who receive, at a minimum, medical benefits?</t>
  </si>
  <si>
    <t>Are the data limited only to members for whom the insurer is primary on the claim?</t>
  </si>
  <si>
    <t>Are members attributed to Advanced Networks consistent with each contract?</t>
  </si>
  <si>
    <t>Do the TME data include allowed amounts?</t>
  </si>
  <si>
    <t>Does the TME include services provided by providers, regardless of location of provider?</t>
  </si>
  <si>
    <t>Does the TME include services provided by providers, regardless of the situs of the member's plan?</t>
  </si>
  <si>
    <t>Do the TME data include all data for all attributed members for each month a member was attributed?</t>
  </si>
  <si>
    <t>Are TME data submitted based on the incurred date/date of service?</t>
  </si>
  <si>
    <t xml:space="preserve">How long was the claims runout period for claims payments (e.g., "at least 180 days")? </t>
  </si>
  <si>
    <t xml:space="preserve">How long was the runout period for non-claims payments (e.g., "at least 180 days")? </t>
  </si>
  <si>
    <t>Are IBNR/IBNP factors applied to the TME data?</t>
  </si>
  <si>
    <t xml:space="preserve">Do the spending in the age/sex bands contain non-claims data?  </t>
  </si>
  <si>
    <t xml:space="preserve">Is truncation applied at the member level?  </t>
  </si>
  <si>
    <t>Are members attributed to an Advanced Network less than annually?  If yes, did you apply the "reset the clock" approach to truncate spending for members who switch Advanced Networks mid-year?</t>
  </si>
  <si>
    <t xml:space="preserve">If reporting ICC 4, was the spending adjusted prior to truncation? </t>
  </si>
  <si>
    <t>Are pharmacy rebate data estimated?  If yes, how?</t>
  </si>
  <si>
    <t>What carved-out services are estimated?  If estimations were made, did OHS approve your methodology for estimating?</t>
  </si>
  <si>
    <t>Is the standard deviation calculated using the formula for population standard deviation?</t>
  </si>
  <si>
    <t>In calculating standard deviation, is spending included for every month the member was attributed, regardless of whether the member has paid claims?</t>
  </si>
  <si>
    <t>Does the standard deviation data exclude non-claims spending?</t>
  </si>
  <si>
    <t>Is standard deviation calculated by market, which combines certain Insurance Category codes?</t>
  </si>
  <si>
    <t>Did you review the "Validation by Market," "Validation by Provider," and "Data Validation" tabs to ensure the consistency and accuracy of the data being submitted?</t>
  </si>
  <si>
    <t>Is there anything else you would like us to know about the data you submitted?</t>
  </si>
  <si>
    <t>Table 1: Member Months by Market</t>
  </si>
  <si>
    <t>Market</t>
  </si>
  <si>
    <t>2022</t>
  </si>
  <si>
    <t>Commercial - Total</t>
  </si>
  <si>
    <t>Medicare - Total</t>
  </si>
  <si>
    <t>Total</t>
  </si>
  <si>
    <t>Table 2: Total Medical Expense (TME) Trends by Market, Net of Rebates (Non-Truncated, Unadjusted)</t>
  </si>
  <si>
    <t>Table 3: Per Member Per Month (PMPM) TME Trends by Market, Net of Rebates (Non-Truncated, Unadjusted)</t>
  </si>
  <si>
    <t>Total (Unadjusted, Net of Total Rebates)</t>
  </si>
  <si>
    <t>Table 4: Total Medical Expense (TME) Trends by Market, Net of Rebates (Truncated, Unadjusted)</t>
  </si>
  <si>
    <t>Table 5: Per Member Per Month (PMPM) TME Trends by Market, Net of Rebates (Truncated, Unadjusted)</t>
  </si>
  <si>
    <t>Table 6: Commercial - Total TME Trends PMPM</t>
  </si>
  <si>
    <t>Table 7: Commercial - Full Claims (ICC 3) TME Trends PMPM</t>
  </si>
  <si>
    <t>Table 8: Commercial - Partial Claims (ICC 4) TME Trends PMPM</t>
  </si>
  <si>
    <t>Note: PMPMs are not risk adjusted.</t>
  </si>
  <si>
    <t>Service Category</t>
  </si>
  <si>
    <t>Claims: Pharmacy (Gross of Retail Pharmacy Rebates)</t>
  </si>
  <si>
    <t>Claims: Pharmacy (Net of Retail Pharmacy Rebates)</t>
  </si>
  <si>
    <t>Total Non-Truncated Claims Spending</t>
  </si>
  <si>
    <t>Total Truncated Claims Spending</t>
  </si>
  <si>
    <t>Total Non-claims Spending</t>
  </si>
  <si>
    <t>Total Non-Truncated Spending, Gross of Total Rebates</t>
  </si>
  <si>
    <t>Total Non-Truncated Spending, Net of Total Rebates</t>
  </si>
  <si>
    <t>Total Truncated Spending, Gross of Total Rebates</t>
  </si>
  <si>
    <t>Total Truncated Spending, Net of Total Rebates</t>
  </si>
  <si>
    <t>Table 9: Medicare - Total TME Trends PMPM</t>
  </si>
  <si>
    <t>Table 10: Medicare Managed Care (ICC 1) TME Trends PMPM</t>
  </si>
  <si>
    <t>Table 11: Medicare Expenditures for Medicare/Medicaid Dual Eligibles (ICC 5) TME Trends PMPM</t>
  </si>
  <si>
    <t>Table 12: Other (ICC 7) TME Trends PMPM</t>
  </si>
  <si>
    <t>Validation by Advanced Network</t>
  </si>
  <si>
    <t>Table 1: Commercial - Total TME Service Category Trends PMPM</t>
  </si>
  <si>
    <t>Advanced Network</t>
  </si>
  <si>
    <t>Org ID</t>
  </si>
  <si>
    <t>Name</t>
  </si>
  <si>
    <t>Claims: Professional, Primary Care (Monitoring)</t>
  </si>
  <si>
    <t>Claims: Pharmacy (Gross of Rebates)</t>
  </si>
  <si>
    <t>Claims: Long-term Care</t>
  </si>
  <si>
    <t>TOTAL Non-Truncated Claims Expenses</t>
  </si>
  <si>
    <t>TOTAL Truncated Claims Expenses</t>
  </si>
  <si>
    <t>TOTAL Non-Truncated Total Expenses</t>
  </si>
  <si>
    <t>TOTAL Truncated Total Expenses</t>
  </si>
  <si>
    <t>Total, Gross of Rebates</t>
  </si>
  <si>
    <t>Total, Net of Rebates</t>
  </si>
  <si>
    <t>Table 2: Commercial - Full Claims (ICC 3) TME Service Category Trends PMPM</t>
  </si>
  <si>
    <t>Table 3: Commercial - Partial Claims (ICC 4) TME Service Category Trends PMPM</t>
  </si>
  <si>
    <t>Table 4: Medicare - Total TME Service Category Trends PMPM</t>
  </si>
  <si>
    <t>`</t>
  </si>
  <si>
    <t>Table 5: Medicare Managed Care (ICC 1) TME Service Category Trends PMPM</t>
  </si>
  <si>
    <t>Table 6: Medicare Expenditures for Medicare/Medicaid Dual Eligibles (ICC 5) TME Service Category Trends PMPM</t>
  </si>
  <si>
    <t>Table 7: Other (ICC 7) TME Service Category Trends PMPM</t>
  </si>
  <si>
    <t>Table of Contents &amp; Summary Report</t>
  </si>
  <si>
    <t>Checks for Insurer Overall</t>
  </si>
  <si>
    <t>Issue for 2022?</t>
  </si>
  <si>
    <t>Alignment of member months across the Advanced Network, Age/Sex, Line of Business, and Standard Deviation tabs by Market</t>
  </si>
  <si>
    <t>Alignment of member months across the Advanced Network, Age/Sex, Line of Business, and Standard Deviation tabs by ICC</t>
  </si>
  <si>
    <t>Reasonableness of PMPMs - is there a greater than 10% difference between ICCs 3 and 4 for any Claims category?</t>
  </si>
  <si>
    <t>Checks by Advanced Network</t>
  </si>
  <si>
    <t>ICC1</t>
  </si>
  <si>
    <t>ICC2</t>
  </si>
  <si>
    <t>ICC3</t>
  </si>
  <si>
    <t>ICC4</t>
  </si>
  <si>
    <t>ICC5</t>
  </si>
  <si>
    <t>ICC6</t>
  </si>
  <si>
    <t>Alignment of truncated and non-truncated spending by Advanced Network Across the Advanced Network and Age/Sex tabs</t>
  </si>
  <si>
    <t>Is truncated spending at the AN level greater than or equal to truncated spending for the Insurer Overall?</t>
  </si>
  <si>
    <t>Medicaid</t>
  </si>
  <si>
    <t>Commercial</t>
  </si>
  <si>
    <t>Alignment of Truncated Spending by Market between Advanced Network and Standard Deviation tabs</t>
  </si>
  <si>
    <t>Reporting Period</t>
  </si>
  <si>
    <t>Reported Dates</t>
  </si>
  <si>
    <t>Consistency of Clinical Risk Adjustment Tool</t>
  </si>
  <si>
    <t>Consistent?</t>
  </si>
  <si>
    <t>Version</t>
  </si>
  <si>
    <t>Expected Insurance Category Codes for Carrier</t>
  </si>
  <si>
    <t>Red highlighting indicates that there is no data where we would expected reported values.</t>
  </si>
  <si>
    <t>Expected in 2022?</t>
  </si>
  <si>
    <t>Reported in Advanced Network tab for 2022?</t>
  </si>
  <si>
    <t>Red highlighting indicates member months do not match across tabs.</t>
  </si>
  <si>
    <t>Category</t>
  </si>
  <si>
    <t>Line of Business</t>
  </si>
  <si>
    <t>Consistent? If not, what is the variation between the TME and Line of Business tabs?</t>
  </si>
  <si>
    <t>Age/Sex</t>
  </si>
  <si>
    <t>Consistent? If not, what is the variation between the Advanced Network and Age/Sex tabs?</t>
  </si>
  <si>
    <t>Standard Deviation</t>
  </si>
  <si>
    <t>Consistent? If not, what is the variation between the Advanced Network and Standard Deviation tabs?</t>
  </si>
  <si>
    <t>Duals (ICCs 5+6)</t>
  </si>
  <si>
    <t>Commercial (ICCs 3+4)</t>
  </si>
  <si>
    <t>Consistency of Member Months Across Advanced Network, Age Sex, Line of Business, and Standard Deviation tabs for 2022 for Insurer Overall by Market</t>
  </si>
  <si>
    <t>[back to top]</t>
  </si>
  <si>
    <t>Consistency of Member Months in Age/Sex Factors Tabs for Insurer Overall (ID 100) by ICC</t>
  </si>
  <si>
    <t>2022 Advanced Network Member Months</t>
  </si>
  <si>
    <t>2022 Age/Sex Member Months</t>
  </si>
  <si>
    <t>Consistent? If not, what is the variation between the Advanced Network and Age/Sex tabs for 2022?</t>
  </si>
  <si>
    <t>Click (+) or [2] to expand, (-) or [1] to collapse data by ICC</t>
  </si>
  <si>
    <t>Consistency of Truncated Spending and Members with Truncated Spending Across TME and Age/Sex tabs for 2022 by Advanced Network</t>
  </si>
  <si>
    <t>Insurance Category 1</t>
  </si>
  <si>
    <t>Extra Checks</t>
  </si>
  <si>
    <t>Data from 2022 Age/Sex tab</t>
  </si>
  <si>
    <t>Do data in the Age/Sex tabs match data in the TME tab for 2022?</t>
  </si>
  <si>
    <t>Count of members whose spending was truncated</t>
  </si>
  <si>
    <t>Total Dollars excluded?</t>
  </si>
  <si>
    <t>Count of members whose spending was truncated?</t>
  </si>
  <si>
    <t>Total Spending before Truncation is Applied?</t>
  </si>
  <si>
    <t>Total Spending After Applying Truncation at the Member Level?</t>
  </si>
  <si>
    <t>Total Members greater than Count of Members with Claims Truncated?
If not, what is the variation?</t>
  </si>
  <si>
    <t>TME Tab: Spending before Truncation greater than (or equal to) Spending after Truncation?</t>
  </si>
  <si>
    <t>TME Tab: 
Truncated Spending + Amount of Claims Truncated = Total Spending before Truncation?</t>
  </si>
  <si>
    <t>Insurance Category 2</t>
  </si>
  <si>
    <t>Insurance Category 3</t>
  </si>
  <si>
    <t>Insurance Category 4</t>
  </si>
  <si>
    <t xml:space="preserve">Insurance Category 5 </t>
  </si>
  <si>
    <t>Insurance Category 6</t>
  </si>
  <si>
    <t>Consistency of Truncated Spending by Advanced Network between the Advanced Network and Standard Deviation Tabs for each Market by Advanced Network</t>
  </si>
  <si>
    <t>Total Truncated Claim Spending from TME tab for market</t>
  </si>
  <si>
    <t>Total Truncated Spending from Standard Deviation tab</t>
  </si>
  <si>
    <t>Red highlighting indicates the reported PMPM is less than &lt;$10, potentially indicating an error.</t>
  </si>
  <si>
    <t xml:space="preserve"> Non-Truncated Unadjusted Expenses</t>
  </si>
  <si>
    <t>Total Non-Claims</t>
  </si>
  <si>
    <t>Total Claims: Pharmacy Spending</t>
  </si>
  <si>
    <t>Total Pharmacy Rebates Reported (Medical + Retail)</t>
  </si>
  <si>
    <t>Are rebates reported for the ICC greater than Claims: Pharmacy?</t>
  </si>
  <si>
    <r>
      <t xml:space="preserve">Greater than or equal to a 10% change between ICCs 3+4? 
</t>
    </r>
    <r>
      <rPr>
        <i/>
        <sz val="11"/>
        <color theme="1"/>
        <rFont val="Calibri"/>
        <family val="2"/>
        <scheme val="minor"/>
      </rPr>
      <t>Red highlighting indicates a 10%+ change.</t>
    </r>
  </si>
  <si>
    <t>Reasonableness of PMPMs for 2022 for Insurer Overall</t>
  </si>
  <si>
    <t>Reasonableness of Data Compared to Other Submitted Data for 2022</t>
  </si>
  <si>
    <t>Red highlighting indicates a percentage change of greater than 10%.</t>
  </si>
  <si>
    <t>Source</t>
  </si>
  <si>
    <t>% Change</t>
  </si>
  <si>
    <t>1 + 5</t>
  </si>
  <si>
    <t>Member Months “Monthly MA Enrollment by State/County/Contract” report</t>
  </si>
  <si>
    <t>Responses to Mandatory Questions</t>
  </si>
  <si>
    <t>Red highlighting indicates a response that deviates from the answer we would expect to receive.</t>
  </si>
  <si>
    <t>Question</t>
  </si>
  <si>
    <t>Expected?</t>
  </si>
  <si>
    <t>2022 Answer</t>
  </si>
  <si>
    <t>Is spending reported in a manner consistent with the service category definitions outlined in Version 2.0 of the Implementation Manual?</t>
  </si>
  <si>
    <t>Expected Insurance Category Codes</t>
  </si>
  <si>
    <t>Medicaid Managed Care</t>
  </si>
  <si>
    <t>Commercial Full Claims</t>
  </si>
  <si>
    <t>Commercial Partial Claims</t>
  </si>
  <si>
    <t>Medicare Exp. Duals</t>
  </si>
  <si>
    <t>Medicaid Exp. Duals</t>
  </si>
  <si>
    <t>X</t>
  </si>
  <si>
    <t>Connecticut Office of the State Comptroller</t>
  </si>
  <si>
    <t>Medicare Managed Care Enrollment by State/County/Contract 
X 12</t>
  </si>
  <si>
    <t>Expected Answer</t>
  </si>
  <si>
    <t>At least 180 days</t>
  </si>
  <si>
    <t>Total Medical Expenses Calculation Template - 2023</t>
  </si>
  <si>
    <t>Pharmacy Rebate Template - 2023</t>
  </si>
  <si>
    <t>2023 Member Months</t>
  </si>
  <si>
    <t>2023 Income from Fees of Uninsured Plans</t>
  </si>
  <si>
    <t>Standard Deviation Template - 2023</t>
  </si>
  <si>
    <t>Age/Sex Factors Template - 2023</t>
  </si>
  <si>
    <t>Response - 2023 Reporting</t>
  </si>
  <si>
    <t>2023</t>
  </si>
  <si>
    <t>Issue for 2023?</t>
  </si>
  <si>
    <t>Header Record Template - 2023</t>
  </si>
  <si>
    <t>Expected in 2023?</t>
  </si>
  <si>
    <t>Reported in Advanced Network tab for 2023?</t>
  </si>
  <si>
    <t>Consistency of Member Months Across Advanced Network, Age Sex, Line of Business, and Standard Deviation tabs for 2023 for Insurer Overall by Market</t>
  </si>
  <si>
    <t>2023 Advanced Network Member Months</t>
  </si>
  <si>
    <t>2023 Age/Sex Member Months</t>
  </si>
  <si>
    <t>Consistent? If not, what is the variation between the Advanced Network and Age/Sex tabs for 2023?</t>
  </si>
  <si>
    <t>Consistency of Truncated Spending and Members with Truncated Spending Across TME and Age/Sex tabs for 2023 by Advanced Network</t>
  </si>
  <si>
    <t>Data from 2023 Age/Sex tab</t>
  </si>
  <si>
    <t>Do data in the Age/Sex tabs match data in the TME tab for 2023?</t>
  </si>
  <si>
    <t>Reasonableness of PMPMs for 2023 for Insurer Overall</t>
  </si>
  <si>
    <t>Reasonableness of Data Compared to Other Submitted Data for 2023</t>
  </si>
  <si>
    <t>2023 Answer</t>
  </si>
  <si>
    <t>HD-TME - 2022 and 2023</t>
  </si>
  <si>
    <t>Advanced Network - 2022 and 2023</t>
  </si>
  <si>
    <t>RX Rebates - 2022 and 2023</t>
  </si>
  <si>
    <t>Standard Deviation - 2022 and 2023</t>
  </si>
  <si>
    <t>Age_Sex Factors - 2022 and 2023</t>
  </si>
  <si>
    <t>Insurers must submit spending by age band and by sex, for the purposes of risk adjustment. Please note that there are separate tabs to submit 2022 and 2023 data.</t>
  </si>
  <si>
    <t>Line of Business Enrollment Template 2022 and 2023</t>
  </si>
  <si>
    <t>Is the clinical adjustment tool and version the same as that used to report 2019-2022 data in 2023?</t>
  </si>
  <si>
    <t>2022-2023 Trend</t>
  </si>
  <si>
    <t>For how many Advanced Networks was there a significant (&gt;10%) increase or decrease in member months attributed from 2022 to 2023?</t>
  </si>
  <si>
    <t>Consistent across 2022 and 2023?</t>
  </si>
  <si>
    <t>Is the member months for the Insurer Overall equal to the sum of member months across all Advanced Networks for 2022?</t>
  </si>
  <si>
    <t>Change in Member Months between 2022 and 2023 by AN</t>
  </si>
  <si>
    <t>Member Selection</t>
  </si>
  <si>
    <t>Contract arrangement</t>
  </si>
  <si>
    <t>Utilization</t>
  </si>
  <si>
    <t>Members Unattributed</t>
  </si>
  <si>
    <t>Privia Quality Network of Connecticut (PQN CT) (formerly Community Medical Group)</t>
  </si>
  <si>
    <t>Summit Health (formerly WestMed Medical Group)</t>
  </si>
  <si>
    <t>Connecticut Children's Care Network</t>
  </si>
  <si>
    <t>OptumCare Network of Connecticut (including ProHealth)</t>
  </si>
  <si>
    <t>A hierarchy field code indicates the attribution methodology through which member months per allocated top providers. Tiers 1, 2, and 3 refer to memebr selection, contractual arrangements, and utilization/other, respectively. Field code 4 should be used for unattributed member months and field code 5 for overall payer data.</t>
  </si>
  <si>
    <t>Payer Overall</t>
  </si>
  <si>
    <t>Attribution Hierarchy Code</t>
  </si>
  <si>
    <t>The definitions below are pulled directly from Version 4.0 of the Implementation Manual.</t>
  </si>
  <si>
    <t>This tab provides several reference tables to aid insurers in their data submission. Please refer to this tab, or the Implementation Manual, if you have any questions on what to submit in this template. 
Insurers are not required to input any data in this tab.</t>
  </si>
  <si>
    <t>This tab provides the definitions of key terms used throughout this template, including the spending categories referenced in the Advanced Network tab. Please refer to this tab, or the Implementation Manual, if you have any questions on what to submit in this template.
Insurers are not required to input any data in this tab.</t>
  </si>
  <si>
    <t>Insurers must submit summary information (e.g., period beginning and end date, information about clinical risk adjustment) and any carrier-specific comments about the TME submission. Please note that there are separate tabs to submit 2022 and 2023 data.</t>
  </si>
  <si>
    <t>Insurers must submit TME by Advanced Network and insurance category, using the spending categories defined in the Implementation Manual. Please note that there are separate tabs to submit 2022 and 2023 data.</t>
  </si>
  <si>
    <t>Insurers must submit pharmaceutical rebates by insurance category. Please note that there are separate tabs to submit 2022 and 2023 data.</t>
  </si>
  <si>
    <t>Insurers must submit member month information by line of business category. Insurance carriers with self-insured lines of business must also provide Income from Fees of Uninsured Plans reported in the Supplemental Health Care Exhibit. Please note that there is one tab to submit 2022 and 2023 data.</t>
  </si>
  <si>
    <t>Insurers must submit standard deviation for all attributed members by market by Advanced Network and by market for the insurer overall. Please note that there are separate tabs to submit 2022 and 2023 data.</t>
  </si>
  <si>
    <t>This tab uses insurer-provided information from the Advanced Network and Rx Rebates tabs to calculate spend and trend by market and service category. These summary tables are intended to help insurers validate their data prior to submission.
Insurers are not required to input any data in this tab. Insurers must review this tab prior to submitting this file to ensure data are correct.</t>
  </si>
  <si>
    <t>This tab uses insurer-provided information from the Advanced Network and Rx Rebates tabs to calculate spend and trend by Advanced Network and service category. These summary tables are intended to help insurers validate their data prior to submission.
Insurers are not required to input any data in this tab. Insurers must review this tab prior to submitting this file to ensure data are correct.</t>
  </si>
  <si>
    <t>This tab uses insurer-provided information from all tabs that require data entry to assess consistency in spending, truncation, member months, and other imputed data across tabs. These summary tables are intended to help insurers validate their data prior to submission.
Insurers are not required to input any data in this tab. Insurers must review this tab prior to submitting this file to ensure data are correct.</t>
  </si>
  <si>
    <t xml:space="preserve">The OHS-assigned organizational ID of the Advanced Network or the Carrier Overall. For TME data for members who are unattributed to an Advanced Network, their data are to be reported in aggregate as “Members Not Attributed to an Advanced Network (Advanced Network Identification Number 999).” </t>
  </si>
  <si>
    <t>A number that indicates the insurance category that is being reported, as defined in Table A-4 below. All data reported by Insurance Category Code should be mutually exclusive. Commercial claims should be separated into two categories. Commercial self insured or fully insured data for large providers for which the insurance carrier can collect information on all direct medical claims and any claims paid by a delegated entity should be reported in the “Full Claims” category. Commercial self-insured or fully insured data that does not include all medical and subcarrier claims should be reported in the “Partial Claims,” category. An adjustment should be made to “Partial Claims” to allow for them to be comparable to full claims. Such an adjustment must be reviewed with OHS before the adjustment is made.  The goal of the adjustment is to estimate what total spending might be for those members without having to collect claims data from carve-out vendors, such as PBMs or behavioral health vendors. For example, for those members for whom pharmacy benefits are carved out, the insurance carrier might include its commercial market book of business average pharmacy spending PMPM for the same year, calculated on members who had pharmacy coverage, applied to all member months for which the carve out applied.
If an insurance carrier enrolls Medicare/Medicaid dual eligibles, OHS requires the carrier to report Medicare-related expenditures under Insurance Category Code 5 and Medicaid-related expenditures under Insurance Category Code 6. For example, if a carrier covers Medicare/Medicaid dual eligibles, but is only responsible for Medicaid services, expenditures for those dual eligibles are reported under Insurance Category Code 6. However, if a carrier is an integrated care entity providing both Medicare and Medicaid benefits to dual eligibles, the carrier should use both Insurance Category Codes 5 and 6, respectively, to report applicable expenditures. If direct assignment of the expenditure cannot be made to code 5 or 6, the carrier should use reasonable and appropriate methods to allocate expenditures to the respective Insurance Category Code. This will allow OHS to include the Medicare- or Medicaid-related expenditure for dual eligibles in the respective Market for reporting purposes.
Insurance carriers shall report for all insurance categories for which they have business. For carriers reporting in the “Other” category, carriers should describe in the Comments field (HD004) what is included in the “Other” category.</t>
  </si>
  <si>
    <t xml:space="preserve">The TME paid to primary care providers delivered at a primary care site of care generated from claims using the code-level definition in the Implementation Manual. Insurance carriers should identify primary care providers first by searching for relevant provider taxonomy codes in the rendering provider field and then the billing provider field. If the carrier does not utilize the provider taxonomy codes in the file above, it may apply its provider codes to match the description of the provider taxonomy codes included.
A primary care site of care is defined as a primary care outpatient setting (e.g., office, clinic, or center), federally qualified health center (FQHC), or via telehealth delivered by a PCP that is part of a primary care outpatient setting or FQHC. For telehealth services, insurers should use the place of service and modifier codes in the code list to identify primary care services delivered via telehealth. For primary care outpatient or FQHC services, insurance carriers should adhere to the existing taxonomy list (i.e., there is not a specific POS code list for care delivered in a primary care outpatient or FQHC setting). 
The definition of primary care site of care excludes primary care spending delivered at urgent care centers, retail pharmacy clinics and via stand-alone, third-party telehealth vendors. </t>
  </si>
  <si>
    <t xml:space="preserve">The TME paid to primary care providers, including OB/GYNs and midwifery, generated from claims using the definition in the Implementation Manual.
Insurance carriers should identify primary care providers first by searching for relevant provider taxonomy codes in the rendering provider field and then the billing provider field. If the carrier does not utilize the provider taxonomy codes in the file above, it may apply its provider codes to match the description of the provider taxonomy codes included.
A primary care site of care is defined as a primary care outpatient setting (e.g., office, clinic, or center), federally qualified health center (FQHC), or via telehealth delivered by a PCP that is part of a primary care outpatient setting or FQHC. For telehealth services, insurers should use the place of service and modifier codes in the code list to identify primary care services delivered via telehealth. For primary care outpatient or FQHC services, insurance carriers should adhere to the existing taxonomy list (i.e., there is not a specific POS code list for care delivered in a primary care outpatient or FQHC setting). 
The definition of primary care site of care excludes primary care spending delivered at urgent care centers, retail pharmacy clinics and via stand-alone, third-party telehealth vendors. Note: TME paid to OB/GYNs and midwifery included in the “Claims: Professional, Primary Care (for Monitoring Purposes)” category should also be included in the “Claims: Professional, Specialty” category. </t>
  </si>
  <si>
    <t>The TME paid to physicians or physician group practices generated from claims. Includes services provided by a doctors of medicine or osteopathy in clinical areas other than family medicine, internal medicine, general medicine or pediatric medicine, not defined as primary care in the first primary care definition above. Note: TME paid to OB/GYNs and midwifery included in the “Claims: Professional, Primary Care (for Monitoring Purposes)” category should also be included in the “Claims: Professional, Specialty” category.</t>
  </si>
  <si>
    <t>All TME paid from claims to healthcare providers for medical services not otherwise included in other categories. Includes, but is not limited to durable medical equipment, facility fees of community health center services, freestanding ambulatory surgical center services, freestanding diagnostic facility services, hospice, hearing aid services and optical services. Payments made to members for direct reimbursement of healthcare benefits/services may be reported in “Claims: Other” if the insurance carrier is unable to classify the service. If this is the case, the carrier should consult with OHS about the appropriate placement of the service prior to categorizing it as “Claims: Other.” However, TME data for non-healthcare benefits/services, such as fitness club reimbursements, are not to be reported in any category. Payments for fitness club membership discounts whether given to the provider or given in the form of a capitated payment to an organization that assists the insurance carrier with enrolling members in gyms is not a valid payment to include.</t>
  </si>
  <si>
    <t>Code referring to the to the Medicare, Medicaid and Commercial markets, and combines Insurance Category Codes.  See the References Tables tab.</t>
  </si>
  <si>
    <t>The OHS-assigned organizational ID of the Advanced Network or the Carrier Overall. For TME data for members who are unattributed to an Code associated with the age band of the members whose spending is being reported. See References Tables tab.</t>
  </si>
  <si>
    <t>TOTAL Truncated Unadjusted Expenses (A22 + A23)</t>
  </si>
  <si>
    <t>Insurance carriers with self-insured lines of business must provide total premiums received for self-insured accounts (in aggregate). Please follow the instructions from the National Association of Insurance Commissioners (NAIC) Supplemental Health Care Exhibit (SHCE), Part 1, Line 12, Income from Fees of Uninsured Plans. This information is separately requested because it is not typically reported in the SHCE filed with the Connecticut Insurance Department, but is necessary to calculate the Net Cost of Private Health Insurance (NCPHI).</t>
  </si>
  <si>
    <t xml:space="preserve">Do the spending in the age/sex bands contain non-claims data? </t>
  </si>
  <si>
    <t xml:space="preserve">Is truncation applied at the member level? </t>
  </si>
  <si>
    <t>Are members attributed to an Advanced Network less than annually? If yes, did you apply the "reset the clock" approach to truncate spending for members who switch Advanced Networks mid-year?</t>
  </si>
  <si>
    <t>Are pharmacy rebate data estimated? If yes, how?</t>
  </si>
  <si>
    <t>What carved-out services are estimated? If estimations were made, did OHS approve your methodology for estimating?</t>
  </si>
  <si>
    <t>This tab uses the data you submitted in the Advanced Network and Rx Rebates tabs to calculate member month and per member per month (PMPM) spend and trend by market and spending category. Please review the data in this tab prior to submission to ensure that you are comfortable with the 2022 and 2023 PMPM values and trends reflected in the tables below.</t>
  </si>
  <si>
    <t>This tab uses the data you submitted in the Advanced Network and Rx Rebates tabs to calculate member month and per member per month (PMPM) spend and trends by Advanced Network and spending category. Please review the data in this tab prior to submission to ensure that you are comfortable with the 2019, 2022 and 2023 PMPM values and trend reflected in the tables below.</t>
  </si>
  <si>
    <t>The estimated value of rebates attributed to Connecticut resident members provided by pharmaceutical manufacturers for prescription drugs with specified dates of fill, corresponding to the reporting period excluding manufacturer-provided fair market value bona fide service fees for retail prescription drugs. This amount should include pharmacy benefit manager (PBM) rebate guarantee amounts and any additional rebate amounts transferred by the PBM. Pharmacy rebate data should exclude stand-alone prescription drug plans.
When retail pharmacy rebate data are not available for Insurance Category Code 4 (Commercial Partial Claims), carriers should estimate the rebates using data from Insurance Category Code 3 (Commercial Full Claims). OHS recommends applying the pharmacy rebates to pharmacy spending ratio observed in Insurance Category Code 3. Carriers can then apply this ratio to the pharmacy spending within Insurance Category Code 4.</t>
  </si>
  <si>
    <t xml:space="preserve">The estimated value of rebates attributed to Connecticut resident members provided by pharmaceutical manufacturers for prescription drugs with specified dates of fill corresponding with the reporting period, excluding manufacturer-provided fair maker value bona fide service fees for pharmaceuticals that are paid for under the member’s medical benefit. These drugs may be included in the professional claims category with J codes or part of facility feeds for drug infusions administered in the outpatient setting. Pharmacy rebate data should exclude stand-alone prescription drug plans. 
When medical pharmacy rebate data are not available for Insurance Category Code 4 (Commercial Partial Claims), carriers should estimate the rebates using data from Insurance Category Code 3 (Commercial Full Claims). OHS recommends applying the pharmacy rebates to pharmacy spending ratio observed in Insurance Category Code 3. Carriers can then apply this ratio to the pharmacy spending within Insurance Category Code 4.
This amount should include pharmacy benefit manager (PBM) rebate guarantee amounts and any additional rebate amounts transferred by the PBM. This value should always be reported as a negative number. 
Total rebates should be reported without regard to how they are paid to the insurer (e.g., through regular aggregate payments, on a claims-by-claim basis, etc.) or whether they are passed on to an employer. The only exception is for Medicaid managed care payers who should not report pharmacy rebates that are passed to the state. They should only report those rebates above and beyond the state negotiated rebates. 
Payers should apply IBNR factors to preliminary prescription drug rebate data to estimate total anticipated rebates related to fill dates in the calendar year for which reporting will be done. If insurance carriers are unable to report rebates specifically for Connecticut residents, insurance carriers should report estimated rebates attributed to Connecticut resident members in a proportion equal to the proportion of pharmacy spending for Connecticut resident members compared to pharmacy spending for total members, by line of business. For example, if Connecticut resident commercial member spending represents 10% of an insurer’s total commercial members, then 10% of the total pharmacy rebates for its commercial book of business should be reported. If the insurer is unable to identify the percentage of pharmacy spending for Connecticut resident members, then the insurer should calculate the pharmacy rebates attributable to Connecticut resident members using percentage of membership. This value should always be reported as a negative number. </t>
  </si>
  <si>
    <t>Stamford Health Medical Group</t>
  </si>
  <si>
    <t>Is the clinical adjustment tool and version the same as that used to report 2021-2022 data in 2023?</t>
  </si>
  <si>
    <t>Is spending reported in a manner consistent with the service category definitions outlined in Version 4.0 of the Implementation Manual?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</si>
</sst>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44" formatCode="_(&quot;$&quot;* #,##0.00_);_(&quot;$&quot;* \(#,##0.00\);_(&quot;$&quot;* &quot;-&quot;??_);_(@_)"/>
    <numFmt numFmtId="43" formatCode="_(* #,##0.00_);_(* \(#,##0.00\);_(* &quot;-&quot;??_);_(@_)"/>
    <numFmt numFmtId="164" formatCode="_(&quot;$&quot;* #,##0_);_(&quot;$&quot;* \(#,##0\);_(&quot;$&quot;* &quot;-&quot;??_);_(@_)"/>
    <numFmt numFmtId="165" formatCode="_(* #,##0_);_(* \(#,##0\);_(* &quot;-&quot;??_);_(@_)"/>
    <numFmt numFmtId="166" formatCode="[$-409]mmmm\ d\,\ yyyy;@"/>
    <numFmt numFmtId="167" formatCode="&quot;$&quot;#,##0"/>
    <numFmt numFmtId="168" formatCode="0.0%"/>
    <numFmt numFmtId="169" formatCode="_([$$-409]* #,##0.00_);_([$$-409]* \(#,##0.00\);_([$$-409]* &quot;-&quot;??_);_(@_)"/>
  </numFmts>
  <fonts count="29" x14ac:knownFonts="1">
    <font>
      <sz val="11"/>
      <color theme="1"/>
      <name val="Calibri"/>
      <family val="2"/>
      <scheme val="minor"/>
    </font>
    <font>
      <b/>
      <sz val="11"/>
      <color theme="1"/>
      <name val="Calibri"/>
      <family val="2"/>
      <scheme val="minor"/>
    </font>
    <font>
      <b/>
      <u/>
      <sz val="11"/>
      <color theme="1"/>
      <name val="Calibri"/>
      <family val="2"/>
      <scheme val="minor"/>
    </font>
    <font>
      <sz val="10"/>
      <name val="Calibri"/>
      <family val="2"/>
    </font>
    <font>
      <sz val="11"/>
      <color rgb="FF0070C0"/>
      <name val="Calibri"/>
      <family val="2"/>
      <scheme val="minor"/>
    </font>
    <font>
      <sz val="11"/>
      <color theme="1"/>
      <name val="Calibri"/>
      <family val="2"/>
      <scheme val="minor"/>
    </font>
    <font>
      <i/>
      <sz val="11"/>
      <color theme="1"/>
      <name val="Calibri"/>
      <family val="2"/>
      <scheme val="minor"/>
    </font>
    <font>
      <sz val="11"/>
      <color rgb="FFFF0000"/>
      <name val="Calibri"/>
      <family val="2"/>
      <scheme val="minor"/>
    </font>
    <font>
      <b/>
      <sz val="11"/>
      <name val="Calibri"/>
      <family val="2"/>
      <scheme val="minor"/>
    </font>
    <font>
      <b/>
      <u/>
      <sz val="11"/>
      <color rgb="FFFF0000"/>
      <name val="Calibri"/>
      <family val="2"/>
      <scheme val="minor"/>
    </font>
    <font>
      <sz val="11"/>
      <name val="Calibri"/>
      <family val="2"/>
      <scheme val="minor"/>
    </font>
    <font>
      <sz val="11"/>
      <color rgb="FFC00000"/>
      <name val="Calibri"/>
      <family val="2"/>
      <scheme val="minor"/>
    </font>
    <font>
      <b/>
      <sz val="11"/>
      <color theme="0"/>
      <name val="Calibri"/>
      <family val="2"/>
      <scheme val="minor"/>
    </font>
    <font>
      <i/>
      <sz val="11"/>
      <color rgb="FFC00000"/>
      <name val="Calibri"/>
      <family val="2"/>
      <scheme val="minor"/>
    </font>
    <font>
      <i/>
      <sz val="11"/>
      <name val="Calibri"/>
      <family val="2"/>
      <scheme val="minor"/>
    </font>
    <font>
      <b/>
      <sz val="12"/>
      <color theme="1"/>
      <name val="Calibri"/>
      <family val="2"/>
      <scheme val="minor"/>
    </font>
    <font>
      <sz val="11"/>
      <color theme="5"/>
      <name val="Calibri"/>
      <family val="2"/>
      <scheme val="minor"/>
    </font>
    <font>
      <b/>
      <i/>
      <sz val="11"/>
      <color theme="1"/>
      <name val="Calibri"/>
      <family val="2"/>
      <scheme val="minor"/>
    </font>
    <font>
      <sz val="11"/>
      <color theme="0"/>
      <name val="Calibri"/>
      <family val="2"/>
      <scheme val="minor"/>
    </font>
    <font>
      <b/>
      <sz val="14"/>
      <color theme="1"/>
      <name val="Calibri"/>
      <family val="2"/>
      <scheme val="minor"/>
    </font>
    <font>
      <sz val="12"/>
      <color theme="1"/>
      <name val="Calibri"/>
      <family val="2"/>
      <scheme val="minor"/>
    </font>
    <font>
      <sz val="8"/>
      <name val="Calibri"/>
      <family val="2"/>
      <scheme val="minor"/>
    </font>
    <font>
      <b/>
      <sz val="20"/>
      <color theme="1"/>
      <name val="Calibri"/>
      <family val="2"/>
      <scheme val="minor"/>
    </font>
    <font>
      <sz val="11"/>
      <color rgb="FF0070C0"/>
      <name val="Calibri"/>
      <family val="2"/>
    </font>
    <font>
      <b/>
      <sz val="16"/>
      <color theme="1"/>
      <name val="Calibri"/>
      <family val="2"/>
      <scheme val="minor"/>
    </font>
    <font>
      <b/>
      <sz val="18"/>
      <name val="Calibri"/>
      <family val="2"/>
      <scheme val="minor"/>
    </font>
    <font>
      <b/>
      <u/>
      <sz val="14"/>
      <color theme="1"/>
      <name val="Calibri"/>
      <family val="2"/>
      <scheme val="minor"/>
    </font>
    <font>
      <b/>
      <sz val="26"/>
      <color rgb="FFC00000"/>
      <name val="Calibri"/>
      <family val="2"/>
      <scheme val="minor"/>
    </font>
    <font>
      <u/>
      <sz val="11"/>
      <color theme="10"/>
      <name val="Calibri"/>
      <family val="2"/>
      <scheme val="minor"/>
    </font>
  </fonts>
  <fills count="27">
    <fill>
      <patternFill patternType="none"/>
    </fill>
    <fill>
      <patternFill patternType="gray125"/>
    </fill>
    <fill>
      <patternFill patternType="solid">
        <fgColor theme="4" tint="0.59999389629810485"/>
        <bgColor indexed="64"/>
      </patternFill>
    </fill>
    <fill>
      <patternFill patternType="solid">
        <fgColor theme="0"/>
        <bgColor indexed="64"/>
      </patternFill>
    </fill>
    <fill>
      <patternFill patternType="solid">
        <fgColor theme="4" tint="-0.249977111117893"/>
        <bgColor indexed="64"/>
      </patternFill>
    </fill>
    <fill>
      <patternFill patternType="solid">
        <fgColor theme="4" tint="0.79998168889431442"/>
        <bgColor indexed="64"/>
      </patternFill>
    </fill>
    <fill>
      <patternFill patternType="solid">
        <fgColor rgb="FF002060"/>
        <bgColor indexed="64"/>
      </patternFill>
    </fill>
    <fill>
      <patternFill patternType="solid">
        <fgColor theme="0" tint="-4.9989318521683403E-2"/>
        <bgColor indexed="64"/>
      </patternFill>
    </fill>
    <fill>
      <patternFill patternType="solid">
        <fgColor theme="4"/>
        <bgColor indexed="64"/>
      </patternFill>
    </fill>
    <fill>
      <patternFill patternType="solid">
        <fgColor theme="3"/>
        <bgColor indexed="64"/>
      </patternFill>
    </fill>
    <fill>
      <patternFill patternType="solid">
        <fgColor theme="8"/>
        <bgColor indexed="64"/>
      </patternFill>
    </fill>
    <fill>
      <patternFill patternType="solid">
        <fgColor theme="7" tint="-0.499984740745262"/>
        <bgColor indexed="64"/>
      </patternFill>
    </fill>
    <fill>
      <patternFill patternType="solid">
        <fgColor theme="7" tint="-0.249977111117893"/>
        <bgColor indexed="64"/>
      </patternFill>
    </fill>
    <fill>
      <patternFill patternType="solid">
        <fgColor theme="7"/>
        <bgColor indexed="64"/>
      </patternFill>
    </fill>
    <fill>
      <patternFill patternType="solid">
        <fgColor theme="5" tint="-0.249977111117893"/>
        <bgColor indexed="64"/>
      </patternFill>
    </fill>
    <fill>
      <patternFill patternType="solid">
        <fgColor theme="1" tint="0.499984740745262"/>
        <bgColor indexed="64"/>
      </patternFill>
    </fill>
    <fill>
      <patternFill patternType="solid">
        <fgColor theme="0" tint="-0.499984740745262"/>
        <bgColor indexed="64"/>
      </patternFill>
    </fill>
    <fill>
      <patternFill patternType="solid">
        <fgColor theme="1"/>
        <bgColor indexed="64"/>
      </patternFill>
    </fill>
    <fill>
      <patternFill patternType="solid">
        <fgColor theme="5" tint="-0.499984740745262"/>
        <bgColor indexed="64"/>
      </patternFill>
    </fill>
    <fill>
      <patternFill patternType="solid">
        <fgColor theme="4" tint="0.79998168889431442"/>
        <bgColor theme="4" tint="0.79998168889431442"/>
      </patternFill>
    </fill>
    <fill>
      <patternFill patternType="solid">
        <fgColor rgb="FFFFFF00"/>
        <bgColor indexed="64"/>
      </patternFill>
    </fill>
    <fill>
      <patternFill patternType="solid">
        <fgColor rgb="FF00B050"/>
        <bgColor indexed="64"/>
      </patternFill>
    </fill>
    <fill>
      <patternFill patternType="solid">
        <fgColor theme="3" tint="0.39997558519241921"/>
        <bgColor indexed="64"/>
      </patternFill>
    </fill>
    <fill>
      <patternFill patternType="solid">
        <fgColor theme="4" tint="0.39997558519241921"/>
        <bgColor indexed="64"/>
      </patternFill>
    </fill>
    <fill>
      <patternFill patternType="solid">
        <fgColor rgb="FFFFFFCC"/>
        <bgColor indexed="64"/>
      </patternFill>
    </fill>
    <fill>
      <patternFill patternType="solid">
        <fgColor rgb="FFFFC000"/>
        <bgColor indexed="64"/>
      </patternFill>
    </fill>
    <fill>
      <patternFill patternType="solid">
        <fgColor theme="0" tint="-0.34998626667073579"/>
        <bgColor indexed="64"/>
      </patternFill>
    </fill>
  </fills>
  <borders count="6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theme="0" tint="-0.14999847407452621"/>
      </left>
      <right/>
      <top/>
      <bottom style="thin">
        <color indexed="64"/>
      </bottom>
      <diagonal/>
    </border>
    <border>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thin">
        <color indexed="64"/>
      </left>
      <right style="thin">
        <color indexed="64"/>
      </right>
      <top/>
      <bottom/>
      <diagonal/>
    </border>
    <border>
      <left/>
      <right/>
      <top style="thin">
        <color theme="4"/>
      </top>
      <bottom/>
      <diagonal/>
    </border>
    <border>
      <left style="thin">
        <color theme="4"/>
      </left>
      <right/>
      <top/>
      <bottom/>
      <diagonal/>
    </border>
    <border>
      <left/>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bottom style="thin">
        <color rgb="FF000000"/>
      </bottom>
      <diagonal/>
    </border>
    <border>
      <left style="medium">
        <color indexed="64"/>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000000"/>
      </left>
      <right style="thin">
        <color indexed="64"/>
      </right>
      <top style="thin">
        <color indexed="64"/>
      </top>
      <bottom style="thin">
        <color indexed="64"/>
      </bottom>
      <diagonal/>
    </border>
    <border>
      <left style="thin">
        <color indexed="64"/>
      </left>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thin">
        <color rgb="FF000000"/>
      </right>
      <top style="thin">
        <color indexed="64"/>
      </top>
      <bottom style="thin">
        <color indexed="64"/>
      </bottom>
      <diagonal/>
    </border>
    <border>
      <left style="thin">
        <color rgb="FF000000"/>
      </left>
      <right style="thin">
        <color indexed="64"/>
      </right>
      <top style="thin">
        <color indexed="64"/>
      </top>
      <bottom style="thin">
        <color rgb="FF000000"/>
      </bottom>
      <diagonal/>
    </border>
    <border>
      <left style="thin">
        <color indexed="64"/>
      </left>
      <right style="thin">
        <color indexed="64"/>
      </right>
      <top style="thin">
        <color indexed="64"/>
      </top>
      <bottom style="thin">
        <color rgb="FF000000"/>
      </bottom>
      <diagonal/>
    </border>
    <border>
      <left style="thin">
        <color indexed="64"/>
      </left>
      <right style="thin">
        <color rgb="FF000000"/>
      </right>
      <top style="thin">
        <color indexed="64"/>
      </top>
      <bottom style="thin">
        <color rgb="FF000000"/>
      </bottom>
      <diagonal/>
    </border>
    <border>
      <left style="thin">
        <color indexed="64"/>
      </left>
      <right/>
      <top style="thin">
        <color indexed="64"/>
      </top>
      <bottom style="thin">
        <color rgb="FF000000"/>
      </bottom>
      <diagonal/>
    </border>
    <border>
      <left style="thin">
        <color rgb="FF000000"/>
      </left>
      <right style="thin">
        <color indexed="64"/>
      </right>
      <top style="thin">
        <color indexed="64"/>
      </top>
      <bottom/>
      <diagonal/>
    </border>
    <border>
      <left style="thin">
        <color rgb="FF000000"/>
      </left>
      <right style="thin">
        <color rgb="FF000000"/>
      </right>
      <top style="thin">
        <color rgb="FF000000"/>
      </top>
      <bottom style="thin">
        <color rgb="FF000000"/>
      </bottom>
      <diagonal/>
    </border>
    <border>
      <left/>
      <right style="thin">
        <color indexed="64"/>
      </right>
      <top/>
      <bottom/>
      <diagonal/>
    </border>
    <border>
      <left style="thin">
        <color indexed="64"/>
      </left>
      <right/>
      <top/>
      <bottom/>
      <diagonal/>
    </border>
    <border>
      <left style="thin">
        <color rgb="FF000000"/>
      </left>
      <right/>
      <top style="thin">
        <color rgb="FF000000"/>
      </top>
      <bottom style="thin">
        <color rgb="FF000000"/>
      </bottom>
      <diagonal/>
    </border>
  </borders>
  <cellStyleXfs count="7">
    <xf numFmtId="0" fontId="0" fillId="0" borderId="0"/>
    <xf numFmtId="0" fontId="3" fillId="0" borderId="0"/>
    <xf numFmtId="43" fontId="3" fillId="0" borderId="0" applyFont="0" applyFill="0" applyBorder="0" applyAlignment="0" applyProtection="0"/>
    <xf numFmtId="44" fontId="5" fillId="0" borderId="0" applyFont="0" applyFill="0" applyBorder="0" applyAlignment="0" applyProtection="0"/>
    <xf numFmtId="43" fontId="5" fillId="0" borderId="0" applyFont="0" applyFill="0" applyBorder="0" applyAlignment="0" applyProtection="0"/>
    <xf numFmtId="9" fontId="5" fillId="0" borderId="0" applyFont="0" applyFill="0" applyBorder="0" applyAlignment="0" applyProtection="0"/>
    <xf numFmtId="0" fontId="28" fillId="0" borderId="0" applyNumberFormat="0" applyFill="0" applyBorder="0" applyAlignment="0" applyProtection="0"/>
  </cellStyleXfs>
  <cellXfs count="638">
    <xf numFmtId="0" fontId="0" fillId="0" borderId="0" xfId="0"/>
    <xf numFmtId="0" fontId="1" fillId="0" borderId="0" xfId="0" applyFont="1"/>
    <xf numFmtId="0" fontId="0" fillId="0" borderId="0" xfId="0" applyAlignment="1">
      <alignment horizontal="center"/>
    </xf>
    <xf numFmtId="3" fontId="0" fillId="0" borderId="0" xfId="0" applyNumberFormat="1"/>
    <xf numFmtId="0" fontId="0" fillId="0" borderId="1" xfId="0" applyBorder="1" applyAlignment="1">
      <alignment horizontal="center"/>
    </xf>
    <xf numFmtId="0" fontId="1" fillId="0" borderId="1" xfId="0" applyFont="1" applyBorder="1" applyAlignment="1">
      <alignment horizontal="center"/>
    </xf>
    <xf numFmtId="0" fontId="0" fillId="3" borderId="1" xfId="0" applyFill="1" applyBorder="1" applyAlignment="1" applyProtection="1">
      <alignment horizontal="center" vertical="center"/>
      <protection locked="0"/>
    </xf>
    <xf numFmtId="0" fontId="7" fillId="0" borderId="0" xfId="0" applyFont="1"/>
    <xf numFmtId="0" fontId="1" fillId="0" borderId="1" xfId="0" applyFont="1" applyBorder="1"/>
    <xf numFmtId="0" fontId="0" fillId="0" borderId="1" xfId="0" applyBorder="1"/>
    <xf numFmtId="0" fontId="0" fillId="0" borderId="1" xfId="0" applyBorder="1" applyAlignment="1">
      <alignment wrapText="1"/>
    </xf>
    <xf numFmtId="0" fontId="0" fillId="0" borderId="1" xfId="0" applyBorder="1" applyProtection="1">
      <protection locked="0"/>
    </xf>
    <xf numFmtId="0" fontId="0" fillId="0" borderId="0" xfId="0" applyProtection="1">
      <protection locked="0"/>
    </xf>
    <xf numFmtId="0" fontId="0" fillId="0" borderId="0" xfId="0" applyAlignment="1">
      <alignment horizontal="center" wrapText="1"/>
    </xf>
    <xf numFmtId="0" fontId="11" fillId="0" borderId="0" xfId="0" applyFont="1"/>
    <xf numFmtId="0" fontId="2" fillId="0" borderId="0" xfId="0" applyFont="1"/>
    <xf numFmtId="3" fontId="0" fillId="0" borderId="1" xfId="0" applyNumberFormat="1" applyBorder="1" applyAlignment="1">
      <alignment horizontal="center"/>
    </xf>
    <xf numFmtId="0" fontId="8" fillId="0" borderId="0" xfId="0" applyFont="1"/>
    <xf numFmtId="0" fontId="0" fillId="0" borderId="0" xfId="0" applyAlignment="1">
      <alignment wrapText="1"/>
    </xf>
    <xf numFmtId="1" fontId="0" fillId="0" borderId="0" xfId="0" applyNumberFormat="1" applyAlignment="1">
      <alignment horizontal="center"/>
    </xf>
    <xf numFmtId="0" fontId="0" fillId="0" borderId="0" xfId="0" applyAlignment="1">
      <alignment horizontal="center" vertical="center"/>
    </xf>
    <xf numFmtId="0" fontId="1" fillId="4" borderId="0" xfId="0" applyFont="1" applyFill="1" applyAlignment="1">
      <alignment horizontal="center" vertical="center"/>
    </xf>
    <xf numFmtId="0" fontId="1" fillId="4" borderId="0" xfId="0" applyFont="1" applyFill="1" applyAlignment="1">
      <alignment horizontal="center"/>
    </xf>
    <xf numFmtId="1" fontId="0" fillId="0" borderId="0" xfId="0" applyNumberFormat="1" applyAlignment="1">
      <alignment horizontal="center" wrapText="1"/>
    </xf>
    <xf numFmtId="1" fontId="1" fillId="4" borderId="0" xfId="0" applyNumberFormat="1" applyFont="1" applyFill="1" applyAlignment="1">
      <alignment horizontal="center"/>
    </xf>
    <xf numFmtId="0" fontId="0" fillId="5" borderId="0" xfId="0" applyFill="1"/>
    <xf numFmtId="49" fontId="0" fillId="0" borderId="0" xfId="0" applyNumberFormat="1"/>
    <xf numFmtId="0" fontId="6" fillId="0" borderId="0" xfId="0" applyFont="1"/>
    <xf numFmtId="0" fontId="1" fillId="0" borderId="0" xfId="0" applyFont="1" applyAlignment="1">
      <alignment horizontal="center"/>
    </xf>
    <xf numFmtId="0" fontId="10" fillId="0" borderId="1" xfId="0" applyFont="1" applyBorder="1" applyAlignment="1">
      <alignment horizontal="center"/>
    </xf>
    <xf numFmtId="0" fontId="10" fillId="0" borderId="0" xfId="0" applyFont="1"/>
    <xf numFmtId="0" fontId="1" fillId="0" borderId="0" xfId="0" applyFont="1" applyAlignment="1">
      <alignment horizontal="right"/>
    </xf>
    <xf numFmtId="0" fontId="1" fillId="0" borderId="0" xfId="0" applyFont="1" applyAlignment="1">
      <alignment horizontal="left" vertical="top"/>
    </xf>
    <xf numFmtId="0" fontId="1" fillId="0" borderId="1" xfId="0" applyFont="1" applyBorder="1" applyAlignment="1">
      <alignment horizontal="center" vertical="top" wrapText="1"/>
    </xf>
    <xf numFmtId="0" fontId="0" fillId="0" borderId="10" xfId="0" applyBorder="1" applyAlignment="1">
      <alignment wrapText="1"/>
    </xf>
    <xf numFmtId="0" fontId="0" fillId="0" borderId="1" xfId="0" applyBorder="1" applyAlignment="1">
      <alignment horizontal="center" vertical="top" wrapText="1"/>
    </xf>
    <xf numFmtId="9" fontId="0" fillId="0" borderId="1" xfId="5" applyFont="1" applyBorder="1" applyAlignment="1">
      <alignment horizontal="center"/>
    </xf>
    <xf numFmtId="3" fontId="7" fillId="0" borderId="0" xfId="0" applyNumberFormat="1" applyFont="1" applyAlignment="1">
      <alignment wrapText="1"/>
    </xf>
    <xf numFmtId="0" fontId="0" fillId="0" borderId="0" xfId="0" applyAlignment="1">
      <alignment horizontal="left" vertical="top" wrapText="1"/>
    </xf>
    <xf numFmtId="0" fontId="0" fillId="0" borderId="0" xfId="0" applyAlignment="1">
      <alignment horizontal="left" vertical="top"/>
    </xf>
    <xf numFmtId="0" fontId="6" fillId="0" borderId="0" xfId="0" applyFont="1" applyAlignment="1">
      <alignment horizontal="left" vertical="top"/>
    </xf>
    <xf numFmtId="0" fontId="0" fillId="0" borderId="0" xfId="0" applyProtection="1">
      <protection hidden="1"/>
    </xf>
    <xf numFmtId="0" fontId="2" fillId="0" borderId="0" xfId="0" applyFont="1" applyProtection="1">
      <protection hidden="1"/>
    </xf>
    <xf numFmtId="0" fontId="1" fillId="0" borderId="1" xfId="0" applyFont="1" applyBorder="1" applyAlignment="1" applyProtection="1">
      <alignment horizontal="center"/>
      <protection hidden="1"/>
    </xf>
    <xf numFmtId="0" fontId="1" fillId="0" borderId="8" xfId="0" applyFont="1" applyBorder="1" applyAlignment="1" applyProtection="1">
      <alignment horizontal="center" wrapText="1"/>
      <protection hidden="1"/>
    </xf>
    <xf numFmtId="0" fontId="1" fillId="0" borderId="13" xfId="0" applyFont="1" applyBorder="1" applyAlignment="1" applyProtection="1">
      <alignment horizontal="center" wrapText="1"/>
      <protection hidden="1"/>
    </xf>
    <xf numFmtId="0" fontId="1" fillId="0" borderId="1" xfId="0" applyFont="1" applyBorder="1" applyAlignment="1" applyProtection="1">
      <alignment horizontal="center" wrapText="1"/>
      <protection hidden="1"/>
    </xf>
    <xf numFmtId="0" fontId="0" fillId="0" borderId="1" xfId="0" applyBorder="1" applyProtection="1">
      <protection hidden="1"/>
    </xf>
    <xf numFmtId="0" fontId="0" fillId="0" borderId="12" xfId="0" applyBorder="1" applyAlignment="1" applyProtection="1">
      <alignment horizontal="center"/>
      <protection hidden="1"/>
    </xf>
    <xf numFmtId="0" fontId="0" fillId="0" borderId="5" xfId="0" applyBorder="1" applyAlignment="1" applyProtection="1">
      <alignment horizontal="center"/>
      <protection hidden="1"/>
    </xf>
    <xf numFmtId="0" fontId="1" fillId="0" borderId="8" xfId="0" applyFont="1" applyBorder="1" applyAlignment="1" applyProtection="1">
      <alignment horizontal="center"/>
      <protection hidden="1"/>
    </xf>
    <xf numFmtId="0" fontId="13" fillId="0" borderId="0" xfId="0" applyFont="1" applyProtection="1">
      <protection hidden="1"/>
    </xf>
    <xf numFmtId="0" fontId="14" fillId="0" borderId="0" xfId="0" applyFont="1" applyAlignment="1">
      <alignment horizontal="left" vertical="top"/>
    </xf>
    <xf numFmtId="0" fontId="1" fillId="4" borderId="0" xfId="0" applyFont="1" applyFill="1" applyAlignment="1">
      <alignment horizontal="center" wrapText="1"/>
    </xf>
    <xf numFmtId="0" fontId="15" fillId="0" borderId="0" xfId="0" applyFont="1"/>
    <xf numFmtId="44" fontId="0" fillId="0" borderId="1" xfId="3" applyFont="1" applyBorder="1" applyAlignment="1">
      <alignment horizontal="center" vertical="center"/>
    </xf>
    <xf numFmtId="44" fontId="0" fillId="0" borderId="1" xfId="3" applyFont="1" applyBorder="1" applyAlignment="1">
      <alignment horizontal="center"/>
    </xf>
    <xf numFmtId="44" fontId="0" fillId="0" borderId="1" xfId="0" applyNumberFormat="1" applyBorder="1" applyAlignment="1">
      <alignment horizontal="center"/>
    </xf>
    <xf numFmtId="9" fontId="0" fillId="0" borderId="11" xfId="5" applyFont="1" applyBorder="1"/>
    <xf numFmtId="9" fontId="0" fillId="0" borderId="11" xfId="5" applyFont="1" applyBorder="1" applyAlignment="1">
      <alignment horizontal="center"/>
    </xf>
    <xf numFmtId="9" fontId="0" fillId="0" borderId="14" xfId="5" applyFont="1" applyBorder="1" applyAlignment="1">
      <alignment horizontal="center"/>
    </xf>
    <xf numFmtId="0" fontId="6" fillId="0" borderId="0" xfId="0" applyFont="1" applyAlignment="1">
      <alignment horizontal="left" indent="7"/>
    </xf>
    <xf numFmtId="0" fontId="12" fillId="8" borderId="1" xfId="0" applyFont="1" applyFill="1" applyBorder="1" applyAlignment="1">
      <alignment wrapText="1"/>
    </xf>
    <xf numFmtId="0" fontId="12" fillId="9" borderId="1" xfId="0" applyFont="1" applyFill="1" applyBorder="1" applyAlignment="1">
      <alignment wrapText="1"/>
    </xf>
    <xf numFmtId="0" fontId="12" fillId="10" borderId="1" xfId="0" applyFont="1" applyFill="1" applyBorder="1" applyAlignment="1">
      <alignment wrapText="1"/>
    </xf>
    <xf numFmtId="0" fontId="12" fillId="9" borderId="21" xfId="0" applyFont="1" applyFill="1" applyBorder="1" applyAlignment="1">
      <alignment wrapText="1"/>
    </xf>
    <xf numFmtId="0" fontId="12" fillId="9" borderId="22" xfId="0" applyFont="1" applyFill="1" applyBorder="1" applyAlignment="1">
      <alignment wrapText="1"/>
    </xf>
    <xf numFmtId="0" fontId="12" fillId="8" borderId="21" xfId="0" applyFont="1" applyFill="1" applyBorder="1" applyAlignment="1">
      <alignment wrapText="1"/>
    </xf>
    <xf numFmtId="0" fontId="12" fillId="8" borderId="22" xfId="0" applyFont="1" applyFill="1" applyBorder="1" applyAlignment="1">
      <alignment wrapText="1"/>
    </xf>
    <xf numFmtId="0" fontId="12" fillId="10" borderId="21" xfId="0" applyFont="1" applyFill="1" applyBorder="1" applyAlignment="1">
      <alignment wrapText="1"/>
    </xf>
    <xf numFmtId="0" fontId="12" fillId="10" borderId="22" xfId="0" applyFont="1" applyFill="1" applyBorder="1" applyAlignment="1">
      <alignment wrapText="1"/>
    </xf>
    <xf numFmtId="0" fontId="12" fillId="12" borderId="21" xfId="0" applyFont="1" applyFill="1" applyBorder="1" applyAlignment="1">
      <alignment wrapText="1"/>
    </xf>
    <xf numFmtId="0" fontId="12" fillId="12" borderId="1" xfId="0" applyFont="1" applyFill="1" applyBorder="1" applyAlignment="1">
      <alignment wrapText="1"/>
    </xf>
    <xf numFmtId="0" fontId="12" fillId="12" borderId="22" xfId="0" applyFont="1" applyFill="1" applyBorder="1" applyAlignment="1">
      <alignment wrapText="1"/>
    </xf>
    <xf numFmtId="0" fontId="12" fillId="13" borderId="21" xfId="0" applyFont="1" applyFill="1" applyBorder="1" applyAlignment="1">
      <alignment wrapText="1"/>
    </xf>
    <xf numFmtId="0" fontId="12" fillId="13" borderId="1" xfId="0" applyFont="1" applyFill="1" applyBorder="1" applyAlignment="1">
      <alignment wrapText="1"/>
    </xf>
    <xf numFmtId="0" fontId="12" fillId="13" borderId="22" xfId="0" applyFont="1" applyFill="1" applyBorder="1" applyAlignment="1">
      <alignment wrapText="1"/>
    </xf>
    <xf numFmtId="0" fontId="12" fillId="14" borderId="21" xfId="0" applyFont="1" applyFill="1" applyBorder="1" applyAlignment="1">
      <alignment wrapText="1"/>
    </xf>
    <xf numFmtId="0" fontId="12" fillId="14" borderId="1" xfId="0" applyFont="1" applyFill="1" applyBorder="1" applyAlignment="1">
      <alignment wrapText="1"/>
    </xf>
    <xf numFmtId="0" fontId="12" fillId="14" borderId="22" xfId="0" applyFont="1" applyFill="1" applyBorder="1" applyAlignment="1">
      <alignment wrapText="1"/>
    </xf>
    <xf numFmtId="0" fontId="0" fillId="0" borderId="12" xfId="0" applyBorder="1" applyAlignment="1">
      <alignment wrapText="1"/>
    </xf>
    <xf numFmtId="0" fontId="0" fillId="0" borderId="12" xfId="0" applyBorder="1" applyAlignment="1">
      <alignment horizontal="left" wrapText="1" indent="1"/>
    </xf>
    <xf numFmtId="0" fontId="0" fillId="0" borderId="12" xfId="0" applyBorder="1" applyAlignment="1">
      <alignment horizontal="left" wrapText="1"/>
    </xf>
    <xf numFmtId="0" fontId="0" fillId="7" borderId="12" xfId="0" applyFill="1" applyBorder="1" applyAlignment="1">
      <alignment wrapText="1"/>
    </xf>
    <xf numFmtId="0" fontId="12" fillId="6" borderId="8" xfId="0" applyFont="1" applyFill="1" applyBorder="1" applyAlignment="1">
      <alignment horizontal="center"/>
    </xf>
    <xf numFmtId="0" fontId="12" fillId="6" borderId="13" xfId="0" applyFont="1" applyFill="1" applyBorder="1" applyAlignment="1">
      <alignment horizontal="center"/>
    </xf>
    <xf numFmtId="0" fontId="12" fillId="6" borderId="6" xfId="0" applyFont="1" applyFill="1" applyBorder="1" applyAlignment="1">
      <alignment horizontal="center"/>
    </xf>
    <xf numFmtId="0" fontId="0" fillId="7" borderId="5" xfId="0" applyFill="1" applyBorder="1" applyAlignment="1">
      <alignment wrapText="1"/>
    </xf>
    <xf numFmtId="0" fontId="12" fillId="9" borderId="8" xfId="0" applyFont="1" applyFill="1" applyBorder="1" applyAlignment="1">
      <alignment horizontal="center"/>
    </xf>
    <xf numFmtId="0" fontId="12" fillId="9" borderId="13" xfId="0" applyFont="1" applyFill="1" applyBorder="1" applyAlignment="1">
      <alignment horizontal="center"/>
    </xf>
    <xf numFmtId="0" fontId="12" fillId="9" borderId="6" xfId="0" applyFont="1" applyFill="1" applyBorder="1" applyAlignment="1">
      <alignment horizontal="center"/>
    </xf>
    <xf numFmtId="0" fontId="12" fillId="8" borderId="8" xfId="0" applyFont="1" applyFill="1" applyBorder="1" applyAlignment="1">
      <alignment horizontal="center"/>
    </xf>
    <xf numFmtId="0" fontId="12" fillId="8" borderId="13" xfId="0" applyFont="1" applyFill="1" applyBorder="1" applyAlignment="1">
      <alignment horizontal="center"/>
    </xf>
    <xf numFmtId="0" fontId="12" fillId="8" borderId="6" xfId="0" applyFont="1" applyFill="1" applyBorder="1" applyAlignment="1">
      <alignment horizontal="center"/>
    </xf>
    <xf numFmtId="0" fontId="12" fillId="10" borderId="8" xfId="0" applyFont="1" applyFill="1" applyBorder="1" applyAlignment="1">
      <alignment horizontal="center"/>
    </xf>
    <xf numFmtId="0" fontId="12" fillId="10" borderId="13" xfId="0" applyFont="1" applyFill="1" applyBorder="1" applyAlignment="1">
      <alignment horizontal="center"/>
    </xf>
    <xf numFmtId="0" fontId="12" fillId="10" borderId="6" xfId="0" applyFont="1" applyFill="1" applyBorder="1" applyAlignment="1">
      <alignment horizontal="center"/>
    </xf>
    <xf numFmtId="0" fontId="12" fillId="11" borderId="8" xfId="0" applyFont="1" applyFill="1" applyBorder="1" applyAlignment="1">
      <alignment horizontal="center"/>
    </xf>
    <xf numFmtId="0" fontId="12" fillId="11" borderId="13" xfId="0" applyFont="1" applyFill="1" applyBorder="1" applyAlignment="1">
      <alignment horizontal="center"/>
    </xf>
    <xf numFmtId="0" fontId="12" fillId="11" borderId="6" xfId="0" applyFont="1" applyFill="1" applyBorder="1" applyAlignment="1">
      <alignment horizontal="center"/>
    </xf>
    <xf numFmtId="0" fontId="12" fillId="12" borderId="8" xfId="0" applyFont="1" applyFill="1" applyBorder="1" applyAlignment="1">
      <alignment horizontal="center"/>
    </xf>
    <xf numFmtId="0" fontId="12" fillId="12" borderId="13" xfId="0" applyFont="1" applyFill="1" applyBorder="1" applyAlignment="1">
      <alignment horizontal="center"/>
    </xf>
    <xf numFmtId="0" fontId="12" fillId="12" borderId="6" xfId="0" applyFont="1" applyFill="1" applyBorder="1" applyAlignment="1">
      <alignment horizontal="center"/>
    </xf>
    <xf numFmtId="0" fontId="12" fillId="13" borderId="8" xfId="0" applyFont="1" applyFill="1" applyBorder="1" applyAlignment="1">
      <alignment horizontal="center"/>
    </xf>
    <xf numFmtId="0" fontId="12" fillId="13" borderId="13" xfId="0" applyFont="1" applyFill="1" applyBorder="1" applyAlignment="1">
      <alignment horizontal="center"/>
    </xf>
    <xf numFmtId="0" fontId="12" fillId="13" borderId="6" xfId="0" applyFont="1" applyFill="1" applyBorder="1" applyAlignment="1">
      <alignment horizontal="center"/>
    </xf>
    <xf numFmtId="0" fontId="12" fillId="14" borderId="8" xfId="0" applyFont="1" applyFill="1" applyBorder="1" applyAlignment="1">
      <alignment horizontal="center"/>
    </xf>
    <xf numFmtId="0" fontId="12" fillId="14" borderId="13" xfId="0" applyFont="1" applyFill="1" applyBorder="1" applyAlignment="1">
      <alignment horizontal="center"/>
    </xf>
    <xf numFmtId="0" fontId="12" fillId="14" borderId="6" xfId="0" applyFont="1" applyFill="1" applyBorder="1" applyAlignment="1">
      <alignment horizontal="center"/>
    </xf>
    <xf numFmtId="44" fontId="0" fillId="0" borderId="1" xfId="3" applyFont="1" applyBorder="1"/>
    <xf numFmtId="44" fontId="0" fillId="7" borderId="1" xfId="3" applyFont="1" applyFill="1" applyBorder="1"/>
    <xf numFmtId="10" fontId="0" fillId="0" borderId="2" xfId="5" applyNumberFormat="1" applyFont="1" applyBorder="1"/>
    <xf numFmtId="10" fontId="0" fillId="7" borderId="2" xfId="5" applyNumberFormat="1" applyFont="1" applyFill="1" applyBorder="1"/>
    <xf numFmtId="10" fontId="0" fillId="7" borderId="3" xfId="5" applyNumberFormat="1" applyFont="1" applyFill="1" applyBorder="1"/>
    <xf numFmtId="43" fontId="0" fillId="0" borderId="1" xfId="4" applyFont="1" applyBorder="1"/>
    <xf numFmtId="0" fontId="9" fillId="0" borderId="0" xfId="0" applyFont="1"/>
    <xf numFmtId="0" fontId="2" fillId="0" borderId="26" xfId="0" applyFont="1" applyBorder="1"/>
    <xf numFmtId="0" fontId="16" fillId="0" borderId="0" xfId="0" applyFont="1"/>
    <xf numFmtId="0" fontId="16" fillId="0" borderId="0" xfId="0" applyFont="1" applyAlignment="1">
      <alignment horizontal="right"/>
    </xf>
    <xf numFmtId="0" fontId="0" fillId="0" borderId="6" xfId="0" applyBorder="1"/>
    <xf numFmtId="0" fontId="0" fillId="0" borderId="8" xfId="0" applyBorder="1"/>
    <xf numFmtId="44" fontId="0" fillId="0" borderId="1" xfId="3" applyFont="1" applyFill="1" applyBorder="1"/>
    <xf numFmtId="10" fontId="0" fillId="0" borderId="2" xfId="5" applyNumberFormat="1" applyFont="1" applyFill="1" applyBorder="1"/>
    <xf numFmtId="0" fontId="1" fillId="7" borderId="12" xfId="0" applyFont="1" applyFill="1" applyBorder="1" applyAlignment="1">
      <alignment wrapText="1"/>
    </xf>
    <xf numFmtId="44" fontId="1" fillId="7" borderId="1" xfId="3" applyFont="1" applyFill="1" applyBorder="1"/>
    <xf numFmtId="10" fontId="1" fillId="7" borderId="2" xfId="5" applyNumberFormat="1" applyFont="1" applyFill="1" applyBorder="1"/>
    <xf numFmtId="0" fontId="0" fillId="0" borderId="1" xfId="3" applyNumberFormat="1" applyFont="1" applyFill="1" applyBorder="1"/>
    <xf numFmtId="0" fontId="0" fillId="0" borderId="12" xfId="0" applyBorder="1" applyAlignment="1">
      <alignment horizontal="left" wrapText="1" indent="2"/>
    </xf>
    <xf numFmtId="0" fontId="12" fillId="15" borderId="1" xfId="3" applyNumberFormat="1" applyFont="1" applyFill="1" applyBorder="1"/>
    <xf numFmtId="0" fontId="12" fillId="16" borderId="12" xfId="0" applyFont="1" applyFill="1" applyBorder="1" applyAlignment="1">
      <alignment wrapText="1"/>
    </xf>
    <xf numFmtId="44" fontId="12" fillId="16" borderId="1" xfId="3" applyFont="1" applyFill="1" applyBorder="1"/>
    <xf numFmtId="10" fontId="12" fillId="16" borderId="2" xfId="5" applyNumberFormat="1" applyFont="1" applyFill="1" applyBorder="1"/>
    <xf numFmtId="0" fontId="12" fillId="16" borderId="5" xfId="0" applyFont="1" applyFill="1" applyBorder="1" applyAlignment="1">
      <alignment wrapText="1"/>
    </xf>
    <xf numFmtId="44" fontId="12" fillId="16" borderId="9" xfId="3" applyFont="1" applyFill="1" applyBorder="1"/>
    <xf numFmtId="10" fontId="12" fillId="16" borderId="3" xfId="5" applyNumberFormat="1" applyFont="1" applyFill="1" applyBorder="1"/>
    <xf numFmtId="0" fontId="12" fillId="6" borderId="1" xfId="0" applyFont="1" applyFill="1" applyBorder="1"/>
    <xf numFmtId="14" fontId="0" fillId="0" borderId="1" xfId="0" applyNumberFormat="1" applyBorder="1"/>
    <xf numFmtId="0" fontId="14" fillId="0" borderId="0" xfId="0" applyFont="1"/>
    <xf numFmtId="0" fontId="8" fillId="0" borderId="1" xfId="0" applyFont="1" applyBorder="1"/>
    <xf numFmtId="43" fontId="0" fillId="0" borderId="1" xfId="3" applyNumberFormat="1" applyFont="1" applyFill="1" applyBorder="1"/>
    <xf numFmtId="43" fontId="1" fillId="7" borderId="1" xfId="3" applyNumberFormat="1" applyFont="1" applyFill="1" applyBorder="1"/>
    <xf numFmtId="43" fontId="12" fillId="15" borderId="1" xfId="3" applyNumberFormat="1" applyFont="1" applyFill="1" applyBorder="1"/>
    <xf numFmtId="43" fontId="12" fillId="15" borderId="9" xfId="3" applyNumberFormat="1" applyFont="1" applyFill="1" applyBorder="1"/>
    <xf numFmtId="0" fontId="12" fillId="9" borderId="12" xfId="0" applyFont="1" applyFill="1" applyBorder="1" applyAlignment="1">
      <alignment wrapText="1"/>
    </xf>
    <xf numFmtId="0" fontId="12" fillId="8" borderId="12" xfId="0" applyFont="1" applyFill="1" applyBorder="1" applyAlignment="1">
      <alignment wrapText="1"/>
    </xf>
    <xf numFmtId="0" fontId="12" fillId="10" borderId="12" xfId="0" applyFont="1" applyFill="1" applyBorder="1" applyAlignment="1">
      <alignment wrapText="1"/>
    </xf>
    <xf numFmtId="0" fontId="12" fillId="12" borderId="12" xfId="0" applyFont="1" applyFill="1" applyBorder="1" applyAlignment="1">
      <alignment wrapText="1"/>
    </xf>
    <xf numFmtId="0" fontId="12" fillId="13" borderId="12" xfId="0" applyFont="1" applyFill="1" applyBorder="1" applyAlignment="1">
      <alignment wrapText="1"/>
    </xf>
    <xf numFmtId="0" fontId="12" fillId="14" borderId="12" xfId="0" applyFont="1" applyFill="1" applyBorder="1" applyAlignment="1">
      <alignment wrapText="1"/>
    </xf>
    <xf numFmtId="0" fontId="12" fillId="9" borderId="2" xfId="0" applyFont="1" applyFill="1" applyBorder="1" applyAlignment="1">
      <alignment wrapText="1"/>
    </xf>
    <xf numFmtId="0" fontId="12" fillId="8" borderId="2" xfId="0" applyFont="1" applyFill="1" applyBorder="1" applyAlignment="1">
      <alignment wrapText="1"/>
    </xf>
    <xf numFmtId="0" fontId="12" fillId="10" borderId="2" xfId="0" applyFont="1" applyFill="1" applyBorder="1" applyAlignment="1">
      <alignment wrapText="1"/>
    </xf>
    <xf numFmtId="0" fontId="12" fillId="12" borderId="2" xfId="0" applyFont="1" applyFill="1" applyBorder="1" applyAlignment="1">
      <alignment wrapText="1"/>
    </xf>
    <xf numFmtId="0" fontId="12" fillId="13" borderId="2" xfId="0" applyFont="1" applyFill="1" applyBorder="1" applyAlignment="1">
      <alignment wrapText="1"/>
    </xf>
    <xf numFmtId="0" fontId="12" fillId="14" borderId="2" xfId="0" applyFont="1" applyFill="1" applyBorder="1" applyAlignment="1">
      <alignment wrapText="1"/>
    </xf>
    <xf numFmtId="44" fontId="0" fillId="0" borderId="12" xfId="3" applyFont="1" applyBorder="1"/>
    <xf numFmtId="44" fontId="0" fillId="0" borderId="22" xfId="3" applyFont="1" applyBorder="1"/>
    <xf numFmtId="44" fontId="0" fillId="7" borderId="12" xfId="3" applyFont="1" applyFill="1" applyBorder="1"/>
    <xf numFmtId="44" fontId="0" fillId="7" borderId="2" xfId="3" applyFont="1" applyFill="1" applyBorder="1"/>
    <xf numFmtId="44" fontId="0" fillId="7" borderId="22" xfId="3" applyFont="1" applyFill="1" applyBorder="1"/>
    <xf numFmtId="44" fontId="0" fillId="7" borderId="27" xfId="3" applyFont="1" applyFill="1" applyBorder="1"/>
    <xf numFmtId="44" fontId="0" fillId="7" borderId="24" xfId="3" applyFont="1" applyFill="1" applyBorder="1"/>
    <xf numFmtId="44" fontId="0" fillId="7" borderId="29" xfId="3" applyFont="1" applyFill="1" applyBorder="1"/>
    <xf numFmtId="44" fontId="0" fillId="7" borderId="25" xfId="3" applyFont="1" applyFill="1" applyBorder="1"/>
    <xf numFmtId="0" fontId="18" fillId="0" borderId="0" xfId="0" applyFont="1"/>
    <xf numFmtId="44" fontId="0" fillId="0" borderId="2" xfId="3" applyFont="1" applyBorder="1"/>
    <xf numFmtId="0" fontId="0" fillId="0" borderId="31" xfId="0" applyBorder="1" applyAlignment="1">
      <alignment wrapText="1"/>
    </xf>
    <xf numFmtId="0" fontId="0" fillId="7" borderId="31" xfId="0" applyFill="1" applyBorder="1" applyAlignment="1">
      <alignment wrapText="1"/>
    </xf>
    <xf numFmtId="0" fontId="0" fillId="7" borderId="32" xfId="0" applyFill="1" applyBorder="1" applyAlignment="1">
      <alignment wrapText="1"/>
    </xf>
    <xf numFmtId="0" fontId="0" fillId="0" borderId="22" xfId="0" applyBorder="1" applyAlignment="1">
      <alignment wrapText="1"/>
    </xf>
    <xf numFmtId="0" fontId="0" fillId="7" borderId="22" xfId="0" applyFill="1" applyBorder="1" applyAlignment="1">
      <alignment wrapText="1"/>
    </xf>
    <xf numFmtId="0" fontId="0" fillId="7" borderId="25" xfId="0" applyFill="1" applyBorder="1" applyAlignment="1">
      <alignment wrapText="1"/>
    </xf>
    <xf numFmtId="0" fontId="1" fillId="0" borderId="1" xfId="0" applyFont="1" applyBorder="1" applyAlignment="1">
      <alignment vertical="top"/>
    </xf>
    <xf numFmtId="0" fontId="0" fillId="0" borderId="1" xfId="0" applyBorder="1" applyAlignment="1">
      <alignment vertical="top"/>
    </xf>
    <xf numFmtId="0" fontId="19" fillId="0" borderId="0" xfId="0" applyFont="1"/>
    <xf numFmtId="0" fontId="12" fillId="8" borderId="1" xfId="0" applyFont="1" applyFill="1" applyBorder="1" applyAlignment="1">
      <alignment horizontal="center" vertical="center" wrapText="1"/>
    </xf>
    <xf numFmtId="0" fontId="4" fillId="0" borderId="0" xfId="0" applyFont="1"/>
    <xf numFmtId="0" fontId="0" fillId="0" borderId="2" xfId="0" applyBorder="1" applyAlignment="1">
      <alignment horizontal="center"/>
    </xf>
    <xf numFmtId="0" fontId="12" fillId="8" borderId="8" xfId="0" applyFont="1" applyFill="1" applyBorder="1" applyAlignment="1">
      <alignment horizontal="center" vertical="center" wrapText="1"/>
    </xf>
    <xf numFmtId="0" fontId="12" fillId="8" borderId="13" xfId="0" applyFont="1" applyFill="1" applyBorder="1" applyAlignment="1">
      <alignment horizontal="center" vertical="center" wrapText="1"/>
    </xf>
    <xf numFmtId="0" fontId="12" fillId="8" borderId="6" xfId="0" applyFont="1" applyFill="1" applyBorder="1" applyAlignment="1">
      <alignment horizontal="center" vertical="center" wrapText="1"/>
    </xf>
    <xf numFmtId="0" fontId="1" fillId="8" borderId="8" xfId="0" applyFont="1" applyFill="1" applyBorder="1" applyAlignment="1">
      <alignment horizontal="center" vertical="center" wrapText="1"/>
    </xf>
    <xf numFmtId="0" fontId="1" fillId="8" borderId="6" xfId="0" applyFont="1" applyFill="1" applyBorder="1" applyAlignment="1">
      <alignment horizontal="center" vertical="center" wrapText="1"/>
    </xf>
    <xf numFmtId="0" fontId="1" fillId="0" borderId="0" xfId="0" applyFont="1" applyAlignment="1">
      <alignment horizontal="center" vertical="center" wrapText="1"/>
    </xf>
    <xf numFmtId="0" fontId="1" fillId="8" borderId="1" xfId="0" applyFont="1" applyFill="1" applyBorder="1" applyAlignment="1">
      <alignment horizontal="center" vertical="center" wrapText="1"/>
    </xf>
    <xf numFmtId="0" fontId="1" fillId="8" borderId="13" xfId="0" applyFont="1" applyFill="1" applyBorder="1" applyAlignment="1">
      <alignment horizontal="center" vertical="center" wrapText="1"/>
    </xf>
    <xf numFmtId="2" fontId="0" fillId="0" borderId="0" xfId="0" applyNumberFormat="1" applyAlignment="1">
      <alignment horizontal="center"/>
    </xf>
    <xf numFmtId="1" fontId="0" fillId="0" borderId="0" xfId="0" applyNumberFormat="1"/>
    <xf numFmtId="0" fontId="7" fillId="0" borderId="2" xfId="0" applyFont="1" applyBorder="1" applyProtection="1">
      <protection locked="0"/>
    </xf>
    <xf numFmtId="0" fontId="0" fillId="17" borderId="1" xfId="0" applyFill="1" applyBorder="1" applyAlignment="1" applyProtection="1">
      <alignment horizontal="center"/>
      <protection hidden="1"/>
    </xf>
    <xf numFmtId="0" fontId="0" fillId="17" borderId="9" xfId="0" applyFill="1" applyBorder="1" applyAlignment="1" applyProtection="1">
      <alignment horizontal="center"/>
      <protection hidden="1"/>
    </xf>
    <xf numFmtId="0" fontId="0" fillId="17" borderId="2" xfId="0" applyFill="1" applyBorder="1"/>
    <xf numFmtId="0" fontId="0" fillId="17" borderId="3" xfId="0" applyFill="1" applyBorder="1"/>
    <xf numFmtId="0" fontId="0" fillId="0" borderId="1" xfId="0" applyBorder="1" applyAlignment="1">
      <alignment horizontal="left" vertical="top"/>
    </xf>
    <xf numFmtId="0" fontId="10" fillId="0" borderId="1" xfId="0" applyFont="1" applyBorder="1" applyAlignment="1">
      <alignment horizontal="left" vertical="top" wrapText="1"/>
    </xf>
    <xf numFmtId="0" fontId="0" fillId="0" borderId="1" xfId="0" applyBorder="1" applyAlignment="1">
      <alignment horizontal="left" vertical="top" wrapText="1"/>
    </xf>
    <xf numFmtId="0" fontId="12" fillId="6" borderId="1" xfId="0" applyFont="1" applyFill="1" applyBorder="1" applyAlignment="1">
      <alignment horizontal="left" vertical="top"/>
    </xf>
    <xf numFmtId="0" fontId="12" fillId="6" borderId="1" xfId="0" applyFont="1" applyFill="1" applyBorder="1" applyAlignment="1">
      <alignment horizontal="left" vertical="top" wrapText="1"/>
    </xf>
    <xf numFmtId="0" fontId="0" fillId="0" borderId="12" xfId="0" applyBorder="1" applyAlignment="1" applyProtection="1">
      <alignment horizontal="center"/>
      <protection locked="0"/>
    </xf>
    <xf numFmtId="14" fontId="0" fillId="0" borderId="1" xfId="0" applyNumberFormat="1" applyBorder="1" applyProtection="1">
      <protection locked="0"/>
    </xf>
    <xf numFmtId="49" fontId="0" fillId="0" borderId="1" xfId="0" applyNumberFormat="1" applyBorder="1" applyAlignment="1" applyProtection="1">
      <alignment horizontal="center"/>
      <protection locked="0"/>
    </xf>
    <xf numFmtId="0" fontId="0" fillId="0" borderId="33" xfId="0" applyBorder="1" applyAlignment="1">
      <alignment vertical="top"/>
    </xf>
    <xf numFmtId="166" fontId="0" fillId="0" borderId="0" xfId="0" applyNumberFormat="1" applyAlignment="1">
      <alignment horizontal="center" vertical="center"/>
    </xf>
    <xf numFmtId="0" fontId="0" fillId="0" borderId="34" xfId="0" applyBorder="1" applyAlignment="1">
      <alignment horizontal="center"/>
    </xf>
    <xf numFmtId="1" fontId="0" fillId="0" borderId="34" xfId="0" applyNumberFormat="1" applyBorder="1" applyAlignment="1">
      <alignment horizontal="center" wrapText="1"/>
    </xf>
    <xf numFmtId="1" fontId="0" fillId="0" borderId="34" xfId="0" applyNumberFormat="1" applyBorder="1" applyAlignment="1">
      <alignment horizontal="center"/>
    </xf>
    <xf numFmtId="1" fontId="12" fillId="4" borderId="35" xfId="0" applyNumberFormat="1" applyFont="1" applyFill="1" applyBorder="1" applyAlignment="1">
      <alignment horizontal="center"/>
    </xf>
    <xf numFmtId="0" fontId="12" fillId="4" borderId="0" xfId="0" applyFont="1" applyFill="1" applyAlignment="1">
      <alignment horizontal="center"/>
    </xf>
    <xf numFmtId="1" fontId="12" fillId="4" borderId="0" xfId="0" applyNumberFormat="1" applyFont="1" applyFill="1" applyAlignment="1">
      <alignment horizontal="center"/>
    </xf>
    <xf numFmtId="0" fontId="1" fillId="2" borderId="1" xfId="0" applyFont="1" applyFill="1" applyBorder="1" applyAlignment="1">
      <alignment horizontal="center"/>
    </xf>
    <xf numFmtId="49" fontId="0" fillId="0" borderId="1" xfId="0" applyNumberFormat="1" applyBorder="1" applyAlignment="1">
      <alignment horizontal="right"/>
    </xf>
    <xf numFmtId="0" fontId="10" fillId="0" borderId="1" xfId="0" applyFont="1" applyBorder="1" applyProtection="1">
      <protection locked="0"/>
    </xf>
    <xf numFmtId="0" fontId="10" fillId="0" borderId="1" xfId="0" applyFont="1" applyBorder="1" applyAlignment="1" applyProtection="1">
      <alignment wrapText="1"/>
      <protection locked="0"/>
    </xf>
    <xf numFmtId="0" fontId="10" fillId="0" borderId="1" xfId="0" applyFont="1" applyBorder="1" applyAlignment="1">
      <alignment wrapText="1"/>
    </xf>
    <xf numFmtId="0" fontId="10" fillId="3" borderId="1" xfId="0" applyFont="1" applyFill="1" applyBorder="1" applyAlignment="1" applyProtection="1">
      <alignment wrapText="1"/>
      <protection locked="0"/>
    </xf>
    <xf numFmtId="0" fontId="10" fillId="17" borderId="2" xfId="0" applyFont="1" applyFill="1" applyBorder="1"/>
    <xf numFmtId="0" fontId="10" fillId="17" borderId="2" xfId="0" applyFont="1" applyFill="1" applyBorder="1" applyProtection="1">
      <protection hidden="1"/>
    </xf>
    <xf numFmtId="0" fontId="10" fillId="3" borderId="1" xfId="0" applyFont="1" applyFill="1" applyBorder="1" applyAlignment="1">
      <alignment wrapText="1"/>
    </xf>
    <xf numFmtId="0" fontId="8" fillId="0" borderId="1" xfId="0" applyFont="1" applyBorder="1" applyAlignment="1">
      <alignment horizontal="center" wrapText="1"/>
    </xf>
    <xf numFmtId="0" fontId="0" fillId="17" borderId="1" xfId="0" applyFill="1" applyBorder="1" applyProtection="1">
      <protection hidden="1"/>
    </xf>
    <xf numFmtId="0" fontId="0" fillId="17" borderId="9" xfId="0" applyFill="1" applyBorder="1" applyProtection="1">
      <protection hidden="1"/>
    </xf>
    <xf numFmtId="0" fontId="12" fillId="18" borderId="21" xfId="0" applyFont="1" applyFill="1" applyBorder="1" applyAlignment="1">
      <alignment wrapText="1"/>
    </xf>
    <xf numFmtId="0" fontId="12" fillId="18" borderId="12" xfId="0" applyFont="1" applyFill="1" applyBorder="1" applyAlignment="1">
      <alignment wrapText="1"/>
    </xf>
    <xf numFmtId="0" fontId="12" fillId="18" borderId="1" xfId="0" applyFont="1" applyFill="1" applyBorder="1" applyAlignment="1">
      <alignment wrapText="1"/>
    </xf>
    <xf numFmtId="0" fontId="12" fillId="18" borderId="2" xfId="0" applyFont="1" applyFill="1" applyBorder="1" applyAlignment="1">
      <alignment wrapText="1"/>
    </xf>
    <xf numFmtId="0" fontId="12" fillId="18" borderId="22" xfId="0" applyFont="1" applyFill="1" applyBorder="1" applyAlignment="1">
      <alignment wrapText="1"/>
    </xf>
    <xf numFmtId="44" fontId="0" fillId="0" borderId="1" xfId="3" applyFont="1" applyBorder="1" applyProtection="1">
      <protection locked="0"/>
    </xf>
    <xf numFmtId="0" fontId="0" fillId="0" borderId="21" xfId="0" applyBorder="1" applyAlignment="1">
      <alignment horizontal="center"/>
    </xf>
    <xf numFmtId="0" fontId="0" fillId="0" borderId="23" xfId="0" applyBorder="1" applyAlignment="1">
      <alignment horizontal="center"/>
    </xf>
    <xf numFmtId="0" fontId="10" fillId="0" borderId="1" xfId="0" applyFont="1" applyBorder="1"/>
    <xf numFmtId="167" fontId="10" fillId="0" borderId="1" xfId="0" applyNumberFormat="1" applyFont="1" applyBorder="1"/>
    <xf numFmtId="0" fontId="2" fillId="0" borderId="0" xfId="0" applyFont="1" applyAlignment="1">
      <alignment horizontal="left"/>
    </xf>
    <xf numFmtId="167" fontId="10" fillId="0" borderId="22" xfId="0" applyNumberFormat="1" applyFont="1" applyBorder="1"/>
    <xf numFmtId="0" fontId="10" fillId="0" borderId="24" xfId="0" applyFont="1" applyBorder="1"/>
    <xf numFmtId="167" fontId="10" fillId="0" borderId="24" xfId="0" applyNumberFormat="1" applyFont="1" applyBorder="1"/>
    <xf numFmtId="167" fontId="10" fillId="0" borderId="25" xfId="0" applyNumberFormat="1" applyFont="1" applyBorder="1"/>
    <xf numFmtId="0" fontId="0" fillId="0" borderId="37" xfId="0" applyBorder="1" applyAlignment="1">
      <alignment horizontal="right"/>
    </xf>
    <xf numFmtId="0" fontId="0" fillId="0" borderId="38" xfId="0" applyBorder="1" applyAlignment="1">
      <alignment horizontal="right"/>
    </xf>
    <xf numFmtId="3" fontId="0" fillId="0" borderId="22" xfId="0" applyNumberFormat="1" applyBorder="1" applyAlignment="1">
      <alignment horizontal="center"/>
    </xf>
    <xf numFmtId="3" fontId="0" fillId="0" borderId="25" xfId="0" applyNumberFormat="1" applyBorder="1" applyAlignment="1">
      <alignment horizontal="center"/>
    </xf>
    <xf numFmtId="165" fontId="0" fillId="0" borderId="1" xfId="4" applyNumberFormat="1" applyFont="1" applyBorder="1"/>
    <xf numFmtId="164" fontId="0" fillId="0" borderId="1" xfId="3" applyNumberFormat="1" applyFont="1" applyBorder="1"/>
    <xf numFmtId="164" fontId="0" fillId="0" borderId="24" xfId="3" applyNumberFormat="1" applyFont="1" applyBorder="1"/>
    <xf numFmtId="165" fontId="0" fillId="7" borderId="9" xfId="4" applyNumberFormat="1" applyFont="1" applyFill="1" applyBorder="1"/>
    <xf numFmtId="164" fontId="0" fillId="7" borderId="1" xfId="3" applyNumberFormat="1" applyFont="1" applyFill="1" applyBorder="1"/>
    <xf numFmtId="164" fontId="0" fillId="0" borderId="0" xfId="0" applyNumberFormat="1"/>
    <xf numFmtId="165" fontId="0" fillId="0" borderId="1" xfId="4" applyNumberFormat="1" applyFont="1" applyFill="1" applyBorder="1"/>
    <xf numFmtId="168" fontId="0" fillId="0" borderId="2" xfId="5" applyNumberFormat="1" applyFont="1" applyFill="1" applyBorder="1"/>
    <xf numFmtId="168" fontId="1" fillId="7" borderId="2" xfId="5" applyNumberFormat="1" applyFont="1" applyFill="1" applyBorder="1"/>
    <xf numFmtId="168" fontId="12" fillId="16" borderId="2" xfId="5" applyNumberFormat="1" applyFont="1" applyFill="1" applyBorder="1"/>
    <xf numFmtId="168" fontId="12" fillId="16" borderId="3" xfId="5" applyNumberFormat="1" applyFont="1" applyFill="1" applyBorder="1"/>
    <xf numFmtId="44" fontId="12" fillId="15" borderId="1" xfId="3" applyFont="1" applyFill="1" applyBorder="1"/>
    <xf numFmtId="44" fontId="12" fillId="15" borderId="9" xfId="3" applyFont="1" applyFill="1" applyBorder="1"/>
    <xf numFmtId="168" fontId="0" fillId="0" borderId="2" xfId="5" applyNumberFormat="1" applyFont="1" applyBorder="1"/>
    <xf numFmtId="168" fontId="12" fillId="15" borderId="2" xfId="5" applyNumberFormat="1" applyFont="1" applyFill="1" applyBorder="1"/>
    <xf numFmtId="3" fontId="1" fillId="0" borderId="19" xfId="0" applyNumberFormat="1" applyFont="1" applyBorder="1" applyAlignment="1">
      <alignment horizontal="center" vertical="center" wrapText="1"/>
    </xf>
    <xf numFmtId="165" fontId="0" fillId="0" borderId="1" xfId="4" applyNumberFormat="1" applyFont="1" applyBorder="1" applyAlignment="1">
      <alignment horizontal="center"/>
    </xf>
    <xf numFmtId="165" fontId="0" fillId="0" borderId="24" xfId="4" applyNumberFormat="1" applyFont="1" applyBorder="1" applyAlignment="1">
      <alignment horizontal="center"/>
    </xf>
    <xf numFmtId="165" fontId="0" fillId="0" borderId="1" xfId="4" applyNumberFormat="1" applyFont="1" applyBorder="1" applyAlignment="1">
      <alignment horizontal="center" vertical="center"/>
    </xf>
    <xf numFmtId="165" fontId="0" fillId="0" borderId="24" xfId="4" applyNumberFormat="1" applyFont="1" applyBorder="1" applyAlignment="1">
      <alignment horizontal="center" vertical="center"/>
    </xf>
    <xf numFmtId="165" fontId="0" fillId="0" borderId="21" xfId="4" applyNumberFormat="1" applyFont="1" applyBorder="1" applyAlignment="1">
      <alignment horizontal="center"/>
    </xf>
    <xf numFmtId="165" fontId="0" fillId="0" borderId="23" xfId="4" applyNumberFormat="1" applyFont="1" applyBorder="1" applyAlignment="1">
      <alignment horizontal="center"/>
    </xf>
    <xf numFmtId="3" fontId="1" fillId="0" borderId="20" xfId="0" applyNumberFormat="1" applyFont="1" applyBorder="1" applyAlignment="1">
      <alignment horizontal="center" vertical="center" wrapText="1"/>
    </xf>
    <xf numFmtId="164" fontId="0" fillId="0" borderId="21" xfId="3" applyNumberFormat="1" applyFont="1" applyBorder="1"/>
    <xf numFmtId="164" fontId="0" fillId="0" borderId="23" xfId="3" applyNumberFormat="1" applyFont="1" applyBorder="1"/>
    <xf numFmtId="0" fontId="1" fillId="0" borderId="18" xfId="0" applyFont="1" applyBorder="1" applyAlignment="1">
      <alignment horizontal="center" vertical="center"/>
    </xf>
    <xf numFmtId="0" fontId="1" fillId="0" borderId="19" xfId="0" applyFont="1" applyBorder="1" applyAlignment="1">
      <alignment horizontal="center" vertical="center"/>
    </xf>
    <xf numFmtId="0" fontId="0" fillId="20" borderId="0" xfId="0" applyFill="1"/>
    <xf numFmtId="167" fontId="10" fillId="0" borderId="1" xfId="3" applyNumberFormat="1" applyFont="1" applyBorder="1"/>
    <xf numFmtId="0" fontId="0" fillId="0" borderId="0" xfId="0" applyAlignment="1">
      <alignment vertical="center" wrapText="1"/>
    </xf>
    <xf numFmtId="167" fontId="10" fillId="0" borderId="24" xfId="3" applyNumberFormat="1" applyFont="1" applyBorder="1"/>
    <xf numFmtId="164" fontId="23" fillId="0" borderId="1" xfId="3" applyNumberFormat="1" applyFont="1" applyFill="1" applyBorder="1" applyAlignment="1" applyProtection="1">
      <alignment horizontal="center"/>
    </xf>
    <xf numFmtId="164" fontId="23" fillId="0" borderId="13" xfId="3" applyNumberFormat="1" applyFont="1" applyFill="1" applyBorder="1" applyAlignment="1" applyProtection="1">
      <alignment horizontal="center"/>
    </xf>
    <xf numFmtId="164" fontId="23" fillId="0" borderId="9" xfId="3" applyNumberFormat="1" applyFont="1" applyFill="1" applyBorder="1" applyAlignment="1" applyProtection="1">
      <alignment horizontal="center"/>
    </xf>
    <xf numFmtId="0" fontId="12" fillId="21" borderId="41" xfId="0" applyFont="1" applyFill="1" applyBorder="1" applyAlignment="1">
      <alignment horizontal="center" vertical="center" wrapText="1"/>
    </xf>
    <xf numFmtId="0" fontId="1" fillId="0" borderId="0" xfId="0" applyFont="1" applyAlignment="1">
      <alignment horizontal="center" vertical="center"/>
    </xf>
    <xf numFmtId="0" fontId="10" fillId="0" borderId="22" xfId="0" applyFont="1" applyBorder="1"/>
    <xf numFmtId="0" fontId="10" fillId="0" borderId="25" xfId="0" applyFont="1" applyBorder="1"/>
    <xf numFmtId="0" fontId="22" fillId="0" borderId="39" xfId="0" applyFont="1" applyBorder="1" applyAlignment="1">
      <alignment horizontal="center" vertical="center"/>
    </xf>
    <xf numFmtId="0" fontId="26" fillId="0" borderId="0" xfId="0" applyFont="1"/>
    <xf numFmtId="167" fontId="10" fillId="0" borderId="1" xfId="3" applyNumberFormat="1" applyFont="1" applyBorder="1" applyAlignment="1">
      <alignment horizontal="right"/>
    </xf>
    <xf numFmtId="0" fontId="10" fillId="0" borderId="1" xfId="0" applyFont="1" applyBorder="1" applyAlignment="1">
      <alignment horizontal="right"/>
    </xf>
    <xf numFmtId="167" fontId="10" fillId="0" borderId="1" xfId="0" applyNumberFormat="1" applyFont="1" applyBorder="1" applyAlignment="1">
      <alignment horizontal="right"/>
    </xf>
    <xf numFmtId="167" fontId="10" fillId="0" borderId="24" xfId="3" applyNumberFormat="1" applyFont="1" applyBorder="1" applyAlignment="1">
      <alignment horizontal="right"/>
    </xf>
    <xf numFmtId="0" fontId="10" fillId="0" borderId="24" xfId="0" applyFont="1" applyBorder="1" applyAlignment="1">
      <alignment horizontal="right"/>
    </xf>
    <xf numFmtId="167" fontId="10" fillId="0" borderId="24" xfId="0" applyNumberFormat="1" applyFont="1" applyBorder="1" applyAlignment="1">
      <alignment horizontal="right"/>
    </xf>
    <xf numFmtId="0" fontId="1" fillId="23" borderId="19" xfId="0" applyFont="1" applyFill="1" applyBorder="1" applyAlignment="1">
      <alignment horizontal="center" vertical="center" wrapText="1"/>
    </xf>
    <xf numFmtId="0" fontId="1" fillId="24" borderId="20" xfId="0" applyFont="1" applyFill="1" applyBorder="1" applyAlignment="1">
      <alignment horizontal="center" vertical="center" wrapText="1"/>
    </xf>
    <xf numFmtId="3" fontId="0" fillId="0" borderId="24" xfId="0" applyNumberFormat="1" applyBorder="1" applyAlignment="1">
      <alignment horizontal="center"/>
    </xf>
    <xf numFmtId="0" fontId="1" fillId="22" borderId="18" xfId="0" applyFont="1" applyFill="1" applyBorder="1" applyAlignment="1">
      <alignment horizontal="center" vertical="center" wrapText="1"/>
    </xf>
    <xf numFmtId="0" fontId="1" fillId="22" borderId="19" xfId="0" applyFont="1" applyFill="1" applyBorder="1" applyAlignment="1">
      <alignment horizontal="center" vertical="center" wrapText="1"/>
    </xf>
    <xf numFmtId="0" fontId="1" fillId="0" borderId="15" xfId="0" applyFont="1" applyBorder="1" applyAlignment="1">
      <alignment horizontal="center" vertical="center" wrapText="1"/>
    </xf>
    <xf numFmtId="0" fontId="0" fillId="0" borderId="31" xfId="0" applyBorder="1" applyAlignment="1">
      <alignment horizontal="center"/>
    </xf>
    <xf numFmtId="0" fontId="0" fillId="0" borderId="32" xfId="0" applyBorder="1" applyAlignment="1">
      <alignment horizontal="center"/>
    </xf>
    <xf numFmtId="0" fontId="1" fillId="23" borderId="18" xfId="0" applyFont="1" applyFill="1" applyBorder="1" applyAlignment="1">
      <alignment horizontal="center" vertical="center" wrapText="1"/>
    </xf>
    <xf numFmtId="167" fontId="10" fillId="0" borderId="22" xfId="0" applyNumberFormat="1" applyFont="1" applyBorder="1" applyAlignment="1">
      <alignment horizontal="right"/>
    </xf>
    <xf numFmtId="167" fontId="10" fillId="0" borderId="25" xfId="0" applyNumberFormat="1" applyFont="1" applyBorder="1" applyAlignment="1">
      <alignment horizontal="right"/>
    </xf>
    <xf numFmtId="0" fontId="1" fillId="0" borderId="42" xfId="0" applyFont="1" applyBorder="1" applyAlignment="1">
      <alignment horizontal="right"/>
    </xf>
    <xf numFmtId="0" fontId="1" fillId="23" borderId="43" xfId="0" applyFont="1" applyFill="1" applyBorder="1" applyAlignment="1">
      <alignment horizontal="center" vertical="center" wrapText="1"/>
    </xf>
    <xf numFmtId="0" fontId="8" fillId="23" borderId="13" xfId="0" applyFont="1" applyFill="1" applyBorder="1" applyAlignment="1">
      <alignment horizontal="center" vertical="center" wrapText="1"/>
    </xf>
    <xf numFmtId="0" fontId="8" fillId="23" borderId="44" xfId="0" applyFont="1" applyFill="1" applyBorder="1" applyAlignment="1">
      <alignment horizontal="center" vertical="center" wrapText="1"/>
    </xf>
    <xf numFmtId="0" fontId="8" fillId="22" borderId="43" xfId="0" applyFont="1" applyFill="1" applyBorder="1" applyAlignment="1">
      <alignment horizontal="center" vertical="center" wrapText="1"/>
    </xf>
    <xf numFmtId="0" fontId="8" fillId="22" borderId="13" xfId="0" applyFont="1" applyFill="1" applyBorder="1" applyAlignment="1">
      <alignment horizontal="center" vertical="center" wrapText="1"/>
    </xf>
    <xf numFmtId="0" fontId="8" fillId="22" borderId="44" xfId="0" applyFont="1" applyFill="1" applyBorder="1" applyAlignment="1">
      <alignment horizontal="center" vertical="center" wrapText="1"/>
    </xf>
    <xf numFmtId="0" fontId="8" fillId="24" borderId="43" xfId="0" applyFont="1" applyFill="1" applyBorder="1" applyAlignment="1">
      <alignment horizontal="center" vertical="center" wrapText="1"/>
    </xf>
    <xf numFmtId="0" fontId="8" fillId="24" borderId="13" xfId="0" applyFont="1" applyFill="1" applyBorder="1" applyAlignment="1">
      <alignment horizontal="center" vertical="center" wrapText="1"/>
    </xf>
    <xf numFmtId="0" fontId="8" fillId="24" borderId="44" xfId="0" applyFont="1" applyFill="1" applyBorder="1" applyAlignment="1">
      <alignment horizontal="center" vertical="center" wrapText="1"/>
    </xf>
    <xf numFmtId="0" fontId="24" fillId="24" borderId="40" xfId="0" applyFont="1" applyFill="1" applyBorder="1"/>
    <xf numFmtId="44" fontId="10" fillId="0" borderId="22" xfId="3" applyFont="1" applyBorder="1"/>
    <xf numFmtId="44" fontId="10" fillId="0" borderId="25" xfId="3" applyFont="1" applyBorder="1"/>
    <xf numFmtId="0" fontId="0" fillId="19" borderId="1" xfId="0" applyFill="1" applyBorder="1" applyAlignment="1">
      <alignment horizontal="center"/>
    </xf>
    <xf numFmtId="3" fontId="0" fillId="19" borderId="1" xfId="0" applyNumberFormat="1" applyFill="1" applyBorder="1" applyAlignment="1">
      <alignment horizontal="center"/>
    </xf>
    <xf numFmtId="164" fontId="0" fillId="19" borderId="1" xfId="3" applyNumberFormat="1" applyFont="1" applyFill="1" applyBorder="1" applyAlignment="1">
      <alignment horizontal="center"/>
    </xf>
    <xf numFmtId="164" fontId="0" fillId="0" borderId="1" xfId="3" applyNumberFormat="1" applyFont="1" applyBorder="1" applyAlignment="1">
      <alignment horizontal="center"/>
    </xf>
    <xf numFmtId="0" fontId="8" fillId="24" borderId="40" xfId="0" applyFont="1" applyFill="1" applyBorder="1" applyAlignment="1">
      <alignment horizontal="center" vertical="center" wrapText="1"/>
    </xf>
    <xf numFmtId="9" fontId="0" fillId="0" borderId="49" xfId="5" applyFont="1" applyBorder="1" applyAlignment="1">
      <alignment horizontal="center"/>
    </xf>
    <xf numFmtId="164" fontId="0" fillId="0" borderId="9" xfId="3" applyNumberFormat="1" applyFont="1" applyBorder="1"/>
    <xf numFmtId="0" fontId="0" fillId="0" borderId="9" xfId="0" applyBorder="1"/>
    <xf numFmtId="0" fontId="0" fillId="0" borderId="10" xfId="0" applyBorder="1"/>
    <xf numFmtId="0" fontId="0" fillId="0" borderId="11" xfId="0" applyBorder="1"/>
    <xf numFmtId="0" fontId="0" fillId="0" borderId="14" xfId="0" applyBorder="1"/>
    <xf numFmtId="0" fontId="8" fillId="24" borderId="50" xfId="0" applyFont="1" applyFill="1" applyBorder="1" applyAlignment="1">
      <alignment horizontal="center" vertical="center" wrapText="1"/>
    </xf>
    <xf numFmtId="168" fontId="0" fillId="0" borderId="39" xfId="5" applyNumberFormat="1" applyFont="1" applyBorder="1"/>
    <xf numFmtId="168" fontId="0" fillId="0" borderId="37" xfId="5" applyNumberFormat="1" applyFont="1" applyBorder="1"/>
    <xf numFmtId="168" fontId="0" fillId="0" borderId="38" xfId="5" applyNumberFormat="1" applyFont="1" applyBorder="1"/>
    <xf numFmtId="0" fontId="22" fillId="0" borderId="0" xfId="0" applyFont="1"/>
    <xf numFmtId="0" fontId="27" fillId="20" borderId="0" xfId="0" applyFont="1" applyFill="1"/>
    <xf numFmtId="0" fontId="0" fillId="0" borderId="0" xfId="0" applyAlignment="1">
      <alignment horizontal="left" wrapText="1" indent="4"/>
    </xf>
    <xf numFmtId="2" fontId="0" fillId="0" borderId="0" xfId="0" applyNumberFormat="1"/>
    <xf numFmtId="1" fontId="0" fillId="0" borderId="0" xfId="4" applyNumberFormat="1" applyFont="1"/>
    <xf numFmtId="1" fontId="0" fillId="0" borderId="23" xfId="4" applyNumberFormat="1" applyFont="1" applyFill="1" applyBorder="1"/>
    <xf numFmtId="1" fontId="0" fillId="0" borderId="24" xfId="4" applyNumberFormat="1" applyFont="1" applyBorder="1"/>
    <xf numFmtId="1" fontId="0" fillId="0" borderId="25" xfId="4" applyNumberFormat="1" applyFont="1" applyBorder="1"/>
    <xf numFmtId="1" fontId="0" fillId="0" borderId="0" xfId="4" applyNumberFormat="1" applyFont="1" applyFill="1" applyBorder="1"/>
    <xf numFmtId="1" fontId="0" fillId="0" borderId="0" xfId="4" applyNumberFormat="1" applyFont="1" applyBorder="1"/>
    <xf numFmtId="0" fontId="1" fillId="0" borderId="21" xfId="0" applyFont="1" applyBorder="1"/>
    <xf numFmtId="0" fontId="1" fillId="0" borderId="22" xfId="0" applyFont="1" applyBorder="1"/>
    <xf numFmtId="2" fontId="1" fillId="0" borderId="21" xfId="0" applyNumberFormat="1" applyFont="1" applyBorder="1"/>
    <xf numFmtId="2" fontId="1" fillId="0" borderId="1" xfId="0" applyNumberFormat="1" applyFont="1" applyBorder="1"/>
    <xf numFmtId="0" fontId="24" fillId="0" borderId="0" xfId="0" applyFont="1"/>
    <xf numFmtId="0" fontId="0" fillId="0" borderId="1" xfId="0" applyBorder="1" applyAlignment="1">
      <alignment horizontal="center" wrapText="1"/>
    </xf>
    <xf numFmtId="0" fontId="1" fillId="25" borderId="1" xfId="0" applyFont="1" applyFill="1" applyBorder="1" applyAlignment="1">
      <alignment horizontal="center" vertical="top" wrapText="1"/>
    </xf>
    <xf numFmtId="49" fontId="24" fillId="0" borderId="51" xfId="0" applyNumberFormat="1" applyFont="1" applyBorder="1" applyAlignment="1">
      <alignment horizontal="center" vertical="center"/>
    </xf>
    <xf numFmtId="49" fontId="24" fillId="0" borderId="52" xfId="0" applyNumberFormat="1" applyFont="1" applyBorder="1" applyAlignment="1">
      <alignment horizontal="center" vertical="center"/>
    </xf>
    <xf numFmtId="1" fontId="0" fillId="0" borderId="18" xfId="4" applyNumberFormat="1" applyFont="1" applyFill="1" applyBorder="1"/>
    <xf numFmtId="1" fontId="0" fillId="0" borderId="20" xfId="4" applyNumberFormat="1" applyFont="1" applyBorder="1"/>
    <xf numFmtId="1" fontId="0" fillId="0" borderId="53" xfId="4" applyNumberFormat="1" applyFont="1" applyFill="1" applyBorder="1"/>
    <xf numFmtId="1" fontId="0" fillId="0" borderId="54" xfId="4" applyNumberFormat="1" applyFont="1" applyBorder="1"/>
    <xf numFmtId="0" fontId="28" fillId="0" borderId="0" xfId="6" applyAlignment="1">
      <alignment horizontal="left" wrapText="1" indent="2"/>
    </xf>
    <xf numFmtId="0" fontId="0" fillId="0" borderId="0" xfId="0" applyAlignment="1">
      <alignment horizontal="left" wrapText="1" indent="2"/>
    </xf>
    <xf numFmtId="0" fontId="11" fillId="20" borderId="0" xfId="0" applyFont="1" applyFill="1"/>
    <xf numFmtId="0" fontId="16" fillId="20" borderId="0" xfId="0" applyFont="1" applyFill="1"/>
    <xf numFmtId="1" fontId="0" fillId="0" borderId="1" xfId="4" applyNumberFormat="1" applyFont="1" applyFill="1" applyBorder="1"/>
    <xf numFmtId="1" fontId="0" fillId="0" borderId="1" xfId="4" applyNumberFormat="1" applyFont="1" applyBorder="1"/>
    <xf numFmtId="1" fontId="0" fillId="0" borderId="21" xfId="4" applyNumberFormat="1" applyFont="1" applyFill="1" applyBorder="1"/>
    <xf numFmtId="1" fontId="0" fillId="0" borderId="22" xfId="4" applyNumberFormat="1" applyFont="1" applyBorder="1"/>
    <xf numFmtId="0" fontId="1" fillId="0" borderId="2" xfId="0" applyFont="1" applyBorder="1"/>
    <xf numFmtId="1" fontId="0" fillId="0" borderId="2" xfId="4" applyNumberFormat="1" applyFont="1" applyBorder="1"/>
    <xf numFmtId="1" fontId="0" fillId="0" borderId="29" xfId="4" applyNumberFormat="1" applyFont="1" applyBorder="1"/>
    <xf numFmtId="0" fontId="1" fillId="0" borderId="12" xfId="0" applyFont="1" applyBorder="1"/>
    <xf numFmtId="1" fontId="0" fillId="0" borderId="27" xfId="4" applyNumberFormat="1" applyFont="1" applyBorder="1"/>
    <xf numFmtId="2" fontId="15" fillId="0" borderId="1" xfId="0" applyNumberFormat="1" applyFont="1" applyBorder="1"/>
    <xf numFmtId="0" fontId="15" fillId="0" borderId="1" xfId="0" applyFont="1" applyBorder="1"/>
    <xf numFmtId="0" fontId="28" fillId="0" borderId="0" xfId="6" applyAlignment="1">
      <alignment horizontal="left"/>
    </xf>
    <xf numFmtId="0" fontId="28" fillId="0" borderId="0" xfId="6" applyFill="1" applyAlignment="1">
      <alignment horizontal="left" wrapText="1" indent="2"/>
    </xf>
    <xf numFmtId="0" fontId="8" fillId="23" borderId="19" xfId="0" applyFont="1" applyFill="1" applyBorder="1" applyAlignment="1">
      <alignment horizontal="center" vertical="center" wrapText="1"/>
    </xf>
    <xf numFmtId="0" fontId="8" fillId="23" borderId="20" xfId="0" applyFont="1" applyFill="1" applyBorder="1" applyAlignment="1">
      <alignment horizontal="center" vertical="center" wrapText="1"/>
    </xf>
    <xf numFmtId="0" fontId="8" fillId="22" borderId="18" xfId="0" applyFont="1" applyFill="1" applyBorder="1" applyAlignment="1">
      <alignment horizontal="center" vertical="center" wrapText="1"/>
    </xf>
    <xf numFmtId="0" fontId="8" fillId="22" borderId="19" xfId="0" applyFont="1" applyFill="1" applyBorder="1" applyAlignment="1">
      <alignment horizontal="center" vertical="center" wrapText="1"/>
    </xf>
    <xf numFmtId="0" fontId="8" fillId="22" borderId="20" xfId="0" applyFont="1" applyFill="1" applyBorder="1" applyAlignment="1">
      <alignment horizontal="center" vertical="center" wrapText="1"/>
    </xf>
    <xf numFmtId="0" fontId="8" fillId="24" borderId="18" xfId="0" applyFont="1" applyFill="1" applyBorder="1" applyAlignment="1">
      <alignment horizontal="center" vertical="center" wrapText="1"/>
    </xf>
    <xf numFmtId="0" fontId="8" fillId="24" borderId="19" xfId="0" applyFont="1" applyFill="1" applyBorder="1" applyAlignment="1">
      <alignment horizontal="center" vertical="center" wrapText="1"/>
    </xf>
    <xf numFmtId="0" fontId="8" fillId="24" borderId="20" xfId="0" applyFont="1" applyFill="1" applyBorder="1" applyAlignment="1">
      <alignment horizontal="center" vertical="center" wrapText="1"/>
    </xf>
    <xf numFmtId="0" fontId="1" fillId="0" borderId="39" xfId="0" applyFont="1" applyBorder="1" applyAlignment="1">
      <alignment horizontal="right"/>
    </xf>
    <xf numFmtId="0" fontId="1" fillId="23" borderId="55" xfId="0" applyFont="1" applyFill="1" applyBorder="1" applyAlignment="1">
      <alignment horizontal="center" vertical="center" wrapText="1"/>
    </xf>
    <xf numFmtId="0" fontId="1" fillId="23" borderId="9" xfId="0" applyFont="1" applyFill="1" applyBorder="1" applyAlignment="1">
      <alignment horizontal="center" vertical="center" wrapText="1"/>
    </xf>
    <xf numFmtId="0" fontId="1" fillId="23" borderId="56" xfId="0" applyFont="1" applyFill="1" applyBorder="1" applyAlignment="1">
      <alignment horizontal="center" vertical="center"/>
    </xf>
    <xf numFmtId="0" fontId="1" fillId="22" borderId="55" xfId="0" applyFont="1" applyFill="1" applyBorder="1" applyAlignment="1">
      <alignment horizontal="center" vertical="center" wrapText="1"/>
    </xf>
    <xf numFmtId="0" fontId="1" fillId="22" borderId="9" xfId="0" applyFont="1" applyFill="1" applyBorder="1" applyAlignment="1">
      <alignment horizontal="center" vertical="center" wrapText="1"/>
    </xf>
    <xf numFmtId="0" fontId="1" fillId="22" borderId="56" xfId="0" applyFont="1" applyFill="1" applyBorder="1" applyAlignment="1">
      <alignment horizontal="center" vertical="center"/>
    </xf>
    <xf numFmtId="164" fontId="0" fillId="0" borderId="18" xfId="3" applyNumberFormat="1" applyFont="1" applyBorder="1"/>
    <xf numFmtId="164" fontId="0" fillId="0" borderId="19" xfId="3" applyNumberFormat="1" applyFont="1" applyBorder="1"/>
    <xf numFmtId="0" fontId="10" fillId="0" borderId="20" xfId="0" applyFont="1" applyBorder="1"/>
    <xf numFmtId="44" fontId="10" fillId="0" borderId="20" xfId="3" applyFont="1" applyBorder="1"/>
    <xf numFmtId="0" fontId="0" fillId="0" borderId="59" xfId="0" applyBorder="1" applyAlignment="1">
      <alignment horizontal="center"/>
    </xf>
    <xf numFmtId="3" fontId="0" fillId="0" borderId="59" xfId="0" applyNumberFormat="1" applyBorder="1" applyAlignment="1">
      <alignment horizontal="center"/>
    </xf>
    <xf numFmtId="0" fontId="0" fillId="19" borderId="48" xfId="0" applyFill="1" applyBorder="1" applyAlignment="1">
      <alignment horizontal="center"/>
    </xf>
    <xf numFmtId="164" fontId="6" fillId="19" borderId="2" xfId="3" applyNumberFormat="1" applyFont="1" applyFill="1" applyBorder="1"/>
    <xf numFmtId="164" fontId="4" fillId="19" borderId="57" xfId="3" applyNumberFormat="1" applyFont="1" applyFill="1" applyBorder="1"/>
    <xf numFmtId="0" fontId="0" fillId="0" borderId="48" xfId="0" applyBorder="1" applyAlignment="1">
      <alignment horizontal="center"/>
    </xf>
    <xf numFmtId="164" fontId="6" fillId="0" borderId="2" xfId="3" applyNumberFormat="1" applyFont="1" applyBorder="1"/>
    <xf numFmtId="164" fontId="4" fillId="0" borderId="57" xfId="3" applyNumberFormat="1" applyFont="1" applyBorder="1"/>
    <xf numFmtId="0" fontId="0" fillId="19" borderId="58" xfId="0" applyFill="1" applyBorder="1"/>
    <xf numFmtId="164" fontId="6" fillId="19" borderId="61" xfId="3" applyNumberFormat="1" applyFont="1" applyFill="1" applyBorder="1"/>
    <xf numFmtId="164" fontId="4" fillId="19" borderId="60" xfId="3" applyNumberFormat="1" applyFont="1" applyFill="1" applyBorder="1"/>
    <xf numFmtId="43" fontId="0" fillId="19" borderId="1" xfId="4" applyFont="1" applyFill="1" applyBorder="1"/>
    <xf numFmtId="43" fontId="0" fillId="19" borderId="57" xfId="4" applyFont="1" applyFill="1" applyBorder="1"/>
    <xf numFmtId="43" fontId="0" fillId="0" borderId="57" xfId="4" applyFont="1" applyBorder="1"/>
    <xf numFmtId="0" fontId="0" fillId="0" borderId="58" xfId="0" applyBorder="1" applyAlignment="1">
      <alignment horizontal="center"/>
    </xf>
    <xf numFmtId="43" fontId="0" fillId="0" borderId="59" xfId="4" applyFont="1" applyBorder="1"/>
    <xf numFmtId="43" fontId="0" fillId="0" borderId="60" xfId="4" applyFont="1" applyBorder="1"/>
    <xf numFmtId="44" fontId="0" fillId="19" borderId="2" xfId="0" applyNumberFormat="1" applyFill="1" applyBorder="1"/>
    <xf numFmtId="44" fontId="0" fillId="19" borderId="57" xfId="0" applyNumberFormat="1" applyFill="1" applyBorder="1"/>
    <xf numFmtId="44" fontId="0" fillId="0" borderId="2" xfId="0" applyNumberFormat="1" applyBorder="1"/>
    <xf numFmtId="44" fontId="0" fillId="0" borderId="57" xfId="0" applyNumberFormat="1" applyBorder="1"/>
    <xf numFmtId="44" fontId="0" fillId="0" borderId="61" xfId="0" applyNumberFormat="1" applyBorder="1"/>
    <xf numFmtId="44" fontId="0" fillId="0" borderId="60" xfId="0" applyNumberFormat="1" applyBorder="1"/>
    <xf numFmtId="44" fontId="0" fillId="19" borderId="2" xfId="0" applyNumberFormat="1" applyFill="1" applyBorder="1" applyAlignment="1">
      <alignment horizontal="center"/>
    </xf>
    <xf numFmtId="44" fontId="0" fillId="0" borderId="2" xfId="0" applyNumberFormat="1" applyBorder="1" applyAlignment="1">
      <alignment horizontal="center"/>
    </xf>
    <xf numFmtId="3" fontId="0" fillId="19" borderId="1" xfId="3" applyNumberFormat="1" applyFont="1" applyFill="1" applyBorder="1" applyAlignment="1">
      <alignment horizontal="center"/>
    </xf>
    <xf numFmtId="3" fontId="0" fillId="0" borderId="1" xfId="3" applyNumberFormat="1" applyFont="1" applyBorder="1" applyAlignment="1">
      <alignment horizontal="center"/>
    </xf>
    <xf numFmtId="168" fontId="0" fillId="0" borderId="1" xfId="4" applyNumberFormat="1" applyFont="1" applyBorder="1"/>
    <xf numFmtId="168" fontId="0" fillId="0" borderId="1" xfId="3" applyNumberFormat="1" applyFont="1" applyFill="1" applyBorder="1"/>
    <xf numFmtId="168" fontId="1" fillId="7" borderId="1" xfId="3" applyNumberFormat="1" applyFont="1" applyFill="1" applyBorder="1"/>
    <xf numFmtId="168" fontId="12" fillId="15" borderId="1" xfId="3" applyNumberFormat="1" applyFont="1" applyFill="1" applyBorder="1"/>
    <xf numFmtId="168" fontId="12" fillId="15" borderId="9" xfId="3" applyNumberFormat="1" applyFont="1" applyFill="1" applyBorder="1"/>
    <xf numFmtId="0" fontId="10" fillId="0" borderId="21" xfId="3" applyNumberFormat="1" applyFont="1" applyBorder="1" applyAlignment="1">
      <alignment horizontal="right"/>
    </xf>
    <xf numFmtId="169" fontId="10" fillId="0" borderId="20" xfId="0" applyNumberFormat="1" applyFont="1" applyBorder="1"/>
    <xf numFmtId="169" fontId="10" fillId="0" borderId="22" xfId="0" applyNumberFormat="1" applyFont="1" applyBorder="1"/>
    <xf numFmtId="169" fontId="10" fillId="0" borderId="25" xfId="0" applyNumberFormat="1" applyFont="1" applyBorder="1"/>
    <xf numFmtId="0" fontId="0" fillId="19" borderId="63" xfId="0" applyFill="1" applyBorder="1"/>
    <xf numFmtId="0" fontId="0" fillId="19" borderId="63" xfId="0" applyFill="1" applyBorder="1" applyAlignment="1">
      <alignment horizontal="center"/>
    </xf>
    <xf numFmtId="3" fontId="0" fillId="19" borderId="63" xfId="0" applyNumberFormat="1" applyFill="1" applyBorder="1" applyAlignment="1">
      <alignment horizontal="center"/>
    </xf>
    <xf numFmtId="164" fontId="0" fillId="19" borderId="63" xfId="3" applyNumberFormat="1" applyFont="1" applyFill="1" applyBorder="1" applyAlignment="1">
      <alignment horizontal="center"/>
    </xf>
    <xf numFmtId="1" fontId="0" fillId="19" borderId="63" xfId="4" applyNumberFormat="1" applyFont="1" applyFill="1" applyBorder="1" applyAlignment="1">
      <alignment horizontal="center"/>
    </xf>
    <xf numFmtId="164" fontId="4" fillId="19" borderId="63" xfId="3" applyNumberFormat="1" applyFont="1" applyFill="1" applyBorder="1" applyAlignment="1">
      <alignment horizontal="center"/>
    </xf>
    <xf numFmtId="0" fontId="0" fillId="0" borderId="63" xfId="0" applyBorder="1"/>
    <xf numFmtId="0" fontId="0" fillId="0" borderId="63" xfId="0" applyBorder="1" applyAlignment="1">
      <alignment horizontal="center"/>
    </xf>
    <xf numFmtId="3" fontId="0" fillId="0" borderId="63" xfId="0" applyNumberFormat="1" applyBorder="1" applyAlignment="1">
      <alignment horizontal="center"/>
    </xf>
    <xf numFmtId="164" fontId="0" fillId="0" borderId="63" xfId="3" applyNumberFormat="1" applyFont="1" applyBorder="1" applyAlignment="1">
      <alignment horizontal="center"/>
    </xf>
    <xf numFmtId="1" fontId="0" fillId="0" borderId="63" xfId="4" applyNumberFormat="1" applyFont="1" applyBorder="1" applyAlignment="1">
      <alignment horizontal="center"/>
    </xf>
    <xf numFmtId="164" fontId="4" fillId="0" borderId="63" xfId="3" applyNumberFormat="1" applyFont="1" applyBorder="1" applyAlignment="1">
      <alignment horizontal="center"/>
    </xf>
    <xf numFmtId="0" fontId="12" fillId="8" borderId="64" xfId="0" applyFont="1" applyFill="1" applyBorder="1" applyAlignment="1">
      <alignment horizontal="center" vertical="center" wrapText="1"/>
    </xf>
    <xf numFmtId="0" fontId="12" fillId="8" borderId="33" xfId="0" applyFont="1" applyFill="1" applyBorder="1" applyAlignment="1">
      <alignment horizontal="center" vertical="center" wrapText="1"/>
    </xf>
    <xf numFmtId="0" fontId="12" fillId="21" borderId="9" xfId="0" applyFont="1" applyFill="1" applyBorder="1" applyAlignment="1">
      <alignment horizontal="center" vertical="center" wrapText="1"/>
    </xf>
    <xf numFmtId="1" fontId="0" fillId="19" borderId="63" xfId="3" applyNumberFormat="1" applyFont="1" applyFill="1" applyBorder="1" applyAlignment="1">
      <alignment horizontal="center"/>
    </xf>
    <xf numFmtId="1" fontId="0" fillId="0" borderId="63" xfId="3" applyNumberFormat="1" applyFont="1" applyBorder="1" applyAlignment="1">
      <alignment horizontal="center"/>
    </xf>
    <xf numFmtId="0" fontId="12" fillId="21" borderId="33" xfId="0" applyFont="1" applyFill="1" applyBorder="1" applyAlignment="1">
      <alignment horizontal="center" vertical="center" wrapText="1"/>
    </xf>
    <xf numFmtId="169" fontId="4" fillId="19" borderId="57" xfId="3" applyNumberFormat="1" applyFont="1" applyFill="1" applyBorder="1"/>
    <xf numFmtId="169" fontId="4" fillId="0" borderId="57" xfId="3" applyNumberFormat="1" applyFont="1" applyBorder="1"/>
    <xf numFmtId="0" fontId="12" fillId="21" borderId="13" xfId="0" applyFont="1" applyFill="1" applyBorder="1" applyAlignment="1">
      <alignment horizontal="center" vertical="center" wrapText="1"/>
    </xf>
    <xf numFmtId="44" fontId="23" fillId="0" borderId="66" xfId="3" applyFont="1" applyFill="1" applyBorder="1" applyAlignment="1" applyProtection="1">
      <alignment horizontal="center"/>
    </xf>
    <xf numFmtId="0" fontId="0" fillId="19" borderId="1" xfId="0" applyFill="1" applyBorder="1"/>
    <xf numFmtId="0" fontId="0" fillId="0" borderId="1" xfId="0" applyBorder="1" applyAlignment="1" applyProtection="1">
      <alignment horizontal="center"/>
      <protection locked="0"/>
    </xf>
    <xf numFmtId="3" fontId="0" fillId="0" borderId="1" xfId="0" applyNumberFormat="1" applyBorder="1" applyAlignment="1" applyProtection="1">
      <alignment horizontal="center"/>
      <protection locked="0"/>
    </xf>
    <xf numFmtId="3" fontId="0" fillId="0" borderId="1" xfId="3" applyNumberFormat="1" applyFont="1" applyFill="1" applyBorder="1" applyAlignment="1" applyProtection="1">
      <alignment horizontal="center"/>
      <protection locked="0"/>
    </xf>
    <xf numFmtId="164" fontId="0" fillId="0" borderId="1" xfId="3" applyNumberFormat="1" applyFont="1" applyFill="1" applyBorder="1" applyAlignment="1" applyProtection="1">
      <alignment horizontal="center"/>
      <protection locked="0"/>
    </xf>
    <xf numFmtId="3" fontId="0" fillId="0" borderId="1" xfId="3" applyNumberFormat="1" applyFont="1" applyFill="1" applyBorder="1" applyAlignment="1">
      <alignment horizontal="center"/>
    </xf>
    <xf numFmtId="164" fontId="0" fillId="0" borderId="1" xfId="3" applyNumberFormat="1" applyFont="1" applyFill="1" applyBorder="1" applyAlignment="1">
      <alignment horizontal="center"/>
    </xf>
    <xf numFmtId="0" fontId="0" fillId="0" borderId="48" xfId="0" applyBorder="1" applyAlignment="1" applyProtection="1">
      <alignment horizontal="center"/>
      <protection locked="0"/>
    </xf>
    <xf numFmtId="0" fontId="0" fillId="0" borderId="62" xfId="0" applyBorder="1" applyAlignment="1" applyProtection="1">
      <alignment horizontal="center"/>
      <protection locked="0"/>
    </xf>
    <xf numFmtId="0" fontId="0" fillId="0" borderId="9" xfId="0" applyBorder="1" applyAlignment="1" applyProtection="1">
      <alignment horizontal="center"/>
      <protection locked="0"/>
    </xf>
    <xf numFmtId="3" fontId="0" fillId="0" borderId="9" xfId="0" applyNumberFormat="1" applyBorder="1" applyAlignment="1" applyProtection="1">
      <alignment horizontal="center"/>
      <protection locked="0"/>
    </xf>
    <xf numFmtId="3" fontId="0" fillId="0" borderId="9" xfId="3" applyNumberFormat="1" applyFont="1" applyFill="1" applyBorder="1" applyAlignment="1" applyProtection="1">
      <alignment horizontal="center"/>
      <protection locked="0"/>
    </xf>
    <xf numFmtId="164" fontId="0" fillId="0" borderId="9" xfId="3" applyNumberFormat="1" applyFont="1" applyFill="1" applyBorder="1" applyAlignment="1" applyProtection="1">
      <alignment horizontal="center"/>
      <protection locked="0"/>
    </xf>
    <xf numFmtId="164" fontId="0" fillId="19" borderId="2" xfId="3" applyNumberFormat="1" applyFont="1" applyFill="1" applyBorder="1" applyAlignment="1">
      <alignment horizontal="center"/>
    </xf>
    <xf numFmtId="164" fontId="0" fillId="0" borderId="2" xfId="3" applyNumberFormat="1" applyFont="1" applyBorder="1" applyAlignment="1">
      <alignment horizontal="center"/>
    </xf>
    <xf numFmtId="164" fontId="0" fillId="0" borderId="2" xfId="3" applyNumberFormat="1" applyFont="1" applyFill="1" applyBorder="1" applyAlignment="1">
      <alignment horizontal="center"/>
    </xf>
    <xf numFmtId="164" fontId="0" fillId="0" borderId="2" xfId="3" applyNumberFormat="1" applyFont="1" applyFill="1" applyBorder="1" applyAlignment="1" applyProtection="1">
      <alignment horizontal="center"/>
      <protection locked="0"/>
    </xf>
    <xf numFmtId="164" fontId="0" fillId="0" borderId="3" xfId="3" applyNumberFormat="1" applyFont="1" applyFill="1" applyBorder="1" applyAlignment="1" applyProtection="1">
      <alignment horizontal="center"/>
      <protection locked="0"/>
    </xf>
    <xf numFmtId="0" fontId="10" fillId="0" borderId="23" xfId="3" applyNumberFormat="1" applyFont="1" applyBorder="1" applyAlignment="1">
      <alignment horizontal="right"/>
    </xf>
    <xf numFmtId="0" fontId="10" fillId="0" borderId="21" xfId="0" applyFont="1" applyBorder="1" applyAlignment="1">
      <alignment horizontal="right"/>
    </xf>
    <xf numFmtId="0" fontId="10" fillId="0" borderId="23" xfId="0" applyFont="1" applyBorder="1" applyAlignment="1">
      <alignment horizontal="right"/>
    </xf>
    <xf numFmtId="0" fontId="0" fillId="0" borderId="21" xfId="4" applyNumberFormat="1" applyFont="1" applyBorder="1" applyAlignment="1">
      <alignment horizontal="right"/>
    </xf>
    <xf numFmtId="0" fontId="0" fillId="0" borderId="23" xfId="4" applyNumberFormat="1" applyFont="1" applyBorder="1" applyAlignment="1">
      <alignment horizontal="right"/>
    </xf>
    <xf numFmtId="0" fontId="1" fillId="0" borderId="63" xfId="0" applyFont="1" applyBorder="1" applyAlignment="1">
      <alignment vertical="top"/>
    </xf>
    <xf numFmtId="0" fontId="0" fillId="0" borderId="63" xfId="0" applyBorder="1" applyAlignment="1">
      <alignment vertical="top"/>
    </xf>
    <xf numFmtId="0" fontId="0" fillId="0" borderId="63" xfId="0" applyBorder="1" applyAlignment="1">
      <alignment wrapText="1"/>
    </xf>
    <xf numFmtId="0" fontId="1" fillId="0" borderId="9" xfId="0" applyFont="1" applyBorder="1" applyAlignment="1">
      <alignment vertical="top"/>
    </xf>
    <xf numFmtId="0" fontId="0" fillId="0" borderId="9" xfId="0" applyBorder="1" applyAlignment="1">
      <alignment vertical="top"/>
    </xf>
    <xf numFmtId="0" fontId="0" fillId="0" borderId="9" xfId="0" applyBorder="1" applyAlignment="1">
      <alignment wrapText="1"/>
    </xf>
    <xf numFmtId="0" fontId="0" fillId="0" borderId="63" xfId="0" applyBorder="1" applyAlignment="1">
      <alignment horizontal="left" vertical="top" wrapText="1"/>
    </xf>
    <xf numFmtId="164" fontId="4" fillId="19" borderId="1" xfId="3" applyNumberFormat="1" applyFont="1" applyFill="1" applyBorder="1" applyAlignment="1">
      <alignment horizontal="center"/>
    </xf>
    <xf numFmtId="0" fontId="12" fillId="21" borderId="65" xfId="0" applyFont="1" applyFill="1" applyBorder="1" applyAlignment="1">
      <alignment horizontal="center" vertical="center" wrapText="1"/>
    </xf>
    <xf numFmtId="169" fontId="4" fillId="19" borderId="63" xfId="4" applyNumberFormat="1" applyFont="1" applyFill="1" applyBorder="1" applyAlignment="1">
      <alignment horizontal="center"/>
    </xf>
    <xf numFmtId="169" fontId="4" fillId="0" borderId="63" xfId="4" applyNumberFormat="1" applyFont="1" applyBorder="1" applyAlignment="1">
      <alignment horizontal="center"/>
    </xf>
    <xf numFmtId="168" fontId="23" fillId="0" borderId="1" xfId="3" applyNumberFormat="1" applyFont="1" applyFill="1" applyBorder="1" applyAlignment="1" applyProtection="1">
      <alignment horizontal="center"/>
    </xf>
    <xf numFmtId="168" fontId="23" fillId="0" borderId="1" xfId="5" applyNumberFormat="1" applyFont="1" applyFill="1" applyBorder="1" applyAlignment="1" applyProtection="1">
      <alignment horizontal="center"/>
    </xf>
    <xf numFmtId="9" fontId="0" fillId="0" borderId="21" xfId="5" applyFont="1" applyBorder="1"/>
    <xf numFmtId="9" fontId="0" fillId="0" borderId="12" xfId="5" applyFont="1" applyBorder="1"/>
    <xf numFmtId="9" fontId="0" fillId="0" borderId="1" xfId="5" applyFont="1" applyBorder="1"/>
    <xf numFmtId="9" fontId="0" fillId="0" borderId="2" xfId="5" applyFont="1" applyBorder="1"/>
    <xf numFmtId="9" fontId="0" fillId="0" borderId="22" xfId="5" applyFont="1" applyBorder="1"/>
    <xf numFmtId="9" fontId="0" fillId="7" borderId="21" xfId="5" applyFont="1" applyFill="1" applyBorder="1"/>
    <xf numFmtId="9" fontId="0" fillId="7" borderId="12" xfId="5" applyFont="1" applyFill="1" applyBorder="1"/>
    <xf numFmtId="9" fontId="0" fillId="7" borderId="1" xfId="5" applyFont="1" applyFill="1" applyBorder="1"/>
    <xf numFmtId="9" fontId="0" fillId="7" borderId="2" xfId="5" applyFont="1" applyFill="1" applyBorder="1"/>
    <xf numFmtId="9" fontId="0" fillId="7" borderId="22" xfId="5" applyFont="1" applyFill="1" applyBorder="1"/>
    <xf numFmtId="9" fontId="0" fillId="7" borderId="23" xfId="5" applyFont="1" applyFill="1" applyBorder="1"/>
    <xf numFmtId="9" fontId="0" fillId="7" borderId="27" xfId="5" applyFont="1" applyFill="1" applyBorder="1"/>
    <xf numFmtId="9" fontId="0" fillId="7" borderId="24" xfId="5" applyFont="1" applyFill="1" applyBorder="1"/>
    <xf numFmtId="9" fontId="0" fillId="7" borderId="29" xfId="5" applyFont="1" applyFill="1" applyBorder="1"/>
    <xf numFmtId="9" fontId="0" fillId="7" borderId="25" xfId="5" applyFont="1" applyFill="1" applyBorder="1"/>
    <xf numFmtId="44" fontId="0" fillId="0" borderId="12" xfId="5" applyNumberFormat="1" applyFont="1" applyBorder="1"/>
    <xf numFmtId="44" fontId="0" fillId="0" borderId="1" xfId="5" applyNumberFormat="1" applyFont="1" applyBorder="1"/>
    <xf numFmtId="44" fontId="0" fillId="0" borderId="2" xfId="5" applyNumberFormat="1" applyFont="1" applyBorder="1"/>
    <xf numFmtId="44" fontId="0" fillId="0" borderId="22" xfId="5" applyNumberFormat="1" applyFont="1" applyBorder="1"/>
    <xf numFmtId="44" fontId="0" fillId="7" borderId="12" xfId="5" applyNumberFormat="1" applyFont="1" applyFill="1" applyBorder="1"/>
    <xf numFmtId="44" fontId="0" fillId="7" borderId="1" xfId="5" applyNumberFormat="1" applyFont="1" applyFill="1" applyBorder="1"/>
    <xf numFmtId="44" fontId="0" fillId="7" borderId="2" xfId="5" applyNumberFormat="1" applyFont="1" applyFill="1" applyBorder="1"/>
    <xf numFmtId="44" fontId="0" fillId="7" borderId="22" xfId="5" applyNumberFormat="1" applyFont="1" applyFill="1" applyBorder="1"/>
    <xf numFmtId="44" fontId="0" fillId="7" borderId="27" xfId="5" applyNumberFormat="1" applyFont="1" applyFill="1" applyBorder="1"/>
    <xf numFmtId="44" fontId="0" fillId="7" borderId="24" xfId="5" applyNumberFormat="1" applyFont="1" applyFill="1" applyBorder="1"/>
    <xf numFmtId="44" fontId="0" fillId="7" borderId="29" xfId="5" applyNumberFormat="1" applyFont="1" applyFill="1" applyBorder="1"/>
    <xf numFmtId="0" fontId="0" fillId="0" borderId="21" xfId="5" applyNumberFormat="1" applyFont="1" applyBorder="1"/>
    <xf numFmtId="0" fontId="0" fillId="7" borderId="21" xfId="5" applyNumberFormat="1" applyFont="1" applyFill="1" applyBorder="1"/>
    <xf numFmtId="0" fontId="0" fillId="7" borderId="23" xfId="5" applyNumberFormat="1" applyFont="1" applyFill="1" applyBorder="1"/>
    <xf numFmtId="0" fontId="0" fillId="0" borderId="21" xfId="4" applyNumberFormat="1" applyFont="1" applyBorder="1"/>
    <xf numFmtId="0" fontId="0" fillId="7" borderId="21" xfId="4" applyNumberFormat="1" applyFont="1" applyFill="1" applyBorder="1"/>
    <xf numFmtId="0" fontId="0" fillId="7" borderId="23" xfId="4" applyNumberFormat="1" applyFont="1" applyFill="1" applyBorder="1"/>
    <xf numFmtId="0" fontId="0" fillId="17" borderId="1" xfId="0" applyFill="1" applyBorder="1"/>
    <xf numFmtId="0" fontId="0" fillId="17" borderId="33" xfId="0" applyFill="1" applyBorder="1" applyAlignment="1" applyProtection="1">
      <alignment horizontal="center"/>
      <protection hidden="1"/>
    </xf>
    <xf numFmtId="0" fontId="20" fillId="0" borderId="0" xfId="0" applyFont="1" applyAlignment="1">
      <alignment vertical="top" wrapText="1"/>
    </xf>
    <xf numFmtId="0" fontId="20" fillId="0" borderId="0" xfId="0" applyFont="1" applyAlignment="1">
      <alignment vertical="top"/>
    </xf>
    <xf numFmtId="3" fontId="0" fillId="26" borderId="25" xfId="0" applyNumberFormat="1" applyFill="1" applyBorder="1" applyAlignment="1">
      <alignment horizontal="center"/>
    </xf>
    <xf numFmtId="0" fontId="0" fillId="0" borderId="0" xfId="0" applyAlignment="1">
      <alignment horizontal="center" vertical="center" wrapText="1"/>
    </xf>
    <xf numFmtId="2" fontId="5" fillId="0" borderId="1" xfId="4" applyNumberFormat="1" applyFont="1" applyFill="1" applyBorder="1" applyAlignment="1" applyProtection="1">
      <alignment horizontal="center"/>
      <protection locked="0"/>
    </xf>
    <xf numFmtId="2" fontId="0" fillId="0" borderId="1" xfId="4" applyNumberFormat="1" applyFont="1" applyFill="1" applyBorder="1" applyAlignment="1" applyProtection="1">
      <alignment horizontal="center"/>
      <protection locked="0"/>
    </xf>
    <xf numFmtId="1" fontId="0" fillId="19" borderId="1" xfId="0" applyNumberFormat="1" applyFill="1" applyBorder="1" applyAlignment="1">
      <alignment horizontal="center"/>
    </xf>
    <xf numFmtId="1" fontId="0" fillId="0" borderId="1" xfId="0" applyNumberFormat="1" applyBorder="1" applyAlignment="1">
      <alignment horizontal="center"/>
    </xf>
    <xf numFmtId="1" fontId="0" fillId="0" borderId="1" xfId="0" applyNumberFormat="1" applyBorder="1" applyAlignment="1" applyProtection="1">
      <alignment horizontal="center"/>
      <protection locked="0"/>
    </xf>
    <xf numFmtId="1" fontId="0" fillId="0" borderId="9" xfId="0" applyNumberFormat="1" applyBorder="1" applyAlignment="1" applyProtection="1">
      <alignment horizontal="center"/>
      <protection locked="0"/>
    </xf>
    <xf numFmtId="165" fontId="0" fillId="19" borderId="1" xfId="4" applyNumberFormat="1" applyFont="1" applyFill="1" applyBorder="1" applyAlignment="1">
      <alignment horizontal="center"/>
    </xf>
    <xf numFmtId="165" fontId="0" fillId="0" borderId="1" xfId="4" applyNumberFormat="1" applyFont="1" applyFill="1" applyBorder="1" applyAlignment="1">
      <alignment horizontal="center"/>
    </xf>
    <xf numFmtId="165" fontId="0" fillId="0" borderId="1" xfId="4" applyNumberFormat="1" applyFont="1" applyFill="1" applyBorder="1" applyAlignment="1" applyProtection="1">
      <alignment horizontal="center"/>
      <protection locked="0"/>
    </xf>
    <xf numFmtId="165" fontId="0" fillId="0" borderId="9" xfId="4" applyNumberFormat="1" applyFont="1" applyFill="1" applyBorder="1" applyAlignment="1" applyProtection="1">
      <alignment horizontal="center"/>
      <protection locked="0"/>
    </xf>
    <xf numFmtId="0" fontId="15" fillId="0" borderId="0" xfId="0" applyFont="1" applyAlignment="1">
      <alignment wrapText="1"/>
    </xf>
    <xf numFmtId="0" fontId="12" fillId="4" borderId="0" xfId="0" applyFont="1" applyFill="1" applyAlignment="1">
      <alignment horizontal="center" wrapText="1"/>
    </xf>
    <xf numFmtId="0" fontId="28" fillId="0" borderId="0" xfId="6" applyAlignment="1">
      <alignment horizontal="center"/>
    </xf>
    <xf numFmtId="0" fontId="1" fillId="0" borderId="0" xfId="0" applyFont="1" applyAlignment="1">
      <alignment horizontal="center" vertical="center" wrapText="1"/>
    </xf>
    <xf numFmtId="0" fontId="28" fillId="0" borderId="0" xfId="6" applyAlignment="1">
      <alignment horizontal="center" wrapText="1"/>
    </xf>
    <xf numFmtId="0" fontId="17" fillId="0" borderId="0" xfId="0" applyFont="1" applyAlignment="1">
      <alignment horizontal="center" wrapText="1"/>
    </xf>
    <xf numFmtId="0" fontId="17" fillId="0" borderId="7" xfId="0" applyFont="1" applyBorder="1" applyAlignment="1">
      <alignment horizontal="center" wrapText="1"/>
    </xf>
    <xf numFmtId="0" fontId="8" fillId="0" borderId="0" xfId="0" applyFont="1" applyAlignment="1">
      <alignment horizontal="center" vertical="center" wrapText="1"/>
    </xf>
    <xf numFmtId="0" fontId="8" fillId="2" borderId="3" xfId="0" applyFont="1" applyFill="1" applyBorder="1" applyAlignment="1">
      <alignment horizontal="center" wrapText="1"/>
    </xf>
    <xf numFmtId="0" fontId="8" fillId="2" borderId="4" xfId="0" applyFont="1" applyFill="1" applyBorder="1" applyAlignment="1">
      <alignment horizontal="center"/>
    </xf>
    <xf numFmtId="0" fontId="8" fillId="2" borderId="5" xfId="0" applyFont="1" applyFill="1" applyBorder="1" applyAlignment="1">
      <alignment horizontal="center"/>
    </xf>
    <xf numFmtId="0" fontId="8" fillId="2" borderId="6" xfId="0" applyFont="1" applyFill="1" applyBorder="1" applyAlignment="1">
      <alignment horizontal="center"/>
    </xf>
    <xf numFmtId="0" fontId="8" fillId="2" borderId="7" xfId="0" applyFont="1" applyFill="1" applyBorder="1" applyAlignment="1">
      <alignment horizontal="center"/>
    </xf>
    <xf numFmtId="0" fontId="8" fillId="2" borderId="8" xfId="0" applyFont="1" applyFill="1" applyBorder="1" applyAlignment="1">
      <alignment horizontal="center"/>
    </xf>
    <xf numFmtId="0" fontId="1" fillId="2" borderId="2" xfId="0" applyFont="1" applyFill="1" applyBorder="1" applyAlignment="1">
      <alignment horizontal="center"/>
    </xf>
    <xf numFmtId="0" fontId="1" fillId="2" borderId="36" xfId="0" applyFont="1" applyFill="1" applyBorder="1" applyAlignment="1">
      <alignment horizontal="center"/>
    </xf>
    <xf numFmtId="0" fontId="1" fillId="2" borderId="12" xfId="0" applyFont="1" applyFill="1" applyBorder="1" applyAlignment="1">
      <alignment horizontal="center"/>
    </xf>
    <xf numFmtId="0" fontId="20" fillId="0" borderId="0" xfId="0" applyFont="1" applyAlignment="1">
      <alignment horizontal="left" vertical="top" wrapText="1"/>
    </xf>
    <xf numFmtId="0" fontId="12" fillId="13" borderId="18" xfId="0" applyFont="1" applyFill="1" applyBorder="1" applyAlignment="1">
      <alignment horizontal="center"/>
    </xf>
    <xf numFmtId="0" fontId="12" fillId="13" borderId="28" xfId="0" applyFont="1" applyFill="1" applyBorder="1" applyAlignment="1">
      <alignment horizontal="center"/>
    </xf>
    <xf numFmtId="0" fontId="12" fillId="13" borderId="19" xfId="0" applyFont="1" applyFill="1" applyBorder="1" applyAlignment="1">
      <alignment horizontal="center"/>
    </xf>
    <xf numFmtId="0" fontId="12" fillId="13" borderId="30" xfId="0" applyFont="1" applyFill="1" applyBorder="1" applyAlignment="1">
      <alignment horizontal="center"/>
    </xf>
    <xf numFmtId="0" fontId="12" fillId="13" borderId="20" xfId="0" applyFont="1" applyFill="1" applyBorder="1" applyAlignment="1">
      <alignment horizontal="center"/>
    </xf>
    <xf numFmtId="0" fontId="12" fillId="14" borderId="18" xfId="0" applyFont="1" applyFill="1" applyBorder="1" applyAlignment="1">
      <alignment horizontal="center"/>
    </xf>
    <xf numFmtId="0" fontId="12" fillId="14" borderId="28" xfId="0" applyFont="1" applyFill="1" applyBorder="1" applyAlignment="1">
      <alignment horizontal="center"/>
    </xf>
    <xf numFmtId="0" fontId="12" fillId="14" borderId="19" xfId="0" applyFont="1" applyFill="1" applyBorder="1" applyAlignment="1">
      <alignment horizontal="center"/>
    </xf>
    <xf numFmtId="0" fontId="12" fillId="14" borderId="30" xfId="0" applyFont="1" applyFill="1" applyBorder="1" applyAlignment="1">
      <alignment horizontal="center"/>
    </xf>
    <xf numFmtId="0" fontId="12" fillId="14" borderId="20" xfId="0" applyFont="1" applyFill="1" applyBorder="1" applyAlignment="1">
      <alignment horizontal="center"/>
    </xf>
    <xf numFmtId="0" fontId="12" fillId="8" borderId="15" xfId="0" applyFont="1" applyFill="1" applyBorder="1" applyAlignment="1">
      <alignment horizontal="center"/>
    </xf>
    <xf numFmtId="0" fontId="12" fillId="8" borderId="16" xfId="0" applyFont="1" applyFill="1" applyBorder="1" applyAlignment="1">
      <alignment horizontal="center"/>
    </xf>
    <xf numFmtId="0" fontId="12" fillId="8" borderId="17" xfId="0" applyFont="1" applyFill="1" applyBorder="1" applyAlignment="1">
      <alignment horizontal="center"/>
    </xf>
    <xf numFmtId="0" fontId="12" fillId="9" borderId="18" xfId="0" applyFont="1" applyFill="1" applyBorder="1" applyAlignment="1">
      <alignment horizontal="center"/>
    </xf>
    <xf numFmtId="0" fontId="12" fillId="9" borderId="28" xfId="0" applyFont="1" applyFill="1" applyBorder="1" applyAlignment="1">
      <alignment horizontal="center"/>
    </xf>
    <xf numFmtId="0" fontId="12" fillId="9" borderId="19" xfId="0" applyFont="1" applyFill="1" applyBorder="1" applyAlignment="1">
      <alignment horizontal="center"/>
    </xf>
    <xf numFmtId="0" fontId="12" fillId="9" borderId="30" xfId="0" applyFont="1" applyFill="1" applyBorder="1" applyAlignment="1">
      <alignment horizontal="center"/>
    </xf>
    <xf numFmtId="0" fontId="12" fillId="9" borderId="20" xfId="0" applyFont="1" applyFill="1" applyBorder="1" applyAlignment="1">
      <alignment horizontal="center"/>
    </xf>
    <xf numFmtId="0" fontId="12" fillId="8" borderId="18" xfId="0" applyFont="1" applyFill="1" applyBorder="1" applyAlignment="1">
      <alignment horizontal="center"/>
    </xf>
    <xf numFmtId="0" fontId="12" fillId="8" borderId="28" xfId="0" applyFont="1" applyFill="1" applyBorder="1" applyAlignment="1">
      <alignment horizontal="center"/>
    </xf>
    <xf numFmtId="0" fontId="12" fillId="8" borderId="19" xfId="0" applyFont="1" applyFill="1" applyBorder="1" applyAlignment="1">
      <alignment horizontal="center"/>
    </xf>
    <xf numFmtId="0" fontId="12" fillId="8" borderId="30" xfId="0" applyFont="1" applyFill="1" applyBorder="1" applyAlignment="1">
      <alignment horizontal="center"/>
    </xf>
    <xf numFmtId="0" fontId="12" fillId="8" borderId="20" xfId="0" applyFont="1" applyFill="1" applyBorder="1" applyAlignment="1">
      <alignment horizontal="center"/>
    </xf>
    <xf numFmtId="0" fontId="12" fillId="10" borderId="18" xfId="0" applyFont="1" applyFill="1" applyBorder="1" applyAlignment="1">
      <alignment horizontal="center"/>
    </xf>
    <xf numFmtId="0" fontId="12" fillId="10" borderId="28" xfId="0" applyFont="1" applyFill="1" applyBorder="1" applyAlignment="1">
      <alignment horizontal="center"/>
    </xf>
    <xf numFmtId="0" fontId="12" fillId="10" borderId="19" xfId="0" applyFont="1" applyFill="1" applyBorder="1" applyAlignment="1">
      <alignment horizontal="center"/>
    </xf>
    <xf numFmtId="0" fontId="12" fillId="10" borderId="30" xfId="0" applyFont="1" applyFill="1" applyBorder="1" applyAlignment="1">
      <alignment horizontal="center"/>
    </xf>
    <xf numFmtId="0" fontId="12" fillId="10" borderId="20" xfId="0" applyFont="1" applyFill="1" applyBorder="1" applyAlignment="1">
      <alignment horizontal="center"/>
    </xf>
    <xf numFmtId="0" fontId="12" fillId="18" borderId="18" xfId="0" applyFont="1" applyFill="1" applyBorder="1" applyAlignment="1">
      <alignment horizontal="center"/>
    </xf>
    <xf numFmtId="0" fontId="12" fillId="18" borderId="28" xfId="0" applyFont="1" applyFill="1" applyBorder="1" applyAlignment="1">
      <alignment horizontal="center"/>
    </xf>
    <xf numFmtId="0" fontId="12" fillId="18" borderId="19" xfId="0" applyFont="1" applyFill="1" applyBorder="1" applyAlignment="1">
      <alignment horizontal="center"/>
    </xf>
    <xf numFmtId="0" fontId="12" fillId="18" borderId="30" xfId="0" applyFont="1" applyFill="1" applyBorder="1" applyAlignment="1">
      <alignment horizontal="center"/>
    </xf>
    <xf numFmtId="0" fontId="12" fillId="18" borderId="20" xfId="0" applyFont="1" applyFill="1" applyBorder="1" applyAlignment="1">
      <alignment horizontal="center"/>
    </xf>
    <xf numFmtId="0" fontId="12" fillId="12" borderId="18" xfId="0" applyFont="1" applyFill="1" applyBorder="1" applyAlignment="1">
      <alignment horizontal="center"/>
    </xf>
    <xf numFmtId="0" fontId="12" fillId="12" borderId="28" xfId="0" applyFont="1" applyFill="1" applyBorder="1" applyAlignment="1">
      <alignment horizontal="center"/>
    </xf>
    <xf numFmtId="0" fontId="12" fillId="12" borderId="19" xfId="0" applyFont="1" applyFill="1" applyBorder="1" applyAlignment="1">
      <alignment horizontal="center"/>
    </xf>
    <xf numFmtId="0" fontId="12" fillId="12" borderId="30" xfId="0" applyFont="1" applyFill="1" applyBorder="1" applyAlignment="1">
      <alignment horizontal="center"/>
    </xf>
    <xf numFmtId="0" fontId="12" fillId="12" borderId="20" xfId="0" applyFont="1" applyFill="1" applyBorder="1" applyAlignment="1">
      <alignment horizontal="center"/>
    </xf>
    <xf numFmtId="0" fontId="12" fillId="9" borderId="15" xfId="0" applyFont="1" applyFill="1" applyBorder="1" applyAlignment="1">
      <alignment horizontal="center"/>
    </xf>
    <xf numFmtId="0" fontId="12" fillId="9" borderId="16" xfId="0" applyFont="1" applyFill="1" applyBorder="1" applyAlignment="1">
      <alignment horizontal="center"/>
    </xf>
    <xf numFmtId="0" fontId="12" fillId="9" borderId="17" xfId="0" applyFont="1" applyFill="1" applyBorder="1" applyAlignment="1">
      <alignment horizontal="center"/>
    </xf>
    <xf numFmtId="0" fontId="12" fillId="10" borderId="15" xfId="0" applyFont="1" applyFill="1" applyBorder="1" applyAlignment="1">
      <alignment horizontal="center"/>
    </xf>
    <xf numFmtId="0" fontId="12" fillId="10" borderId="16" xfId="0" applyFont="1" applyFill="1" applyBorder="1" applyAlignment="1">
      <alignment horizontal="center"/>
    </xf>
    <xf numFmtId="0" fontId="12" fillId="10" borderId="17" xfId="0" applyFont="1" applyFill="1" applyBorder="1" applyAlignment="1">
      <alignment horizontal="center"/>
    </xf>
    <xf numFmtId="0" fontId="12" fillId="10" borderId="18" xfId="0" applyFont="1" applyFill="1" applyBorder="1" applyAlignment="1">
      <alignment horizontal="center" wrapText="1"/>
    </xf>
    <xf numFmtId="0" fontId="12" fillId="10" borderId="20" xfId="0" applyFont="1" applyFill="1" applyBorder="1" applyAlignment="1">
      <alignment horizontal="center" wrapText="1"/>
    </xf>
    <xf numFmtId="0" fontId="12" fillId="9" borderId="18" xfId="0" applyFont="1" applyFill="1" applyBorder="1" applyAlignment="1">
      <alignment horizontal="center" wrapText="1"/>
    </xf>
    <xf numFmtId="0" fontId="12" fillId="9" borderId="20" xfId="0" applyFont="1" applyFill="1" applyBorder="1" applyAlignment="1">
      <alignment horizontal="center" wrapText="1"/>
    </xf>
    <xf numFmtId="0" fontId="12" fillId="8" borderId="18" xfId="0" applyFont="1" applyFill="1" applyBorder="1" applyAlignment="1">
      <alignment horizontal="center" wrapText="1"/>
    </xf>
    <xf numFmtId="0" fontId="12" fillId="8" borderId="20" xfId="0" applyFont="1" applyFill="1" applyBorder="1" applyAlignment="1">
      <alignment horizontal="center" wrapText="1"/>
    </xf>
    <xf numFmtId="0" fontId="12" fillId="18" borderId="15" xfId="0" applyFont="1" applyFill="1" applyBorder="1" applyAlignment="1">
      <alignment horizontal="center"/>
    </xf>
    <xf numFmtId="0" fontId="12" fillId="18" borderId="16" xfId="0" applyFont="1" applyFill="1" applyBorder="1" applyAlignment="1">
      <alignment horizontal="center"/>
    </xf>
    <xf numFmtId="0" fontId="12" fillId="18" borderId="18" xfId="0" applyFont="1" applyFill="1" applyBorder="1" applyAlignment="1">
      <alignment horizontal="center" wrapText="1"/>
    </xf>
    <xf numFmtId="0" fontId="12" fillId="18" borderId="20" xfId="0" applyFont="1" applyFill="1" applyBorder="1" applyAlignment="1">
      <alignment horizontal="center" wrapText="1"/>
    </xf>
    <xf numFmtId="0" fontId="12" fillId="12" borderId="18" xfId="0" applyFont="1" applyFill="1" applyBorder="1" applyAlignment="1">
      <alignment horizontal="center" wrapText="1"/>
    </xf>
    <xf numFmtId="0" fontId="12" fillId="12" borderId="20" xfId="0" applyFont="1" applyFill="1" applyBorder="1" applyAlignment="1">
      <alignment horizontal="center" wrapText="1"/>
    </xf>
    <xf numFmtId="0" fontId="12" fillId="18" borderId="17" xfId="0" applyFont="1" applyFill="1" applyBorder="1" applyAlignment="1">
      <alignment horizontal="center"/>
    </xf>
    <xf numFmtId="0" fontId="12" fillId="13" borderId="18" xfId="0" applyFont="1" applyFill="1" applyBorder="1" applyAlignment="1">
      <alignment horizontal="center" wrapText="1"/>
    </xf>
    <xf numFmtId="0" fontId="12" fillId="13" borderId="20" xfId="0" applyFont="1" applyFill="1" applyBorder="1" applyAlignment="1">
      <alignment horizontal="center" wrapText="1"/>
    </xf>
    <xf numFmtId="0" fontId="12" fillId="14" borderId="18" xfId="0" applyFont="1" applyFill="1" applyBorder="1" applyAlignment="1">
      <alignment horizontal="center" wrapText="1"/>
    </xf>
    <xf numFmtId="0" fontId="12" fillId="14" borderId="20" xfId="0" applyFont="1" applyFill="1" applyBorder="1" applyAlignment="1">
      <alignment horizontal="center" wrapText="1"/>
    </xf>
    <xf numFmtId="0" fontId="12" fillId="12" borderId="15" xfId="0" applyFont="1" applyFill="1" applyBorder="1" applyAlignment="1">
      <alignment horizontal="center"/>
    </xf>
    <xf numFmtId="0" fontId="12" fillId="12" borderId="16" xfId="0" applyFont="1" applyFill="1" applyBorder="1" applyAlignment="1">
      <alignment horizontal="center"/>
    </xf>
    <xf numFmtId="0" fontId="12" fillId="14" borderId="15" xfId="0" applyFont="1" applyFill="1" applyBorder="1" applyAlignment="1">
      <alignment horizontal="center"/>
    </xf>
    <xf numFmtId="0" fontId="12" fillId="14" borderId="16" xfId="0" applyFont="1" applyFill="1" applyBorder="1" applyAlignment="1">
      <alignment horizontal="center"/>
    </xf>
    <xf numFmtId="0" fontId="12" fillId="13" borderId="15" xfId="0" applyFont="1" applyFill="1" applyBorder="1" applyAlignment="1">
      <alignment horizontal="center"/>
    </xf>
    <xf numFmtId="0" fontId="12" fillId="13" borderId="16" xfId="0" applyFont="1" applyFill="1" applyBorder="1" applyAlignment="1">
      <alignment horizontal="center"/>
    </xf>
    <xf numFmtId="0" fontId="12" fillId="12" borderId="17" xfId="0" applyFont="1" applyFill="1" applyBorder="1" applyAlignment="1">
      <alignment horizontal="center"/>
    </xf>
    <xf numFmtId="0" fontId="12" fillId="13" borderId="17" xfId="0" applyFont="1" applyFill="1" applyBorder="1" applyAlignment="1">
      <alignment horizontal="center"/>
    </xf>
    <xf numFmtId="0" fontId="12" fillId="14" borderId="17" xfId="0" applyFont="1" applyFill="1" applyBorder="1" applyAlignment="1">
      <alignment horizontal="center"/>
    </xf>
    <xf numFmtId="0" fontId="25" fillId="24" borderId="45" xfId="0" applyFont="1" applyFill="1" applyBorder="1" applyAlignment="1">
      <alignment horizontal="center"/>
    </xf>
    <xf numFmtId="0" fontId="25" fillId="24" borderId="46" xfId="0" applyFont="1" applyFill="1" applyBorder="1" applyAlignment="1">
      <alignment horizontal="center"/>
    </xf>
    <xf numFmtId="0" fontId="25" fillId="24" borderId="47" xfId="0" applyFont="1" applyFill="1" applyBorder="1" applyAlignment="1">
      <alignment horizontal="center"/>
    </xf>
    <xf numFmtId="0" fontId="25" fillId="23" borderId="10" xfId="0" applyFont="1" applyFill="1" applyBorder="1" applyAlignment="1">
      <alignment horizontal="center"/>
    </xf>
    <xf numFmtId="0" fontId="25" fillId="23" borderId="11" xfId="0" applyFont="1" applyFill="1" applyBorder="1" applyAlignment="1">
      <alignment horizontal="center"/>
    </xf>
    <xf numFmtId="0" fontId="25" fillId="23" borderId="14" xfId="0" applyFont="1" applyFill="1" applyBorder="1" applyAlignment="1">
      <alignment horizontal="center"/>
    </xf>
    <xf numFmtId="0" fontId="25" fillId="22" borderId="10" xfId="0" applyFont="1" applyFill="1" applyBorder="1" applyAlignment="1">
      <alignment horizontal="center"/>
    </xf>
    <xf numFmtId="0" fontId="25" fillId="22" borderId="11" xfId="0" applyFont="1" applyFill="1" applyBorder="1" applyAlignment="1">
      <alignment horizontal="center"/>
    </xf>
    <xf numFmtId="0" fontId="25" fillId="22" borderId="14" xfId="0" applyFont="1" applyFill="1" applyBorder="1" applyAlignment="1">
      <alignment horizontal="center"/>
    </xf>
    <xf numFmtId="0" fontId="24" fillId="22" borderId="18" xfId="0" applyFont="1" applyFill="1" applyBorder="1" applyAlignment="1">
      <alignment horizontal="center"/>
    </xf>
    <xf numFmtId="0" fontId="24" fillId="22" borderId="19" xfId="0" applyFont="1" applyFill="1" applyBorder="1" applyAlignment="1">
      <alignment horizontal="center"/>
    </xf>
    <xf numFmtId="0" fontId="24" fillId="22" borderId="20" xfId="0" applyFont="1" applyFill="1" applyBorder="1" applyAlignment="1">
      <alignment horizontal="center"/>
    </xf>
    <xf numFmtId="0" fontId="24" fillId="23" borderId="18" xfId="0" applyFont="1" applyFill="1" applyBorder="1" applyAlignment="1">
      <alignment horizontal="center"/>
    </xf>
    <xf numFmtId="0" fontId="24" fillId="23" borderId="19" xfId="0" applyFont="1" applyFill="1" applyBorder="1" applyAlignment="1">
      <alignment horizontal="center"/>
    </xf>
    <xf numFmtId="0" fontId="24" fillId="23" borderId="20" xfId="0" applyFont="1" applyFill="1" applyBorder="1" applyAlignment="1">
      <alignment horizontal="center"/>
    </xf>
    <xf numFmtId="1" fontId="24" fillId="0" borderId="18" xfId="0" applyNumberFormat="1" applyFont="1" applyBorder="1" applyAlignment="1">
      <alignment horizontal="center"/>
    </xf>
    <xf numFmtId="1" fontId="24" fillId="0" borderId="19" xfId="0" applyNumberFormat="1" applyFont="1" applyBorder="1" applyAlignment="1">
      <alignment horizontal="center"/>
    </xf>
    <xf numFmtId="1" fontId="24" fillId="0" borderId="30" xfId="0" applyNumberFormat="1" applyFont="1" applyBorder="1" applyAlignment="1">
      <alignment horizontal="center"/>
    </xf>
    <xf numFmtId="1" fontId="24" fillId="0" borderId="15" xfId="4" applyNumberFormat="1" applyFont="1" applyFill="1" applyBorder="1" applyAlignment="1">
      <alignment horizontal="center"/>
    </xf>
    <xf numFmtId="1" fontId="24" fillId="0" borderId="16" xfId="4" applyNumberFormat="1" applyFont="1" applyFill="1" applyBorder="1" applyAlignment="1">
      <alignment horizontal="center"/>
    </xf>
    <xf numFmtId="1" fontId="24" fillId="0" borderId="17" xfId="4" applyNumberFormat="1" applyFont="1" applyFill="1" applyBorder="1" applyAlignment="1">
      <alignment horizontal="center"/>
    </xf>
    <xf numFmtId="1" fontId="24" fillId="0" borderId="16" xfId="4" applyNumberFormat="1" applyFont="1" applyBorder="1" applyAlignment="1">
      <alignment horizontal="center"/>
    </xf>
    <xf numFmtId="1" fontId="24" fillId="0" borderId="17" xfId="4" applyNumberFormat="1" applyFont="1" applyBorder="1" applyAlignment="1">
      <alignment horizontal="center"/>
    </xf>
    <xf numFmtId="1" fontId="24" fillId="0" borderId="20" xfId="0" applyNumberFormat="1" applyFont="1" applyBorder="1" applyAlignment="1">
      <alignment horizontal="center"/>
    </xf>
  </cellXfs>
  <cellStyles count="7">
    <cellStyle name="Comma" xfId="4" builtinId="3"/>
    <cellStyle name="Comma 2" xfId="2" xr:uid="{00000000-0005-0000-0000-000001000000}"/>
    <cellStyle name="Currency" xfId="3" builtinId="4"/>
    <cellStyle name="Hyperlink" xfId="6" builtinId="8"/>
    <cellStyle name="Normal" xfId="0" builtinId="0"/>
    <cellStyle name="Normal 2" xfId="1" xr:uid="{00000000-0005-0000-0000-000004000000}"/>
    <cellStyle name="Percent" xfId="5" builtinId="5"/>
  </cellStyles>
  <dxfs count="496">
    <dxf>
      <fill>
        <patternFill>
          <bgColor theme="6"/>
        </patternFill>
      </fill>
    </dxf>
    <dxf>
      <fill>
        <patternFill>
          <bgColor rgb="FFC00000"/>
        </patternFill>
      </fill>
    </dxf>
    <dxf>
      <fill>
        <patternFill>
          <bgColor rgb="FFC00000"/>
        </patternFill>
      </fill>
    </dxf>
    <dxf>
      <fill>
        <patternFill>
          <bgColor rgb="FFC00000"/>
        </patternFill>
      </fill>
    </dxf>
    <dxf>
      <fill>
        <patternFill>
          <bgColor rgb="FF92D050"/>
        </patternFill>
      </fill>
    </dxf>
    <dxf>
      <fill>
        <patternFill>
          <bgColor rgb="FFC00000"/>
        </patternFill>
      </fill>
    </dxf>
    <dxf>
      <fill>
        <patternFill>
          <bgColor theme="6"/>
        </patternFill>
      </fill>
    </dxf>
    <dxf>
      <fill>
        <patternFill>
          <bgColor theme="6"/>
        </patternFill>
      </fill>
    </dxf>
    <dxf>
      <fill>
        <patternFill>
          <bgColor rgb="FFC00000"/>
        </patternFill>
      </fill>
    </dxf>
    <dxf>
      <fill>
        <patternFill>
          <bgColor theme="6"/>
        </patternFill>
      </fill>
    </dxf>
    <dxf>
      <fill>
        <patternFill>
          <bgColor rgb="FFC00000"/>
        </patternFill>
      </fill>
    </dxf>
    <dxf>
      <fill>
        <patternFill>
          <bgColor theme="6"/>
        </patternFill>
      </fill>
    </dxf>
    <dxf>
      <fill>
        <patternFill>
          <bgColor rgb="FFC00000"/>
        </patternFill>
      </fill>
    </dxf>
    <dxf>
      <fill>
        <patternFill>
          <bgColor rgb="FFC00000"/>
        </patternFill>
      </fill>
    </dxf>
    <dxf>
      <fill>
        <patternFill>
          <bgColor theme="6"/>
        </patternFill>
      </fill>
    </dxf>
    <dxf>
      <fill>
        <patternFill>
          <bgColor rgb="FFC00000"/>
        </patternFill>
      </fill>
    </dxf>
    <dxf>
      <fill>
        <patternFill>
          <bgColor theme="6"/>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theme="6"/>
        </patternFill>
      </fill>
    </dxf>
    <dxf>
      <fill>
        <patternFill>
          <bgColor rgb="FFC00000"/>
        </patternFill>
      </fill>
    </dxf>
    <dxf>
      <fill>
        <patternFill>
          <bgColor rgb="FFC00000"/>
        </patternFill>
      </fill>
    </dxf>
    <dxf>
      <fill>
        <patternFill>
          <bgColor rgb="FF92D050"/>
        </patternFill>
      </fill>
    </dxf>
    <dxf>
      <fill>
        <patternFill>
          <bgColor theme="6"/>
        </patternFill>
      </fill>
    </dxf>
    <dxf>
      <fill>
        <patternFill>
          <bgColor rgb="FFFF7C80"/>
        </patternFill>
      </fill>
    </dxf>
    <dxf>
      <fill>
        <patternFill>
          <bgColor rgb="FFC00000"/>
        </patternFill>
      </fill>
    </dxf>
    <dxf>
      <fill>
        <patternFill>
          <bgColor theme="6"/>
        </patternFill>
      </fill>
    </dxf>
    <dxf>
      <fill>
        <patternFill>
          <bgColor rgb="FFC00000"/>
        </patternFill>
      </fill>
    </dxf>
    <dxf>
      <fill>
        <patternFill>
          <bgColor rgb="FF92D050"/>
        </patternFill>
      </fill>
    </dxf>
    <dxf>
      <fill>
        <patternFill>
          <bgColor rgb="FFC00000"/>
        </patternFill>
      </fill>
    </dxf>
    <dxf>
      <fill>
        <patternFill>
          <bgColor theme="6"/>
        </patternFill>
      </fill>
    </dxf>
    <dxf>
      <fill>
        <patternFill>
          <bgColor rgb="FFFF7C80"/>
        </patternFill>
      </fill>
    </dxf>
    <dxf>
      <fill>
        <patternFill>
          <bgColor rgb="FFC00000"/>
        </patternFill>
      </fill>
    </dxf>
    <dxf>
      <fill>
        <patternFill>
          <bgColor rgb="FFC00000"/>
        </patternFill>
      </fill>
    </dxf>
    <dxf>
      <fill>
        <patternFill>
          <bgColor theme="6"/>
        </patternFill>
      </fill>
    </dxf>
    <dxf>
      <fill>
        <patternFill>
          <bgColor rgb="FFC00000"/>
        </patternFill>
      </fill>
    </dxf>
    <dxf>
      <fill>
        <patternFill>
          <bgColor rgb="FF92D050"/>
        </patternFill>
      </fill>
    </dxf>
    <dxf>
      <fill>
        <patternFill>
          <bgColor rgb="FFC00000"/>
        </patternFill>
      </fill>
    </dxf>
    <dxf>
      <fill>
        <patternFill>
          <bgColor theme="6"/>
        </patternFill>
      </fill>
    </dxf>
    <dxf>
      <font>
        <color rgb="FF9C0006"/>
      </font>
      <fill>
        <patternFill>
          <bgColor rgb="FFFF9999"/>
        </patternFill>
      </fill>
    </dxf>
    <dxf>
      <fill>
        <patternFill>
          <bgColor theme="6"/>
        </patternFill>
      </fill>
    </dxf>
    <dxf>
      <fill>
        <patternFill>
          <bgColor rgb="FFC00000"/>
        </patternFill>
      </fill>
    </dxf>
    <dxf>
      <font>
        <color rgb="FF9C0006"/>
      </font>
      <fill>
        <patternFill>
          <bgColor rgb="FFFF9999"/>
        </patternFill>
      </fill>
    </dxf>
    <dxf>
      <fill>
        <patternFill>
          <bgColor theme="6"/>
        </patternFill>
      </fill>
    </dxf>
    <dxf>
      <fill>
        <patternFill>
          <bgColor theme="0" tint="-0.34998626667073579"/>
        </patternFill>
      </fill>
    </dxf>
    <dxf>
      <font>
        <color rgb="FF9C0006"/>
      </font>
      <fill>
        <patternFill>
          <bgColor rgb="FFFF9999"/>
        </patternFill>
      </fill>
    </dxf>
    <dxf>
      <fill>
        <patternFill>
          <bgColor theme="6"/>
        </patternFill>
      </fill>
    </dxf>
    <dxf>
      <font>
        <color rgb="FF9C0006"/>
      </font>
      <fill>
        <patternFill>
          <bgColor rgb="FFFF9999"/>
        </patternFill>
      </fill>
    </dxf>
    <dxf>
      <fill>
        <patternFill>
          <bgColor theme="6"/>
        </patternFill>
      </fill>
    </dxf>
    <dxf>
      <fill>
        <patternFill>
          <bgColor theme="0" tint="-0.34998626667073579"/>
        </patternFill>
      </fill>
    </dxf>
    <dxf>
      <font>
        <color rgb="FF9C0006"/>
      </font>
      <fill>
        <patternFill>
          <bgColor rgb="FFFF9999"/>
        </patternFill>
      </fill>
    </dxf>
    <dxf>
      <fill>
        <patternFill>
          <bgColor theme="6"/>
        </patternFill>
      </fill>
    </dxf>
    <dxf>
      <fill>
        <patternFill>
          <bgColor rgb="FFC00000"/>
        </patternFill>
      </fill>
    </dxf>
    <dxf>
      <fill>
        <patternFill>
          <bgColor theme="6"/>
        </patternFill>
      </fill>
    </dxf>
    <dxf>
      <font>
        <color rgb="FF9C0006"/>
      </font>
      <fill>
        <patternFill>
          <bgColor rgb="FFFF9999"/>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theme="6"/>
        </patternFill>
      </fill>
    </dxf>
    <dxf>
      <fill>
        <patternFill patternType="none">
          <bgColor auto="1"/>
        </patternFill>
      </fill>
    </dxf>
    <dxf>
      <font>
        <color rgb="FF9C0006"/>
      </font>
      <fill>
        <patternFill>
          <bgColor rgb="FFFF9999"/>
        </patternFill>
      </fill>
    </dxf>
    <dxf>
      <fill>
        <patternFill>
          <bgColor rgb="FFC00000"/>
        </patternFill>
      </fill>
    </dxf>
    <dxf>
      <fill>
        <patternFill>
          <bgColor rgb="FF92D050"/>
        </patternFill>
      </fill>
    </dxf>
    <dxf>
      <fill>
        <patternFill>
          <bgColor theme="6"/>
        </patternFill>
      </fill>
    </dxf>
    <dxf>
      <fill>
        <patternFill>
          <bgColor rgb="FFC00000"/>
        </patternFill>
      </fill>
    </dxf>
    <dxf>
      <fill>
        <patternFill>
          <bgColor rgb="FFC00000"/>
        </patternFill>
      </fill>
    </dxf>
    <dxf>
      <fill>
        <patternFill>
          <bgColor rgb="FFC00000"/>
        </patternFill>
      </fill>
    </dxf>
    <dxf>
      <fill>
        <patternFill>
          <bgColor theme="6"/>
        </patternFill>
      </fill>
    </dxf>
    <dxf>
      <fill>
        <patternFill>
          <bgColor rgb="FFC00000"/>
        </patternFill>
      </fill>
    </dxf>
    <dxf>
      <fill>
        <patternFill>
          <bgColor theme="6"/>
        </patternFill>
      </fill>
    </dxf>
    <dxf>
      <fill>
        <patternFill>
          <bgColor rgb="FFC00000"/>
        </patternFill>
      </fill>
    </dxf>
    <dxf>
      <fill>
        <patternFill>
          <bgColor theme="6"/>
        </patternFill>
      </fill>
    </dxf>
    <dxf>
      <fill>
        <patternFill>
          <bgColor rgb="FFC00000"/>
        </patternFill>
      </fill>
    </dxf>
    <dxf>
      <fill>
        <patternFill>
          <bgColor theme="6"/>
        </patternFill>
      </fill>
    </dxf>
    <dxf>
      <fill>
        <patternFill>
          <bgColor rgb="FFC00000"/>
        </patternFill>
      </fill>
    </dxf>
    <dxf>
      <fill>
        <patternFill>
          <bgColor theme="6"/>
        </patternFill>
      </fill>
    </dxf>
    <dxf>
      <fill>
        <patternFill>
          <bgColor theme="6"/>
        </patternFill>
      </fill>
    </dxf>
    <dxf>
      <font>
        <color rgb="FF9C0006"/>
      </font>
      <fill>
        <patternFill>
          <bgColor rgb="FFFF9999"/>
        </patternFill>
      </fill>
    </dxf>
    <dxf>
      <fill>
        <patternFill>
          <bgColor theme="6"/>
        </patternFill>
      </fill>
    </dxf>
    <dxf>
      <font>
        <color rgb="FF9C0006"/>
      </font>
      <fill>
        <patternFill>
          <bgColor rgb="FFFF9999"/>
        </patternFill>
      </fill>
    </dxf>
    <dxf>
      <fill>
        <patternFill>
          <bgColor theme="6"/>
        </patternFill>
      </fill>
    </dxf>
    <dxf>
      <fill>
        <patternFill>
          <bgColor rgb="FFFFC7CE"/>
        </patternFill>
      </fill>
    </dxf>
    <dxf>
      <font>
        <color rgb="FF9C0006"/>
      </font>
      <fill>
        <patternFill>
          <bgColor rgb="FFFF9999"/>
        </patternFill>
      </fill>
    </dxf>
    <dxf>
      <fill>
        <patternFill>
          <bgColor theme="6"/>
        </patternFill>
      </fill>
    </dxf>
    <dxf>
      <fill>
        <patternFill>
          <bgColor theme="0"/>
        </patternFill>
      </fill>
    </dxf>
    <dxf>
      <fill>
        <patternFill>
          <bgColor theme="5" tint="0.39994506668294322"/>
        </patternFill>
      </fill>
    </dxf>
    <dxf>
      <fill>
        <patternFill>
          <bgColor theme="6" tint="0.39994506668294322"/>
        </patternFill>
      </fill>
    </dxf>
    <dxf>
      <fill>
        <patternFill>
          <bgColor theme="6"/>
        </patternFill>
      </fill>
    </dxf>
    <dxf>
      <fill>
        <patternFill>
          <bgColor rgb="FFC00000"/>
        </patternFill>
      </fill>
    </dxf>
    <dxf>
      <fill>
        <patternFill>
          <bgColor rgb="FFC00000"/>
        </patternFill>
      </fill>
    </dxf>
    <dxf>
      <fill>
        <patternFill>
          <bgColor rgb="FF92D050"/>
        </patternFill>
      </fill>
    </dxf>
    <dxf>
      <fill>
        <patternFill>
          <bgColor rgb="FFC00000"/>
        </patternFill>
      </fill>
    </dxf>
    <dxf>
      <fill>
        <patternFill>
          <bgColor theme="6"/>
        </patternFill>
      </fill>
    </dxf>
    <dxf>
      <font>
        <color rgb="FF9C0006"/>
      </font>
      <fill>
        <patternFill>
          <bgColor rgb="FFFF9999"/>
        </patternFill>
      </fill>
    </dxf>
    <dxf>
      <fill>
        <patternFill>
          <bgColor theme="6"/>
        </patternFill>
      </fill>
    </dxf>
    <dxf>
      <font>
        <color rgb="FF9C0006"/>
      </font>
      <fill>
        <patternFill>
          <bgColor rgb="FFFF9999"/>
        </patternFill>
      </fill>
    </dxf>
    <dxf>
      <fill>
        <patternFill>
          <bgColor theme="6"/>
        </patternFill>
      </fill>
    </dxf>
    <dxf>
      <font>
        <color rgb="FF9C0006"/>
      </font>
      <fill>
        <patternFill>
          <bgColor rgb="FFFF9999"/>
        </patternFill>
      </fill>
    </dxf>
    <dxf>
      <font>
        <color rgb="FF9C0006"/>
      </font>
      <fill>
        <patternFill>
          <bgColor rgb="FFFF9999"/>
        </patternFill>
      </fill>
    </dxf>
    <dxf>
      <fill>
        <patternFill>
          <bgColor theme="6"/>
        </patternFill>
      </fill>
    </dxf>
    <dxf>
      <fill>
        <patternFill patternType="none">
          <bgColor auto="1"/>
        </patternFill>
      </fill>
    </dxf>
    <dxf>
      <fill>
        <patternFill>
          <bgColor theme="6"/>
        </patternFill>
      </fill>
    </dxf>
    <dxf>
      <font>
        <color rgb="FF9C0006"/>
      </font>
      <fill>
        <patternFill>
          <bgColor rgb="FFFF9999"/>
        </patternFill>
      </fill>
    </dxf>
    <dxf>
      <fill>
        <patternFill>
          <bgColor theme="6"/>
        </patternFill>
      </fill>
    </dxf>
    <dxf>
      <fill>
        <patternFill>
          <bgColor rgb="FFFFC7CE"/>
        </patternFill>
      </fill>
    </dxf>
    <dxf>
      <fill>
        <patternFill>
          <bgColor theme="6"/>
        </patternFill>
      </fill>
    </dxf>
    <dxf>
      <fill>
        <patternFill>
          <bgColor rgb="FFFFC7CE"/>
        </patternFill>
      </fill>
    </dxf>
    <dxf>
      <fill>
        <patternFill>
          <bgColor rgb="FFFFC7CE"/>
        </patternFill>
      </fill>
    </dxf>
    <dxf>
      <fill>
        <patternFill>
          <bgColor theme="6"/>
        </patternFill>
      </fill>
    </dxf>
    <dxf>
      <font>
        <color rgb="FF9C0006"/>
      </font>
      <fill>
        <patternFill>
          <bgColor rgb="FFFF9999"/>
        </patternFill>
      </fill>
    </dxf>
    <dxf>
      <font>
        <color rgb="FF9C0006"/>
      </font>
      <fill>
        <patternFill>
          <bgColor rgb="FFFF9999"/>
        </patternFill>
      </fill>
    </dxf>
    <dxf>
      <font>
        <color rgb="FF006100"/>
      </font>
      <fill>
        <patternFill>
          <bgColor theme="6"/>
        </patternFill>
      </fill>
    </dxf>
    <dxf>
      <font>
        <color rgb="FF9C0006"/>
      </font>
      <fill>
        <patternFill>
          <bgColor rgb="FFFFC7CE"/>
        </patternFill>
      </fill>
    </dxf>
    <dxf>
      <font>
        <color rgb="FF006100"/>
      </font>
      <fill>
        <patternFill>
          <bgColor theme="6"/>
        </patternFill>
      </fill>
    </dxf>
    <dxf>
      <font>
        <color rgb="FF9C0006"/>
      </font>
      <fill>
        <patternFill>
          <bgColor rgb="FFFFC7CE"/>
        </patternFill>
      </fill>
    </dxf>
    <dxf>
      <fill>
        <patternFill>
          <bgColor rgb="FFFFC7CE"/>
        </patternFill>
      </fill>
    </dxf>
    <dxf>
      <fill>
        <patternFill>
          <bgColor theme="6"/>
        </patternFill>
      </fill>
    </dxf>
    <dxf>
      <fill>
        <patternFill>
          <bgColor rgb="FFFFC7CE"/>
        </patternFill>
      </fill>
    </dxf>
    <dxf>
      <fill>
        <patternFill>
          <bgColor theme="6"/>
        </patternFill>
      </fill>
    </dxf>
    <dxf>
      <font>
        <color rgb="FF9C0006"/>
      </font>
      <fill>
        <patternFill>
          <bgColor rgb="FFFF9999"/>
        </patternFill>
      </fill>
    </dxf>
    <dxf>
      <fill>
        <patternFill>
          <bgColor rgb="FFFFC7CE"/>
        </patternFill>
      </fill>
    </dxf>
    <dxf>
      <fill>
        <patternFill>
          <bgColor theme="6"/>
        </patternFill>
      </fill>
    </dxf>
    <dxf>
      <fill>
        <patternFill>
          <bgColor theme="0"/>
        </patternFill>
      </fill>
    </dxf>
    <dxf>
      <fill>
        <patternFill>
          <bgColor theme="5" tint="0.39994506668294322"/>
        </patternFill>
      </fill>
    </dxf>
    <dxf>
      <fill>
        <patternFill>
          <bgColor theme="6" tint="0.39994506668294322"/>
        </patternFill>
      </fill>
    </dxf>
    <dxf>
      <font>
        <color theme="0"/>
      </font>
    </dxf>
    <dxf>
      <font>
        <b val="0"/>
        <i val="0"/>
        <color theme="0"/>
      </font>
    </dxf>
    <dxf>
      <fill>
        <patternFill>
          <bgColor theme="6"/>
        </patternFill>
      </fill>
    </dxf>
    <dxf>
      <fill>
        <patternFill>
          <bgColor rgb="FFC00000"/>
        </patternFill>
      </fill>
    </dxf>
    <dxf>
      <fill>
        <patternFill>
          <bgColor theme="6"/>
        </patternFill>
      </fill>
    </dxf>
    <dxf>
      <fill>
        <patternFill>
          <bgColor rgb="FFC00000"/>
        </patternFill>
      </fill>
    </dxf>
    <dxf>
      <fill>
        <patternFill>
          <bgColor rgb="FFFFC7CE"/>
        </patternFill>
      </fill>
    </dxf>
    <dxf>
      <fill>
        <patternFill>
          <bgColor rgb="FFFFC7CE"/>
        </patternFill>
      </fill>
    </dxf>
    <dxf>
      <fill>
        <patternFill>
          <bgColor theme="6"/>
        </patternFill>
      </fill>
    </dxf>
    <dxf>
      <fill>
        <patternFill>
          <bgColor rgb="FFC00000"/>
        </patternFill>
      </fill>
    </dxf>
    <dxf>
      <fill>
        <patternFill>
          <bgColor rgb="FFC00000"/>
        </patternFill>
      </fill>
    </dxf>
    <dxf>
      <fill>
        <patternFill>
          <bgColor theme="6"/>
        </patternFill>
      </fill>
    </dxf>
    <dxf>
      <fill>
        <patternFill>
          <bgColor rgb="FFC00000"/>
        </patternFill>
      </fill>
    </dxf>
    <dxf>
      <fill>
        <patternFill>
          <bgColor theme="6"/>
        </patternFill>
      </fill>
    </dxf>
    <dxf>
      <fill>
        <patternFill>
          <bgColor rgb="FFFFC7CE"/>
        </patternFill>
      </fill>
    </dxf>
    <dxf>
      <fill>
        <patternFill>
          <bgColor theme="6"/>
        </patternFill>
      </fill>
    </dxf>
    <dxf>
      <fill>
        <patternFill>
          <bgColor rgb="FFC00000"/>
        </patternFill>
      </fill>
    </dxf>
    <dxf>
      <fill>
        <patternFill>
          <bgColor rgb="FFC00000"/>
        </patternFill>
      </fill>
    </dxf>
    <dxf>
      <fill>
        <patternFill>
          <bgColor theme="6"/>
        </patternFill>
      </fill>
    </dxf>
    <dxf>
      <fill>
        <patternFill>
          <bgColor rgb="FFC00000"/>
        </patternFill>
      </fill>
    </dxf>
    <dxf>
      <fill>
        <patternFill>
          <bgColor theme="6"/>
        </patternFill>
      </fill>
    </dxf>
    <dxf>
      <fill>
        <patternFill patternType="solid">
          <fgColor indexed="64"/>
          <bgColor theme="1"/>
        </patternFill>
      </fill>
      <border diagonalUp="0" diagonalDown="0" outline="0">
        <left style="thin">
          <color indexed="64"/>
        </left>
        <right/>
        <top style="thin">
          <color indexed="64"/>
        </top>
        <bottom style="thin">
          <color indexed="64"/>
        </bottom>
      </border>
    </dxf>
    <dxf>
      <font>
        <color auto="1"/>
      </font>
      <fill>
        <patternFill patternType="solid">
          <fgColor indexed="64"/>
          <bgColor theme="0"/>
        </patternFill>
      </fill>
      <alignment horizontal="general"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border outline="0">
        <top style="thin">
          <color indexed="64"/>
        </top>
      </border>
    </dxf>
    <dxf>
      <border outline="0">
        <left style="thin">
          <color indexed="64"/>
        </left>
        <right style="thin">
          <color indexed="64"/>
        </right>
        <top style="thin">
          <color indexed="64"/>
        </top>
        <bottom style="thin">
          <color indexed="64"/>
        </bottom>
      </border>
    </dxf>
    <dxf>
      <border outline="0">
        <bottom style="thin">
          <color indexed="64"/>
        </bottom>
      </border>
    </dxf>
    <dxf>
      <border diagonalUp="0" diagonalDown="0" outline="0">
        <left style="thin">
          <color indexed="64"/>
        </left>
        <right style="thin">
          <color indexed="64"/>
        </right>
        <top/>
        <bottom/>
      </border>
    </dxf>
    <dxf>
      <fill>
        <patternFill patternType="solid">
          <fgColor indexed="64"/>
          <bgColor theme="1"/>
        </patternFill>
      </fill>
      <border diagonalUp="0" diagonalDown="0" outline="0">
        <left style="thin">
          <color indexed="64"/>
        </left>
        <right style="thin">
          <color indexed="64"/>
        </right>
        <top style="thin">
          <color indexed="64"/>
        </top>
        <bottom style="thin">
          <color indexed="64"/>
        </bottom>
      </border>
      <protection locked="1" hidden="1"/>
    </dxf>
    <dxf>
      <fill>
        <patternFill patternType="none">
          <fgColor indexed="64"/>
          <bgColor auto="1"/>
        </patternFill>
      </fill>
      <alignment horizontal="center" vertical="bottom" textRotation="0" wrapText="0" indent="0" justifyLastLine="0" shrinkToFit="0" readingOrder="0"/>
      <border diagonalUp="0" diagonalDown="0" outline="0">
        <left/>
        <right style="thin">
          <color indexed="64"/>
        </right>
        <top style="thin">
          <color indexed="64"/>
        </top>
        <bottom style="thin">
          <color indexed="64"/>
        </bottom>
      </border>
      <protection locked="1" hidden="1"/>
    </dxf>
    <dxf>
      <border outline="0">
        <top style="thin">
          <color indexed="64"/>
        </top>
      </border>
    </dxf>
    <dxf>
      <border outline="0">
        <left style="thin">
          <color indexed="64"/>
        </left>
        <right style="thin">
          <color indexed="64"/>
        </right>
        <top style="thin">
          <color indexed="64"/>
        </top>
        <bottom style="thin">
          <color indexed="64"/>
        </bottom>
      </border>
    </dxf>
    <dxf>
      <fill>
        <patternFill patternType="none">
          <fgColor indexed="64"/>
          <bgColor auto="1"/>
        </patternFill>
      </fill>
      <protection locked="1" hidden="1"/>
    </dxf>
    <dxf>
      <border outline="0">
        <bottom style="thin">
          <color indexed="64"/>
        </bottom>
      </border>
    </dxf>
    <dxf>
      <font>
        <b/>
        <i val="0"/>
        <strike val="0"/>
        <condense val="0"/>
        <extend val="0"/>
        <outline val="0"/>
        <shadow val="0"/>
        <u val="none"/>
        <vertAlign val="baseline"/>
        <sz val="11"/>
        <color theme="1"/>
        <name val="Calibri"/>
        <family val="2"/>
        <scheme val="minor"/>
      </font>
      <fill>
        <patternFill patternType="none">
          <fgColor indexed="64"/>
          <bgColor indexed="65"/>
        </patternFill>
      </fill>
      <alignment horizontal="center" vertical="bottom" textRotation="0" wrapText="1" indent="0" justifyLastLine="0" shrinkToFit="0" readingOrder="0"/>
      <border diagonalUp="0" diagonalDown="0">
        <left style="thin">
          <color indexed="64"/>
        </left>
        <right style="thin">
          <color indexed="64"/>
        </right>
        <top/>
        <bottom/>
      </border>
      <protection locked="1" hidden="1"/>
    </dxf>
    <dxf>
      <fill>
        <patternFill patternType="solid">
          <fgColor indexed="64"/>
          <bgColor theme="1"/>
        </patternFill>
      </fill>
      <border diagonalUp="0" diagonalDown="0" outline="0">
        <left style="thin">
          <color indexed="64"/>
        </left>
        <right style="thin">
          <color indexed="64"/>
        </right>
        <top style="thin">
          <color indexed="64"/>
        </top>
        <bottom style="thin">
          <color indexed="64"/>
        </bottom>
      </border>
      <protection locked="1" hidden="1"/>
    </dxf>
    <dxf>
      <alignment horizontal="center" vertical="bottom" textRotation="0" wrapText="0" indent="0" justifyLastLine="0" shrinkToFit="0" readingOrder="0"/>
      <border diagonalUp="0" diagonalDown="0" outline="0">
        <left/>
        <right style="thin">
          <color indexed="64"/>
        </right>
        <top style="thin">
          <color indexed="64"/>
        </top>
        <bottom style="thin">
          <color indexed="64"/>
        </bottom>
      </border>
      <protection locked="1" hidden="1"/>
    </dxf>
    <dxf>
      <border outline="0">
        <top style="thin">
          <color indexed="64"/>
        </top>
      </border>
    </dxf>
    <dxf>
      <border outline="0">
        <left style="thin">
          <color indexed="64"/>
        </left>
        <right style="thin">
          <color indexed="64"/>
        </right>
        <top style="thin">
          <color indexed="64"/>
        </top>
        <bottom style="thin">
          <color indexed="64"/>
        </bottom>
      </border>
    </dxf>
    <dxf>
      <protection locked="1" hidden="1"/>
    </dxf>
    <dxf>
      <border outline="0">
        <bottom style="thin">
          <color indexed="64"/>
        </bottom>
      </border>
    </dxf>
    <dxf>
      <font>
        <b/>
        <i val="0"/>
        <strike val="0"/>
        <condense val="0"/>
        <extend val="0"/>
        <outline val="0"/>
        <shadow val="0"/>
        <u val="none"/>
        <vertAlign val="baseline"/>
        <sz val="11"/>
        <color theme="1"/>
        <name val="Calibri"/>
        <family val="2"/>
        <scheme val="minor"/>
      </font>
      <fill>
        <patternFill patternType="none">
          <fgColor indexed="64"/>
          <bgColor indexed="65"/>
        </patternFill>
      </fill>
      <alignment horizontal="center" vertical="bottom" textRotation="0" wrapText="1" indent="0" justifyLastLine="0" shrinkToFit="0" readingOrder="0"/>
      <border diagonalUp="0" diagonalDown="0">
        <left style="thin">
          <color indexed="64"/>
        </left>
        <right style="thin">
          <color indexed="64"/>
        </right>
        <top/>
        <bottom/>
      </border>
      <protection locked="1" hidden="1"/>
    </dxf>
    <dxf>
      <fill>
        <patternFill patternType="solid">
          <fgColor indexed="64"/>
          <bgColor theme="1"/>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1" hidden="1"/>
    </dxf>
    <dxf>
      <fill>
        <patternFill patternType="solid">
          <fgColor indexed="64"/>
          <bgColor theme="1"/>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1" hidden="1"/>
    </dxf>
    <dxf>
      <fill>
        <patternFill patternType="solid">
          <fgColor indexed="64"/>
          <bgColor theme="1"/>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1" hidden="1"/>
    </dxf>
    <dxf>
      <fill>
        <patternFill patternType="solid">
          <fgColor indexed="64"/>
          <bgColor theme="1"/>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1" hidden="1"/>
    </dxf>
    <dxf>
      <fill>
        <patternFill patternType="solid">
          <fgColor indexed="64"/>
          <bgColor theme="1"/>
        </patternFill>
      </fill>
      <alignment horizontal="center" vertical="bottom" textRotation="0" wrapText="0" indent="0" justifyLastLine="0" shrinkToFit="0" readingOrder="0"/>
      <border outline="0">
        <left style="thin">
          <color indexed="64"/>
        </left>
        <right style="thin">
          <color indexed="64"/>
        </right>
      </border>
      <protection locked="1" hidden="1"/>
    </dxf>
    <dxf>
      <fill>
        <patternFill patternType="solid">
          <fgColor indexed="64"/>
          <bgColor theme="1"/>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1" hidden="1"/>
    </dxf>
    <dxf>
      <fill>
        <patternFill patternType="solid">
          <fgColor indexed="64"/>
          <bgColor theme="1"/>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1" hidden="1"/>
    </dxf>
    <dxf>
      <alignment horizontal="center" vertical="bottom" textRotation="0" wrapText="0" indent="0" justifyLastLine="0" shrinkToFit="0" readingOrder="0"/>
      <border diagonalUp="0" diagonalDown="0" outline="0">
        <left/>
        <right style="thin">
          <color indexed="64"/>
        </right>
        <top style="thin">
          <color indexed="64"/>
        </top>
        <bottom style="thin">
          <color indexed="64"/>
        </bottom>
      </border>
      <protection locked="1" hidden="1"/>
    </dxf>
    <dxf>
      <border outline="0">
        <top style="thin">
          <color indexed="64"/>
        </top>
      </border>
    </dxf>
    <dxf>
      <border outline="0">
        <left style="thin">
          <color indexed="64"/>
        </left>
        <right style="thin">
          <color indexed="64"/>
        </right>
        <top style="thin">
          <color indexed="64"/>
        </top>
        <bottom style="thin">
          <color indexed="64"/>
        </bottom>
      </border>
    </dxf>
    <dxf>
      <alignment horizontal="center" vertical="bottom" textRotation="0" wrapText="0" indent="0" justifyLastLine="0" shrinkToFit="0" readingOrder="0"/>
      <protection locked="1" hidden="1"/>
    </dxf>
    <dxf>
      <border outline="0">
        <bottom style="thin">
          <color indexed="64"/>
        </bottom>
      </border>
    </dxf>
    <dxf>
      <font>
        <b/>
        <i val="0"/>
        <strike val="0"/>
        <condense val="0"/>
        <extend val="0"/>
        <outline val="0"/>
        <shadow val="0"/>
        <u val="none"/>
        <vertAlign val="baseline"/>
        <sz val="11"/>
        <color theme="1"/>
        <name val="Calibri"/>
        <family val="2"/>
        <scheme val="minor"/>
      </font>
      <alignment horizontal="center" vertical="bottom" textRotation="0" wrapText="1" indent="0" justifyLastLine="0" shrinkToFit="0" readingOrder="0"/>
      <border diagonalUp="0" diagonalDown="0">
        <left style="thin">
          <color indexed="64"/>
        </left>
        <right style="thin">
          <color indexed="64"/>
        </right>
        <top/>
        <bottom/>
      </border>
      <protection locked="1" hidden="1"/>
    </dxf>
    <dxf>
      <font>
        <b/>
        <color theme="0"/>
      </font>
      <numFmt numFmtId="168" formatCode="0.0%"/>
      <fill>
        <patternFill patternType="solid">
          <fgColor indexed="64"/>
          <bgColor theme="1" tint="0.499984740745262"/>
        </patternFill>
      </fill>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1"/>
        <color theme="0"/>
        <name val="Calibri"/>
        <family val="2"/>
        <scheme val="minor"/>
      </font>
      <numFmt numFmtId="35" formatCode="_(* #,##0.00_);_(* \(#,##0.00\);_(* &quot;-&quot;??_);_(@_)"/>
      <fill>
        <patternFill patternType="solid">
          <fgColor indexed="64"/>
          <bgColor theme="1" tint="0.499984740745262"/>
        </patternFill>
      </fill>
      <border diagonalUp="0" diagonalDown="0">
        <left style="thin">
          <color indexed="64"/>
        </left>
        <right style="thin">
          <color indexed="64"/>
        </right>
        <top style="thin">
          <color indexed="64"/>
        </top>
        <bottom style="thin">
          <color indexed="64"/>
        </bottom>
        <vertical/>
        <horizontal/>
      </border>
    </dxf>
    <dxf>
      <font>
        <b/>
        <color theme="0"/>
      </font>
      <numFmt numFmtId="35" formatCode="_(* #,##0.00_);_(* \(#,##0.00\);_(* &quot;-&quot;??_);_(@_)"/>
      <fill>
        <patternFill patternType="solid">
          <fgColor indexed="64"/>
          <bgColor theme="1" tint="0.499984740745262"/>
        </patternFill>
      </fill>
      <border diagonalUp="0" diagonalDown="0">
        <left style="thin">
          <color indexed="64"/>
        </left>
        <right style="thin">
          <color indexed="64"/>
        </right>
        <top style="thin">
          <color indexed="64"/>
        </top>
        <bottom style="thin">
          <color indexed="64"/>
        </bottom>
        <vertical/>
        <horizontal/>
      </border>
    </dxf>
    <dxf>
      <font>
        <b/>
        <color theme="0"/>
      </font>
      <fill>
        <patternFill patternType="solid">
          <fgColor indexed="64"/>
          <bgColor theme="0" tint="-0.499984740745262"/>
        </patternFill>
      </fill>
      <alignment horizontal="general" vertical="bottom" textRotation="0" wrapText="1" indent="0" justifyLastLine="0" shrinkToFit="0" readingOrder="0"/>
      <border diagonalUp="0" diagonalDown="0">
        <left/>
        <right style="thin">
          <color indexed="64"/>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fill>
        <patternFill patternType="none">
          <fgColor indexed="64"/>
          <bgColor auto="1"/>
        </patternFill>
      </fill>
    </dxf>
    <dxf>
      <border outline="0">
        <bottom style="thin">
          <color indexed="64"/>
        </bottom>
      </border>
    </dxf>
    <dxf>
      <font>
        <b/>
        <i val="0"/>
        <strike val="0"/>
        <condense val="0"/>
        <extend val="0"/>
        <outline val="0"/>
        <shadow val="0"/>
        <u val="none"/>
        <vertAlign val="baseline"/>
        <sz val="11"/>
        <color theme="0"/>
        <name val="Calibri"/>
        <family val="2"/>
        <scheme val="minor"/>
      </font>
      <fill>
        <patternFill patternType="solid">
          <fgColor indexed="64"/>
          <bgColor theme="7" tint="-0.249977111117893"/>
        </patternFill>
      </fill>
      <alignment horizontal="center" vertical="bottom" textRotation="0" wrapText="0" indent="0" justifyLastLine="0" shrinkToFit="0" readingOrder="0"/>
      <border diagonalUp="0" diagonalDown="0" outline="0">
        <left style="thin">
          <color indexed="64"/>
        </left>
        <right style="thin">
          <color indexed="64"/>
        </right>
        <top/>
        <bottom/>
      </border>
    </dxf>
    <dxf>
      <numFmt numFmtId="14" formatCode="0.00%"/>
      <border diagonalUp="0" diagonalDown="0">
        <left style="thin">
          <color indexed="64"/>
        </left>
        <right/>
        <top style="thin">
          <color indexed="64"/>
        </top>
        <bottom style="thin">
          <color indexed="64"/>
        </bottom>
      </border>
    </dxf>
    <dxf>
      <font>
        <b val="0"/>
        <i val="0"/>
        <strike val="0"/>
        <condense val="0"/>
        <extend val="0"/>
        <outline val="0"/>
        <shadow val="0"/>
        <u val="none"/>
        <vertAlign val="baseline"/>
        <sz val="11"/>
        <color theme="1"/>
        <name val="Calibri"/>
        <family val="2"/>
        <scheme val="minor"/>
      </font>
      <border diagonalUp="0" diagonalDown="0">
        <left style="thin">
          <color indexed="64"/>
        </left>
        <right style="thin">
          <color indexed="64"/>
        </right>
        <top style="thin">
          <color indexed="64"/>
        </top>
        <bottom style="thin">
          <color indexed="64"/>
        </bottom>
        <vertical/>
        <horizontal/>
      </border>
    </dxf>
    <dxf>
      <numFmt numFmtId="34" formatCode="_(&quot;$&quot;* #,##0.00_);_(&quot;$&quot;* \(#,##0.00\);_(&quot;$&quot;* &quot;-&quot;??_);_(@_)"/>
      <border diagonalUp="0" diagonalDown="0">
        <left style="thin">
          <color indexed="64"/>
        </left>
        <right style="thin">
          <color indexed="64"/>
        </right>
        <top style="thin">
          <color indexed="64"/>
        </top>
        <bottom style="thin">
          <color indexed="64"/>
        </bottom>
      </border>
    </dxf>
    <dxf>
      <border outline="0">
        <top style="thin">
          <color indexed="64"/>
        </top>
      </border>
    </dxf>
    <dxf>
      <border outline="0">
        <left style="thin">
          <color indexed="64"/>
        </left>
        <right style="thin">
          <color indexed="64"/>
        </right>
        <top style="thin">
          <color indexed="64"/>
        </top>
        <bottom style="thin">
          <color indexed="64"/>
        </bottom>
      </border>
    </dxf>
    <dxf>
      <border outline="0">
        <bottom style="thin">
          <color indexed="64"/>
        </bottom>
      </border>
    </dxf>
    <dxf>
      <font>
        <b/>
        <i val="0"/>
        <strike val="0"/>
        <condense val="0"/>
        <extend val="0"/>
        <outline val="0"/>
        <shadow val="0"/>
        <u val="none"/>
        <vertAlign val="baseline"/>
        <sz val="11"/>
        <color theme="0"/>
        <name val="Calibri"/>
        <family val="2"/>
        <scheme val="minor"/>
      </font>
      <fill>
        <patternFill patternType="solid">
          <fgColor indexed="64"/>
          <bgColor rgb="FF002060"/>
        </patternFill>
      </fill>
      <alignment horizontal="center" vertical="bottom" textRotation="0" wrapText="0" indent="0" justifyLastLine="0" shrinkToFit="0" readingOrder="0"/>
      <border diagonalUp="0" diagonalDown="0" outline="0">
        <left style="thin">
          <color indexed="64"/>
        </left>
        <right style="thin">
          <color indexed="64"/>
        </right>
        <top/>
        <bottom/>
      </border>
    </dxf>
    <dxf>
      <numFmt numFmtId="14" formatCode="0.00%"/>
      <border diagonalUp="0" diagonalDown="0">
        <left style="thin">
          <color indexed="64"/>
        </left>
        <right/>
        <top style="thin">
          <color indexed="64"/>
        </top>
        <bottom style="thin">
          <color indexed="64"/>
        </bottom>
      </border>
    </dxf>
    <dxf>
      <font>
        <b val="0"/>
        <i val="0"/>
        <strike val="0"/>
        <condense val="0"/>
        <extend val="0"/>
        <outline val="0"/>
        <shadow val="0"/>
        <u val="none"/>
        <vertAlign val="baseline"/>
        <sz val="11"/>
        <color theme="1"/>
        <name val="Calibri"/>
        <family val="2"/>
        <scheme val="minor"/>
      </font>
      <border diagonalUp="0" diagonalDown="0">
        <left style="thin">
          <color indexed="64"/>
        </left>
        <right style="thin">
          <color indexed="64"/>
        </right>
        <top style="thin">
          <color indexed="64"/>
        </top>
        <bottom style="thin">
          <color indexed="64"/>
        </bottom>
        <vertical/>
        <horizontal/>
      </border>
    </dxf>
    <dxf>
      <border diagonalUp="0" diagonalDown="0">
        <left style="thin">
          <color indexed="64"/>
        </left>
        <right style="thin">
          <color indexed="64"/>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border outline="0">
        <bottom style="thin">
          <color indexed="64"/>
        </bottom>
      </border>
    </dxf>
    <dxf>
      <font>
        <b/>
        <i val="0"/>
        <strike val="0"/>
        <condense val="0"/>
        <extend val="0"/>
        <outline val="0"/>
        <shadow val="0"/>
        <u val="none"/>
        <vertAlign val="baseline"/>
        <sz val="11"/>
        <color theme="0"/>
        <name val="Calibri"/>
        <family val="2"/>
        <scheme val="minor"/>
      </font>
      <fill>
        <patternFill patternType="solid">
          <fgColor indexed="64"/>
          <bgColor rgb="FF002060"/>
        </patternFill>
      </fill>
      <alignment horizontal="center" vertical="bottom" textRotation="0" wrapText="0" indent="0" justifyLastLine="0" shrinkToFit="0" readingOrder="0"/>
      <border diagonalUp="0" diagonalDown="0" outline="0">
        <left style="thin">
          <color indexed="64"/>
        </left>
        <right style="thin">
          <color indexed="64"/>
        </right>
        <top/>
        <bottom/>
      </border>
    </dxf>
    <dxf>
      <numFmt numFmtId="14" formatCode="0.00%"/>
      <border diagonalUp="0" diagonalDown="0">
        <left style="thin">
          <color indexed="64"/>
        </left>
        <right/>
        <top style="thin">
          <color indexed="64"/>
        </top>
        <bottom style="thin">
          <color indexed="64"/>
        </bottom>
      </border>
    </dxf>
    <dxf>
      <font>
        <b val="0"/>
        <i val="0"/>
        <strike val="0"/>
        <condense val="0"/>
        <extend val="0"/>
        <outline val="0"/>
        <shadow val="0"/>
        <u val="none"/>
        <vertAlign val="baseline"/>
        <sz val="11"/>
        <color theme="1"/>
        <name val="Calibri"/>
        <family val="2"/>
        <scheme val="minor"/>
      </font>
      <border diagonalUp="0" diagonalDown="0">
        <left style="thin">
          <color indexed="64"/>
        </left>
        <right style="thin">
          <color indexed="64"/>
        </right>
        <top style="thin">
          <color indexed="64"/>
        </top>
        <bottom style="thin">
          <color indexed="64"/>
        </bottom>
        <vertical/>
        <horizontal/>
      </border>
    </dxf>
    <dxf>
      <border diagonalUp="0" diagonalDown="0" outline="0">
        <left style="thin">
          <color indexed="64"/>
        </left>
        <right style="thin">
          <color indexed="64"/>
        </right>
        <top style="thin">
          <color indexed="64"/>
        </top>
        <bottom style="thin">
          <color indexed="64"/>
        </bottom>
      </border>
    </dxf>
    <dxf>
      <border outline="0">
        <top style="thin">
          <color indexed="64"/>
        </top>
      </border>
    </dxf>
    <dxf>
      <border outline="0">
        <left style="thin">
          <color indexed="64"/>
        </left>
        <right style="thin">
          <color indexed="64"/>
        </right>
        <top style="thin">
          <color indexed="64"/>
        </top>
        <bottom style="thin">
          <color indexed="64"/>
        </bottom>
      </border>
    </dxf>
    <dxf>
      <border outline="0">
        <bottom style="thin">
          <color indexed="64"/>
        </bottom>
      </border>
    </dxf>
    <dxf>
      <font>
        <b/>
        <i val="0"/>
        <strike val="0"/>
        <condense val="0"/>
        <extend val="0"/>
        <outline val="0"/>
        <shadow val="0"/>
        <u val="none"/>
        <vertAlign val="baseline"/>
        <sz val="11"/>
        <color theme="0"/>
        <name val="Calibri"/>
        <family val="2"/>
        <scheme val="minor"/>
      </font>
      <fill>
        <patternFill patternType="solid">
          <fgColor indexed="64"/>
          <bgColor rgb="FF002060"/>
        </patternFill>
      </fill>
      <alignment horizontal="center" vertical="bottom" textRotation="0" wrapText="0" indent="0" justifyLastLine="0" shrinkToFit="0" readingOrder="0"/>
      <border diagonalUp="0" diagonalDown="0" outline="0">
        <left style="thin">
          <color indexed="64"/>
        </left>
        <right style="thin">
          <color indexed="64"/>
        </right>
        <top/>
        <bottom/>
      </border>
    </dxf>
    <dxf>
      <numFmt numFmtId="14" formatCode="0.00%"/>
      <fill>
        <patternFill patternType="none">
          <fgColor indexed="64"/>
          <bgColor auto="1"/>
        </patternFill>
      </fill>
      <border diagonalUp="0" diagonalDown="0">
        <left style="thin">
          <color indexed="64"/>
        </left>
        <right/>
        <top style="thin">
          <color indexed="64"/>
        </top>
        <bottom style="thin">
          <color indexed="64"/>
        </bottom>
      </border>
    </dxf>
    <dxf>
      <font>
        <b/>
        <i val="0"/>
        <strike val="0"/>
        <condense val="0"/>
        <extend val="0"/>
        <outline val="0"/>
        <shadow val="0"/>
        <u val="none"/>
        <vertAlign val="baseline"/>
        <sz val="11"/>
        <color theme="0"/>
        <name val="Calibri"/>
        <family val="2"/>
        <scheme val="minor"/>
      </font>
      <numFmt numFmtId="35" formatCode="_(* #,##0.00_);_(* \(#,##0.00\);_(* &quot;-&quot;??_);_(@_)"/>
      <fill>
        <patternFill patternType="solid">
          <fgColor indexed="64"/>
          <bgColor theme="1" tint="0.499984740745262"/>
        </patternFill>
      </fill>
      <border diagonalUp="0" diagonalDown="0">
        <left style="thin">
          <color indexed="64"/>
        </left>
        <right style="thin">
          <color indexed="64"/>
        </right>
        <top style="thin">
          <color indexed="64"/>
        </top>
        <bottom style="thin">
          <color indexed="64"/>
        </bottom>
        <vertical/>
        <horizontal/>
      </border>
    </dxf>
    <dxf>
      <font>
        <b/>
        <color theme="0"/>
      </font>
      <numFmt numFmtId="35" formatCode="_(* #,##0.00_);_(* \(#,##0.00\);_(* &quot;-&quot;??_);_(@_)"/>
      <fill>
        <patternFill patternType="solid">
          <fgColor indexed="64"/>
          <bgColor theme="1" tint="0.499984740745262"/>
        </patternFill>
      </fill>
      <border diagonalUp="0" diagonalDown="0">
        <left style="thin">
          <color indexed="64"/>
        </left>
        <right style="thin">
          <color indexed="64"/>
        </right>
        <top style="thin">
          <color indexed="64"/>
        </top>
        <bottom style="thin">
          <color indexed="64"/>
        </bottom>
        <vertical/>
        <horizontal/>
      </border>
    </dxf>
    <dxf>
      <font>
        <b/>
        <color theme="0"/>
      </font>
      <fill>
        <patternFill patternType="solid">
          <fgColor indexed="64"/>
          <bgColor theme="0" tint="-0.499984740745262"/>
        </patternFill>
      </fill>
      <alignment horizontal="general" vertical="bottom" textRotation="0" wrapText="1" indent="0" justifyLastLine="0" shrinkToFit="0" readingOrder="0"/>
      <border diagonalUp="0" diagonalDown="0">
        <left/>
        <right style="thin">
          <color indexed="64"/>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fill>
        <patternFill patternType="none">
          <fgColor indexed="64"/>
          <bgColor auto="1"/>
        </patternFill>
      </fill>
    </dxf>
    <dxf>
      <border outline="0">
        <bottom style="thin">
          <color indexed="64"/>
        </bottom>
      </border>
    </dxf>
    <dxf>
      <font>
        <b/>
        <i val="0"/>
        <strike val="0"/>
        <condense val="0"/>
        <extend val="0"/>
        <outline val="0"/>
        <shadow val="0"/>
        <u val="none"/>
        <vertAlign val="baseline"/>
        <sz val="11"/>
        <color theme="0"/>
        <name val="Calibri"/>
        <family val="2"/>
        <scheme val="minor"/>
      </font>
      <fill>
        <patternFill patternType="solid">
          <fgColor indexed="64"/>
          <bgColor theme="5" tint="-0.249977111117893"/>
        </patternFill>
      </fill>
      <alignment horizontal="center" vertical="bottom" textRotation="0" wrapText="0" indent="0" justifyLastLine="0" shrinkToFit="0" readingOrder="0"/>
      <border diagonalUp="0" diagonalDown="0" outline="0">
        <left style="thin">
          <color indexed="64"/>
        </left>
        <right style="thin">
          <color indexed="64"/>
        </right>
        <top/>
        <bottom/>
      </border>
    </dxf>
    <dxf>
      <font>
        <b/>
        <color theme="0"/>
      </font>
      <numFmt numFmtId="14" formatCode="0.00%"/>
      <fill>
        <patternFill patternType="solid">
          <fgColor indexed="64"/>
          <bgColor theme="0" tint="-0.499984740745262"/>
        </patternFill>
      </fill>
      <border diagonalUp="0" diagonalDown="0">
        <left style="thin">
          <color indexed="64"/>
        </left>
        <right/>
        <top style="thin">
          <color indexed="64"/>
        </top>
        <bottom style="thin">
          <color indexed="64"/>
        </bottom>
        <vertical/>
        <horizontal/>
      </border>
    </dxf>
    <dxf>
      <font>
        <b/>
        <i val="0"/>
        <strike val="0"/>
        <condense val="0"/>
        <extend val="0"/>
        <outline val="0"/>
        <shadow val="0"/>
        <u val="none"/>
        <vertAlign val="baseline"/>
        <sz val="11"/>
        <color theme="0"/>
        <name val="Calibri"/>
        <family val="2"/>
        <scheme val="minor"/>
      </font>
      <numFmt numFmtId="35" formatCode="_(* #,##0.00_);_(* \(#,##0.00\);_(* &quot;-&quot;??_);_(@_)"/>
      <fill>
        <patternFill patternType="solid">
          <fgColor indexed="64"/>
          <bgColor theme="1" tint="0.499984740745262"/>
        </patternFill>
      </fill>
      <border diagonalUp="0" diagonalDown="0">
        <left style="thin">
          <color indexed="64"/>
        </left>
        <right style="thin">
          <color indexed="64"/>
        </right>
        <top style="thin">
          <color indexed="64"/>
        </top>
        <bottom style="thin">
          <color indexed="64"/>
        </bottom>
        <vertical/>
        <horizontal/>
      </border>
    </dxf>
    <dxf>
      <font>
        <b/>
        <color theme="0"/>
      </font>
      <numFmt numFmtId="35" formatCode="_(* #,##0.00_);_(* \(#,##0.00\);_(* &quot;-&quot;??_);_(@_)"/>
      <fill>
        <patternFill patternType="solid">
          <fgColor indexed="64"/>
          <bgColor theme="1" tint="0.499984740745262"/>
        </patternFill>
      </fill>
      <border diagonalUp="0" diagonalDown="0">
        <left style="thin">
          <color indexed="64"/>
        </left>
        <right style="thin">
          <color indexed="64"/>
        </right>
        <top style="thin">
          <color indexed="64"/>
        </top>
        <bottom style="thin">
          <color indexed="64"/>
        </bottom>
        <vertical/>
        <horizontal/>
      </border>
    </dxf>
    <dxf>
      <font>
        <b/>
        <color theme="0"/>
      </font>
      <fill>
        <patternFill patternType="solid">
          <fgColor indexed="64"/>
          <bgColor theme="0" tint="-0.499984740745262"/>
        </patternFill>
      </fill>
      <alignment horizontal="general" vertical="bottom" textRotation="0" wrapText="1" indent="0" justifyLastLine="0" shrinkToFit="0" readingOrder="0"/>
      <border diagonalUp="0" diagonalDown="0">
        <left/>
        <right style="thin">
          <color indexed="64"/>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fill>
        <patternFill patternType="none">
          <fgColor indexed="64"/>
          <bgColor auto="1"/>
        </patternFill>
      </fill>
    </dxf>
    <dxf>
      <border outline="0">
        <bottom style="thin">
          <color indexed="64"/>
        </bottom>
      </border>
    </dxf>
    <dxf>
      <font>
        <b/>
        <i val="0"/>
        <strike val="0"/>
        <condense val="0"/>
        <extend val="0"/>
        <outline val="0"/>
        <shadow val="0"/>
        <u val="none"/>
        <vertAlign val="baseline"/>
        <sz val="11"/>
        <color theme="0"/>
        <name val="Calibri"/>
        <family val="2"/>
        <scheme val="minor"/>
      </font>
      <fill>
        <patternFill patternType="solid">
          <fgColor indexed="64"/>
          <bgColor theme="7"/>
        </patternFill>
      </fill>
      <alignment horizontal="center" vertical="bottom" textRotation="0" wrapText="0" indent="0" justifyLastLine="0" shrinkToFit="0" readingOrder="0"/>
      <border diagonalUp="0" diagonalDown="0" outline="0">
        <left style="thin">
          <color indexed="64"/>
        </left>
        <right style="thin">
          <color indexed="64"/>
        </right>
        <top/>
        <bottom/>
      </border>
    </dxf>
    <dxf>
      <numFmt numFmtId="14" formatCode="0.00%"/>
      <fill>
        <patternFill patternType="none">
          <fgColor indexed="64"/>
          <bgColor auto="1"/>
        </patternFill>
      </fill>
      <border diagonalUp="0" diagonalDown="0">
        <left style="thin">
          <color indexed="64"/>
        </left>
        <right/>
        <top style="thin">
          <color indexed="64"/>
        </top>
        <bottom style="thin">
          <color indexed="64"/>
        </bottom>
      </border>
    </dxf>
    <dxf>
      <font>
        <b/>
        <i val="0"/>
        <strike val="0"/>
        <condense val="0"/>
        <extend val="0"/>
        <outline val="0"/>
        <shadow val="0"/>
        <u val="none"/>
        <vertAlign val="baseline"/>
        <sz val="11"/>
        <color theme="0"/>
        <name val="Calibri"/>
        <family val="2"/>
        <scheme val="minor"/>
      </font>
      <fill>
        <patternFill patternType="solid">
          <fgColor indexed="64"/>
          <bgColor theme="0" tint="-0.499984740745262"/>
        </patternFill>
      </fill>
      <border diagonalUp="0" diagonalDown="0">
        <left style="thin">
          <color indexed="64"/>
        </left>
        <right style="thin">
          <color indexed="64"/>
        </right>
        <top style="thin">
          <color indexed="64"/>
        </top>
        <bottom style="thin">
          <color indexed="64"/>
        </bottom>
        <vertical/>
        <horizontal/>
      </border>
    </dxf>
    <dxf>
      <font>
        <b/>
        <color theme="0"/>
      </font>
      <fill>
        <patternFill patternType="solid">
          <fgColor indexed="64"/>
          <bgColor theme="0" tint="-0.499984740745262"/>
        </patternFill>
      </fill>
      <border diagonalUp="0" diagonalDown="0">
        <left style="thin">
          <color indexed="64"/>
        </left>
        <right style="thin">
          <color indexed="64"/>
        </right>
        <top style="thin">
          <color indexed="64"/>
        </top>
        <bottom style="thin">
          <color indexed="64"/>
        </bottom>
        <vertical/>
        <horizontal/>
      </border>
    </dxf>
    <dxf>
      <font>
        <b/>
        <color theme="0"/>
      </font>
      <fill>
        <patternFill patternType="solid">
          <fgColor indexed="64"/>
          <bgColor theme="0" tint="-0.499984740745262"/>
        </patternFill>
      </fill>
      <alignment horizontal="general" vertical="bottom" textRotation="0" wrapText="1" indent="0" justifyLastLine="0" shrinkToFit="0" readingOrder="0"/>
      <border diagonalUp="0" diagonalDown="0">
        <left/>
        <right style="thin">
          <color indexed="64"/>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fill>
        <patternFill patternType="none">
          <fgColor indexed="64"/>
          <bgColor auto="1"/>
        </patternFill>
      </fill>
    </dxf>
    <dxf>
      <border outline="0">
        <bottom style="thin">
          <color indexed="64"/>
        </bottom>
      </border>
    </dxf>
    <dxf>
      <font>
        <b/>
        <i val="0"/>
        <strike val="0"/>
        <condense val="0"/>
        <extend val="0"/>
        <outline val="0"/>
        <shadow val="0"/>
        <u val="none"/>
        <vertAlign val="baseline"/>
        <sz val="11"/>
        <color theme="0"/>
        <name val="Calibri"/>
        <family val="2"/>
        <scheme val="minor"/>
      </font>
      <fill>
        <patternFill patternType="solid">
          <fgColor indexed="64"/>
          <bgColor theme="7" tint="-0.499984740745262"/>
        </patternFill>
      </fill>
      <alignment horizontal="center" vertical="bottom" textRotation="0" wrapText="0" indent="0" justifyLastLine="0" shrinkToFit="0" readingOrder="0"/>
      <border diagonalUp="0" diagonalDown="0" outline="0">
        <left style="thin">
          <color indexed="64"/>
        </left>
        <right style="thin">
          <color indexed="64"/>
        </right>
        <top/>
        <bottom/>
      </border>
    </dxf>
    <dxf>
      <font>
        <b/>
        <color theme="0"/>
      </font>
      <numFmt numFmtId="14" formatCode="0.00%"/>
      <fill>
        <patternFill patternType="solid">
          <fgColor indexed="64"/>
          <bgColor theme="0" tint="-0.499984740745262"/>
        </patternFill>
      </fill>
      <border diagonalUp="0" diagonalDown="0">
        <left style="thin">
          <color indexed="64"/>
        </left>
        <right/>
        <top style="thin">
          <color indexed="64"/>
        </top>
        <bottom style="thin">
          <color indexed="64"/>
        </bottom>
        <vertical/>
        <horizontal/>
      </border>
    </dxf>
    <dxf>
      <font>
        <b/>
        <i val="0"/>
        <strike val="0"/>
        <condense val="0"/>
        <extend val="0"/>
        <outline val="0"/>
        <shadow val="0"/>
        <u val="none"/>
        <vertAlign val="baseline"/>
        <sz val="11"/>
        <color theme="0"/>
        <name val="Calibri"/>
        <family val="2"/>
        <scheme val="minor"/>
      </font>
      <numFmt numFmtId="35" formatCode="_(* #,##0.00_);_(* \(#,##0.00\);_(* &quot;-&quot;??_);_(@_)"/>
      <fill>
        <patternFill patternType="solid">
          <fgColor indexed="64"/>
          <bgColor theme="1" tint="0.499984740745262"/>
        </patternFill>
      </fill>
      <border diagonalUp="0" diagonalDown="0">
        <left style="thin">
          <color indexed="64"/>
        </left>
        <right style="thin">
          <color indexed="64"/>
        </right>
        <top style="thin">
          <color indexed="64"/>
        </top>
        <bottom style="thin">
          <color indexed="64"/>
        </bottom>
        <vertical/>
        <horizontal/>
      </border>
    </dxf>
    <dxf>
      <font>
        <b/>
        <color theme="0"/>
      </font>
      <numFmt numFmtId="35" formatCode="_(* #,##0.00_);_(* \(#,##0.00\);_(* &quot;-&quot;??_);_(@_)"/>
      <fill>
        <patternFill patternType="solid">
          <fgColor indexed="64"/>
          <bgColor theme="1" tint="0.499984740745262"/>
        </patternFill>
      </fill>
      <border diagonalUp="0" diagonalDown="0">
        <left style="thin">
          <color indexed="64"/>
        </left>
        <right style="thin">
          <color indexed="64"/>
        </right>
        <top style="thin">
          <color indexed="64"/>
        </top>
        <bottom style="thin">
          <color indexed="64"/>
        </bottom>
        <vertical/>
        <horizontal/>
      </border>
    </dxf>
    <dxf>
      <font>
        <b/>
        <color theme="0"/>
      </font>
      <fill>
        <patternFill patternType="solid">
          <fgColor indexed="64"/>
          <bgColor theme="0" tint="-0.499984740745262"/>
        </patternFill>
      </fill>
      <alignment horizontal="general" vertical="bottom" textRotation="0" wrapText="1" indent="0" justifyLastLine="0" shrinkToFit="0" readingOrder="0"/>
      <border diagonalUp="0" diagonalDown="0">
        <left/>
        <right style="thin">
          <color indexed="64"/>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fill>
        <patternFill patternType="none">
          <fgColor indexed="64"/>
          <bgColor auto="1"/>
        </patternFill>
      </fill>
    </dxf>
    <dxf>
      <border outline="0">
        <bottom style="thin">
          <color indexed="64"/>
        </bottom>
      </border>
    </dxf>
    <dxf>
      <font>
        <b/>
        <i val="0"/>
        <strike val="0"/>
        <condense val="0"/>
        <extend val="0"/>
        <outline val="0"/>
        <shadow val="0"/>
        <u val="none"/>
        <vertAlign val="baseline"/>
        <sz val="11"/>
        <color theme="0"/>
        <name val="Calibri"/>
        <family val="2"/>
        <scheme val="minor"/>
      </font>
      <fill>
        <patternFill patternType="solid">
          <fgColor indexed="64"/>
          <bgColor theme="8"/>
        </patternFill>
      </fill>
      <alignment horizontal="center" vertical="bottom" textRotation="0" wrapText="0" indent="0" justifyLastLine="0" shrinkToFit="0" readingOrder="0"/>
      <border diagonalUp="0" diagonalDown="0" outline="0">
        <left style="thin">
          <color indexed="64"/>
        </left>
        <right style="thin">
          <color indexed="64"/>
        </right>
        <top/>
        <bottom/>
      </border>
    </dxf>
    <dxf>
      <font>
        <b/>
        <color theme="0"/>
      </font>
      <numFmt numFmtId="14" formatCode="0.00%"/>
      <fill>
        <patternFill patternType="solid">
          <fgColor indexed="64"/>
          <bgColor theme="1" tint="0.499984740745262"/>
        </patternFill>
      </fill>
      <border diagonalUp="0" diagonalDown="0">
        <left style="thin">
          <color indexed="64"/>
        </left>
        <right/>
        <top style="thin">
          <color indexed="64"/>
        </top>
        <bottom style="thin">
          <color indexed="64"/>
        </bottom>
        <vertical/>
        <horizontal/>
      </border>
    </dxf>
    <dxf>
      <font>
        <b/>
        <i val="0"/>
        <strike val="0"/>
        <condense val="0"/>
        <extend val="0"/>
        <outline val="0"/>
        <shadow val="0"/>
        <u val="none"/>
        <vertAlign val="baseline"/>
        <sz val="11"/>
        <color theme="0"/>
        <name val="Calibri"/>
        <family val="2"/>
        <scheme val="minor"/>
      </font>
      <numFmt numFmtId="0" formatCode="General"/>
      <fill>
        <patternFill patternType="solid">
          <fgColor indexed="64"/>
          <bgColor theme="1" tint="0.499984740745262"/>
        </patternFill>
      </fill>
      <border diagonalUp="0" diagonalDown="0">
        <left style="thin">
          <color indexed="64"/>
        </left>
        <right style="thin">
          <color indexed="64"/>
        </right>
        <top style="thin">
          <color indexed="64"/>
        </top>
        <bottom style="thin">
          <color indexed="64"/>
        </bottom>
        <vertical/>
        <horizontal/>
      </border>
    </dxf>
    <dxf>
      <font>
        <b/>
        <color theme="0"/>
      </font>
      <numFmt numFmtId="0" formatCode="General"/>
      <fill>
        <patternFill patternType="solid">
          <fgColor indexed="64"/>
          <bgColor theme="1" tint="0.499984740745262"/>
        </patternFill>
      </fill>
      <border diagonalUp="0" diagonalDown="0">
        <left style="thin">
          <color indexed="64"/>
        </left>
        <right style="thin">
          <color indexed="64"/>
        </right>
        <top style="thin">
          <color indexed="64"/>
        </top>
        <bottom style="thin">
          <color indexed="64"/>
        </bottom>
        <vertical/>
        <horizontal/>
      </border>
    </dxf>
    <dxf>
      <font>
        <b/>
        <color theme="0"/>
      </font>
      <fill>
        <patternFill patternType="solid">
          <fgColor indexed="64"/>
          <bgColor theme="0" tint="-0.499984740745262"/>
        </patternFill>
      </fill>
      <alignment horizontal="general" vertical="bottom" textRotation="0" wrapText="1" indent="0" justifyLastLine="0" shrinkToFit="0" readingOrder="0"/>
      <border diagonalUp="0" diagonalDown="0">
        <left/>
        <right style="thin">
          <color indexed="64"/>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border outline="0">
        <bottom style="thin">
          <color indexed="64"/>
        </bottom>
      </border>
    </dxf>
    <dxf>
      <font>
        <b/>
        <i val="0"/>
        <strike val="0"/>
        <condense val="0"/>
        <extend val="0"/>
        <outline val="0"/>
        <shadow val="0"/>
        <u val="none"/>
        <vertAlign val="baseline"/>
        <sz val="11"/>
        <color theme="0"/>
        <name val="Calibri"/>
        <family val="2"/>
        <scheme val="minor"/>
      </font>
      <fill>
        <patternFill patternType="solid">
          <fgColor indexed="64"/>
          <bgColor theme="4"/>
        </patternFill>
      </fill>
      <alignment horizontal="center" vertical="bottom" textRotation="0" wrapText="0" indent="0" justifyLastLine="0" shrinkToFit="0" readingOrder="0"/>
      <border diagonalUp="0" diagonalDown="0" outline="0">
        <left style="thin">
          <color indexed="64"/>
        </left>
        <right style="thin">
          <color indexed="64"/>
        </right>
        <top/>
        <bottom/>
      </border>
    </dxf>
    <dxf>
      <font>
        <b/>
        <color theme="0"/>
      </font>
      <numFmt numFmtId="168" formatCode="0.0%"/>
      <fill>
        <patternFill patternType="solid">
          <fgColor indexed="64"/>
          <bgColor theme="0" tint="-0.499984740745262"/>
        </patternFill>
      </fill>
      <border diagonalUp="0" diagonalDown="0" outline="0">
        <left style="thin">
          <color indexed="64"/>
        </left>
        <right/>
        <top style="thin">
          <color indexed="64"/>
        </top>
        <bottom style="thin">
          <color indexed="64"/>
        </bottom>
      </border>
    </dxf>
    <dxf>
      <font>
        <b/>
        <i val="0"/>
        <strike val="0"/>
        <condense val="0"/>
        <extend val="0"/>
        <outline val="0"/>
        <shadow val="0"/>
        <u val="none"/>
        <vertAlign val="baseline"/>
        <sz val="11"/>
        <color theme="0"/>
        <name val="Calibri"/>
        <family val="2"/>
        <scheme val="minor"/>
      </font>
      <fill>
        <patternFill patternType="solid">
          <fgColor indexed="64"/>
          <bgColor theme="0" tint="-0.499984740745262"/>
        </patternFill>
      </fill>
      <border diagonalUp="0" diagonalDown="0" outline="0">
        <left style="thin">
          <color indexed="64"/>
        </left>
        <right style="thin">
          <color indexed="64"/>
        </right>
        <top style="thin">
          <color indexed="64"/>
        </top>
        <bottom style="thin">
          <color indexed="64"/>
        </bottom>
      </border>
    </dxf>
    <dxf>
      <fill>
        <patternFill patternType="none">
          <fgColor indexed="64"/>
          <bgColor auto="1"/>
        </patternFill>
      </fill>
      <border diagonalUp="0" diagonalDown="0" outline="0">
        <left style="thin">
          <color indexed="64"/>
        </left>
        <right style="thin">
          <color indexed="64"/>
        </right>
        <top style="thin">
          <color indexed="64"/>
        </top>
        <bottom style="thin">
          <color indexed="64"/>
        </bottom>
      </border>
    </dxf>
    <dxf>
      <fill>
        <patternFill patternType="none">
          <fgColor indexed="64"/>
          <bgColor auto="1"/>
        </patternFill>
      </fill>
      <alignment horizontal="general" vertical="bottom" textRotation="0" wrapText="1" indent="0" justifyLastLine="0" shrinkToFit="0" readingOrder="0"/>
      <border diagonalUp="0" diagonalDown="0" outline="0">
        <left/>
        <right style="thin">
          <color indexed="64"/>
        </right>
        <top style="thin">
          <color indexed="64"/>
        </top>
        <bottom style="thin">
          <color indexed="64"/>
        </bottom>
      </border>
    </dxf>
    <dxf>
      <border outline="0">
        <top style="thin">
          <color indexed="64"/>
        </top>
      </border>
    </dxf>
    <dxf>
      <border outline="0">
        <left style="thin">
          <color indexed="64"/>
        </left>
        <right style="thin">
          <color indexed="64"/>
        </right>
        <top style="thin">
          <color indexed="64"/>
        </top>
        <bottom style="thin">
          <color indexed="64"/>
        </bottom>
      </border>
    </dxf>
    <dxf>
      <fill>
        <patternFill patternType="none">
          <fgColor indexed="64"/>
          <bgColor auto="1"/>
        </patternFill>
      </fill>
    </dxf>
    <dxf>
      <border outline="0">
        <bottom style="thin">
          <color indexed="64"/>
        </bottom>
      </border>
    </dxf>
    <dxf>
      <font>
        <b/>
        <i val="0"/>
        <strike val="0"/>
        <condense val="0"/>
        <extend val="0"/>
        <outline val="0"/>
        <shadow val="0"/>
        <u val="none"/>
        <vertAlign val="baseline"/>
        <sz val="11"/>
        <color theme="0"/>
        <name val="Calibri"/>
        <family val="2"/>
        <scheme val="minor"/>
      </font>
      <fill>
        <patternFill patternType="solid">
          <fgColor indexed="64"/>
          <bgColor theme="3"/>
        </patternFill>
      </fill>
      <alignment horizontal="center" vertical="bottom" textRotation="0" wrapText="0" indent="0" justifyLastLine="0" shrinkToFit="0" readingOrder="0"/>
      <border diagonalUp="0" diagonalDown="0" outline="0">
        <left style="thin">
          <color indexed="64"/>
        </left>
        <right style="thin">
          <color indexed="64"/>
        </right>
        <top/>
        <bottom/>
      </border>
    </dxf>
    <dxf>
      <numFmt numFmtId="14" formatCode="0.0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1"/>
        <color theme="1"/>
        <name val="Calibri"/>
        <family val="2"/>
        <scheme val="minor"/>
      </font>
      <numFmt numFmtId="164" formatCode="_(&quot;$&quot;* #,##0_);_(&quot;$&quot;* \(#,##0\);_(&quot;$&quot;* &quot;-&quot;??_);_(@_)"/>
      <border diagonalUp="0" diagonalDown="0" outline="0">
        <left style="thin">
          <color indexed="64"/>
        </left>
        <right style="thin">
          <color indexed="64"/>
        </right>
        <top style="thin">
          <color indexed="64"/>
        </top>
        <bottom style="thin">
          <color indexed="64"/>
        </bottom>
      </border>
    </dxf>
    <dxf>
      <numFmt numFmtId="164" formatCode="_(&quot;$&quot;* #,##0_);_(&quot;$&quot;* \(#,##0\);_(&quot;$&quot;* &quot;-&quot;??_);_(@_)"/>
      <alignment horizontal="general"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border outline="0">
        <right style="thin">
          <color indexed="64"/>
        </right>
      </border>
    </dxf>
    <dxf>
      <border outline="0">
        <top style="thin">
          <color indexed="64"/>
        </top>
      </border>
    </dxf>
    <dxf>
      <border outline="0">
        <left style="thin">
          <color indexed="64"/>
        </left>
        <right style="thin">
          <color indexed="64"/>
        </right>
        <top style="thin">
          <color indexed="64"/>
        </top>
        <bottom style="thin">
          <color indexed="64"/>
        </bottom>
      </border>
    </dxf>
    <dxf>
      <border outline="0">
        <bottom style="thin">
          <color indexed="64"/>
        </bottom>
      </border>
    </dxf>
    <dxf>
      <font>
        <b/>
        <i val="0"/>
        <strike val="0"/>
        <condense val="0"/>
        <extend val="0"/>
        <outline val="0"/>
        <shadow val="0"/>
        <u val="none"/>
        <vertAlign val="baseline"/>
        <sz val="11"/>
        <color theme="0"/>
        <name val="Calibri"/>
        <family val="2"/>
        <scheme val="minor"/>
      </font>
      <fill>
        <patternFill patternType="solid">
          <fgColor indexed="64"/>
          <bgColor rgb="FF002060"/>
        </patternFill>
      </fill>
      <alignment horizontal="center" vertical="bottom" textRotation="0" wrapText="0" indent="0" justifyLastLine="0" shrinkToFit="0" readingOrder="0"/>
      <border diagonalUp="0" diagonalDown="0" outline="0">
        <left style="thin">
          <color indexed="64"/>
        </left>
        <right style="thin">
          <color indexed="64"/>
        </right>
        <top/>
        <bottom/>
      </border>
    </dxf>
    <dxf>
      <numFmt numFmtId="14" formatCode="0.0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1"/>
        <color theme="1"/>
        <name val="Calibri"/>
        <family val="2"/>
        <scheme val="minor"/>
      </font>
      <numFmt numFmtId="165" formatCode="_(* #,##0_);_(* \(#,##0\);_(* &quot;-&quot;??_);_(@_)"/>
      <border diagonalUp="0" diagonalDown="0" outline="0">
        <left style="thin">
          <color indexed="64"/>
        </left>
        <right style="thin">
          <color indexed="64"/>
        </right>
        <top style="thin">
          <color indexed="64"/>
        </top>
        <bottom style="thin">
          <color indexed="64"/>
        </bottom>
      </border>
    </dxf>
    <dxf>
      <numFmt numFmtId="165" formatCode="_(* #,##0_);_(* \(#,##0\);_(* &quot;-&quot;??_);_(@_)"/>
      <border diagonalUp="0" diagonalDown="0" outline="0">
        <left style="thin">
          <color indexed="64"/>
        </left>
        <right style="thin">
          <color indexed="64"/>
        </right>
        <top style="thin">
          <color indexed="64"/>
        </top>
        <bottom style="thin">
          <color indexed="64"/>
        </bottom>
      </border>
    </dxf>
    <dxf>
      <border outline="0">
        <right style="thin">
          <color indexed="64"/>
        </right>
      </border>
    </dxf>
    <dxf>
      <border outline="0">
        <top style="thin">
          <color indexed="64"/>
        </top>
      </border>
    </dxf>
    <dxf>
      <border outline="0">
        <left style="thin">
          <color indexed="64"/>
        </left>
        <right style="thin">
          <color indexed="64"/>
        </right>
        <top style="thin">
          <color indexed="64"/>
        </top>
        <bottom style="thin">
          <color indexed="64"/>
        </bottom>
      </border>
    </dxf>
    <dxf>
      <border outline="0">
        <bottom style="thin">
          <color indexed="64"/>
        </bottom>
      </border>
    </dxf>
    <dxf>
      <font>
        <b/>
        <i val="0"/>
        <strike val="0"/>
        <condense val="0"/>
        <extend val="0"/>
        <outline val="0"/>
        <shadow val="0"/>
        <u val="none"/>
        <vertAlign val="baseline"/>
        <sz val="11"/>
        <color theme="0"/>
        <name val="Calibri"/>
        <family val="2"/>
        <scheme val="minor"/>
      </font>
      <fill>
        <patternFill patternType="solid">
          <fgColor indexed="64"/>
          <bgColor rgb="FF002060"/>
        </patternFill>
      </fill>
      <alignment horizontal="center" vertical="bottom"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rgb="FF0070C0"/>
        <name val="Calibri"/>
        <family val="2"/>
        <scheme val="none"/>
      </font>
      <numFmt numFmtId="164" formatCode="_(&quot;$&quot;* #,##0_);_(&quot;$&quot;* \(#,##0\);_(&quot;$&quot;* &quot;-&quot;??_);_(@_)"/>
      <fill>
        <patternFill patternType="none">
          <fgColor rgb="FF000000"/>
          <bgColor rgb="FFFFFFFF"/>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11"/>
        <color theme="1"/>
        <name val="Calibri"/>
        <family val="2"/>
        <scheme val="minor"/>
      </font>
      <numFmt numFmtId="164" formatCode="_(&quot;$&quot;* #,##0_);_(&quot;$&quot;* \(#,##0\);_(&quot;$&quot;* &quot;-&quot;??_);_(@_)"/>
      <fill>
        <patternFill patternType="none">
          <fgColor indexed="64"/>
          <bgColor indexed="65"/>
        </patternFill>
      </fill>
      <alignment horizontal="center" vertical="bottom" textRotation="0" wrapText="0" indent="0" justifyLastLine="0" shrinkToFit="0" readingOrder="0"/>
      <border diagonalUp="0" diagonalDown="0">
        <left style="thin">
          <color indexed="64"/>
        </left>
        <right/>
        <top style="thin">
          <color indexed="64"/>
        </top>
        <bottom style="thin">
          <color indexed="64"/>
        </bottom>
        <vertical/>
        <horizontal/>
      </border>
      <protection locked="0" hidden="0"/>
    </dxf>
    <dxf>
      <font>
        <b val="0"/>
        <i val="0"/>
        <strike val="0"/>
        <condense val="0"/>
        <extend val="0"/>
        <outline val="0"/>
        <shadow val="0"/>
        <u val="none"/>
        <vertAlign val="baseline"/>
        <sz val="11"/>
        <color theme="1"/>
        <name val="Calibri"/>
        <family val="2"/>
        <scheme val="minor"/>
      </font>
      <numFmt numFmtId="164" formatCode="_(&quot;$&quot;* #,##0_);_(&quot;$&quot;* \(#,##0\);_(&quot;$&quot;* &quot;-&quot;??_);_(@_)"/>
      <fill>
        <patternFill patternType="none">
          <fgColor indexed="64"/>
          <bgColor indexed="65"/>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theme="1"/>
        <name val="Calibri"/>
        <family val="2"/>
        <scheme val="minor"/>
      </font>
      <numFmt numFmtId="165" formatCode="_(* #,##0_);_(* \(#,##0\);_(* &quot;-&quot;??_);_(@_)"/>
      <fill>
        <patternFill patternType="none">
          <fgColor indexed="64"/>
          <bgColor indexed="65"/>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theme="1"/>
        <name val="Calibri"/>
        <family val="2"/>
        <scheme val="minor"/>
      </font>
      <numFmt numFmtId="164" formatCode="_(&quot;$&quot;* #,##0_);_(&quot;$&quot;* \(#,##0\);_(&quot;$&quot;* &quot;-&quot;??_);_(@_)"/>
      <fill>
        <patternFill patternType="none">
          <fgColor indexed="64"/>
          <bgColor indexed="65"/>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theme="1"/>
        <name val="Calibri"/>
        <family val="2"/>
        <scheme val="minor"/>
      </font>
      <numFmt numFmtId="3" formatCode="#,##0"/>
      <fill>
        <patternFill patternType="none">
          <fgColor indexed="64"/>
          <bgColor indexed="65"/>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theme="1"/>
        <name val="Calibri"/>
        <family val="2"/>
        <scheme val="minor"/>
      </font>
      <numFmt numFmtId="1" formatCode="0"/>
      <fill>
        <patternFill patternType="solid">
          <fgColor theme="4" tint="0.79998168889431442"/>
          <bgColor theme="4"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theme="1"/>
        <name val="Calibri"/>
        <family val="2"/>
        <scheme val="minor"/>
      </font>
      <numFmt numFmtId="3" formatCode="#,##0"/>
      <fill>
        <patternFill patternType="solid">
          <fgColor theme="4" tint="0.79998168889431442"/>
          <bgColor theme="4"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theme="1"/>
        <name val="Calibri"/>
        <family val="2"/>
        <scheme val="minor"/>
      </font>
      <fill>
        <patternFill patternType="solid">
          <fgColor theme="4" tint="0.79998168889431442"/>
          <bgColor theme="4" tint="0.79998168889431442"/>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theme="1"/>
        <name val="Calibri"/>
        <family val="2"/>
        <scheme val="minor"/>
      </font>
      <fill>
        <patternFill patternType="solid">
          <fgColor theme="4" tint="0.79998168889431442"/>
          <bgColor theme="4" tint="0.79998168889431442"/>
        </patternFill>
      </fill>
      <alignment horizontal="center" vertical="bottom" textRotation="0" wrapText="0" indent="0" justifyLastLine="0" shrinkToFit="0" readingOrder="0"/>
      <border diagonalUp="0" diagonalDown="0">
        <left style="thin">
          <color rgb="FF000000"/>
        </left>
        <right style="thin">
          <color indexed="64"/>
        </right>
        <top style="thin">
          <color indexed="64"/>
        </top>
        <bottom style="thin">
          <color indexed="64"/>
        </bottom>
        <vertical/>
        <horizontal/>
      </border>
      <protection locked="0" hidden="0"/>
    </dxf>
    <dxf>
      <border>
        <top style="thin">
          <color rgb="FF000000"/>
        </top>
      </border>
    </dxf>
    <dxf>
      <border diagonalUp="0" diagonalDown="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1"/>
        <color rgb="FF0070C0"/>
        <name val="Calibri"/>
        <family val="2"/>
        <scheme val="none"/>
      </font>
      <fill>
        <patternFill patternType="none">
          <fgColor rgb="FF000000"/>
          <bgColor rgb="FFFFFFFF"/>
        </patternFill>
      </fill>
      <alignment horizontal="center" vertical="bottom" textRotation="0" wrapText="0" indent="0" justifyLastLine="0" shrinkToFit="0" readingOrder="0"/>
      <protection locked="1" hidden="0"/>
    </dxf>
    <dxf>
      <border>
        <bottom style="thin">
          <color rgb="FF000000"/>
        </bottom>
      </border>
    </dxf>
    <dxf>
      <font>
        <b/>
        <i val="0"/>
        <strike val="0"/>
        <condense val="0"/>
        <extend val="0"/>
        <outline val="0"/>
        <shadow val="0"/>
        <u val="none"/>
        <vertAlign val="baseline"/>
        <sz val="11"/>
        <color theme="0"/>
        <name val="Calibri"/>
        <family val="2"/>
        <scheme val="minor"/>
      </font>
      <fill>
        <patternFill patternType="solid">
          <fgColor indexed="64"/>
          <bgColor theme="4"/>
        </patternFill>
      </fill>
      <alignment horizontal="center" vertical="center" textRotation="0" wrapText="1" indent="0" justifyLastLine="0" shrinkToFit="0" readingOrder="0"/>
      <border diagonalUp="0" diagonalDown="0">
        <left style="thin">
          <color indexed="64"/>
        </left>
        <right style="thin">
          <color indexed="64"/>
        </right>
        <top/>
        <bottom/>
      </border>
      <protection locked="1" hidden="0"/>
    </dxf>
    <dxf>
      <font>
        <b val="0"/>
        <i val="0"/>
        <strike val="0"/>
        <condense val="0"/>
        <extend val="0"/>
        <outline val="0"/>
        <shadow val="0"/>
        <u val="none"/>
        <vertAlign val="baseline"/>
        <sz val="11"/>
        <color rgb="FF0070C0"/>
        <name val="Calibri"/>
        <family val="2"/>
        <scheme val="none"/>
      </font>
      <numFmt numFmtId="164" formatCode="_(&quot;$&quot;* #,##0_);_(&quot;$&quot;* \(#,##0\);_(&quot;$&quot;* &quot;-&quot;??_);_(@_)"/>
      <fill>
        <patternFill patternType="none">
          <fgColor indexed="64"/>
          <bgColor indexed="65"/>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b val="0"/>
        <i val="0"/>
        <strike val="0"/>
        <condense val="0"/>
        <extend val="0"/>
        <outline val="0"/>
        <shadow val="0"/>
        <u val="none"/>
        <vertAlign val="baseline"/>
        <sz val="11"/>
        <color theme="1"/>
        <name val="Calibri"/>
        <family val="2"/>
        <scheme val="minor"/>
      </font>
      <numFmt numFmtId="164" formatCode="_(&quot;$&quot;* #,##0_);_(&quot;$&quot;* \(#,##0\);_(&quot;$&quot;* &quot;-&quot;??_);_(@_)"/>
      <fill>
        <patternFill patternType="solid">
          <fgColor theme="4" tint="0.79998168889431442"/>
          <bgColor theme="4" tint="0.79998168889431442"/>
        </patternFill>
      </fill>
      <alignment horizontal="center" vertical="bottom" textRotation="0" wrapText="0" indent="0" justifyLastLine="0" shrinkToFit="0" readingOrder="0"/>
      <border diagonalUp="0" diagonalDown="0">
        <left style="thin">
          <color indexed="64"/>
        </left>
        <right style="thin">
          <color rgb="FF000000"/>
        </right>
        <top style="thin">
          <color indexed="64"/>
        </top>
        <bottom style="thin">
          <color indexed="64"/>
        </bottom>
        <vertical/>
        <horizontal/>
      </border>
      <protection locked="0" hidden="0"/>
    </dxf>
    <dxf>
      <font>
        <b val="0"/>
        <i val="0"/>
        <strike val="0"/>
        <condense val="0"/>
        <extend val="0"/>
        <outline val="0"/>
        <shadow val="0"/>
        <u val="none"/>
        <vertAlign val="baseline"/>
        <sz val="11"/>
        <color theme="1"/>
        <name val="Calibri"/>
        <family val="2"/>
        <scheme val="minor"/>
      </font>
      <numFmt numFmtId="164" formatCode="_(&quot;$&quot;* #,##0_);_(&quot;$&quot;* \(#,##0\);_(&quot;$&quot;* &quot;-&quot;??_);_(@_)"/>
      <fill>
        <patternFill patternType="solid">
          <fgColor theme="4" tint="0.79998168889431442"/>
          <bgColor theme="4"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theme="1"/>
        <name val="Calibri"/>
        <family val="2"/>
        <scheme val="minor"/>
      </font>
      <numFmt numFmtId="165" formatCode="_(* #,##0_);_(* \(#,##0\);_(* &quot;-&quot;??_);_(@_)"/>
      <fill>
        <patternFill patternType="solid">
          <fgColor theme="4" tint="0.79998168889431442"/>
          <bgColor theme="4"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theme="1"/>
        <name val="Calibri"/>
        <family val="2"/>
        <scheme val="minor"/>
      </font>
      <numFmt numFmtId="164" formatCode="_(&quot;$&quot;* #,##0_);_(&quot;$&quot;* \(#,##0\);_(&quot;$&quot;* &quot;-&quot;??_);_(@_)"/>
      <fill>
        <patternFill patternType="solid">
          <fgColor theme="4" tint="0.79998168889431442"/>
          <bgColor theme="4"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theme="1"/>
        <name val="Calibri"/>
        <family val="2"/>
        <scheme val="minor"/>
      </font>
      <numFmt numFmtId="3" formatCode="#,##0"/>
      <fill>
        <patternFill patternType="solid">
          <fgColor theme="4" tint="0.79998168889431442"/>
          <bgColor theme="4"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theme="1"/>
        <name val="Calibri"/>
        <family val="2"/>
        <scheme val="minor"/>
      </font>
      <numFmt numFmtId="1" formatCode="0"/>
      <fill>
        <patternFill patternType="solid">
          <fgColor theme="4" tint="0.79998168889431442"/>
          <bgColor theme="4"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theme="1"/>
        <name val="Calibri"/>
        <family val="2"/>
        <scheme val="minor"/>
      </font>
      <numFmt numFmtId="3" formatCode="#,##0"/>
      <fill>
        <patternFill patternType="solid">
          <fgColor theme="4" tint="0.79998168889431442"/>
          <bgColor theme="4"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theme="1"/>
        <name val="Calibri"/>
        <family val="2"/>
        <scheme val="minor"/>
      </font>
      <fill>
        <patternFill patternType="solid">
          <fgColor theme="4" tint="0.79998168889431442"/>
          <bgColor theme="4" tint="0.79998168889431442"/>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theme="1"/>
        <name val="Calibri"/>
        <family val="2"/>
        <scheme val="minor"/>
      </font>
      <fill>
        <patternFill patternType="solid">
          <fgColor theme="4" tint="0.79998168889431442"/>
          <bgColor theme="4" tint="0.79998168889431442"/>
        </patternFill>
      </fill>
      <alignment horizontal="center" vertical="bottom" textRotation="0" wrapText="0" indent="0" justifyLastLine="0" shrinkToFit="0" readingOrder="0"/>
      <border diagonalUp="0" diagonalDown="0">
        <left style="thin">
          <color rgb="FF000000"/>
        </left>
        <right style="thin">
          <color indexed="64"/>
        </right>
        <top style="thin">
          <color indexed="64"/>
        </top>
        <bottom style="thin">
          <color indexed="64"/>
        </bottom>
        <vertical/>
        <horizontal/>
      </border>
      <protection locked="0" hidden="0"/>
    </dxf>
    <dxf>
      <border>
        <top style="thin">
          <color rgb="FF000000"/>
        </top>
      </border>
    </dxf>
    <dxf>
      <border diagonalUp="0" diagonalDown="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1"/>
        <color rgb="FF0070C0"/>
        <name val="Calibri"/>
        <family val="2"/>
        <scheme val="none"/>
      </font>
      <fill>
        <patternFill patternType="none">
          <fgColor rgb="FF000000"/>
          <bgColor rgb="FFFFFFFF"/>
        </patternFill>
      </fill>
      <alignment horizontal="center" vertical="bottom" textRotation="0" wrapText="0" indent="0" justifyLastLine="0" shrinkToFit="0" readingOrder="0"/>
      <protection locked="1" hidden="0"/>
    </dxf>
    <dxf>
      <border>
        <bottom style="thin">
          <color rgb="FF000000"/>
        </bottom>
      </border>
    </dxf>
    <dxf>
      <font>
        <b/>
        <i val="0"/>
        <strike val="0"/>
        <condense val="0"/>
        <extend val="0"/>
        <outline val="0"/>
        <shadow val="0"/>
        <u val="none"/>
        <vertAlign val="baseline"/>
        <sz val="11"/>
        <color theme="0"/>
        <name val="Calibri"/>
        <family val="2"/>
        <scheme val="minor"/>
      </font>
      <fill>
        <patternFill patternType="solid">
          <fgColor indexed="64"/>
          <bgColor theme="4"/>
        </patternFill>
      </fill>
      <alignment horizontal="center" vertical="center" textRotation="0" wrapText="1" indent="0" justifyLastLine="0" shrinkToFit="0" readingOrder="0"/>
      <border diagonalUp="0" diagonalDown="0">
        <left style="thin">
          <color indexed="64"/>
        </left>
        <right style="thin">
          <color indexed="64"/>
        </right>
        <top/>
        <bottom/>
      </border>
      <protection locked="1" hidden="0"/>
    </dxf>
    <dxf>
      <font>
        <b val="0"/>
        <i val="0"/>
        <strike val="0"/>
        <condense val="0"/>
        <extend val="0"/>
        <outline val="0"/>
        <shadow val="0"/>
        <u val="none"/>
        <vertAlign val="baseline"/>
        <sz val="11"/>
        <color theme="1"/>
        <name val="Calibri"/>
        <family val="2"/>
        <scheme val="minor"/>
      </font>
      <numFmt numFmtId="34" formatCode="_(&quot;$&quot;* #,##0.00_);_(&quot;$&quot;* \(#,##0.00\);_(&quot;$&quot;* &quot;-&quot;??_);_(@_)"/>
      <border diagonalUp="0" diagonalDown="0">
        <left style="thin">
          <color indexed="64"/>
        </left>
        <right style="thin">
          <color rgb="FF000000"/>
        </right>
        <top style="thin">
          <color indexed="64"/>
        </top>
        <bottom style="thin">
          <color indexed="64"/>
        </bottom>
        <vertical/>
        <horizontal/>
      </border>
      <protection locked="0" hidden="0"/>
    </dxf>
    <dxf>
      <font>
        <b val="0"/>
        <i val="0"/>
        <strike val="0"/>
        <condense val="0"/>
        <extend val="0"/>
        <outline val="0"/>
        <shadow val="0"/>
        <u val="none"/>
        <vertAlign val="baseline"/>
        <sz val="11"/>
        <color theme="1"/>
        <name val="Calibri"/>
        <family val="2"/>
        <scheme val="minor"/>
      </font>
      <numFmt numFmtId="34" formatCode="_(&quot;$&quot;* #,##0.00_);_(&quot;$&quot;* \(#,##0.00\);_(&quot;$&quot;* &quot;-&quot;??_);_(@_)"/>
      <fill>
        <patternFill patternType="none">
          <fgColor indexed="64"/>
          <bgColor indexed="65"/>
        </patternFill>
      </fill>
      <alignment horizontal="center" vertical="bottom" textRotation="0" wrapText="0" indent="0" justifyLastLine="0" shrinkToFit="0" readingOrder="0"/>
      <border diagonalUp="0" diagonalDown="0">
        <left style="thin">
          <color indexed="64"/>
        </left>
        <right/>
        <top style="thin">
          <color indexed="64"/>
        </top>
        <bottom style="thin">
          <color indexed="64"/>
        </bottom>
        <vertical/>
        <horizontal/>
      </border>
      <protection locked="0" hidden="0"/>
    </dxf>
    <dxf>
      <font>
        <b val="0"/>
        <i val="0"/>
        <strike val="0"/>
        <condense val="0"/>
        <extend val="0"/>
        <outline val="0"/>
        <shadow val="0"/>
        <u val="none"/>
        <vertAlign val="baseline"/>
        <sz val="11"/>
        <color theme="1"/>
        <name val="Calibri"/>
        <family val="2"/>
        <scheme val="minor"/>
      </font>
      <numFmt numFmtId="3" formatCode="#,##0"/>
      <fill>
        <patternFill patternType="none">
          <fgColor indexed="64"/>
          <bgColor indexed="65"/>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theme="1"/>
        <name val="Calibri"/>
        <family val="2"/>
        <scheme val="minor"/>
      </font>
      <fill>
        <patternFill patternType="none">
          <fgColor indexed="64"/>
          <bgColor indexed="65"/>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11"/>
        <color theme="1"/>
        <name val="Calibri"/>
        <family val="2"/>
        <scheme val="minor"/>
      </font>
      <fill>
        <patternFill patternType="none">
          <fgColor indexed="64"/>
          <bgColor indexed="65"/>
        </patternFill>
      </fill>
      <alignment horizontal="center" vertical="bottom" textRotation="0" wrapText="0" indent="0" justifyLastLine="0" shrinkToFit="0" readingOrder="0"/>
      <border diagonalUp="0" diagonalDown="0">
        <left style="thin">
          <color rgb="FF000000"/>
        </left>
        <right style="thin">
          <color indexed="64"/>
        </right>
        <top style="thin">
          <color indexed="64"/>
        </top>
        <bottom style="thin">
          <color indexed="64"/>
        </bottom>
        <vertical/>
        <horizontal/>
      </border>
      <protection locked="0" hidden="0"/>
    </dxf>
    <dxf>
      <border outline="0">
        <top style="thin">
          <color rgb="FF000000"/>
        </top>
      </border>
    </dxf>
    <dxf>
      <border outline="0">
        <left style="thin">
          <color rgb="FF000000"/>
        </left>
        <right style="thin">
          <color rgb="FF000000"/>
        </right>
        <top style="thin">
          <color rgb="FF000000"/>
        </top>
        <bottom style="thin">
          <color rgb="FF000000"/>
        </bottom>
      </border>
    </dxf>
    <dxf>
      <border outline="0">
        <bottom style="thin">
          <color rgb="FF000000"/>
        </bottom>
      </border>
    </dxf>
    <dxf>
      <font>
        <b/>
        <i val="0"/>
        <strike val="0"/>
        <condense val="0"/>
        <extend val="0"/>
        <outline val="0"/>
        <shadow val="0"/>
        <u val="none"/>
        <vertAlign val="baseline"/>
        <sz val="11"/>
        <color theme="1"/>
        <name val="Calibri"/>
        <family val="2"/>
        <scheme val="minor"/>
      </font>
      <fill>
        <patternFill patternType="solid">
          <fgColor indexed="64"/>
          <bgColor theme="4"/>
        </patternFill>
      </fill>
      <alignment horizontal="center" vertical="center" textRotation="0" wrapText="1" indent="0" justifyLastLine="0" shrinkToFit="0" readingOrder="0"/>
      <border diagonalUp="0" diagonalDown="0">
        <left style="thin">
          <color indexed="64"/>
        </left>
        <right style="thin">
          <color indexed="64"/>
        </right>
        <top/>
        <bottom/>
      </border>
      <protection locked="1" hidden="0"/>
    </dxf>
    <dxf>
      <font>
        <b val="0"/>
        <i val="0"/>
        <strike val="0"/>
        <condense val="0"/>
        <extend val="0"/>
        <outline val="0"/>
        <shadow val="0"/>
        <u val="none"/>
        <vertAlign val="baseline"/>
        <sz val="11"/>
        <color theme="1"/>
        <name val="Calibri"/>
        <family val="2"/>
        <scheme val="minor"/>
      </font>
      <numFmt numFmtId="34" formatCode="_(&quot;$&quot;* #,##0.00_);_(&quot;$&quot;* \(#,##0.00\);_(&quot;$&quot;* &quot;-&quot;??_);_(@_)"/>
      <border diagonalUp="0" diagonalDown="0">
        <left style="thin">
          <color indexed="64"/>
        </left>
        <right style="thin">
          <color rgb="FF000000"/>
        </right>
        <top style="thin">
          <color indexed="64"/>
        </top>
        <bottom style="thin">
          <color indexed="64"/>
        </bottom>
        <vertical/>
        <horizontal/>
      </border>
      <protection locked="0" hidden="0"/>
    </dxf>
    <dxf>
      <font>
        <b val="0"/>
        <i val="0"/>
        <strike val="0"/>
        <condense val="0"/>
        <extend val="0"/>
        <outline val="0"/>
        <shadow val="0"/>
        <u val="none"/>
        <vertAlign val="baseline"/>
        <sz val="11"/>
        <color theme="1"/>
        <name val="Calibri"/>
        <family val="2"/>
        <scheme val="minor"/>
      </font>
      <numFmt numFmtId="34" formatCode="_(&quot;$&quot;* #,##0.00_);_(&quot;$&quot;* \(#,##0.00\);_(&quot;$&quot;* &quot;-&quot;??_);_(@_)"/>
      <fill>
        <patternFill patternType="none">
          <fgColor indexed="64"/>
          <bgColor indexed="65"/>
        </patternFill>
      </fill>
      <alignment horizontal="center" vertical="bottom" textRotation="0" wrapText="0" indent="0" justifyLastLine="0" shrinkToFit="0" readingOrder="0"/>
      <border diagonalUp="0" diagonalDown="0">
        <left style="thin">
          <color indexed="64"/>
        </left>
        <right/>
        <top style="thin">
          <color indexed="64"/>
        </top>
        <bottom style="thin">
          <color indexed="64"/>
        </bottom>
        <vertical/>
        <horizontal/>
      </border>
      <protection locked="0" hidden="0"/>
    </dxf>
    <dxf>
      <font>
        <b val="0"/>
        <i val="0"/>
        <strike val="0"/>
        <condense val="0"/>
        <extend val="0"/>
        <outline val="0"/>
        <shadow val="0"/>
        <u val="none"/>
        <vertAlign val="baseline"/>
        <sz val="11"/>
        <color theme="1"/>
        <name val="Calibri"/>
        <family val="2"/>
        <scheme val="minor"/>
      </font>
      <numFmt numFmtId="3" formatCode="#,##0"/>
      <fill>
        <patternFill patternType="none">
          <fgColor indexed="64"/>
          <bgColor indexed="65"/>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theme="1"/>
        <name val="Calibri"/>
        <family val="2"/>
        <scheme val="minor"/>
      </font>
      <fill>
        <patternFill patternType="none">
          <fgColor indexed="64"/>
          <bgColor indexed="65"/>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theme="1"/>
        <name val="Calibri"/>
        <family val="2"/>
        <scheme val="minor"/>
      </font>
      <fill>
        <patternFill patternType="none">
          <fgColor indexed="64"/>
          <bgColor indexed="65"/>
        </patternFill>
      </fill>
      <alignment horizontal="center" vertical="bottom" textRotation="0" wrapText="0" indent="0" justifyLastLine="0" shrinkToFit="0" readingOrder="0"/>
      <border diagonalUp="0" diagonalDown="0">
        <left style="thin">
          <color rgb="FF000000"/>
        </left>
        <right style="thin">
          <color indexed="64"/>
        </right>
        <top style="thin">
          <color indexed="64"/>
        </top>
        <bottom style="thin">
          <color indexed="64"/>
        </bottom>
        <vertical/>
        <horizontal/>
      </border>
      <protection locked="0" hidden="0"/>
    </dxf>
    <dxf>
      <border outline="0">
        <top style="thin">
          <color rgb="FF000000"/>
        </top>
      </border>
    </dxf>
    <dxf>
      <border outline="0">
        <left style="thin">
          <color rgb="FF000000"/>
        </left>
        <right style="thin">
          <color rgb="FF000000"/>
        </right>
        <top style="thin">
          <color rgb="FF000000"/>
        </top>
        <bottom style="thin">
          <color rgb="FF000000"/>
        </bottom>
      </border>
    </dxf>
    <dxf>
      <border outline="0">
        <bottom style="thin">
          <color rgb="FF000000"/>
        </bottom>
      </border>
    </dxf>
    <dxf>
      <font>
        <b/>
        <i val="0"/>
        <strike val="0"/>
        <condense val="0"/>
        <extend val="0"/>
        <outline val="0"/>
        <shadow val="0"/>
        <u val="none"/>
        <vertAlign val="baseline"/>
        <sz val="11"/>
        <color theme="1"/>
        <name val="Calibri"/>
        <family val="2"/>
        <scheme val="minor"/>
      </font>
      <fill>
        <patternFill patternType="solid">
          <fgColor indexed="64"/>
          <bgColor theme="4"/>
        </patternFill>
      </fill>
      <alignment horizontal="center" vertical="center" textRotation="0" wrapText="1" indent="0" justifyLastLine="0" shrinkToFit="0" readingOrder="0"/>
      <border diagonalUp="0" diagonalDown="0">
        <left style="thin">
          <color indexed="64"/>
        </left>
        <right style="thin">
          <color indexed="64"/>
        </right>
        <top/>
        <bottom/>
      </border>
      <protection locked="1" hidden="0"/>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border outline="0">
        <top style="thin">
          <color indexed="64"/>
        </top>
      </border>
    </dxf>
    <dxf>
      <protection locked="0" hidden="0"/>
    </dxf>
    <dxf>
      <border outline="0">
        <bottom style="thin">
          <color indexed="64"/>
        </bottom>
      </border>
    </dxf>
    <dxf>
      <font>
        <b/>
        <i val="0"/>
        <strike val="0"/>
        <condense val="0"/>
        <extend val="0"/>
        <outline val="0"/>
        <shadow val="0"/>
        <u val="none"/>
        <vertAlign val="baseline"/>
        <sz val="11"/>
        <color theme="0"/>
        <name val="Calibri"/>
        <family val="2"/>
        <scheme val="minor"/>
      </font>
      <fill>
        <patternFill patternType="solid">
          <fgColor indexed="64"/>
          <bgColor theme="4"/>
        </patternFill>
      </fill>
      <alignment horizontal="center" vertical="center" textRotation="0" wrapText="1" indent="0" justifyLastLine="0" shrinkToFit="0" readingOrder="0"/>
      <border diagonalUp="0" diagonalDown="0">
        <left style="thin">
          <color indexed="64"/>
        </left>
        <right style="thin">
          <color indexed="64"/>
        </right>
        <top/>
        <bottom/>
        <vertical style="thin">
          <color indexed="64"/>
        </vertical>
        <horizontal style="thin">
          <color indexed="64"/>
        </horizontal>
      </border>
      <protection locked="1" hidden="0"/>
    </dxf>
    <dxf>
      <font>
        <b val="0"/>
        <i val="0"/>
        <strike val="0"/>
        <condense val="0"/>
        <extend val="0"/>
        <outline val="0"/>
        <shadow val="0"/>
        <u val="none"/>
        <vertAlign val="baseline"/>
        <sz val="11"/>
        <color theme="1"/>
        <name val="Calibri"/>
        <family val="2"/>
        <scheme val="minor"/>
      </font>
      <border diagonalUp="0" diagonalDown="0">
        <left style="thin">
          <color indexed="64"/>
        </left>
        <right style="thin">
          <color rgb="FF000000"/>
        </right>
        <top style="thin">
          <color indexed="64"/>
        </top>
        <bottom style="thin">
          <color indexed="64"/>
        </bottom>
        <vertical/>
        <horizontal/>
      </border>
      <protection locked="0" hidden="0"/>
    </dxf>
    <dxf>
      <font>
        <b val="0"/>
        <i val="0"/>
        <strike val="0"/>
        <condense val="0"/>
        <extend val="0"/>
        <outline val="0"/>
        <shadow val="0"/>
        <u val="none"/>
        <vertAlign val="baseline"/>
        <sz val="11"/>
        <color theme="1"/>
        <name val="Calibri"/>
        <family val="2"/>
        <scheme val="minor"/>
      </font>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theme="1"/>
        <name val="Calibri"/>
        <family val="2"/>
        <scheme val="minor"/>
      </font>
      <alignment horizontal="center" vertical="bottom" textRotation="0" wrapText="0" indent="0" justifyLastLine="0" shrinkToFit="0" readingOrder="0"/>
      <border diagonalUp="0" diagonalDown="0">
        <left style="thin">
          <color rgb="FF000000"/>
        </left>
        <right style="thin">
          <color indexed="64"/>
        </right>
        <top style="thin">
          <color indexed="64"/>
        </top>
        <bottom style="thin">
          <color indexed="64"/>
        </bottom>
        <vertical/>
        <horizontal/>
      </border>
      <protection locked="0" hidden="0"/>
    </dxf>
    <dxf>
      <border outline="0">
        <top style="thin">
          <color rgb="FF000000"/>
        </top>
      </border>
    </dxf>
    <dxf>
      <border outline="0">
        <left style="thin">
          <color rgb="FF000000"/>
        </left>
        <right style="thin">
          <color rgb="FF000000"/>
        </right>
        <top style="thin">
          <color rgb="FF000000"/>
        </top>
        <bottom style="thin">
          <color rgb="FF000000"/>
        </bottom>
      </border>
    </dxf>
    <dxf>
      <font>
        <i val="0"/>
      </font>
      <protection locked="0" hidden="0"/>
    </dxf>
    <dxf>
      <border outline="0">
        <bottom style="thin">
          <color rgb="FF000000"/>
        </bottom>
      </border>
    </dxf>
    <dxf>
      <font>
        <b/>
        <i val="0"/>
        <strike val="0"/>
        <condense val="0"/>
        <extend val="0"/>
        <outline val="0"/>
        <shadow val="0"/>
        <u val="none"/>
        <vertAlign val="baseline"/>
        <sz val="11"/>
        <color theme="1"/>
        <name val="Calibri"/>
        <family val="2"/>
        <scheme val="minor"/>
      </font>
      <fill>
        <patternFill patternType="solid">
          <fgColor indexed="64"/>
          <bgColor theme="4"/>
        </patternFill>
      </fill>
      <alignment horizontal="center" vertical="center" textRotation="0" wrapText="1" indent="0" justifyLastLine="0" shrinkToFit="0" readingOrder="0"/>
      <border diagonalUp="0" diagonalDown="0">
        <left style="thin">
          <color indexed="64"/>
        </left>
        <right style="thin">
          <color indexed="64"/>
        </right>
        <top/>
        <bottom/>
      </border>
      <protection locked="1" hidden="0"/>
    </dxf>
    <dxf>
      <font>
        <i val="0"/>
        <strike val="0"/>
        <outline val="0"/>
        <shadow val="0"/>
        <u val="none"/>
        <vertAlign val="baseline"/>
        <sz val="11"/>
        <color rgb="FF0070C0"/>
        <name val="Calibri"/>
        <family val="2"/>
        <scheme val="minor"/>
      </font>
      <numFmt numFmtId="164" formatCode="_(&quot;$&quot;* #,##0_);_(&quot;$&quot;* \(#,##0\);_(&quot;$&quot;* &quot;-&quot;??_);_(@_)"/>
      <fill>
        <patternFill patternType="solid">
          <fgColor theme="4" tint="0.79998168889431442"/>
          <bgColor theme="4" tint="0.79998168889431442"/>
        </patternFill>
      </fill>
      <border diagonalUp="0" diagonalDown="0">
        <left style="thin">
          <color indexed="64"/>
        </left>
        <right style="thin">
          <color rgb="FF000000"/>
        </right>
        <top style="thin">
          <color indexed="64"/>
        </top>
        <bottom style="thin">
          <color indexed="64"/>
        </bottom>
        <vertical/>
        <horizontal/>
      </border>
      <protection locked="0" hidden="0"/>
    </dxf>
    <dxf>
      <font>
        <b val="0"/>
        <i/>
        <strike val="0"/>
        <condense val="0"/>
        <extend val="0"/>
        <outline val="0"/>
        <shadow val="0"/>
        <u val="none"/>
        <vertAlign val="baseline"/>
        <sz val="11"/>
        <color theme="1"/>
        <name val="Calibri"/>
        <family val="2"/>
        <scheme val="minor"/>
      </font>
      <numFmt numFmtId="164" formatCode="_(&quot;$&quot;* #,##0_);_(&quot;$&quot;* \(#,##0\);_(&quot;$&quot;* &quot;-&quot;??_);_(@_)"/>
      <fill>
        <patternFill patternType="solid">
          <fgColor theme="4" tint="0.79998168889431442"/>
          <bgColor theme="4" tint="0.79998168889431442"/>
        </patternFill>
      </fill>
      <alignment horizontal="center" vertical="bottom" textRotation="0" wrapText="0" indent="0" justifyLastLine="0" shrinkToFit="0" readingOrder="0"/>
      <border diagonalUp="0" diagonalDown="0">
        <left style="thin">
          <color indexed="64"/>
        </left>
        <right/>
        <top style="thin">
          <color indexed="64"/>
        </top>
        <bottom style="thin">
          <color indexed="64"/>
        </bottom>
        <vertical/>
        <horizontal/>
      </border>
      <protection locked="0" hidden="0"/>
    </dxf>
    <dxf>
      <font>
        <b val="0"/>
        <i/>
        <strike val="0"/>
        <condense val="0"/>
        <extend val="0"/>
        <outline val="0"/>
        <shadow val="0"/>
        <u val="none"/>
        <vertAlign val="baseline"/>
        <sz val="11"/>
        <color theme="1"/>
        <name val="Calibri"/>
        <family val="2"/>
        <scheme val="minor"/>
      </font>
      <numFmt numFmtId="164" formatCode="_(&quot;$&quot;* #,##0_);_(&quot;$&quot;* \(#,##0\);_(&quot;$&quot;* &quot;-&quot;??_);_(@_)"/>
      <fill>
        <patternFill patternType="solid">
          <fgColor theme="4" tint="0.79998168889431442"/>
          <bgColor theme="4" tint="0.79998168889431442"/>
        </patternFill>
      </fill>
      <alignment horizontal="center" vertical="bottom" textRotation="0" wrapText="0" indent="0" justifyLastLine="0" shrinkToFit="0" readingOrder="0"/>
      <border diagonalUp="0" diagonalDown="0">
        <left style="thin">
          <color indexed="64"/>
        </left>
        <right/>
        <top style="thin">
          <color indexed="64"/>
        </top>
        <bottom style="thin">
          <color indexed="64"/>
        </bottom>
        <vertical/>
        <horizontal/>
      </border>
      <protection locked="0" hidden="0"/>
    </dxf>
    <dxf>
      <font>
        <i val="0"/>
      </font>
      <protection locked="0" hidden="0"/>
    </dxf>
    <dxf>
      <border outline="0">
        <top style="thin">
          <color rgb="FF000000"/>
        </top>
      </border>
    </dxf>
    <dxf>
      <border outline="0">
        <left style="thin">
          <color rgb="FF000000"/>
        </left>
        <right style="thin">
          <color rgb="FF000000"/>
        </right>
        <top style="thin">
          <color rgb="FF000000"/>
        </top>
        <bottom style="thin">
          <color rgb="FF000000"/>
        </bottom>
      </border>
    </dxf>
    <dxf>
      <border outline="0">
        <bottom style="thin">
          <color rgb="FF000000"/>
        </bottom>
      </border>
    </dxf>
    <dxf>
      <font>
        <b/>
        <i val="0"/>
        <strike val="0"/>
        <condense val="0"/>
        <extend val="0"/>
        <outline val="0"/>
        <shadow val="0"/>
        <u val="none"/>
        <vertAlign val="baseline"/>
        <sz val="11"/>
        <color theme="1"/>
        <name val="Calibri"/>
        <family val="2"/>
        <scheme val="minor"/>
      </font>
      <fill>
        <patternFill patternType="solid">
          <fgColor indexed="64"/>
          <bgColor theme="4"/>
        </patternFill>
      </fill>
      <alignment horizontal="center" vertical="center" textRotation="0" wrapText="1" indent="0" justifyLastLine="0" shrinkToFit="0" readingOrder="0"/>
      <border diagonalUp="0" diagonalDown="0">
        <left style="thin">
          <color indexed="64"/>
        </left>
        <right style="thin">
          <color indexed="64"/>
        </right>
        <top/>
        <bottom/>
      </border>
      <protection locked="1" hidden="0"/>
    </dxf>
    <dxf>
      <font>
        <i val="0"/>
        <strike val="0"/>
        <outline val="0"/>
        <shadow val="0"/>
        <u val="none"/>
        <vertAlign val="baseline"/>
        <sz val="11"/>
        <color rgb="FF0070C0"/>
        <name val="Calibri"/>
        <family val="2"/>
        <scheme val="minor"/>
      </font>
      <numFmt numFmtId="169" formatCode="_([$$-409]* #,##0.00_);_([$$-409]* \(#,##0.00\);_([$$-409]* &quot;-&quot;??_);_(@_)"/>
      <fill>
        <patternFill patternType="solid">
          <fgColor theme="4" tint="0.79998168889431442"/>
          <bgColor theme="4" tint="0.79998168889431442"/>
        </patternFill>
      </fill>
      <border diagonalUp="0" diagonalDown="0">
        <left style="thin">
          <color indexed="64"/>
        </left>
        <right style="thin">
          <color rgb="FF000000"/>
        </right>
        <top style="thin">
          <color indexed="64"/>
        </top>
        <bottom style="thin">
          <color indexed="64"/>
        </bottom>
        <vertical/>
        <horizontal/>
      </border>
      <protection locked="0" hidden="0"/>
    </dxf>
    <dxf>
      <font>
        <b val="0"/>
        <i/>
        <strike val="0"/>
        <condense val="0"/>
        <extend val="0"/>
        <outline val="0"/>
        <shadow val="0"/>
        <u val="none"/>
        <vertAlign val="baseline"/>
        <sz val="11"/>
        <color theme="1"/>
        <name val="Calibri"/>
        <family val="2"/>
        <scheme val="minor"/>
      </font>
      <numFmt numFmtId="164" formatCode="_(&quot;$&quot;* #,##0_);_(&quot;$&quot;* \(#,##0\);_(&quot;$&quot;* &quot;-&quot;??_);_(@_)"/>
      <fill>
        <patternFill patternType="solid">
          <fgColor theme="4" tint="0.79998168889431442"/>
          <bgColor theme="4" tint="0.79998168889431442"/>
        </patternFill>
      </fill>
      <alignment horizontal="center" vertical="bottom" textRotation="0" wrapText="0" indent="0" justifyLastLine="0" shrinkToFit="0" readingOrder="0"/>
      <border diagonalUp="0" diagonalDown="0">
        <left style="thin">
          <color indexed="64"/>
        </left>
        <right/>
        <top style="thin">
          <color indexed="64"/>
        </top>
        <bottom style="thin">
          <color indexed="64"/>
        </bottom>
        <vertical/>
        <horizontal/>
      </border>
      <protection locked="0" hidden="0"/>
    </dxf>
    <dxf>
      <font>
        <b val="0"/>
        <i/>
        <strike val="0"/>
        <condense val="0"/>
        <extend val="0"/>
        <outline val="0"/>
        <shadow val="0"/>
        <u val="none"/>
        <vertAlign val="baseline"/>
        <sz val="11"/>
        <color theme="1"/>
        <name val="Calibri"/>
        <family val="2"/>
        <scheme val="minor"/>
      </font>
      <numFmt numFmtId="164" formatCode="_(&quot;$&quot;* #,##0_);_(&quot;$&quot;* \(#,##0\);_(&quot;$&quot;* &quot;-&quot;??_);_(@_)"/>
      <fill>
        <patternFill patternType="solid">
          <fgColor theme="4" tint="0.79998168889431442"/>
          <bgColor theme="4" tint="0.79998168889431442"/>
        </patternFill>
      </fill>
      <alignment horizontal="center" vertical="bottom" textRotation="0" wrapText="0" indent="0" justifyLastLine="0" shrinkToFit="0" readingOrder="0"/>
      <border diagonalUp="0" diagonalDown="0">
        <left style="thin">
          <color indexed="64"/>
        </left>
        <right/>
        <top style="thin">
          <color indexed="64"/>
        </top>
        <bottom style="thin">
          <color indexed="64"/>
        </bottom>
        <vertical/>
        <horizontal/>
      </border>
      <protection locked="0" hidden="0"/>
    </dxf>
    <dxf>
      <font>
        <i val="0"/>
      </font>
      <protection locked="0" hidden="0"/>
    </dxf>
    <dxf>
      <border outline="0">
        <top style="thin">
          <color rgb="FF000000"/>
        </top>
      </border>
    </dxf>
    <dxf>
      <border outline="0">
        <left style="thin">
          <color rgb="FF000000"/>
        </left>
        <right style="thin">
          <color rgb="FF000000"/>
        </right>
        <top style="thin">
          <color rgb="FF000000"/>
        </top>
        <bottom style="thin">
          <color rgb="FF000000"/>
        </bottom>
      </border>
    </dxf>
    <dxf>
      <border outline="0">
        <bottom style="thin">
          <color rgb="FF000000"/>
        </bottom>
      </border>
    </dxf>
    <dxf>
      <font>
        <b/>
        <i val="0"/>
        <strike val="0"/>
        <condense val="0"/>
        <extend val="0"/>
        <outline val="0"/>
        <shadow val="0"/>
        <u val="none"/>
        <vertAlign val="baseline"/>
        <sz val="11"/>
        <color theme="1"/>
        <name val="Calibri"/>
        <family val="2"/>
        <scheme val="minor"/>
      </font>
      <fill>
        <patternFill patternType="solid">
          <fgColor indexed="64"/>
          <bgColor theme="4"/>
        </patternFill>
      </fill>
      <alignment horizontal="center" vertical="center" textRotation="0" wrapText="1" indent="0" justifyLastLine="0" shrinkToFit="0" readingOrder="0"/>
      <border diagonalUp="0" diagonalDown="0">
        <left style="thin">
          <color indexed="64"/>
        </left>
        <right style="thin">
          <color indexed="64"/>
        </right>
        <top/>
        <bottom/>
      </border>
      <protection locked="1" hidden="0"/>
    </dxf>
    <dxf>
      <font>
        <b val="0"/>
        <i val="0"/>
        <strike val="0"/>
        <condense val="0"/>
        <extend val="0"/>
        <outline val="0"/>
        <shadow val="0"/>
        <u val="none"/>
        <vertAlign val="baseline"/>
        <sz val="11"/>
        <color rgb="FF0070C0"/>
        <name val="Calibri"/>
        <family val="2"/>
        <scheme val="none"/>
      </font>
      <numFmt numFmtId="168" formatCode="0.0%"/>
      <fill>
        <patternFill patternType="none">
          <fgColor indexed="64"/>
          <bgColor indexed="65"/>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font>
        <b val="0"/>
        <i val="0"/>
        <strike val="0"/>
        <condense val="0"/>
        <extend val="0"/>
        <outline val="0"/>
        <shadow val="0"/>
        <u val="none"/>
        <vertAlign val="baseline"/>
        <sz val="11"/>
        <color rgb="FF0070C0"/>
        <name val="Calibri"/>
        <family val="2"/>
        <scheme val="none"/>
      </font>
      <numFmt numFmtId="164" formatCode="_(&quot;$&quot;* #,##0_);_(&quot;$&quot;* \(#,##0\);_(&quot;$&quot;* &quot;-&quot;??_);_(@_)"/>
      <fill>
        <patternFill patternType="none">
          <fgColor indexed="64"/>
          <bgColor indexed="65"/>
        </patternFill>
      </fill>
      <alignment horizontal="center" vertical="bottom" textRotation="0" wrapText="0" indent="0" justifyLastLine="0" shrinkToFit="0" readingOrder="0"/>
      <border diagonalUp="0" diagonalDown="0">
        <left style="thin">
          <color rgb="FF000000"/>
        </left>
        <right/>
        <top style="thin">
          <color rgb="FF000000"/>
        </top>
        <bottom style="thin">
          <color rgb="FF000000"/>
        </bottom>
        <vertical/>
        <horizontal/>
      </border>
      <protection locked="1" hidden="0"/>
    </dxf>
    <dxf>
      <font>
        <b val="0"/>
        <i val="0"/>
        <strike val="0"/>
        <condense val="0"/>
        <extend val="0"/>
        <outline val="0"/>
        <shadow val="0"/>
        <u val="none"/>
        <vertAlign val="baseline"/>
        <sz val="11"/>
        <color rgb="FF0070C0"/>
        <name val="Calibri"/>
        <family val="2"/>
        <scheme val="minor"/>
      </font>
      <numFmt numFmtId="169" formatCode="_([$$-409]* #,##0.00_);_([$$-409]* \(#,##0.00\);_([$$-409]* &quot;-&quot;??_);_(@_)"/>
      <fill>
        <patternFill patternType="none">
          <fgColor indexed="64"/>
          <bgColor indexed="65"/>
        </patternFill>
      </fill>
      <alignment horizontal="center" vertical="bottom" textRotation="0" wrapText="0" indent="0" justifyLastLine="0" shrinkToFit="0" readingOrder="0"/>
      <border diagonalUp="0" diagonalDown="0">
        <left style="thin">
          <color rgb="FF000000"/>
        </left>
        <right style="thin">
          <color rgb="FF000000"/>
        </right>
        <top style="thin">
          <color rgb="FF000000"/>
        </top>
        <bottom style="thin">
          <color rgb="FF000000"/>
        </bottom>
        <vertical style="thin">
          <color rgb="FF000000"/>
        </vertical>
        <horizontal style="thin">
          <color rgb="FF000000"/>
        </horizontal>
      </border>
      <protection locked="1" hidden="0"/>
    </dxf>
    <dxf>
      <font>
        <b val="0"/>
        <i val="0"/>
        <strike val="0"/>
        <condense val="0"/>
        <extend val="0"/>
        <outline val="0"/>
        <shadow val="0"/>
        <u val="none"/>
        <vertAlign val="baseline"/>
        <sz val="11"/>
        <color rgb="FF0070C0"/>
        <name val="Calibri"/>
        <family val="2"/>
        <scheme val="minor"/>
      </font>
      <numFmt numFmtId="169" formatCode="_([$$-409]* #,##0.00_);_([$$-409]* \(#,##0.00\);_([$$-409]* &quot;-&quot;??_);_(@_)"/>
      <fill>
        <patternFill patternType="none">
          <fgColor indexed="64"/>
          <bgColor indexed="65"/>
        </patternFill>
      </fill>
      <alignment horizontal="center" vertical="bottom" textRotation="0" wrapText="0" indent="0" justifyLastLine="0" shrinkToFit="0" readingOrder="0"/>
      <border diagonalUp="0" diagonalDown="0">
        <left style="thin">
          <color rgb="FF000000"/>
        </left>
        <right style="thin">
          <color rgb="FF000000"/>
        </right>
        <top style="thin">
          <color rgb="FF000000"/>
        </top>
        <bottom style="thin">
          <color rgb="FF000000"/>
        </bottom>
        <vertical style="thin">
          <color rgb="FF000000"/>
        </vertical>
        <horizontal style="thin">
          <color rgb="FF000000"/>
        </horizontal>
      </border>
      <protection locked="1" hidden="0"/>
    </dxf>
    <dxf>
      <font>
        <b val="0"/>
        <i val="0"/>
        <strike val="0"/>
        <condense val="0"/>
        <extend val="0"/>
        <outline val="0"/>
        <shadow val="0"/>
        <u val="none"/>
        <vertAlign val="baseline"/>
        <sz val="11"/>
        <color rgb="FF0070C0"/>
        <name val="Calibri"/>
        <family val="2"/>
        <scheme val="minor"/>
      </font>
      <numFmt numFmtId="164" formatCode="_(&quot;$&quot;* #,##0_);_(&quot;$&quot;* \(#,##0\);_(&quot;$&quot;* &quot;-&quot;??_);_(@_)"/>
      <fill>
        <patternFill patternType="none">
          <fgColor indexed="64"/>
          <bgColor indexed="65"/>
        </patternFill>
      </fill>
      <alignment horizontal="center" vertical="bottom" textRotation="0" wrapText="0" indent="0" justifyLastLine="0" shrinkToFit="0" readingOrder="0"/>
      <border diagonalUp="0" diagonalDown="0">
        <left style="thin">
          <color rgb="FF000000"/>
        </left>
        <right style="thin">
          <color rgb="FF000000"/>
        </right>
        <top style="thin">
          <color rgb="FF000000"/>
        </top>
        <bottom style="thin">
          <color rgb="FF000000"/>
        </bottom>
        <vertical style="thin">
          <color rgb="FF000000"/>
        </vertical>
        <horizontal style="thin">
          <color rgb="FF000000"/>
        </horizontal>
      </border>
      <protection locked="1" hidden="0"/>
    </dxf>
    <dxf>
      <font>
        <b val="0"/>
        <i val="0"/>
        <strike val="0"/>
        <condense val="0"/>
        <extend val="0"/>
        <outline val="0"/>
        <shadow val="0"/>
        <u val="none"/>
        <vertAlign val="baseline"/>
        <sz val="11"/>
        <color rgb="FF0070C0"/>
        <name val="Calibri"/>
        <family val="2"/>
        <scheme val="minor"/>
      </font>
      <numFmt numFmtId="164" formatCode="_(&quot;$&quot;* #,##0_);_(&quot;$&quot;* \(#,##0\);_(&quot;$&quot;* &quot;-&quot;??_);_(@_)"/>
      <fill>
        <patternFill patternType="none">
          <fgColor indexed="64"/>
          <bgColor indexed="65"/>
        </patternFill>
      </fill>
      <alignment horizontal="center" vertical="bottom" textRotation="0" wrapText="0" indent="0" justifyLastLine="0" shrinkToFit="0" readingOrder="0"/>
      <border diagonalUp="0" diagonalDown="0">
        <left style="thin">
          <color rgb="FF000000"/>
        </left>
        <right style="thin">
          <color rgb="FF000000"/>
        </right>
        <top style="thin">
          <color rgb="FF000000"/>
        </top>
        <bottom style="thin">
          <color rgb="FF000000"/>
        </bottom>
        <vertical style="thin">
          <color rgb="FF000000"/>
        </vertical>
        <horizontal style="thin">
          <color rgb="FF000000"/>
        </horizontal>
      </border>
      <protection locked="1" hidden="0"/>
    </dxf>
    <dxf>
      <font>
        <b val="0"/>
        <i val="0"/>
        <strike val="0"/>
        <condense val="0"/>
        <extend val="0"/>
        <outline val="0"/>
        <shadow val="0"/>
        <u val="none"/>
        <vertAlign val="baseline"/>
        <sz val="11"/>
        <color rgb="FF0070C0"/>
        <name val="Calibri"/>
        <family val="2"/>
        <scheme val="minor"/>
      </font>
      <numFmt numFmtId="164" formatCode="_(&quot;$&quot;* #,##0_);_(&quot;$&quot;* \(#,##0\);_(&quot;$&quot;* &quot;-&quot;??_);_(@_)"/>
      <fill>
        <patternFill patternType="none">
          <fgColor indexed="64"/>
          <bgColor indexed="65"/>
        </patternFill>
      </fill>
      <alignment horizontal="center" vertical="bottom" textRotation="0" wrapText="0" indent="0" justifyLastLine="0" shrinkToFit="0" readingOrder="0"/>
      <border diagonalUp="0" diagonalDown="0">
        <left style="thin">
          <color rgb="FF000000"/>
        </left>
        <right style="thin">
          <color rgb="FF000000"/>
        </right>
        <top style="thin">
          <color rgb="FF000000"/>
        </top>
        <bottom style="thin">
          <color rgb="FF000000"/>
        </bottom>
        <vertical style="thin">
          <color rgb="FF000000"/>
        </vertical>
        <horizontal style="thin">
          <color rgb="FF000000"/>
        </horizontal>
      </border>
      <protection locked="1" hidden="0"/>
    </dxf>
    <dxf>
      <font>
        <b val="0"/>
        <i val="0"/>
        <strike val="0"/>
        <condense val="0"/>
        <extend val="0"/>
        <outline val="0"/>
        <shadow val="0"/>
        <u val="none"/>
        <vertAlign val="baseline"/>
        <sz val="11"/>
        <color rgb="FF0070C0"/>
        <name val="Calibri"/>
        <family val="2"/>
        <scheme val="minor"/>
      </font>
      <numFmt numFmtId="164" formatCode="_(&quot;$&quot;* #,##0_);_(&quot;$&quot;* \(#,##0\);_(&quot;$&quot;* &quot;-&quot;??_);_(@_)"/>
      <fill>
        <patternFill patternType="none">
          <fgColor indexed="64"/>
          <bgColor indexed="65"/>
        </patternFill>
      </fill>
      <alignment horizontal="center" vertical="bottom" textRotation="0" wrapText="0" indent="0" justifyLastLine="0" shrinkToFit="0" readingOrder="0"/>
      <border diagonalUp="0" diagonalDown="0">
        <left style="thin">
          <color rgb="FF000000"/>
        </left>
        <right style="thin">
          <color rgb="FF000000"/>
        </right>
        <top style="thin">
          <color rgb="FF000000"/>
        </top>
        <bottom style="thin">
          <color rgb="FF000000"/>
        </bottom>
        <vertical style="thin">
          <color rgb="FF000000"/>
        </vertical>
        <horizontal style="thin">
          <color rgb="FF000000"/>
        </horizontal>
      </border>
      <protection locked="1" hidden="0"/>
    </dxf>
    <dxf>
      <font>
        <b val="0"/>
        <i val="0"/>
        <strike val="0"/>
        <condense val="0"/>
        <extend val="0"/>
        <outline val="0"/>
        <shadow val="0"/>
        <u val="none"/>
        <vertAlign val="baseline"/>
        <sz val="11"/>
        <color rgb="FF0070C0"/>
        <name val="Calibri"/>
        <family val="2"/>
        <scheme val="minor"/>
      </font>
      <numFmt numFmtId="164" formatCode="_(&quot;$&quot;* #,##0_);_(&quot;$&quot;* \(#,##0\);_(&quot;$&quot;* &quot;-&quot;??_);_(@_)"/>
      <fill>
        <patternFill patternType="none">
          <fgColor indexed="64"/>
          <bgColor indexed="65"/>
        </patternFill>
      </fill>
      <alignment horizontal="center" vertical="bottom" textRotation="0" wrapText="0" indent="0" justifyLastLine="0" shrinkToFit="0" readingOrder="0"/>
      <border diagonalUp="0" diagonalDown="0">
        <left style="thin">
          <color rgb="FF000000"/>
        </left>
        <right style="thin">
          <color rgb="FF000000"/>
        </right>
        <top style="thin">
          <color rgb="FF000000"/>
        </top>
        <bottom style="thin">
          <color rgb="FF000000"/>
        </bottom>
        <vertical style="thin">
          <color rgb="FF000000"/>
        </vertical>
        <horizontal style="thin">
          <color rgb="FF000000"/>
        </horizontal>
      </border>
      <protection locked="1" hidden="0"/>
    </dxf>
    <dxf>
      <font>
        <b val="0"/>
        <i val="0"/>
        <strike val="0"/>
        <condense val="0"/>
        <extend val="0"/>
        <outline val="0"/>
        <shadow val="0"/>
        <u val="none"/>
        <vertAlign val="baseline"/>
        <sz val="11"/>
        <color theme="1"/>
        <name val="Calibri"/>
        <family val="2"/>
        <scheme val="minor"/>
      </font>
      <numFmt numFmtId="1" formatCode="0"/>
      <fill>
        <patternFill patternType="none">
          <fgColor indexed="64"/>
          <bgColor indexed="65"/>
        </patternFill>
      </fill>
      <alignment horizontal="center" vertical="bottom" textRotation="0" wrapText="0" indent="0" justifyLastLine="0" shrinkToFit="0" readingOrder="0"/>
      <border diagonalUp="0" diagonalDown="0">
        <left style="thin">
          <color rgb="FF000000"/>
        </left>
        <right style="thin">
          <color rgb="FF000000"/>
        </right>
        <top style="thin">
          <color rgb="FF000000"/>
        </top>
        <bottom style="thin">
          <color rgb="FF000000"/>
        </bottom>
        <vertical style="thin">
          <color rgb="FF000000"/>
        </vertical>
        <horizontal style="thin">
          <color rgb="FF000000"/>
        </horizontal>
      </border>
      <protection locked="0" hidden="0"/>
    </dxf>
    <dxf>
      <font>
        <b val="0"/>
        <i val="0"/>
        <strike val="0"/>
        <condense val="0"/>
        <extend val="0"/>
        <outline val="0"/>
        <shadow val="0"/>
        <u val="none"/>
        <vertAlign val="baseline"/>
        <sz val="11"/>
        <color theme="1"/>
        <name val="Calibri"/>
        <family val="2"/>
        <scheme val="minor"/>
      </font>
      <numFmt numFmtId="164" formatCode="_(&quot;$&quot;* #,##0_);_(&quot;$&quot;* \(#,##0\);_(&quot;$&quot;* &quot;-&quot;??_);_(@_)"/>
      <fill>
        <patternFill patternType="none">
          <fgColor indexed="64"/>
          <bgColor indexed="65"/>
        </patternFill>
      </fill>
      <alignment horizontal="center" vertical="bottom" textRotation="0" wrapText="0" indent="0" justifyLastLine="0" shrinkToFit="0" readingOrder="0"/>
      <border diagonalUp="0" diagonalDown="0">
        <left style="thin">
          <color rgb="FF000000"/>
        </left>
        <right style="thin">
          <color rgb="FF000000"/>
        </right>
        <top style="thin">
          <color rgb="FF000000"/>
        </top>
        <bottom style="thin">
          <color rgb="FF000000"/>
        </bottom>
        <vertical style="thin">
          <color rgb="FF000000"/>
        </vertical>
        <horizontal style="thin">
          <color rgb="FF000000"/>
        </horizontal>
      </border>
      <protection locked="0" hidden="0"/>
    </dxf>
    <dxf>
      <font>
        <b val="0"/>
        <i val="0"/>
        <strike val="0"/>
        <condense val="0"/>
        <extend val="0"/>
        <outline val="0"/>
        <shadow val="0"/>
        <u val="none"/>
        <vertAlign val="baseline"/>
        <sz val="11"/>
        <color theme="1"/>
        <name val="Calibri"/>
        <family val="2"/>
        <scheme val="minor"/>
      </font>
      <numFmt numFmtId="164" formatCode="_(&quot;$&quot;* #,##0_);_(&quot;$&quot;* \(#,##0\);_(&quot;$&quot;* &quot;-&quot;??_);_(@_)"/>
      <fill>
        <patternFill patternType="none">
          <fgColor indexed="64"/>
          <bgColor indexed="65"/>
        </patternFill>
      </fill>
      <alignment horizontal="center" vertical="bottom" textRotation="0" wrapText="0" indent="0" justifyLastLine="0" shrinkToFit="0" readingOrder="0"/>
      <border diagonalUp="0" diagonalDown="0">
        <left style="thin">
          <color rgb="FF000000"/>
        </left>
        <right style="thin">
          <color rgb="FF000000"/>
        </right>
        <top style="thin">
          <color rgb="FF000000"/>
        </top>
        <bottom style="thin">
          <color rgb="FF000000"/>
        </bottom>
        <vertical style="thin">
          <color rgb="FF000000"/>
        </vertical>
        <horizontal style="thin">
          <color rgb="FF000000"/>
        </horizontal>
      </border>
      <protection locked="0" hidden="0"/>
    </dxf>
    <dxf>
      <font>
        <b val="0"/>
        <i val="0"/>
        <strike val="0"/>
        <condense val="0"/>
        <extend val="0"/>
        <outline val="0"/>
        <shadow val="0"/>
        <u val="none"/>
        <vertAlign val="baseline"/>
        <sz val="11"/>
        <color theme="1"/>
        <name val="Calibri"/>
        <family val="2"/>
        <scheme val="minor"/>
      </font>
      <numFmt numFmtId="164" formatCode="_(&quot;$&quot;* #,##0_);_(&quot;$&quot;* \(#,##0\);_(&quot;$&quot;* &quot;-&quot;??_);_(@_)"/>
      <fill>
        <patternFill patternType="none">
          <fgColor indexed="64"/>
          <bgColor indexed="65"/>
        </patternFill>
      </fill>
      <alignment horizontal="center" vertical="bottom" textRotation="0" wrapText="0" indent="0" justifyLastLine="0" shrinkToFit="0" readingOrder="0"/>
      <border diagonalUp="0" diagonalDown="0">
        <left style="thin">
          <color rgb="FF000000"/>
        </left>
        <right style="thin">
          <color rgb="FF000000"/>
        </right>
        <top style="thin">
          <color rgb="FF000000"/>
        </top>
        <bottom style="thin">
          <color rgb="FF000000"/>
        </bottom>
        <vertical style="thin">
          <color rgb="FF000000"/>
        </vertical>
        <horizontal style="thin">
          <color rgb="FF000000"/>
        </horizontal>
      </border>
      <protection locked="0" hidden="0"/>
    </dxf>
    <dxf>
      <font>
        <b val="0"/>
        <i val="0"/>
        <strike val="0"/>
        <condense val="0"/>
        <extend val="0"/>
        <outline val="0"/>
        <shadow val="0"/>
        <u val="none"/>
        <vertAlign val="baseline"/>
        <sz val="11"/>
        <color theme="1"/>
        <name val="Calibri"/>
        <family val="2"/>
        <scheme val="minor"/>
      </font>
      <numFmt numFmtId="164" formatCode="_(&quot;$&quot;* #,##0_);_(&quot;$&quot;* \(#,##0\);_(&quot;$&quot;* &quot;-&quot;??_);_(@_)"/>
      <fill>
        <patternFill patternType="none">
          <fgColor indexed="64"/>
          <bgColor indexed="65"/>
        </patternFill>
      </fill>
      <alignment horizontal="center" vertical="bottom" textRotation="0" wrapText="0" indent="0" justifyLastLine="0" shrinkToFit="0" readingOrder="0"/>
      <border diagonalUp="0" diagonalDown="0">
        <left style="thin">
          <color rgb="FF000000"/>
        </left>
        <right style="thin">
          <color rgb="FF000000"/>
        </right>
        <top style="thin">
          <color rgb="FF000000"/>
        </top>
        <bottom style="thin">
          <color rgb="FF000000"/>
        </bottom>
        <vertical style="thin">
          <color rgb="FF000000"/>
        </vertical>
        <horizontal style="thin">
          <color rgb="FF000000"/>
        </horizontal>
      </border>
      <protection locked="0" hidden="0"/>
    </dxf>
    <dxf>
      <font>
        <b val="0"/>
        <i val="0"/>
        <strike val="0"/>
        <condense val="0"/>
        <extend val="0"/>
        <outline val="0"/>
        <shadow val="0"/>
        <u val="none"/>
        <vertAlign val="baseline"/>
        <sz val="11"/>
        <color theme="1"/>
        <name val="Calibri"/>
        <family val="2"/>
        <scheme val="minor"/>
      </font>
      <numFmt numFmtId="164" formatCode="_(&quot;$&quot;* #,##0_);_(&quot;$&quot;* \(#,##0\);_(&quot;$&quot;* &quot;-&quot;??_);_(@_)"/>
      <fill>
        <patternFill patternType="none">
          <fgColor indexed="64"/>
          <bgColor indexed="65"/>
        </patternFill>
      </fill>
      <alignment horizontal="center" vertical="bottom" textRotation="0" wrapText="0" indent="0" justifyLastLine="0" shrinkToFit="0" readingOrder="0"/>
      <border diagonalUp="0" diagonalDown="0">
        <left style="thin">
          <color rgb="FF000000"/>
        </left>
        <right style="thin">
          <color rgb="FF000000"/>
        </right>
        <top style="thin">
          <color rgb="FF000000"/>
        </top>
        <bottom style="thin">
          <color rgb="FF000000"/>
        </bottom>
        <vertical style="thin">
          <color rgb="FF000000"/>
        </vertical>
        <horizontal style="thin">
          <color rgb="FF000000"/>
        </horizontal>
      </border>
      <protection locked="0" hidden="0"/>
    </dxf>
    <dxf>
      <font>
        <b val="0"/>
        <i val="0"/>
        <strike val="0"/>
        <condense val="0"/>
        <extend val="0"/>
        <outline val="0"/>
        <shadow val="0"/>
        <u val="none"/>
        <vertAlign val="baseline"/>
        <sz val="11"/>
        <color theme="1"/>
        <name val="Calibri"/>
        <family val="2"/>
        <scheme val="minor"/>
      </font>
      <numFmt numFmtId="164" formatCode="_(&quot;$&quot;* #,##0_);_(&quot;$&quot;* \(#,##0\);_(&quot;$&quot;* &quot;-&quot;??_);_(@_)"/>
      <fill>
        <patternFill patternType="none">
          <fgColor indexed="64"/>
          <bgColor indexed="65"/>
        </patternFill>
      </fill>
      <alignment horizontal="center" vertical="bottom" textRotation="0" wrapText="0" indent="0" justifyLastLine="0" shrinkToFit="0" readingOrder="0"/>
      <border diagonalUp="0" diagonalDown="0">
        <left style="thin">
          <color rgb="FF000000"/>
        </left>
        <right style="thin">
          <color rgb="FF000000"/>
        </right>
        <top style="thin">
          <color rgb="FF000000"/>
        </top>
        <bottom style="thin">
          <color rgb="FF000000"/>
        </bottom>
        <vertical style="thin">
          <color rgb="FF000000"/>
        </vertical>
        <horizontal style="thin">
          <color rgb="FF000000"/>
        </horizontal>
      </border>
      <protection locked="0" hidden="0"/>
    </dxf>
    <dxf>
      <font>
        <b val="0"/>
        <i val="0"/>
        <strike val="0"/>
        <condense val="0"/>
        <extend val="0"/>
        <outline val="0"/>
        <shadow val="0"/>
        <u val="none"/>
        <vertAlign val="baseline"/>
        <sz val="11"/>
        <color theme="1"/>
        <name val="Calibri"/>
        <family val="2"/>
        <scheme val="minor"/>
      </font>
      <numFmt numFmtId="164" formatCode="_(&quot;$&quot;* #,##0_);_(&quot;$&quot;* \(#,##0\);_(&quot;$&quot;* &quot;-&quot;??_);_(@_)"/>
      <fill>
        <patternFill patternType="none">
          <fgColor indexed="64"/>
          <bgColor indexed="65"/>
        </patternFill>
      </fill>
      <alignment horizontal="center" vertical="bottom" textRotation="0" wrapText="0" indent="0" justifyLastLine="0" shrinkToFit="0" readingOrder="0"/>
      <border diagonalUp="0" diagonalDown="0">
        <left style="thin">
          <color rgb="FF000000"/>
        </left>
        <right style="thin">
          <color rgb="FF000000"/>
        </right>
        <top style="thin">
          <color rgb="FF000000"/>
        </top>
        <bottom style="thin">
          <color rgb="FF000000"/>
        </bottom>
        <vertical style="thin">
          <color rgb="FF000000"/>
        </vertical>
        <horizontal style="thin">
          <color rgb="FF000000"/>
        </horizontal>
      </border>
      <protection locked="0" hidden="0"/>
    </dxf>
    <dxf>
      <font>
        <b val="0"/>
        <i val="0"/>
        <strike val="0"/>
        <condense val="0"/>
        <extend val="0"/>
        <outline val="0"/>
        <shadow val="0"/>
        <u val="none"/>
        <vertAlign val="baseline"/>
        <sz val="11"/>
        <color theme="1"/>
        <name val="Calibri"/>
        <family val="2"/>
        <scheme val="minor"/>
      </font>
      <numFmt numFmtId="164" formatCode="_(&quot;$&quot;* #,##0_);_(&quot;$&quot;* \(#,##0\);_(&quot;$&quot;* &quot;-&quot;??_);_(@_)"/>
      <fill>
        <patternFill patternType="none">
          <fgColor indexed="64"/>
          <bgColor indexed="65"/>
        </patternFill>
      </fill>
      <alignment horizontal="center" vertical="bottom" textRotation="0" wrapText="0" indent="0" justifyLastLine="0" shrinkToFit="0" readingOrder="0"/>
      <border diagonalUp="0" diagonalDown="0">
        <left style="thin">
          <color rgb="FF000000"/>
        </left>
        <right style="thin">
          <color rgb="FF000000"/>
        </right>
        <top style="thin">
          <color rgb="FF000000"/>
        </top>
        <bottom style="thin">
          <color rgb="FF000000"/>
        </bottom>
        <vertical style="thin">
          <color rgb="FF000000"/>
        </vertical>
        <horizontal style="thin">
          <color rgb="FF000000"/>
        </horizontal>
      </border>
      <protection locked="0" hidden="0"/>
    </dxf>
    <dxf>
      <font>
        <b val="0"/>
        <i val="0"/>
        <strike val="0"/>
        <condense val="0"/>
        <extend val="0"/>
        <outline val="0"/>
        <shadow val="0"/>
        <u val="none"/>
        <vertAlign val="baseline"/>
        <sz val="11"/>
        <color theme="1"/>
        <name val="Calibri"/>
        <family val="2"/>
        <scheme val="minor"/>
      </font>
      <numFmt numFmtId="164" formatCode="_(&quot;$&quot;* #,##0_);_(&quot;$&quot;* \(#,##0\);_(&quot;$&quot;* &quot;-&quot;??_);_(@_)"/>
      <fill>
        <patternFill patternType="none">
          <fgColor indexed="64"/>
          <bgColor indexed="65"/>
        </patternFill>
      </fill>
      <alignment horizontal="center" vertical="bottom" textRotation="0" wrapText="0" indent="0" justifyLastLine="0" shrinkToFit="0" readingOrder="0"/>
      <border diagonalUp="0" diagonalDown="0">
        <left style="thin">
          <color rgb="FF000000"/>
        </left>
        <right style="thin">
          <color rgb="FF000000"/>
        </right>
        <top style="thin">
          <color rgb="FF000000"/>
        </top>
        <bottom style="thin">
          <color rgb="FF000000"/>
        </bottom>
        <vertical style="thin">
          <color rgb="FF000000"/>
        </vertical>
        <horizontal style="thin">
          <color rgb="FF000000"/>
        </horizontal>
      </border>
      <protection locked="0" hidden="0"/>
    </dxf>
    <dxf>
      <font>
        <b val="0"/>
        <i val="0"/>
        <strike val="0"/>
        <condense val="0"/>
        <extend val="0"/>
        <outline val="0"/>
        <shadow val="0"/>
        <u val="none"/>
        <vertAlign val="baseline"/>
        <sz val="11"/>
        <color theme="1"/>
        <name val="Calibri"/>
        <family val="2"/>
        <scheme val="minor"/>
      </font>
      <numFmt numFmtId="164" formatCode="_(&quot;$&quot;* #,##0_);_(&quot;$&quot;* \(#,##0\);_(&quot;$&quot;* &quot;-&quot;??_);_(@_)"/>
      <fill>
        <patternFill patternType="none">
          <fgColor indexed="64"/>
          <bgColor indexed="65"/>
        </patternFill>
      </fill>
      <alignment horizontal="center" vertical="bottom" textRotation="0" wrapText="0" indent="0" justifyLastLine="0" shrinkToFit="0" readingOrder="0"/>
      <border diagonalUp="0" diagonalDown="0">
        <left style="thin">
          <color rgb="FF000000"/>
        </left>
        <right style="thin">
          <color rgb="FF000000"/>
        </right>
        <top style="thin">
          <color rgb="FF000000"/>
        </top>
        <bottom style="thin">
          <color rgb="FF000000"/>
        </bottom>
        <vertical style="thin">
          <color rgb="FF000000"/>
        </vertical>
        <horizontal style="thin">
          <color rgb="FF000000"/>
        </horizontal>
      </border>
      <protection locked="0" hidden="0"/>
    </dxf>
    <dxf>
      <font>
        <b val="0"/>
        <i val="0"/>
        <strike val="0"/>
        <condense val="0"/>
        <extend val="0"/>
        <outline val="0"/>
        <shadow val="0"/>
        <u val="none"/>
        <vertAlign val="baseline"/>
        <sz val="11"/>
        <color theme="1"/>
        <name val="Calibri"/>
        <family val="2"/>
        <scheme val="minor"/>
      </font>
      <numFmt numFmtId="164" formatCode="_(&quot;$&quot;* #,##0_);_(&quot;$&quot;* \(#,##0\);_(&quot;$&quot;* &quot;-&quot;??_);_(@_)"/>
      <fill>
        <patternFill patternType="none">
          <fgColor indexed="64"/>
          <bgColor indexed="65"/>
        </patternFill>
      </fill>
      <alignment horizontal="center" vertical="bottom" textRotation="0" wrapText="0" indent="0" justifyLastLine="0" shrinkToFit="0" readingOrder="0"/>
      <border diagonalUp="0" diagonalDown="0">
        <left style="thin">
          <color rgb="FF000000"/>
        </left>
        <right style="thin">
          <color rgb="FF000000"/>
        </right>
        <top style="thin">
          <color rgb="FF000000"/>
        </top>
        <bottom style="thin">
          <color rgb="FF000000"/>
        </bottom>
        <vertical style="thin">
          <color rgb="FF000000"/>
        </vertical>
        <horizontal style="thin">
          <color rgb="FF000000"/>
        </horizontal>
      </border>
      <protection locked="0" hidden="0"/>
    </dxf>
    <dxf>
      <font>
        <b val="0"/>
        <i val="0"/>
        <strike val="0"/>
        <condense val="0"/>
        <extend val="0"/>
        <outline val="0"/>
        <shadow val="0"/>
        <u val="none"/>
        <vertAlign val="baseline"/>
        <sz val="11"/>
        <color theme="1"/>
        <name val="Calibri"/>
        <family val="2"/>
        <scheme val="minor"/>
      </font>
      <numFmt numFmtId="164" formatCode="_(&quot;$&quot;* #,##0_);_(&quot;$&quot;* \(#,##0\);_(&quot;$&quot;* &quot;-&quot;??_);_(@_)"/>
      <fill>
        <patternFill patternType="none">
          <fgColor indexed="64"/>
          <bgColor indexed="65"/>
        </patternFill>
      </fill>
      <alignment horizontal="center" vertical="bottom" textRotation="0" wrapText="0" indent="0" justifyLastLine="0" shrinkToFit="0" readingOrder="0"/>
      <border diagonalUp="0" diagonalDown="0">
        <left style="thin">
          <color rgb="FF000000"/>
        </left>
        <right style="thin">
          <color rgb="FF000000"/>
        </right>
        <top style="thin">
          <color rgb="FF000000"/>
        </top>
        <bottom style="thin">
          <color rgb="FF000000"/>
        </bottom>
        <vertical style="thin">
          <color rgb="FF000000"/>
        </vertical>
        <horizontal style="thin">
          <color rgb="FF000000"/>
        </horizontal>
      </border>
      <protection locked="0" hidden="0"/>
    </dxf>
    <dxf>
      <font>
        <b val="0"/>
        <i val="0"/>
        <strike val="0"/>
        <condense val="0"/>
        <extend val="0"/>
        <outline val="0"/>
        <shadow val="0"/>
        <u val="none"/>
        <vertAlign val="baseline"/>
        <sz val="11"/>
        <color theme="1"/>
        <name val="Calibri"/>
        <family val="2"/>
        <scheme val="minor"/>
      </font>
      <numFmt numFmtId="164" formatCode="_(&quot;$&quot;* #,##0_);_(&quot;$&quot;* \(#,##0\);_(&quot;$&quot;* &quot;-&quot;??_);_(@_)"/>
      <fill>
        <patternFill patternType="none">
          <fgColor indexed="64"/>
          <bgColor indexed="65"/>
        </patternFill>
      </fill>
      <alignment horizontal="center" vertical="bottom" textRotation="0" wrapText="0" indent="0" justifyLastLine="0" shrinkToFit="0" readingOrder="0"/>
      <border diagonalUp="0" diagonalDown="0">
        <left style="thin">
          <color rgb="FF000000"/>
        </left>
        <right style="thin">
          <color rgb="FF000000"/>
        </right>
        <top style="thin">
          <color rgb="FF000000"/>
        </top>
        <bottom style="thin">
          <color rgb="FF000000"/>
        </bottom>
        <vertical style="thin">
          <color rgb="FF000000"/>
        </vertical>
        <horizontal style="thin">
          <color rgb="FF000000"/>
        </horizontal>
      </border>
      <protection locked="0" hidden="0"/>
    </dxf>
    <dxf>
      <font>
        <b val="0"/>
        <i val="0"/>
        <strike val="0"/>
        <condense val="0"/>
        <extend val="0"/>
        <outline val="0"/>
        <shadow val="0"/>
        <u val="none"/>
        <vertAlign val="baseline"/>
        <sz val="11"/>
        <color theme="1"/>
        <name val="Calibri"/>
        <family val="2"/>
        <scheme val="minor"/>
      </font>
      <numFmt numFmtId="164" formatCode="_(&quot;$&quot;* #,##0_);_(&quot;$&quot;* \(#,##0\);_(&quot;$&quot;* &quot;-&quot;??_);_(@_)"/>
      <fill>
        <patternFill patternType="none">
          <fgColor indexed="64"/>
          <bgColor indexed="65"/>
        </patternFill>
      </fill>
      <alignment horizontal="center" vertical="bottom" textRotation="0" wrapText="0" indent="0" justifyLastLine="0" shrinkToFit="0" readingOrder="0"/>
      <border diagonalUp="0" diagonalDown="0">
        <left style="thin">
          <color rgb="FF000000"/>
        </left>
        <right style="thin">
          <color rgb="FF000000"/>
        </right>
        <top style="thin">
          <color rgb="FF000000"/>
        </top>
        <bottom style="thin">
          <color rgb="FF000000"/>
        </bottom>
        <vertical style="thin">
          <color rgb="FF000000"/>
        </vertical>
        <horizontal style="thin">
          <color rgb="FF000000"/>
        </horizontal>
      </border>
      <protection locked="0" hidden="0"/>
    </dxf>
    <dxf>
      <font>
        <b val="0"/>
        <i val="0"/>
        <strike val="0"/>
        <condense val="0"/>
        <extend val="0"/>
        <outline val="0"/>
        <shadow val="0"/>
        <u val="none"/>
        <vertAlign val="baseline"/>
        <sz val="11"/>
        <color theme="1"/>
        <name val="Calibri"/>
        <family val="2"/>
        <scheme val="minor"/>
      </font>
      <numFmt numFmtId="164" formatCode="_(&quot;$&quot;* #,##0_);_(&quot;$&quot;* \(#,##0\);_(&quot;$&quot;* &quot;-&quot;??_);_(@_)"/>
      <fill>
        <patternFill patternType="none">
          <fgColor indexed="64"/>
          <bgColor indexed="65"/>
        </patternFill>
      </fill>
      <alignment horizontal="center" vertical="bottom" textRotation="0" wrapText="0" indent="0" justifyLastLine="0" shrinkToFit="0" readingOrder="0"/>
      <border diagonalUp="0" diagonalDown="0">
        <left style="thin">
          <color rgb="FF000000"/>
        </left>
        <right style="thin">
          <color rgb="FF000000"/>
        </right>
        <top style="thin">
          <color rgb="FF000000"/>
        </top>
        <bottom style="thin">
          <color rgb="FF000000"/>
        </bottom>
        <vertical style="thin">
          <color rgb="FF000000"/>
        </vertical>
        <horizontal style="thin">
          <color rgb="FF000000"/>
        </horizontal>
      </border>
      <protection locked="0" hidden="0"/>
    </dxf>
    <dxf>
      <font>
        <b val="0"/>
        <i val="0"/>
        <strike val="0"/>
        <condense val="0"/>
        <extend val="0"/>
        <outline val="0"/>
        <shadow val="0"/>
        <u val="none"/>
        <vertAlign val="baseline"/>
        <sz val="11"/>
        <color theme="1"/>
        <name val="Calibri"/>
        <family val="2"/>
        <scheme val="minor"/>
      </font>
      <numFmt numFmtId="164" formatCode="_(&quot;$&quot;* #,##0_);_(&quot;$&quot;* \(#,##0\);_(&quot;$&quot;* &quot;-&quot;??_);_(@_)"/>
      <fill>
        <patternFill patternType="none">
          <fgColor indexed="64"/>
          <bgColor indexed="65"/>
        </patternFill>
      </fill>
      <alignment horizontal="center" vertical="bottom" textRotation="0" wrapText="0" indent="0" justifyLastLine="0" shrinkToFit="0" readingOrder="0"/>
      <border diagonalUp="0" diagonalDown="0">
        <left style="thin">
          <color rgb="FF000000"/>
        </left>
        <right style="thin">
          <color rgb="FF000000"/>
        </right>
        <top style="thin">
          <color rgb="FF000000"/>
        </top>
        <bottom style="thin">
          <color rgb="FF000000"/>
        </bottom>
        <vertical style="thin">
          <color rgb="FF000000"/>
        </vertical>
        <horizontal style="thin">
          <color rgb="FF000000"/>
        </horizontal>
      </border>
      <protection locked="0" hidden="0"/>
    </dxf>
    <dxf>
      <font>
        <b val="0"/>
        <i val="0"/>
        <strike val="0"/>
        <condense val="0"/>
        <extend val="0"/>
        <outline val="0"/>
        <shadow val="0"/>
        <u val="none"/>
        <vertAlign val="baseline"/>
        <sz val="11"/>
        <color theme="1"/>
        <name val="Calibri"/>
        <family val="2"/>
        <scheme val="minor"/>
      </font>
      <numFmt numFmtId="164" formatCode="_(&quot;$&quot;* #,##0_);_(&quot;$&quot;* \(#,##0\);_(&quot;$&quot;* &quot;-&quot;??_);_(@_)"/>
      <fill>
        <patternFill patternType="none">
          <fgColor indexed="64"/>
          <bgColor indexed="65"/>
        </patternFill>
      </fill>
      <alignment horizontal="center" vertical="bottom" textRotation="0" wrapText="0" indent="0" justifyLastLine="0" shrinkToFit="0" readingOrder="0"/>
      <border diagonalUp="0" diagonalDown="0">
        <left style="thin">
          <color rgb="FF000000"/>
        </left>
        <right style="thin">
          <color rgb="FF000000"/>
        </right>
        <top style="thin">
          <color rgb="FF000000"/>
        </top>
        <bottom style="thin">
          <color rgb="FF000000"/>
        </bottom>
        <vertical style="thin">
          <color rgb="FF000000"/>
        </vertical>
        <horizontal style="thin">
          <color rgb="FF000000"/>
        </horizontal>
      </border>
      <protection locked="0" hidden="0"/>
    </dxf>
    <dxf>
      <font>
        <b val="0"/>
        <i val="0"/>
        <strike val="0"/>
        <condense val="0"/>
        <extend val="0"/>
        <outline val="0"/>
        <shadow val="0"/>
        <u val="none"/>
        <vertAlign val="baseline"/>
        <sz val="11"/>
        <color theme="1"/>
        <name val="Calibri"/>
        <family val="2"/>
        <scheme val="minor"/>
      </font>
      <numFmt numFmtId="2" formatCode="0.00"/>
      <fill>
        <patternFill patternType="none">
          <fgColor indexed="64"/>
          <bgColor indexed="65"/>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theme="1"/>
        <name val="Calibri"/>
        <family val="2"/>
        <scheme val="minor"/>
      </font>
      <numFmt numFmtId="3" formatCode="#,##0"/>
      <fill>
        <patternFill patternType="none">
          <fgColor indexed="64"/>
          <bgColor indexed="65"/>
        </patternFill>
      </fill>
      <alignment horizontal="center" vertical="bottom" textRotation="0" wrapText="0" indent="0" justifyLastLine="0" shrinkToFit="0" readingOrder="0"/>
      <border diagonalUp="0" diagonalDown="0">
        <left style="thin">
          <color rgb="FF000000"/>
        </left>
        <right style="thin">
          <color rgb="FF000000"/>
        </right>
        <top style="thin">
          <color rgb="FF000000"/>
        </top>
        <bottom style="thin">
          <color rgb="FF000000"/>
        </bottom>
        <vertical style="thin">
          <color rgb="FF000000"/>
        </vertical>
        <horizontal style="thin">
          <color rgb="FF000000"/>
        </horizontal>
      </border>
      <protection locked="0" hidden="0"/>
    </dxf>
    <dxf>
      <alignment horizontal="center" vertical="bottom" textRotation="0" wrapText="0"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1"/>
        <color theme="1"/>
        <name val="Calibri"/>
        <family val="2"/>
        <scheme val="minor"/>
      </font>
      <fill>
        <patternFill patternType="none">
          <fgColor indexed="64"/>
          <bgColor indexed="65"/>
        </patternFill>
      </fill>
      <alignment horizontal="center" vertical="bottom" textRotation="0" wrapText="0" indent="0" justifyLastLine="0" shrinkToFit="0" readingOrder="0"/>
      <border diagonalUp="0" diagonalDown="0">
        <left style="thin">
          <color rgb="FF000000"/>
        </left>
        <right style="thin">
          <color rgb="FF000000"/>
        </right>
        <top style="thin">
          <color rgb="FF000000"/>
        </top>
        <bottom style="thin">
          <color rgb="FF000000"/>
        </bottom>
        <vertical style="thin">
          <color rgb="FF000000"/>
        </vertical>
        <horizontal style="thin">
          <color rgb="FF000000"/>
        </horizontal>
      </border>
      <protection locked="0" hidden="0"/>
    </dxf>
    <dxf>
      <font>
        <b val="0"/>
        <i val="0"/>
        <strike val="0"/>
        <condense val="0"/>
        <extend val="0"/>
        <outline val="0"/>
        <shadow val="0"/>
        <u val="none"/>
        <vertAlign val="baseline"/>
        <sz val="11"/>
        <color theme="1"/>
        <name val="Calibri"/>
        <family val="2"/>
        <scheme val="minor"/>
      </font>
      <fill>
        <patternFill patternType="none">
          <fgColor indexed="64"/>
          <bgColor indexed="65"/>
        </patternFill>
      </fill>
      <border diagonalUp="0" diagonalDown="0">
        <left style="thin">
          <color rgb="FF000000"/>
        </left>
        <right style="thin">
          <color rgb="FF000000"/>
        </right>
        <top style="thin">
          <color rgb="FF000000"/>
        </top>
        <bottom style="thin">
          <color rgb="FF000000"/>
        </bottom>
        <vertical style="thin">
          <color rgb="FF000000"/>
        </vertical>
        <horizontal style="thin">
          <color rgb="FF000000"/>
        </horizontal>
      </border>
      <protection locked="0" hidden="0"/>
    </dxf>
    <dxf>
      <border>
        <top style="thin">
          <color rgb="FF000000"/>
        </top>
      </border>
    </dxf>
    <dxf>
      <border diagonalUp="0" diagonalDown="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1"/>
        <color rgb="FF0070C0"/>
        <name val="Calibri"/>
        <family val="2"/>
        <scheme val="none"/>
      </font>
      <fill>
        <patternFill patternType="none">
          <fgColor rgb="FF000000"/>
          <bgColor rgb="FFFFFFFF"/>
        </patternFill>
      </fill>
      <alignment horizontal="center" vertical="bottom" textRotation="0" wrapText="0" indent="0" justifyLastLine="0" shrinkToFit="0" readingOrder="0"/>
      <protection locked="1" hidden="0"/>
    </dxf>
    <dxf>
      <border>
        <bottom style="thin">
          <color rgb="FF000000"/>
        </bottom>
      </border>
    </dxf>
    <dxf>
      <font>
        <b/>
        <i val="0"/>
        <strike val="0"/>
        <condense val="0"/>
        <extend val="0"/>
        <outline val="0"/>
        <shadow val="0"/>
        <u val="none"/>
        <vertAlign val="baseline"/>
        <sz val="11"/>
        <color theme="0"/>
        <name val="Calibri"/>
        <family val="2"/>
        <scheme val="minor"/>
      </font>
      <fill>
        <patternFill patternType="solid">
          <fgColor indexed="64"/>
          <bgColor theme="4"/>
        </patternFill>
      </fill>
      <alignment horizontal="center" vertical="center" textRotation="0" wrapText="1" indent="0" justifyLastLine="0" shrinkToFit="0" readingOrder="0"/>
      <border diagonalUp="0" diagonalDown="0">
        <left style="thin">
          <color indexed="64"/>
        </left>
        <right style="thin">
          <color indexed="64"/>
        </right>
        <top/>
        <bottom/>
      </border>
      <protection locked="1" hidden="0"/>
    </dxf>
    <dxf>
      <font>
        <b val="0"/>
        <i val="0"/>
        <strike val="0"/>
        <condense val="0"/>
        <extend val="0"/>
        <outline val="0"/>
        <shadow val="0"/>
        <u val="none"/>
        <vertAlign val="baseline"/>
        <sz val="11"/>
        <color rgb="FF0070C0"/>
        <name val="Calibri"/>
        <family val="2"/>
        <scheme val="none"/>
      </font>
      <numFmt numFmtId="168" formatCode="0.0%"/>
      <fill>
        <patternFill patternType="none">
          <fgColor rgb="FF000000"/>
          <bgColor rgb="FFFFFFFF"/>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b val="0"/>
        <i val="0"/>
        <strike val="0"/>
        <condense val="0"/>
        <extend val="0"/>
        <outline val="0"/>
        <shadow val="0"/>
        <u val="none"/>
        <vertAlign val="baseline"/>
        <sz val="11"/>
        <color rgb="FF0070C0"/>
        <name val="Calibri"/>
        <family val="2"/>
        <scheme val="none"/>
      </font>
      <numFmt numFmtId="169" formatCode="_([$$-409]* #,##0.00_);_([$$-409]* \(#,##0.00\);_([$$-409]* &quot;-&quot;??_);_(@_)"/>
      <fill>
        <patternFill patternType="none">
          <fgColor indexed="64"/>
          <bgColor indexed="65"/>
        </patternFill>
      </fill>
      <alignment horizontal="center" vertical="bottom" textRotation="0" wrapText="0" indent="0" justifyLastLine="0" shrinkToFit="0" readingOrder="0"/>
      <border diagonalUp="0" diagonalDown="0">
        <left style="thin">
          <color rgb="FF000000"/>
        </left>
        <right style="thin">
          <color rgb="FF000000"/>
        </right>
        <top style="thin">
          <color rgb="FF000000"/>
        </top>
        <bottom style="thin">
          <color rgb="FF000000"/>
        </bottom>
        <vertical/>
        <horizontal/>
      </border>
      <protection locked="1" hidden="0"/>
    </dxf>
    <dxf>
      <font>
        <b val="0"/>
        <i val="0"/>
        <strike val="0"/>
        <condense val="0"/>
        <extend val="0"/>
        <outline val="0"/>
        <shadow val="0"/>
        <u val="none"/>
        <vertAlign val="baseline"/>
        <sz val="11"/>
        <color rgb="FF0070C0"/>
        <name val="Calibri"/>
        <family val="2"/>
        <scheme val="minor"/>
      </font>
      <numFmt numFmtId="169" formatCode="_([$$-409]* #,##0.00_);_([$$-409]* \(#,##0.00\);_([$$-409]* &quot;-&quot;??_);_(@_)"/>
      <fill>
        <patternFill patternType="none">
          <fgColor indexed="64"/>
          <bgColor indexed="65"/>
        </patternFill>
      </fill>
      <alignment horizontal="center" vertical="bottom" textRotation="0" wrapText="0" indent="0" justifyLastLine="0" shrinkToFit="0" readingOrder="0"/>
      <border diagonalUp="0" diagonalDown="0">
        <left style="thin">
          <color rgb="FF000000"/>
        </left>
        <right style="thin">
          <color rgb="FF000000"/>
        </right>
        <top style="thin">
          <color rgb="FF000000"/>
        </top>
        <bottom style="thin">
          <color rgb="FF000000"/>
        </bottom>
        <vertical style="thin">
          <color rgb="FF000000"/>
        </vertical>
        <horizontal style="thin">
          <color rgb="FF000000"/>
        </horizontal>
      </border>
      <protection locked="1" hidden="0"/>
    </dxf>
    <dxf>
      <font>
        <b val="0"/>
        <i val="0"/>
        <strike val="0"/>
        <condense val="0"/>
        <extend val="0"/>
        <outline val="0"/>
        <shadow val="0"/>
        <u val="none"/>
        <vertAlign val="baseline"/>
        <sz val="11"/>
        <color rgb="FF0070C0"/>
        <name val="Calibri"/>
        <family val="2"/>
        <scheme val="minor"/>
      </font>
      <numFmt numFmtId="169" formatCode="_([$$-409]* #,##0.00_);_([$$-409]* \(#,##0.00\);_([$$-409]* &quot;-&quot;??_);_(@_)"/>
      <fill>
        <patternFill patternType="none">
          <fgColor indexed="64"/>
          <bgColor indexed="65"/>
        </patternFill>
      </fill>
      <alignment horizontal="center" vertical="bottom" textRotation="0" wrapText="0" indent="0" justifyLastLine="0" shrinkToFit="0" readingOrder="0"/>
      <border diagonalUp="0" diagonalDown="0">
        <left style="thin">
          <color rgb="FF000000"/>
        </left>
        <right style="thin">
          <color rgb="FF000000"/>
        </right>
        <top style="thin">
          <color rgb="FF000000"/>
        </top>
        <bottom style="thin">
          <color rgb="FF000000"/>
        </bottom>
        <vertical style="thin">
          <color rgb="FF000000"/>
        </vertical>
        <horizontal style="thin">
          <color rgb="FF000000"/>
        </horizontal>
      </border>
      <protection locked="1" hidden="0"/>
    </dxf>
    <dxf>
      <font>
        <b val="0"/>
        <i val="0"/>
        <strike val="0"/>
        <condense val="0"/>
        <extend val="0"/>
        <outline val="0"/>
        <shadow val="0"/>
        <u val="none"/>
        <vertAlign val="baseline"/>
        <sz val="11"/>
        <color rgb="FF0070C0"/>
        <name val="Calibri"/>
        <family val="2"/>
        <scheme val="minor"/>
      </font>
      <numFmt numFmtId="164" formatCode="_(&quot;$&quot;* #,##0_);_(&quot;$&quot;* \(#,##0\);_(&quot;$&quot;* &quot;-&quot;??_);_(@_)"/>
      <fill>
        <patternFill patternType="none">
          <fgColor indexed="64"/>
          <bgColor indexed="65"/>
        </patternFill>
      </fill>
      <alignment horizontal="center" vertical="bottom" textRotation="0" wrapText="0" indent="0" justifyLastLine="0" shrinkToFit="0" readingOrder="0"/>
      <border diagonalUp="0" diagonalDown="0">
        <left style="thin">
          <color rgb="FF000000"/>
        </left>
        <right style="thin">
          <color rgb="FF000000"/>
        </right>
        <top style="thin">
          <color rgb="FF000000"/>
        </top>
        <bottom style="thin">
          <color rgb="FF000000"/>
        </bottom>
        <vertical style="thin">
          <color rgb="FF000000"/>
        </vertical>
        <horizontal style="thin">
          <color rgb="FF000000"/>
        </horizontal>
      </border>
      <protection locked="1" hidden="0"/>
    </dxf>
    <dxf>
      <font>
        <b val="0"/>
        <i val="0"/>
        <strike val="0"/>
        <condense val="0"/>
        <extend val="0"/>
        <outline val="0"/>
        <shadow val="0"/>
        <u val="none"/>
        <vertAlign val="baseline"/>
        <sz val="11"/>
        <color rgb="FF0070C0"/>
        <name val="Calibri"/>
        <family val="2"/>
        <scheme val="minor"/>
      </font>
      <numFmt numFmtId="164" formatCode="_(&quot;$&quot;* #,##0_);_(&quot;$&quot;* \(#,##0\);_(&quot;$&quot;* &quot;-&quot;??_);_(@_)"/>
      <fill>
        <patternFill patternType="none">
          <fgColor indexed="64"/>
          <bgColor indexed="65"/>
        </patternFill>
      </fill>
      <alignment horizontal="center" vertical="bottom" textRotation="0" wrapText="0" indent="0" justifyLastLine="0" shrinkToFit="0" readingOrder="0"/>
      <border diagonalUp="0" diagonalDown="0">
        <left style="thin">
          <color rgb="FF000000"/>
        </left>
        <right style="thin">
          <color rgb="FF000000"/>
        </right>
        <top style="thin">
          <color rgb="FF000000"/>
        </top>
        <bottom style="thin">
          <color rgb="FF000000"/>
        </bottom>
        <vertical style="thin">
          <color rgb="FF000000"/>
        </vertical>
        <horizontal style="thin">
          <color rgb="FF000000"/>
        </horizontal>
      </border>
      <protection locked="1" hidden="0"/>
    </dxf>
    <dxf>
      <font>
        <b val="0"/>
        <i val="0"/>
        <strike val="0"/>
        <condense val="0"/>
        <extend val="0"/>
        <outline val="0"/>
        <shadow val="0"/>
        <u val="none"/>
        <vertAlign val="baseline"/>
        <sz val="11"/>
        <color rgb="FF0070C0"/>
        <name val="Calibri"/>
        <family val="2"/>
        <scheme val="minor"/>
      </font>
      <numFmt numFmtId="164" formatCode="_(&quot;$&quot;* #,##0_);_(&quot;$&quot;* \(#,##0\);_(&quot;$&quot;* &quot;-&quot;??_);_(@_)"/>
      <fill>
        <patternFill patternType="none">
          <fgColor indexed="64"/>
          <bgColor indexed="65"/>
        </patternFill>
      </fill>
      <alignment horizontal="center" vertical="bottom" textRotation="0" wrapText="0" indent="0" justifyLastLine="0" shrinkToFit="0" readingOrder="0"/>
      <border diagonalUp="0" diagonalDown="0">
        <left style="thin">
          <color rgb="FF000000"/>
        </left>
        <right style="thin">
          <color rgb="FF000000"/>
        </right>
        <top style="thin">
          <color rgb="FF000000"/>
        </top>
        <bottom style="thin">
          <color rgb="FF000000"/>
        </bottom>
        <vertical style="thin">
          <color rgb="FF000000"/>
        </vertical>
        <horizontal style="thin">
          <color rgb="FF000000"/>
        </horizontal>
      </border>
      <protection locked="1" hidden="0"/>
    </dxf>
    <dxf>
      <font>
        <b val="0"/>
        <i val="0"/>
        <strike val="0"/>
        <condense val="0"/>
        <extend val="0"/>
        <outline val="0"/>
        <shadow val="0"/>
        <u val="none"/>
        <vertAlign val="baseline"/>
        <sz val="11"/>
        <color rgb="FF0070C0"/>
        <name val="Calibri"/>
        <family val="2"/>
        <scheme val="minor"/>
      </font>
      <numFmt numFmtId="164" formatCode="_(&quot;$&quot;* #,##0_);_(&quot;$&quot;* \(#,##0\);_(&quot;$&quot;* &quot;-&quot;??_);_(@_)"/>
      <fill>
        <patternFill patternType="none">
          <fgColor indexed="64"/>
          <bgColor indexed="65"/>
        </patternFill>
      </fill>
      <alignment horizontal="center" vertical="bottom" textRotation="0" wrapText="0" indent="0" justifyLastLine="0" shrinkToFit="0" readingOrder="0"/>
      <border diagonalUp="0" diagonalDown="0">
        <left style="thin">
          <color rgb="FF000000"/>
        </left>
        <right style="thin">
          <color rgb="FF000000"/>
        </right>
        <top style="thin">
          <color rgb="FF000000"/>
        </top>
        <bottom style="thin">
          <color rgb="FF000000"/>
        </bottom>
        <vertical style="thin">
          <color rgb="FF000000"/>
        </vertical>
        <horizontal style="thin">
          <color rgb="FF000000"/>
        </horizontal>
      </border>
      <protection locked="1" hidden="0"/>
    </dxf>
    <dxf>
      <font>
        <b val="0"/>
        <i val="0"/>
        <strike val="0"/>
        <condense val="0"/>
        <extend val="0"/>
        <outline val="0"/>
        <shadow val="0"/>
        <u val="none"/>
        <vertAlign val="baseline"/>
        <sz val="11"/>
        <color rgb="FF0070C0"/>
        <name val="Calibri"/>
        <family val="2"/>
        <scheme val="minor"/>
      </font>
      <numFmt numFmtId="164" formatCode="_(&quot;$&quot;* #,##0_);_(&quot;$&quot;* \(#,##0\);_(&quot;$&quot;* &quot;-&quot;??_);_(@_)"/>
      <fill>
        <patternFill patternType="none">
          <fgColor indexed="64"/>
          <bgColor indexed="65"/>
        </patternFill>
      </fill>
      <alignment horizontal="center" vertical="bottom" textRotation="0" wrapText="0" indent="0" justifyLastLine="0" shrinkToFit="0" readingOrder="0"/>
      <border diagonalUp="0" diagonalDown="0">
        <left style="thin">
          <color rgb="FF000000"/>
        </left>
        <right style="thin">
          <color rgb="FF000000"/>
        </right>
        <top style="thin">
          <color rgb="FF000000"/>
        </top>
        <bottom style="thin">
          <color rgb="FF000000"/>
        </bottom>
        <vertical style="thin">
          <color rgb="FF000000"/>
        </vertical>
        <horizontal style="thin">
          <color rgb="FF000000"/>
        </horizontal>
      </border>
      <protection locked="1" hidden="0"/>
    </dxf>
    <dxf>
      <font>
        <b val="0"/>
        <i val="0"/>
        <strike val="0"/>
        <condense val="0"/>
        <extend val="0"/>
        <outline val="0"/>
        <shadow val="0"/>
        <u val="none"/>
        <vertAlign val="baseline"/>
        <sz val="11"/>
        <color theme="1"/>
        <name val="Calibri"/>
        <family val="2"/>
        <scheme val="minor"/>
      </font>
      <numFmt numFmtId="1" formatCode="0"/>
      <fill>
        <patternFill patternType="none">
          <fgColor indexed="64"/>
          <bgColor indexed="65"/>
        </patternFill>
      </fill>
      <alignment horizontal="center" vertical="bottom" textRotation="0" wrapText="0" indent="0" justifyLastLine="0" shrinkToFit="0" readingOrder="0"/>
      <border diagonalUp="0" diagonalDown="0">
        <left style="thin">
          <color rgb="FF000000"/>
        </left>
        <right style="thin">
          <color rgb="FF000000"/>
        </right>
        <top style="thin">
          <color rgb="FF000000"/>
        </top>
        <bottom style="thin">
          <color rgb="FF000000"/>
        </bottom>
        <vertical style="thin">
          <color rgb="FF000000"/>
        </vertical>
        <horizontal style="thin">
          <color rgb="FF000000"/>
        </horizontal>
      </border>
      <protection locked="0" hidden="0"/>
    </dxf>
    <dxf>
      <font>
        <b val="0"/>
        <i val="0"/>
        <strike val="0"/>
        <condense val="0"/>
        <extend val="0"/>
        <outline val="0"/>
        <shadow val="0"/>
        <u val="none"/>
        <vertAlign val="baseline"/>
        <sz val="11"/>
        <color theme="1"/>
        <name val="Calibri"/>
        <family val="2"/>
        <scheme val="minor"/>
      </font>
      <numFmt numFmtId="164" formatCode="_(&quot;$&quot;* #,##0_);_(&quot;$&quot;* \(#,##0\);_(&quot;$&quot;* &quot;-&quot;??_);_(@_)"/>
      <fill>
        <patternFill patternType="none">
          <fgColor indexed="64"/>
          <bgColor indexed="65"/>
        </patternFill>
      </fill>
      <alignment horizontal="center" vertical="bottom" textRotation="0" wrapText="0" indent="0" justifyLastLine="0" shrinkToFit="0" readingOrder="0"/>
      <border diagonalUp="0" diagonalDown="0">
        <left style="thin">
          <color rgb="FF000000"/>
        </left>
        <right style="thin">
          <color rgb="FF000000"/>
        </right>
        <top style="thin">
          <color rgb="FF000000"/>
        </top>
        <bottom style="thin">
          <color rgb="FF000000"/>
        </bottom>
        <vertical style="thin">
          <color rgb="FF000000"/>
        </vertical>
        <horizontal style="thin">
          <color rgb="FF000000"/>
        </horizontal>
      </border>
      <protection locked="0" hidden="0"/>
    </dxf>
    <dxf>
      <font>
        <b val="0"/>
        <i val="0"/>
        <strike val="0"/>
        <condense val="0"/>
        <extend val="0"/>
        <outline val="0"/>
        <shadow val="0"/>
        <u val="none"/>
        <vertAlign val="baseline"/>
        <sz val="11"/>
        <color theme="1"/>
        <name val="Calibri"/>
        <family val="2"/>
        <scheme val="minor"/>
      </font>
      <numFmt numFmtId="164" formatCode="_(&quot;$&quot;* #,##0_);_(&quot;$&quot;* \(#,##0\);_(&quot;$&quot;* &quot;-&quot;??_);_(@_)"/>
      <fill>
        <patternFill patternType="none">
          <fgColor indexed="64"/>
          <bgColor indexed="65"/>
        </patternFill>
      </fill>
      <alignment horizontal="center" vertical="bottom" textRotation="0" wrapText="0" indent="0" justifyLastLine="0" shrinkToFit="0" readingOrder="0"/>
      <border diagonalUp="0" diagonalDown="0">
        <left style="thin">
          <color rgb="FF000000"/>
        </left>
        <right style="thin">
          <color rgb="FF000000"/>
        </right>
        <top style="thin">
          <color rgb="FF000000"/>
        </top>
        <bottom style="thin">
          <color rgb="FF000000"/>
        </bottom>
        <vertical style="thin">
          <color rgb="FF000000"/>
        </vertical>
        <horizontal style="thin">
          <color rgb="FF000000"/>
        </horizontal>
      </border>
      <protection locked="0" hidden="0"/>
    </dxf>
    <dxf>
      <font>
        <b val="0"/>
        <i val="0"/>
        <strike val="0"/>
        <condense val="0"/>
        <extend val="0"/>
        <outline val="0"/>
        <shadow val="0"/>
        <u val="none"/>
        <vertAlign val="baseline"/>
        <sz val="11"/>
        <color theme="1"/>
        <name val="Calibri"/>
        <family val="2"/>
        <scheme val="minor"/>
      </font>
      <numFmt numFmtId="164" formatCode="_(&quot;$&quot;* #,##0_);_(&quot;$&quot;* \(#,##0\);_(&quot;$&quot;* &quot;-&quot;??_);_(@_)"/>
      <fill>
        <patternFill patternType="none">
          <fgColor indexed="64"/>
          <bgColor indexed="65"/>
        </patternFill>
      </fill>
      <alignment horizontal="center" vertical="bottom" textRotation="0" wrapText="0" indent="0" justifyLastLine="0" shrinkToFit="0" readingOrder="0"/>
      <border diagonalUp="0" diagonalDown="0">
        <left style="thin">
          <color rgb="FF000000"/>
        </left>
        <right style="thin">
          <color rgb="FF000000"/>
        </right>
        <top style="thin">
          <color rgb="FF000000"/>
        </top>
        <bottom style="thin">
          <color rgb="FF000000"/>
        </bottom>
        <vertical style="thin">
          <color rgb="FF000000"/>
        </vertical>
        <horizontal style="thin">
          <color rgb="FF000000"/>
        </horizontal>
      </border>
      <protection locked="0" hidden="0"/>
    </dxf>
    <dxf>
      <font>
        <b val="0"/>
        <i val="0"/>
        <strike val="0"/>
        <condense val="0"/>
        <extend val="0"/>
        <outline val="0"/>
        <shadow val="0"/>
        <u val="none"/>
        <vertAlign val="baseline"/>
        <sz val="11"/>
        <color theme="1"/>
        <name val="Calibri"/>
        <family val="2"/>
        <scheme val="minor"/>
      </font>
      <numFmt numFmtId="164" formatCode="_(&quot;$&quot;* #,##0_);_(&quot;$&quot;* \(#,##0\);_(&quot;$&quot;* &quot;-&quot;??_);_(@_)"/>
      <fill>
        <patternFill patternType="none">
          <fgColor indexed="64"/>
          <bgColor indexed="65"/>
        </patternFill>
      </fill>
      <alignment horizontal="center" vertical="bottom" textRotation="0" wrapText="0" indent="0" justifyLastLine="0" shrinkToFit="0" readingOrder="0"/>
      <border diagonalUp="0" diagonalDown="0">
        <left style="thin">
          <color rgb="FF000000"/>
        </left>
        <right style="thin">
          <color rgb="FF000000"/>
        </right>
        <top style="thin">
          <color rgb="FF000000"/>
        </top>
        <bottom style="thin">
          <color rgb="FF000000"/>
        </bottom>
        <vertical style="thin">
          <color rgb="FF000000"/>
        </vertical>
        <horizontal style="thin">
          <color rgb="FF000000"/>
        </horizontal>
      </border>
      <protection locked="0" hidden="0"/>
    </dxf>
    <dxf>
      <font>
        <b val="0"/>
        <i val="0"/>
        <strike val="0"/>
        <condense val="0"/>
        <extend val="0"/>
        <outline val="0"/>
        <shadow val="0"/>
        <u val="none"/>
        <vertAlign val="baseline"/>
        <sz val="11"/>
        <color theme="1"/>
        <name val="Calibri"/>
        <family val="2"/>
        <scheme val="minor"/>
      </font>
      <numFmt numFmtId="164" formatCode="_(&quot;$&quot;* #,##0_);_(&quot;$&quot;* \(#,##0\);_(&quot;$&quot;* &quot;-&quot;??_);_(@_)"/>
      <fill>
        <patternFill patternType="none">
          <fgColor indexed="64"/>
          <bgColor indexed="65"/>
        </patternFill>
      </fill>
      <alignment horizontal="center" vertical="bottom" textRotation="0" wrapText="0" indent="0" justifyLastLine="0" shrinkToFit="0" readingOrder="0"/>
      <border diagonalUp="0" diagonalDown="0">
        <left style="thin">
          <color rgb="FF000000"/>
        </left>
        <right style="thin">
          <color rgb="FF000000"/>
        </right>
        <top style="thin">
          <color rgb="FF000000"/>
        </top>
        <bottom style="thin">
          <color rgb="FF000000"/>
        </bottom>
        <vertical style="thin">
          <color rgb="FF000000"/>
        </vertical>
        <horizontal style="thin">
          <color rgb="FF000000"/>
        </horizontal>
      </border>
      <protection locked="0" hidden="0"/>
    </dxf>
    <dxf>
      <font>
        <b val="0"/>
        <i val="0"/>
        <strike val="0"/>
        <condense val="0"/>
        <extend val="0"/>
        <outline val="0"/>
        <shadow val="0"/>
        <u val="none"/>
        <vertAlign val="baseline"/>
        <sz val="11"/>
        <color theme="1"/>
        <name val="Calibri"/>
        <family val="2"/>
        <scheme val="minor"/>
      </font>
      <numFmt numFmtId="164" formatCode="_(&quot;$&quot;* #,##0_);_(&quot;$&quot;* \(#,##0\);_(&quot;$&quot;* &quot;-&quot;??_);_(@_)"/>
      <fill>
        <patternFill patternType="none">
          <fgColor indexed="64"/>
          <bgColor indexed="65"/>
        </patternFill>
      </fill>
      <alignment horizontal="center" vertical="bottom" textRotation="0" wrapText="0" indent="0" justifyLastLine="0" shrinkToFit="0" readingOrder="0"/>
      <border diagonalUp="0" diagonalDown="0">
        <left style="thin">
          <color rgb="FF000000"/>
        </left>
        <right style="thin">
          <color rgb="FF000000"/>
        </right>
        <top style="thin">
          <color rgb="FF000000"/>
        </top>
        <bottom style="thin">
          <color rgb="FF000000"/>
        </bottom>
        <vertical style="thin">
          <color rgb="FF000000"/>
        </vertical>
        <horizontal style="thin">
          <color rgb="FF000000"/>
        </horizontal>
      </border>
      <protection locked="0" hidden="0"/>
    </dxf>
    <dxf>
      <font>
        <b val="0"/>
        <i val="0"/>
        <strike val="0"/>
        <condense val="0"/>
        <extend val="0"/>
        <outline val="0"/>
        <shadow val="0"/>
        <u val="none"/>
        <vertAlign val="baseline"/>
        <sz val="11"/>
        <color theme="1"/>
        <name val="Calibri"/>
        <family val="2"/>
        <scheme val="minor"/>
      </font>
      <numFmt numFmtId="164" formatCode="_(&quot;$&quot;* #,##0_);_(&quot;$&quot;* \(#,##0\);_(&quot;$&quot;* &quot;-&quot;??_);_(@_)"/>
      <fill>
        <patternFill patternType="none">
          <fgColor indexed="64"/>
          <bgColor indexed="65"/>
        </patternFill>
      </fill>
      <alignment horizontal="center" vertical="bottom" textRotation="0" wrapText="0" indent="0" justifyLastLine="0" shrinkToFit="0" readingOrder="0"/>
      <border diagonalUp="0" diagonalDown="0">
        <left style="thin">
          <color rgb="FF000000"/>
        </left>
        <right style="thin">
          <color rgb="FF000000"/>
        </right>
        <top style="thin">
          <color rgb="FF000000"/>
        </top>
        <bottom style="thin">
          <color rgb="FF000000"/>
        </bottom>
        <vertical style="thin">
          <color rgb="FF000000"/>
        </vertical>
        <horizontal style="thin">
          <color rgb="FF000000"/>
        </horizontal>
      </border>
      <protection locked="0" hidden="0"/>
    </dxf>
    <dxf>
      <font>
        <b val="0"/>
        <i val="0"/>
        <strike val="0"/>
        <condense val="0"/>
        <extend val="0"/>
        <outline val="0"/>
        <shadow val="0"/>
        <u val="none"/>
        <vertAlign val="baseline"/>
        <sz val="11"/>
        <color theme="1"/>
        <name val="Calibri"/>
        <family val="2"/>
        <scheme val="minor"/>
      </font>
      <numFmt numFmtId="164" formatCode="_(&quot;$&quot;* #,##0_);_(&quot;$&quot;* \(#,##0\);_(&quot;$&quot;* &quot;-&quot;??_);_(@_)"/>
      <fill>
        <patternFill patternType="none">
          <fgColor indexed="64"/>
          <bgColor indexed="65"/>
        </patternFill>
      </fill>
      <alignment horizontal="center" vertical="bottom" textRotation="0" wrapText="0" indent="0" justifyLastLine="0" shrinkToFit="0" readingOrder="0"/>
      <border diagonalUp="0" diagonalDown="0">
        <left style="thin">
          <color rgb="FF000000"/>
        </left>
        <right style="thin">
          <color rgb="FF000000"/>
        </right>
        <top style="thin">
          <color rgb="FF000000"/>
        </top>
        <bottom style="thin">
          <color rgb="FF000000"/>
        </bottom>
        <vertical style="thin">
          <color rgb="FF000000"/>
        </vertical>
        <horizontal style="thin">
          <color rgb="FF000000"/>
        </horizontal>
      </border>
      <protection locked="0" hidden="0"/>
    </dxf>
    <dxf>
      <font>
        <b val="0"/>
        <i val="0"/>
        <strike val="0"/>
        <condense val="0"/>
        <extend val="0"/>
        <outline val="0"/>
        <shadow val="0"/>
        <u val="none"/>
        <vertAlign val="baseline"/>
        <sz val="11"/>
        <color theme="1"/>
        <name val="Calibri"/>
        <family val="2"/>
        <scheme val="minor"/>
      </font>
      <numFmt numFmtId="164" formatCode="_(&quot;$&quot;* #,##0_);_(&quot;$&quot;* \(#,##0\);_(&quot;$&quot;* &quot;-&quot;??_);_(@_)"/>
      <fill>
        <patternFill patternType="none">
          <fgColor indexed="64"/>
          <bgColor indexed="65"/>
        </patternFill>
      </fill>
      <alignment horizontal="center" vertical="bottom" textRotation="0" wrapText="0" indent="0" justifyLastLine="0" shrinkToFit="0" readingOrder="0"/>
      <border diagonalUp="0" diagonalDown="0">
        <left style="thin">
          <color rgb="FF000000"/>
        </left>
        <right style="thin">
          <color rgb="FF000000"/>
        </right>
        <top style="thin">
          <color rgb="FF000000"/>
        </top>
        <bottom style="thin">
          <color rgb="FF000000"/>
        </bottom>
        <vertical style="thin">
          <color rgb="FF000000"/>
        </vertical>
        <horizontal style="thin">
          <color rgb="FF000000"/>
        </horizontal>
      </border>
      <protection locked="0" hidden="0"/>
    </dxf>
    <dxf>
      <font>
        <b val="0"/>
        <i val="0"/>
        <strike val="0"/>
        <condense val="0"/>
        <extend val="0"/>
        <outline val="0"/>
        <shadow val="0"/>
        <u val="none"/>
        <vertAlign val="baseline"/>
        <sz val="11"/>
        <color theme="1"/>
        <name val="Calibri"/>
        <family val="2"/>
        <scheme val="minor"/>
      </font>
      <numFmt numFmtId="164" formatCode="_(&quot;$&quot;* #,##0_);_(&quot;$&quot;* \(#,##0\);_(&quot;$&quot;* &quot;-&quot;??_);_(@_)"/>
      <fill>
        <patternFill patternType="none">
          <fgColor indexed="64"/>
          <bgColor indexed="65"/>
        </patternFill>
      </fill>
      <alignment horizontal="center" vertical="bottom" textRotation="0" wrapText="0" indent="0" justifyLastLine="0" shrinkToFit="0" readingOrder="0"/>
      <border diagonalUp="0" diagonalDown="0">
        <left style="thin">
          <color rgb="FF000000"/>
        </left>
        <right style="thin">
          <color rgb="FF000000"/>
        </right>
        <top style="thin">
          <color rgb="FF000000"/>
        </top>
        <bottom style="thin">
          <color rgb="FF000000"/>
        </bottom>
        <vertical style="thin">
          <color rgb="FF000000"/>
        </vertical>
        <horizontal style="thin">
          <color rgb="FF000000"/>
        </horizontal>
      </border>
      <protection locked="0" hidden="0"/>
    </dxf>
    <dxf>
      <font>
        <b val="0"/>
        <i val="0"/>
        <strike val="0"/>
        <condense val="0"/>
        <extend val="0"/>
        <outline val="0"/>
        <shadow val="0"/>
        <u val="none"/>
        <vertAlign val="baseline"/>
        <sz val="11"/>
        <color theme="1"/>
        <name val="Calibri"/>
        <family val="2"/>
        <scheme val="minor"/>
      </font>
      <numFmt numFmtId="164" formatCode="_(&quot;$&quot;* #,##0_);_(&quot;$&quot;* \(#,##0\);_(&quot;$&quot;* &quot;-&quot;??_);_(@_)"/>
      <fill>
        <patternFill patternType="none">
          <fgColor indexed="64"/>
          <bgColor indexed="65"/>
        </patternFill>
      </fill>
      <alignment horizontal="center" vertical="bottom" textRotation="0" wrapText="0" indent="0" justifyLastLine="0" shrinkToFit="0" readingOrder="0"/>
      <border diagonalUp="0" diagonalDown="0">
        <left style="thin">
          <color rgb="FF000000"/>
        </left>
        <right style="thin">
          <color rgb="FF000000"/>
        </right>
        <top style="thin">
          <color rgb="FF000000"/>
        </top>
        <bottom style="thin">
          <color rgb="FF000000"/>
        </bottom>
        <vertical style="thin">
          <color rgb="FF000000"/>
        </vertical>
        <horizontal style="thin">
          <color rgb="FF000000"/>
        </horizontal>
      </border>
      <protection locked="0" hidden="0"/>
    </dxf>
    <dxf>
      <font>
        <b val="0"/>
        <i val="0"/>
        <strike val="0"/>
        <condense val="0"/>
        <extend val="0"/>
        <outline val="0"/>
        <shadow val="0"/>
        <u val="none"/>
        <vertAlign val="baseline"/>
        <sz val="11"/>
        <color theme="1"/>
        <name val="Calibri"/>
        <family val="2"/>
        <scheme val="minor"/>
      </font>
      <numFmt numFmtId="164" formatCode="_(&quot;$&quot;* #,##0_);_(&quot;$&quot;* \(#,##0\);_(&quot;$&quot;* &quot;-&quot;??_);_(@_)"/>
      <fill>
        <patternFill patternType="none">
          <fgColor indexed="64"/>
          <bgColor indexed="65"/>
        </patternFill>
      </fill>
      <alignment horizontal="center" vertical="bottom" textRotation="0" wrapText="0" indent="0" justifyLastLine="0" shrinkToFit="0" readingOrder="0"/>
      <border diagonalUp="0" diagonalDown="0">
        <left style="thin">
          <color rgb="FF000000"/>
        </left>
        <right style="thin">
          <color rgb="FF000000"/>
        </right>
        <top style="thin">
          <color rgb="FF000000"/>
        </top>
        <bottom style="thin">
          <color rgb="FF000000"/>
        </bottom>
        <vertical style="thin">
          <color rgb="FF000000"/>
        </vertical>
        <horizontal style="thin">
          <color rgb="FF000000"/>
        </horizontal>
      </border>
      <protection locked="0" hidden="0"/>
    </dxf>
    <dxf>
      <font>
        <b val="0"/>
        <i val="0"/>
        <strike val="0"/>
        <condense val="0"/>
        <extend val="0"/>
        <outline val="0"/>
        <shadow val="0"/>
        <u val="none"/>
        <vertAlign val="baseline"/>
        <sz val="11"/>
        <color theme="1"/>
        <name val="Calibri"/>
        <family val="2"/>
        <scheme val="minor"/>
      </font>
      <numFmt numFmtId="164" formatCode="_(&quot;$&quot;* #,##0_);_(&quot;$&quot;* \(#,##0\);_(&quot;$&quot;* &quot;-&quot;??_);_(@_)"/>
      <fill>
        <patternFill patternType="none">
          <fgColor indexed="64"/>
          <bgColor indexed="65"/>
        </patternFill>
      </fill>
      <alignment horizontal="center" vertical="bottom" textRotation="0" wrapText="0" indent="0" justifyLastLine="0" shrinkToFit="0" readingOrder="0"/>
      <border diagonalUp="0" diagonalDown="0">
        <left style="thin">
          <color rgb="FF000000"/>
        </left>
        <right style="thin">
          <color rgb="FF000000"/>
        </right>
        <top style="thin">
          <color rgb="FF000000"/>
        </top>
        <bottom style="thin">
          <color rgb="FF000000"/>
        </bottom>
        <vertical style="thin">
          <color rgb="FF000000"/>
        </vertical>
        <horizontal style="thin">
          <color rgb="FF000000"/>
        </horizontal>
      </border>
      <protection locked="0" hidden="0"/>
    </dxf>
    <dxf>
      <font>
        <b val="0"/>
        <i val="0"/>
        <strike val="0"/>
        <condense val="0"/>
        <extend val="0"/>
        <outline val="0"/>
        <shadow val="0"/>
        <u val="none"/>
        <vertAlign val="baseline"/>
        <sz val="11"/>
        <color theme="1"/>
        <name val="Calibri"/>
        <family val="2"/>
        <scheme val="minor"/>
      </font>
      <numFmt numFmtId="164" formatCode="_(&quot;$&quot;* #,##0_);_(&quot;$&quot;* \(#,##0\);_(&quot;$&quot;* &quot;-&quot;??_);_(@_)"/>
      <fill>
        <patternFill patternType="none">
          <fgColor indexed="64"/>
          <bgColor indexed="65"/>
        </patternFill>
      </fill>
      <alignment horizontal="center" vertical="bottom" textRotation="0" wrapText="0" indent="0" justifyLastLine="0" shrinkToFit="0" readingOrder="0"/>
      <border diagonalUp="0" diagonalDown="0">
        <left style="thin">
          <color rgb="FF000000"/>
        </left>
        <right style="thin">
          <color rgb="FF000000"/>
        </right>
        <top style="thin">
          <color rgb="FF000000"/>
        </top>
        <bottom style="thin">
          <color rgb="FF000000"/>
        </bottom>
        <vertical style="thin">
          <color rgb="FF000000"/>
        </vertical>
        <horizontal style="thin">
          <color rgb="FF000000"/>
        </horizontal>
      </border>
      <protection locked="0" hidden="0"/>
    </dxf>
    <dxf>
      <font>
        <b val="0"/>
        <i val="0"/>
        <strike val="0"/>
        <condense val="0"/>
        <extend val="0"/>
        <outline val="0"/>
        <shadow val="0"/>
        <u val="none"/>
        <vertAlign val="baseline"/>
        <sz val="11"/>
        <color theme="1"/>
        <name val="Calibri"/>
        <family val="2"/>
        <scheme val="minor"/>
      </font>
      <numFmt numFmtId="164" formatCode="_(&quot;$&quot;* #,##0_);_(&quot;$&quot;* \(#,##0\);_(&quot;$&quot;* &quot;-&quot;??_);_(@_)"/>
      <fill>
        <patternFill patternType="none">
          <fgColor indexed="64"/>
          <bgColor indexed="65"/>
        </patternFill>
      </fill>
      <alignment horizontal="center" vertical="bottom" textRotation="0" wrapText="0" indent="0" justifyLastLine="0" shrinkToFit="0" readingOrder="0"/>
      <border diagonalUp="0" diagonalDown="0">
        <left style="thin">
          <color rgb="FF000000"/>
        </left>
        <right style="thin">
          <color rgb="FF000000"/>
        </right>
        <top style="thin">
          <color rgb="FF000000"/>
        </top>
        <bottom style="thin">
          <color rgb="FF000000"/>
        </bottom>
        <vertical style="thin">
          <color rgb="FF000000"/>
        </vertical>
        <horizontal style="thin">
          <color rgb="FF000000"/>
        </horizontal>
      </border>
      <protection locked="0" hidden="0"/>
    </dxf>
    <dxf>
      <font>
        <b val="0"/>
        <i val="0"/>
        <strike val="0"/>
        <condense val="0"/>
        <extend val="0"/>
        <outline val="0"/>
        <shadow val="0"/>
        <u val="none"/>
        <vertAlign val="baseline"/>
        <sz val="11"/>
        <color theme="1"/>
        <name val="Calibri"/>
        <family val="2"/>
        <scheme val="minor"/>
      </font>
      <numFmt numFmtId="164" formatCode="_(&quot;$&quot;* #,##0_);_(&quot;$&quot;* \(#,##0\);_(&quot;$&quot;* &quot;-&quot;??_);_(@_)"/>
      <fill>
        <patternFill patternType="none">
          <fgColor indexed="64"/>
          <bgColor indexed="65"/>
        </patternFill>
      </fill>
      <alignment horizontal="center" vertical="bottom" textRotation="0" wrapText="0" indent="0" justifyLastLine="0" shrinkToFit="0" readingOrder="0"/>
      <border diagonalUp="0" diagonalDown="0">
        <left style="thin">
          <color rgb="FF000000"/>
        </left>
        <right style="thin">
          <color rgb="FF000000"/>
        </right>
        <top style="thin">
          <color rgb="FF000000"/>
        </top>
        <bottom style="thin">
          <color rgb="FF000000"/>
        </bottom>
        <vertical style="thin">
          <color rgb="FF000000"/>
        </vertical>
        <horizontal style="thin">
          <color rgb="FF000000"/>
        </horizontal>
      </border>
      <protection locked="0" hidden="0"/>
    </dxf>
    <dxf>
      <font>
        <b val="0"/>
        <i val="0"/>
        <strike val="0"/>
        <condense val="0"/>
        <extend val="0"/>
        <outline val="0"/>
        <shadow val="0"/>
        <u val="none"/>
        <vertAlign val="baseline"/>
        <sz val="11"/>
        <color theme="1"/>
        <name val="Calibri"/>
        <family val="2"/>
        <scheme val="minor"/>
      </font>
      <numFmt numFmtId="164" formatCode="_(&quot;$&quot;* #,##0_);_(&quot;$&quot;* \(#,##0\);_(&quot;$&quot;* &quot;-&quot;??_);_(@_)"/>
      <fill>
        <patternFill patternType="none">
          <fgColor indexed="64"/>
          <bgColor indexed="65"/>
        </patternFill>
      </fill>
      <alignment horizontal="center" vertical="bottom" textRotation="0" wrapText="0" indent="0" justifyLastLine="0" shrinkToFit="0" readingOrder="0"/>
      <border diagonalUp="0" diagonalDown="0">
        <left style="thin">
          <color rgb="FF000000"/>
        </left>
        <right style="thin">
          <color rgb="FF000000"/>
        </right>
        <top style="thin">
          <color rgb="FF000000"/>
        </top>
        <bottom style="thin">
          <color rgb="FF000000"/>
        </bottom>
        <vertical style="thin">
          <color rgb="FF000000"/>
        </vertical>
        <horizontal style="thin">
          <color rgb="FF000000"/>
        </horizontal>
      </border>
      <protection locked="0" hidden="0"/>
    </dxf>
    <dxf>
      <font>
        <b val="0"/>
        <i val="0"/>
        <strike val="0"/>
        <condense val="0"/>
        <extend val="0"/>
        <outline val="0"/>
        <shadow val="0"/>
        <u val="none"/>
        <vertAlign val="baseline"/>
        <sz val="11"/>
        <color theme="1"/>
        <name val="Calibri"/>
        <family val="2"/>
        <scheme val="minor"/>
      </font>
      <numFmt numFmtId="2" formatCode="0.00"/>
      <fill>
        <patternFill patternType="none">
          <fgColor indexed="64"/>
          <bgColor indexed="65"/>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theme="1"/>
        <name val="Calibri"/>
        <family val="2"/>
        <scheme val="minor"/>
      </font>
      <numFmt numFmtId="3" formatCode="#,##0"/>
      <fill>
        <patternFill patternType="none">
          <fgColor indexed="64"/>
          <bgColor indexed="65"/>
        </patternFill>
      </fill>
      <alignment horizontal="center" vertical="bottom" textRotation="0" wrapText="0" indent="0" justifyLastLine="0" shrinkToFit="0" readingOrder="0"/>
      <border diagonalUp="0" diagonalDown="0">
        <left style="thin">
          <color rgb="FF000000"/>
        </left>
        <right style="thin">
          <color rgb="FF000000"/>
        </right>
        <top style="thin">
          <color rgb="FF000000"/>
        </top>
        <bottom style="thin">
          <color rgb="FF000000"/>
        </bottom>
        <vertical style="thin">
          <color rgb="FF000000"/>
        </vertical>
        <horizontal style="thin">
          <color rgb="FF000000"/>
        </horizontal>
      </border>
      <protection locked="0" hidden="0"/>
    </dxf>
    <dxf>
      <alignment horizontal="center" vertical="bottom" textRotation="0" wrapText="0"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1"/>
        <color theme="1"/>
        <name val="Calibri"/>
        <family val="2"/>
        <scheme val="minor"/>
      </font>
      <fill>
        <patternFill patternType="none">
          <fgColor indexed="64"/>
          <bgColor indexed="65"/>
        </patternFill>
      </fill>
      <alignment horizontal="center" vertical="bottom" textRotation="0" wrapText="0" indent="0" justifyLastLine="0" shrinkToFit="0" readingOrder="0"/>
      <border diagonalUp="0" diagonalDown="0">
        <left style="thin">
          <color rgb="FF000000"/>
        </left>
        <right style="thin">
          <color rgb="FF000000"/>
        </right>
        <top style="thin">
          <color rgb="FF000000"/>
        </top>
        <bottom style="thin">
          <color rgb="FF000000"/>
        </bottom>
        <vertical style="thin">
          <color rgb="FF000000"/>
        </vertical>
        <horizontal style="thin">
          <color rgb="FF000000"/>
        </horizontal>
      </border>
      <protection locked="0" hidden="0"/>
    </dxf>
    <dxf>
      <font>
        <b val="0"/>
        <i val="0"/>
        <strike val="0"/>
        <condense val="0"/>
        <extend val="0"/>
        <outline val="0"/>
        <shadow val="0"/>
        <u val="none"/>
        <vertAlign val="baseline"/>
        <sz val="11"/>
        <color theme="1"/>
        <name val="Calibri"/>
        <family val="2"/>
        <scheme val="minor"/>
      </font>
      <fill>
        <patternFill patternType="none">
          <fgColor indexed="64"/>
          <bgColor indexed="65"/>
        </patternFill>
      </fill>
      <border diagonalUp="0" diagonalDown="0">
        <left style="thin">
          <color rgb="FF000000"/>
        </left>
        <right style="thin">
          <color rgb="FF000000"/>
        </right>
        <top style="thin">
          <color rgb="FF000000"/>
        </top>
        <bottom style="thin">
          <color rgb="FF000000"/>
        </bottom>
        <vertical style="thin">
          <color rgb="FF000000"/>
        </vertical>
        <horizontal style="thin">
          <color rgb="FF000000"/>
        </horizontal>
      </border>
      <protection locked="0" hidden="0"/>
    </dxf>
    <dxf>
      <border>
        <top style="thin">
          <color rgb="FF000000"/>
        </top>
      </border>
    </dxf>
    <dxf>
      <border diagonalUp="0" diagonalDown="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1"/>
        <color rgb="FF0070C0"/>
        <name val="Calibri"/>
        <family val="2"/>
        <scheme val="none"/>
      </font>
      <fill>
        <patternFill patternType="none">
          <fgColor rgb="FF000000"/>
          <bgColor rgb="FFFFFFFF"/>
        </patternFill>
      </fill>
      <alignment horizontal="center" vertical="bottom" textRotation="0" wrapText="0" indent="0" justifyLastLine="0" shrinkToFit="0" readingOrder="0"/>
      <protection locked="1" hidden="0"/>
    </dxf>
    <dxf>
      <border>
        <bottom style="thin">
          <color rgb="FF000000"/>
        </bottom>
      </border>
    </dxf>
    <dxf>
      <font>
        <b/>
        <i val="0"/>
        <strike val="0"/>
        <condense val="0"/>
        <extend val="0"/>
        <outline val="0"/>
        <shadow val="0"/>
        <u val="none"/>
        <vertAlign val="baseline"/>
        <sz val="11"/>
        <color theme="0"/>
        <name val="Calibri"/>
        <family val="2"/>
        <scheme val="minor"/>
      </font>
      <fill>
        <patternFill patternType="solid">
          <fgColor indexed="64"/>
          <bgColor theme="4"/>
        </patternFill>
      </fill>
      <alignment horizontal="center" vertical="center" textRotation="0" wrapText="1" indent="0" justifyLastLine="0" shrinkToFit="0" readingOrder="0"/>
      <border diagonalUp="0" diagonalDown="0">
        <left style="thin">
          <color indexed="64"/>
        </left>
        <right style="thin">
          <color indexed="64"/>
        </right>
        <top/>
        <bottom/>
      </border>
      <protection locked="1" hidden="0"/>
    </dxf>
    <dxf>
      <font>
        <b val="0"/>
        <i val="0"/>
        <strike val="0"/>
        <condense val="0"/>
        <extend val="0"/>
        <outline val="0"/>
        <shadow val="0"/>
        <u val="none"/>
        <vertAlign val="baseline"/>
        <sz val="11"/>
        <color rgb="FFFF0000"/>
        <name val="Calibri"/>
        <family val="2"/>
        <scheme val="minor"/>
      </font>
      <fill>
        <patternFill patternType="none">
          <fgColor indexed="64"/>
          <bgColor indexed="65"/>
        </patternFill>
      </fill>
      <border diagonalUp="0" diagonalDown="0" outline="0">
        <left style="thin">
          <color indexed="64"/>
        </left>
        <right/>
        <top style="thin">
          <color indexed="64"/>
        </top>
        <bottom style="thin">
          <color indexed="64"/>
        </bottom>
      </border>
      <protection locked="0" hidden="0"/>
    </dxf>
    <dxf>
      <font>
        <b val="0"/>
        <i val="0"/>
        <strike val="0"/>
        <condense val="0"/>
        <extend val="0"/>
        <outline val="0"/>
        <shadow val="0"/>
        <u val="none"/>
        <vertAlign val="baseline"/>
        <sz val="11"/>
        <color theme="1"/>
        <name val="Calibri"/>
        <family val="2"/>
        <scheme val="minor"/>
      </font>
      <numFmt numFmtId="30" formatCode="@"/>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theme="1"/>
        <name val="Calibri"/>
        <family val="2"/>
        <scheme val="minor"/>
      </font>
      <numFmt numFmtId="30" formatCode="@"/>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theme="1"/>
        <name val="Calibri"/>
        <family val="2"/>
        <scheme val="minor"/>
      </font>
      <numFmt numFmtId="30" formatCode="@"/>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theme="1"/>
        <name val="Calibri"/>
        <family val="2"/>
        <scheme val="minor"/>
      </font>
      <numFmt numFmtId="19" formatCode="m/d/yyyy"/>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theme="1"/>
        <name val="Calibri"/>
        <family val="2"/>
        <scheme val="minor"/>
      </font>
      <numFmt numFmtId="19" formatCode="m/d/yyyy"/>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theme="1"/>
        <name val="Calibri"/>
        <family val="2"/>
        <scheme val="minor"/>
      </font>
      <alignment horizontal="center" vertical="bottom" textRotation="0" wrapText="0" indent="0" justifyLastLine="0" shrinkToFit="0" readingOrder="0"/>
      <border diagonalUp="0" diagonalDown="0">
        <left/>
        <right style="thin">
          <color indexed="64"/>
        </right>
        <top style="thin">
          <color indexed="64"/>
        </top>
        <bottom style="thin">
          <color indexed="64"/>
        </bottom>
        <vertical/>
        <horizontal/>
      </border>
      <protection locked="0" hidden="0"/>
    </dxf>
    <dxf>
      <border outline="0">
        <top style="thin">
          <color rgb="FF000000"/>
        </top>
      </border>
    </dxf>
    <dxf>
      <border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1"/>
        <color rgb="FF000000"/>
        <name val="Calibri"/>
        <family val="2"/>
        <scheme val="none"/>
      </font>
      <alignment horizontal="center" vertical="bottom" textRotation="0" wrapText="0" indent="0" justifyLastLine="0" shrinkToFit="0" readingOrder="0"/>
      <protection locked="0" hidden="0"/>
    </dxf>
    <dxf>
      <border outline="0">
        <bottom style="thin">
          <color rgb="FF000000"/>
        </bottom>
      </border>
    </dxf>
    <dxf>
      <font>
        <b/>
        <i val="0"/>
        <strike val="0"/>
        <condense val="0"/>
        <extend val="0"/>
        <outline val="0"/>
        <shadow val="0"/>
        <u val="none"/>
        <vertAlign val="baseline"/>
        <sz val="11"/>
        <color theme="1"/>
        <name val="Calibri"/>
        <family val="2"/>
        <scheme val="minor"/>
      </font>
      <fill>
        <patternFill patternType="solid">
          <fgColor indexed="64"/>
          <bgColor theme="4"/>
        </patternFill>
      </fill>
      <alignment horizontal="center" vertical="center" textRotation="0" wrapText="1" indent="0" justifyLastLine="0" shrinkToFit="0" readingOrder="0"/>
      <border diagonalUp="0" diagonalDown="0">
        <left style="thin">
          <color indexed="64"/>
        </left>
        <right style="thin">
          <color indexed="64"/>
        </right>
        <top/>
        <bottom/>
      </border>
      <protection locked="1" hidden="0"/>
    </dxf>
    <dxf>
      <font>
        <b val="0"/>
        <i val="0"/>
        <strike val="0"/>
        <condense val="0"/>
        <extend val="0"/>
        <outline val="0"/>
        <shadow val="0"/>
        <u val="none"/>
        <vertAlign val="baseline"/>
        <sz val="11"/>
        <color rgb="FFFF0000"/>
        <name val="Calibri"/>
        <family val="2"/>
        <scheme val="minor"/>
      </font>
      <fill>
        <patternFill patternType="none">
          <fgColor indexed="64"/>
          <bgColor indexed="65"/>
        </patternFill>
      </fill>
      <border diagonalUp="0" diagonalDown="0" outline="0">
        <left style="thin">
          <color indexed="64"/>
        </left>
        <right/>
        <top style="thin">
          <color indexed="64"/>
        </top>
        <bottom style="thin">
          <color indexed="64"/>
        </bottom>
      </border>
      <protection locked="0" hidden="0"/>
    </dxf>
    <dxf>
      <font>
        <b val="0"/>
        <i val="0"/>
        <strike val="0"/>
        <condense val="0"/>
        <extend val="0"/>
        <outline val="0"/>
        <shadow val="0"/>
        <u val="none"/>
        <vertAlign val="baseline"/>
        <sz val="11"/>
        <color theme="1"/>
        <name val="Calibri"/>
        <family val="2"/>
        <scheme val="minor"/>
      </font>
      <numFmt numFmtId="30" formatCode="@"/>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theme="1"/>
        <name val="Calibri"/>
        <family val="2"/>
        <scheme val="minor"/>
      </font>
      <numFmt numFmtId="30" formatCode="@"/>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theme="1"/>
        <name val="Calibri"/>
        <family val="2"/>
        <scheme val="minor"/>
      </font>
      <numFmt numFmtId="30" formatCode="@"/>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theme="1"/>
        <name val="Calibri"/>
        <family val="2"/>
        <scheme val="minor"/>
      </font>
      <numFmt numFmtId="19" formatCode="m/d/yyyy"/>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theme="1"/>
        <name val="Calibri"/>
        <family val="2"/>
        <scheme val="minor"/>
      </font>
      <numFmt numFmtId="19" formatCode="m/d/yyyy"/>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theme="1"/>
        <name val="Calibri"/>
        <family val="2"/>
        <scheme val="minor"/>
      </font>
      <alignment horizontal="center" vertical="bottom" textRotation="0" wrapText="0" indent="0" justifyLastLine="0" shrinkToFit="0" readingOrder="0"/>
      <border diagonalUp="0" diagonalDown="0">
        <left/>
        <right style="thin">
          <color indexed="64"/>
        </right>
        <top style="thin">
          <color indexed="64"/>
        </top>
        <bottom style="thin">
          <color indexed="64"/>
        </bottom>
        <vertical/>
        <horizontal/>
      </border>
      <protection locked="0" hidden="0"/>
    </dxf>
    <dxf>
      <border outline="0">
        <top style="thin">
          <color rgb="FF000000"/>
        </top>
      </border>
    </dxf>
    <dxf>
      <border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1"/>
        <color rgb="FF000000"/>
        <name val="Calibri"/>
        <family val="2"/>
        <scheme val="none"/>
      </font>
      <alignment horizontal="center" vertical="bottom" textRotation="0" wrapText="0" indent="0" justifyLastLine="0" shrinkToFit="0" readingOrder="0"/>
      <protection locked="0" hidden="0"/>
    </dxf>
    <dxf>
      <border outline="0">
        <bottom style="thin">
          <color rgb="FF000000"/>
        </bottom>
      </border>
    </dxf>
    <dxf>
      <font>
        <b/>
        <i val="0"/>
        <strike val="0"/>
        <condense val="0"/>
        <extend val="0"/>
        <outline val="0"/>
        <shadow val="0"/>
        <u val="none"/>
        <vertAlign val="baseline"/>
        <sz val="11"/>
        <color theme="1"/>
        <name val="Calibri"/>
        <family val="2"/>
        <scheme val="minor"/>
      </font>
      <fill>
        <patternFill patternType="solid">
          <fgColor indexed="64"/>
          <bgColor theme="4"/>
        </patternFill>
      </fill>
      <alignment horizontal="center" vertical="center" textRotation="0" wrapText="1" indent="0" justifyLastLine="0" shrinkToFit="0" readingOrder="0"/>
      <border diagonalUp="0" diagonalDown="0">
        <left style="thin">
          <color indexed="64"/>
        </left>
        <right style="thin">
          <color indexed="64"/>
        </right>
        <top/>
        <bottom/>
      </border>
      <protection locked="1" hidden="0"/>
    </dxf>
    <dxf>
      <alignment horizontal="center" vertical="center" textRotation="0" wrapText="1" indent="0" justifyLastLine="0" shrinkToFit="0" readingOrder="0"/>
    </dxf>
    <dxf>
      <numFmt numFmtId="166" formatCode="[$-409]mmmm\ d\,\ yyyy;@"/>
      <alignment horizontal="center" vertical="center" textRotation="0" wrapText="0" indent="0" justifyLastLine="0" shrinkToFit="0" readingOrder="0"/>
    </dxf>
    <dxf>
      <alignment horizontal="center" vertical="center" textRotation="0" wrapText="0" indent="0" justifyLastLine="0" shrinkToFit="0" readingOrder="0"/>
    </dxf>
    <dxf>
      <fill>
        <patternFill patternType="solid">
          <fgColor indexed="64"/>
          <bgColor theme="4"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 formatCode="0"/>
      <alignment horizontal="center" vertical="bottom" textRotation="0" wrapText="0" indent="0" justifyLastLine="0" shrinkToFit="0" readingOrder="0"/>
      <border diagonalUp="0" diagonalDown="0">
        <left/>
        <right/>
        <top style="thin">
          <color theme="4"/>
        </top>
        <bottom/>
        <vertical/>
        <horizontal/>
      </border>
    </dxf>
    <dxf>
      <font>
        <b val="0"/>
        <i val="0"/>
        <strike val="0"/>
        <condense val="0"/>
        <extend val="0"/>
        <outline val="0"/>
        <shadow val="0"/>
        <u val="none"/>
        <vertAlign val="baseline"/>
        <sz val="11"/>
        <color theme="1"/>
        <name val="Calibri"/>
        <family val="2"/>
        <scheme val="minor"/>
      </font>
      <numFmt numFmtId="1" formatCode="0"/>
      <alignment horizontal="center" vertical="bottom" textRotation="0" wrapText="0" indent="0" justifyLastLine="0" shrinkToFit="0" readingOrder="0"/>
      <border diagonalUp="0" diagonalDown="0">
        <left/>
        <right/>
        <top style="thin">
          <color theme="4"/>
        </top>
        <bottom/>
        <vertical/>
        <horizontal/>
      </border>
    </dxf>
    <dxf>
      <border outline="0">
        <left style="thin">
          <color theme="4"/>
        </left>
        <right style="thin">
          <color theme="4"/>
        </right>
        <top style="thin">
          <color theme="4"/>
        </top>
      </border>
    </dxf>
    <dxf>
      <font>
        <b val="0"/>
        <i val="0"/>
        <strike val="0"/>
        <condense val="0"/>
        <extend val="0"/>
        <outline val="0"/>
        <shadow val="0"/>
        <u val="none"/>
        <vertAlign val="baseline"/>
        <sz val="11"/>
        <color theme="1"/>
        <name val="Calibri"/>
        <family val="2"/>
        <scheme val="minor"/>
      </font>
      <alignment horizontal="center" vertical="bottom"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 formatCode="0"/>
      <alignment horizontal="center" vertical="bottom" textRotation="0" wrapText="0" indent="0" justifyLastLine="0" shrinkToFit="0" readingOrder="0"/>
    </dxf>
    <dxf>
      <font>
        <color auto="1"/>
      </font>
      <numFmt numFmtId="1" formatCode="0"/>
      <alignment horizontal="center" vertical="bottom" textRotation="0" wrapText="0" indent="0" justifyLastLine="0" shrinkToFit="0" readingOrder="0"/>
    </dxf>
    <dxf>
      <border outline="0">
        <right style="thin">
          <color theme="4"/>
        </right>
        <top style="thin">
          <color theme="4"/>
        </top>
        <bottom style="thin">
          <color theme="4"/>
        </bottom>
      </border>
    </dxf>
    <dxf>
      <font>
        <b val="0"/>
        <i val="0"/>
        <strike val="0"/>
        <condense val="0"/>
        <extend val="0"/>
        <outline val="0"/>
        <shadow val="0"/>
        <u val="none"/>
        <vertAlign val="baseline"/>
        <sz val="11"/>
        <color theme="1"/>
        <name val="Calibri"/>
        <family val="2"/>
        <scheme val="minor"/>
      </font>
      <numFmt numFmtId="1" formatCode="0"/>
      <alignment horizontal="center" vertical="bottom" textRotation="0" wrapText="0" indent="0" justifyLastLine="0" shrinkToFit="0" readingOrder="0"/>
    </dxf>
    <dxf>
      <numFmt numFmtId="1" formatCode="0"/>
      <alignment horizontal="center" vertical="bottom" textRotation="0" wrapText="0" indent="0" justifyLastLine="0" shrinkToFit="0" readingOrder="0"/>
    </dxf>
    <dxf>
      <border outline="0">
        <right style="thin">
          <color theme="4"/>
        </right>
        <top style="thin">
          <color theme="4"/>
        </top>
        <bottom style="thin">
          <color theme="4"/>
        </bottom>
      </border>
    </dxf>
    <dxf>
      <alignment horizontal="center" vertical="bottom" textRotation="0" wrapText="0" indent="0" justifyLastLine="0" shrinkToFit="0" readingOrder="0"/>
    </dxf>
    <dxf>
      <numFmt numFmtId="1" formatCode="0"/>
      <alignment horizontal="center" vertical="bottom" textRotation="0" wrapText="0" indent="0" justifyLastLine="0" shrinkToFit="0" readingOrder="0"/>
    </dxf>
    <dxf>
      <alignment horizontal="center" vertical="bottom" textRotation="0" wrapText="0" indent="0" justifyLastLine="0" shrinkToFit="0" readingOrder="0"/>
    </dxf>
    <dxf>
      <fill>
        <patternFill patternType="solid">
          <fgColor indexed="64"/>
          <bgColor theme="4" tint="-0.249977111117893"/>
        </patternFill>
      </fill>
      <alignment horizontal="center" vertical="bottom" textRotation="0" wrapText="0" indent="0" justifyLastLine="0" shrinkToFit="0" readingOrder="0"/>
    </dxf>
    <dxf>
      <alignment horizontal="center" vertical="bottom" textRotation="0" wrapText="1" indent="0" justifyLastLine="0" shrinkToFit="0" readingOrder="0"/>
    </dxf>
    <dxf>
      <numFmt numFmtId="1" formatCode="0"/>
      <alignment horizontal="center" vertical="bottom" textRotation="0" wrapText="0" indent="0" justifyLastLine="0" shrinkToFit="0" readingOrder="0"/>
    </dxf>
    <dxf>
      <alignment horizontal="center" vertical="bottom" textRotation="0" indent="0" justifyLastLine="0" shrinkToFit="0" readingOrder="0"/>
    </dxf>
    <dxf>
      <fill>
        <patternFill patternType="solid">
          <fgColor indexed="64"/>
          <bgColor theme="4" tint="-0.249977111117893"/>
        </patternFill>
      </fill>
      <alignment horizontal="center" vertical="bottom" textRotation="0" indent="0" justifyLastLine="0" shrinkToFit="0" readingOrder="0"/>
    </dxf>
    <dxf>
      <numFmt numFmtId="1" formatCode="0"/>
      <fill>
        <patternFill patternType="none">
          <fgColor indexed="64"/>
          <bgColor indexed="65"/>
        </patternFill>
      </fill>
      <alignment horizontal="center" vertical="bottom" textRotation="0" wrapText="1" indent="0" justifyLastLine="0" shrinkToFit="0" readingOrder="0"/>
    </dxf>
    <dxf>
      <numFmt numFmtId="1" formatCode="0"/>
      <fill>
        <patternFill patternType="none">
          <fgColor indexed="64"/>
          <bgColor indexed="65"/>
        </patternFill>
      </fill>
      <alignment horizontal="center" vertical="bottom" textRotation="0" wrapText="0" indent="0" justifyLastLine="0" shrinkToFit="0" readingOrder="0"/>
    </dxf>
    <dxf>
      <alignment horizontal="center" vertical="bottom" textRotation="0" indent="0" justifyLastLine="0" shrinkToFit="0" readingOrder="0"/>
    </dxf>
    <dxf>
      <fill>
        <patternFill patternType="solid">
          <fgColor indexed="64"/>
          <bgColor theme="4" tint="-0.249977111117893"/>
        </patternFill>
      </fill>
      <alignment horizontal="center" vertical="bottom" textRotation="0" indent="0" justifyLastLine="0" shrinkToFit="0" readingOrder="0"/>
    </dxf>
    <dxf>
      <numFmt numFmtId="1" formatCode="0"/>
      <alignment horizontal="center" vertical="bottom" textRotation="0" wrapText="1" indent="0" justifyLastLine="0" shrinkToFit="0" readingOrder="0"/>
      <border diagonalUp="0" diagonalDown="0">
        <left/>
        <right/>
        <top style="thin">
          <color theme="4"/>
        </top>
        <bottom/>
        <vertical/>
        <horizontal/>
      </border>
    </dxf>
    <dxf>
      <numFmt numFmtId="1" formatCode="0"/>
      <alignment horizontal="center" vertical="bottom" textRotation="0" wrapText="0" indent="0" justifyLastLine="0" shrinkToFit="0" readingOrder="0"/>
      <border diagonalUp="0" diagonalDown="0">
        <left/>
        <right/>
        <top style="thin">
          <color theme="4"/>
        </top>
        <bottom/>
        <vertical/>
        <horizontal/>
      </border>
    </dxf>
    <dxf>
      <font>
        <b/>
        <i val="0"/>
        <strike val="0"/>
        <condense val="0"/>
        <extend val="0"/>
        <outline val="0"/>
        <shadow val="0"/>
        <u val="none"/>
        <vertAlign val="baseline"/>
        <sz val="11"/>
        <color theme="1"/>
        <name val="Calibri"/>
        <family val="2"/>
        <scheme val="minor"/>
      </font>
      <fill>
        <patternFill patternType="solid">
          <fgColor indexed="64"/>
          <bgColor theme="4" tint="-0.249977111117893"/>
        </patternFill>
      </fill>
      <alignment horizontal="center" vertical="bottom" textRotation="0" indent="0" justifyLastLine="0" shrinkToFit="0" readingOrder="0"/>
    </dxf>
    <dxf>
      <alignment horizontal="center" vertical="center" textRotation="0" wrapText="0" indent="0" justifyLastLine="0" shrinkToFit="0" readingOrder="0"/>
    </dxf>
    <dxf>
      <numFmt numFmtId="166" formatCode="[$-409]mmmm\ d\,\ yyyy;@"/>
      <alignment horizontal="center" vertical="center" textRotation="0" wrapText="0" indent="0" justifyLastLine="0" shrinkToFit="0" readingOrder="0"/>
    </dxf>
    <dxf>
      <alignment horizontal="center" vertical="center" textRotation="0" wrapText="0" indent="0" justifyLastLine="0" shrinkToFit="0" readingOrder="0"/>
    </dxf>
    <dxf>
      <fill>
        <patternFill patternType="solid">
          <fgColor indexed="64"/>
          <bgColor theme="4" tint="-0.249977111117893"/>
        </patternFill>
      </fill>
      <alignment horizontal="center" vertical="center" textRotation="0" wrapText="0" indent="0" justifyLastLine="0" shrinkToFit="0" readingOrder="0"/>
    </dxf>
  </dxfs>
  <tableStyles count="0" defaultTableStyle="TableStyleMedium2" defaultPivotStyle="PivotStyleLight16"/>
  <colors>
    <mruColors>
      <color rgb="FFF79646"/>
      <color rgb="FFFFC7CE"/>
      <color rgb="FFFFFFCC"/>
      <color rgb="FFFF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ustomXml" Target="../customXml/item2.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 Id="rId27"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2041072</xdr:colOff>
      <xdr:row>48</xdr:row>
      <xdr:rowOff>1215572</xdr:rowOff>
    </xdr:from>
    <xdr:to>
      <xdr:col>1</xdr:col>
      <xdr:colOff>3655877</xdr:colOff>
      <xdr:row>48</xdr:row>
      <xdr:rowOff>2053772</xdr:rowOff>
    </xdr:to>
    <xdr:pic>
      <xdr:nvPicPr>
        <xdr:cNvPr id="6" name="Picture 5" descr="Text&#10;&#10;Description automatically generated">
          <a:extLst>
            <a:ext uri="{FF2B5EF4-FFF2-40B4-BE49-F238E27FC236}">
              <a16:creationId xmlns:a16="http://schemas.microsoft.com/office/drawing/2014/main" id="{95E61F94-5E7E-53E7-928A-4DCE15DA4D4F}"/>
            </a:ext>
          </a:extLst>
        </xdr:cNvPr>
        <xdr:cNvPicPr>
          <a:picLocks noChangeAspect="1"/>
        </xdr:cNvPicPr>
      </xdr:nvPicPr>
      <xdr:blipFill>
        <a:blip xmlns:r="http://schemas.openxmlformats.org/officeDocument/2006/relationships" r:embed="rId1"/>
        <a:stretch>
          <a:fillRect/>
        </a:stretch>
      </xdr:blipFill>
      <xdr:spPr>
        <a:xfrm>
          <a:off x="4998358" y="45275501"/>
          <a:ext cx="1608455" cy="828675"/>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xdr:from>
      <xdr:col>0</xdr:col>
      <xdr:colOff>2714625</xdr:colOff>
      <xdr:row>4</xdr:row>
      <xdr:rowOff>0</xdr:rowOff>
    </xdr:from>
    <xdr:to>
      <xdr:col>2</xdr:col>
      <xdr:colOff>1257300</xdr:colOff>
      <xdr:row>5</xdr:row>
      <xdr:rowOff>142875</xdr:rowOff>
    </xdr:to>
    <xdr:sp macro="" textlink="">
      <xdr:nvSpPr>
        <xdr:cNvPr id="2" name="TextBox 1">
          <a:extLst>
            <a:ext uri="{FF2B5EF4-FFF2-40B4-BE49-F238E27FC236}">
              <a16:creationId xmlns:a16="http://schemas.microsoft.com/office/drawing/2014/main" id="{00000000-0008-0000-1100-000002000000}"/>
            </a:ext>
          </a:extLst>
        </xdr:cNvPr>
        <xdr:cNvSpPr txBox="1"/>
      </xdr:nvSpPr>
      <xdr:spPr>
        <a:xfrm>
          <a:off x="2714625" y="762000"/>
          <a:ext cx="3114675" cy="333375"/>
        </a:xfrm>
        <a:prstGeom prst="rect">
          <a:avLst/>
        </a:prstGeom>
        <a:solidFill>
          <a:schemeClr val="tx2"/>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600" b="1">
              <a:solidFill>
                <a:schemeClr val="bg1"/>
              </a:solidFill>
            </a:rPr>
            <a:t>Please enter </a:t>
          </a:r>
          <a:r>
            <a:rPr lang="en-US" sz="1600" b="1" u="sng">
              <a:solidFill>
                <a:schemeClr val="bg1"/>
              </a:solidFill>
            </a:rPr>
            <a:t>2023</a:t>
          </a:r>
          <a:r>
            <a:rPr lang="en-US" sz="1600" b="1">
              <a:solidFill>
                <a:schemeClr val="bg1"/>
              </a:solidFill>
            </a:rPr>
            <a:t> data</a:t>
          </a:r>
          <a:r>
            <a:rPr lang="en-US" sz="1600" b="1" baseline="0">
              <a:solidFill>
                <a:schemeClr val="bg1"/>
              </a:solidFill>
            </a:rPr>
            <a:t> in this tab.</a:t>
          </a:r>
          <a:endParaRPr lang="en-US" sz="1600" b="1">
            <a:solidFill>
              <a:schemeClr val="bg1"/>
            </a:solidFill>
          </a:endParaRP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2</xdr:col>
      <xdr:colOff>0</xdr:colOff>
      <xdr:row>3</xdr:row>
      <xdr:rowOff>0</xdr:rowOff>
    </xdr:from>
    <xdr:to>
      <xdr:col>3</xdr:col>
      <xdr:colOff>1292679</xdr:colOff>
      <xdr:row>4</xdr:row>
      <xdr:rowOff>142875</xdr:rowOff>
    </xdr:to>
    <xdr:sp macro="" textlink="">
      <xdr:nvSpPr>
        <xdr:cNvPr id="2" name="TextBox 1">
          <a:extLst>
            <a:ext uri="{FF2B5EF4-FFF2-40B4-BE49-F238E27FC236}">
              <a16:creationId xmlns:a16="http://schemas.microsoft.com/office/drawing/2014/main" id="{00000000-0008-0000-1300-000002000000}"/>
            </a:ext>
          </a:extLst>
        </xdr:cNvPr>
        <xdr:cNvSpPr txBox="1"/>
      </xdr:nvSpPr>
      <xdr:spPr>
        <a:xfrm>
          <a:off x="3619500" y="571500"/>
          <a:ext cx="3197679" cy="336550"/>
        </a:xfrm>
        <a:prstGeom prst="rect">
          <a:avLst/>
        </a:prstGeom>
        <a:solidFill>
          <a:schemeClr val="accen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600" b="1">
              <a:solidFill>
                <a:schemeClr val="bg1"/>
              </a:solidFill>
            </a:rPr>
            <a:t>Please enter </a:t>
          </a:r>
          <a:r>
            <a:rPr lang="en-US" sz="1600" b="1" u="sng">
              <a:solidFill>
                <a:schemeClr val="bg1"/>
              </a:solidFill>
            </a:rPr>
            <a:t>2022</a:t>
          </a:r>
          <a:r>
            <a:rPr lang="en-US" sz="1600" b="1">
              <a:solidFill>
                <a:schemeClr val="bg1"/>
              </a:solidFill>
            </a:rPr>
            <a:t> data</a:t>
          </a:r>
          <a:r>
            <a:rPr lang="en-US" sz="1600" b="1" baseline="0">
              <a:solidFill>
                <a:schemeClr val="bg1"/>
              </a:solidFill>
            </a:rPr>
            <a:t> in this tab.</a:t>
          </a:r>
          <a:endParaRPr lang="en-US" sz="1600" b="1">
            <a:solidFill>
              <a:schemeClr val="bg1"/>
            </a:solidFill>
          </a:endParaRP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2</xdr:col>
      <xdr:colOff>0</xdr:colOff>
      <xdr:row>3</xdr:row>
      <xdr:rowOff>0</xdr:rowOff>
    </xdr:from>
    <xdr:to>
      <xdr:col>3</xdr:col>
      <xdr:colOff>1292679</xdr:colOff>
      <xdr:row>4</xdr:row>
      <xdr:rowOff>142875</xdr:rowOff>
    </xdr:to>
    <xdr:sp macro="" textlink="">
      <xdr:nvSpPr>
        <xdr:cNvPr id="2" name="TextBox 1">
          <a:extLst>
            <a:ext uri="{FF2B5EF4-FFF2-40B4-BE49-F238E27FC236}">
              <a16:creationId xmlns:a16="http://schemas.microsoft.com/office/drawing/2014/main" id="{00000000-0008-0000-1400-000002000000}"/>
            </a:ext>
          </a:extLst>
        </xdr:cNvPr>
        <xdr:cNvSpPr txBox="1"/>
      </xdr:nvSpPr>
      <xdr:spPr>
        <a:xfrm>
          <a:off x="3619500" y="571500"/>
          <a:ext cx="3197679" cy="336550"/>
        </a:xfrm>
        <a:prstGeom prst="rect">
          <a:avLst/>
        </a:prstGeom>
        <a:solidFill>
          <a:schemeClr val="tx2"/>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600" b="1">
              <a:solidFill>
                <a:schemeClr val="bg1"/>
              </a:solidFill>
            </a:rPr>
            <a:t>Please enter </a:t>
          </a:r>
          <a:r>
            <a:rPr lang="en-US" sz="1600" b="1" u="sng">
              <a:solidFill>
                <a:schemeClr val="bg1"/>
              </a:solidFill>
            </a:rPr>
            <a:t>2023</a:t>
          </a:r>
          <a:r>
            <a:rPr lang="en-US" sz="1600" b="1">
              <a:solidFill>
                <a:schemeClr val="bg1"/>
              </a:solidFill>
            </a:rPr>
            <a:t> data</a:t>
          </a:r>
          <a:r>
            <a:rPr lang="en-US" sz="1600" b="1" baseline="0">
              <a:solidFill>
                <a:schemeClr val="bg1"/>
              </a:solidFill>
            </a:rPr>
            <a:t> in this tab.</a:t>
          </a:r>
          <a:endParaRPr lang="en-US" sz="1600" b="1">
            <a:solidFill>
              <a:schemeClr val="bg1"/>
            </a:solidFill>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2</xdr:col>
      <xdr:colOff>0</xdr:colOff>
      <xdr:row>4</xdr:row>
      <xdr:rowOff>0</xdr:rowOff>
    </xdr:from>
    <xdr:to>
      <xdr:col>4</xdr:col>
      <xdr:colOff>352425</xdr:colOff>
      <xdr:row>5</xdr:row>
      <xdr:rowOff>142875</xdr:rowOff>
    </xdr:to>
    <xdr:sp macro="" textlink="">
      <xdr:nvSpPr>
        <xdr:cNvPr id="2" name="TextBox 1">
          <a:extLst>
            <a:ext uri="{FF2B5EF4-FFF2-40B4-BE49-F238E27FC236}">
              <a16:creationId xmlns:a16="http://schemas.microsoft.com/office/drawing/2014/main" id="{00000000-0008-0000-0600-000002000000}"/>
            </a:ext>
          </a:extLst>
        </xdr:cNvPr>
        <xdr:cNvSpPr txBox="1"/>
      </xdr:nvSpPr>
      <xdr:spPr>
        <a:xfrm>
          <a:off x="2762250" y="762000"/>
          <a:ext cx="3114675" cy="333375"/>
        </a:xfrm>
        <a:prstGeom prst="rect">
          <a:avLst/>
        </a:prstGeom>
        <a:solidFill>
          <a:schemeClr val="accen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600" b="1">
              <a:solidFill>
                <a:schemeClr val="bg1"/>
              </a:solidFill>
            </a:rPr>
            <a:t>Please enter </a:t>
          </a:r>
          <a:r>
            <a:rPr lang="en-US" sz="1600" b="1" u="sng">
              <a:solidFill>
                <a:schemeClr val="bg1"/>
              </a:solidFill>
            </a:rPr>
            <a:t>2022</a:t>
          </a:r>
          <a:r>
            <a:rPr lang="en-US" sz="1600" b="1">
              <a:solidFill>
                <a:schemeClr val="bg1"/>
              </a:solidFill>
            </a:rPr>
            <a:t> data</a:t>
          </a:r>
          <a:r>
            <a:rPr lang="en-US" sz="1600" b="1" baseline="0">
              <a:solidFill>
                <a:schemeClr val="bg1"/>
              </a:solidFill>
            </a:rPr>
            <a:t> in this tab.</a:t>
          </a:r>
          <a:endParaRPr lang="en-US" sz="1600" b="1">
            <a:solidFill>
              <a:schemeClr val="bg1"/>
            </a:solidFill>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2</xdr:col>
      <xdr:colOff>0</xdr:colOff>
      <xdr:row>4</xdr:row>
      <xdr:rowOff>0</xdr:rowOff>
    </xdr:from>
    <xdr:to>
      <xdr:col>4</xdr:col>
      <xdr:colOff>390525</xdr:colOff>
      <xdr:row>5</xdr:row>
      <xdr:rowOff>142875</xdr:rowOff>
    </xdr:to>
    <xdr:sp macro="" textlink="">
      <xdr:nvSpPr>
        <xdr:cNvPr id="4" name="TextBox 1">
          <a:extLst>
            <a:ext uri="{FF2B5EF4-FFF2-40B4-BE49-F238E27FC236}">
              <a16:creationId xmlns:a16="http://schemas.microsoft.com/office/drawing/2014/main" id="{00000000-0008-0000-0700-000002000000}"/>
            </a:ext>
          </a:extLst>
        </xdr:cNvPr>
        <xdr:cNvSpPr txBox="1"/>
      </xdr:nvSpPr>
      <xdr:spPr>
        <a:xfrm>
          <a:off x="2762250" y="762000"/>
          <a:ext cx="3152775" cy="333375"/>
        </a:xfrm>
        <a:prstGeom prst="rect">
          <a:avLst/>
        </a:prstGeom>
        <a:solidFill>
          <a:schemeClr val="tx2"/>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600" b="1">
              <a:solidFill>
                <a:schemeClr val="bg1"/>
              </a:solidFill>
            </a:rPr>
            <a:t>Please enter </a:t>
          </a:r>
          <a:r>
            <a:rPr lang="en-US" sz="1600" b="1" u="sng">
              <a:solidFill>
                <a:schemeClr val="bg1"/>
              </a:solidFill>
            </a:rPr>
            <a:t>2023</a:t>
          </a:r>
          <a:r>
            <a:rPr lang="en-US" sz="1600" b="1" u="none" baseline="0">
              <a:solidFill>
                <a:schemeClr val="bg1"/>
              </a:solidFill>
            </a:rPr>
            <a:t> </a:t>
          </a:r>
          <a:r>
            <a:rPr lang="en-US" sz="1600" b="1" u="none">
              <a:solidFill>
                <a:schemeClr val="bg1"/>
              </a:solidFill>
            </a:rPr>
            <a:t>data</a:t>
          </a:r>
          <a:r>
            <a:rPr lang="en-US" sz="1600" b="1" baseline="0">
              <a:solidFill>
                <a:schemeClr val="bg1"/>
              </a:solidFill>
            </a:rPr>
            <a:t> in this tab.</a:t>
          </a:r>
          <a:endParaRPr lang="en-US" sz="1600" b="1">
            <a:solidFill>
              <a:schemeClr val="bg1"/>
            </a:solidFill>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2</xdr:col>
      <xdr:colOff>0</xdr:colOff>
      <xdr:row>3</xdr:row>
      <xdr:rowOff>0</xdr:rowOff>
    </xdr:from>
    <xdr:to>
      <xdr:col>4</xdr:col>
      <xdr:colOff>885825</xdr:colOff>
      <xdr:row>4</xdr:row>
      <xdr:rowOff>142875</xdr:rowOff>
    </xdr:to>
    <xdr:sp macro="" textlink="">
      <xdr:nvSpPr>
        <xdr:cNvPr id="2" name="TextBox 1">
          <a:extLst>
            <a:ext uri="{FF2B5EF4-FFF2-40B4-BE49-F238E27FC236}">
              <a16:creationId xmlns:a16="http://schemas.microsoft.com/office/drawing/2014/main" id="{00000000-0008-0000-0900-000002000000}"/>
            </a:ext>
          </a:extLst>
        </xdr:cNvPr>
        <xdr:cNvSpPr txBox="1"/>
      </xdr:nvSpPr>
      <xdr:spPr>
        <a:xfrm>
          <a:off x="2828925" y="571500"/>
          <a:ext cx="3114675" cy="333375"/>
        </a:xfrm>
        <a:prstGeom prst="rect">
          <a:avLst/>
        </a:prstGeom>
        <a:solidFill>
          <a:schemeClr val="accen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600" b="1">
              <a:solidFill>
                <a:schemeClr val="bg1"/>
              </a:solidFill>
            </a:rPr>
            <a:t>Please enter </a:t>
          </a:r>
          <a:r>
            <a:rPr lang="en-US" sz="1600" b="1" u="sng">
              <a:solidFill>
                <a:schemeClr val="bg1"/>
              </a:solidFill>
            </a:rPr>
            <a:t>2022</a:t>
          </a:r>
          <a:r>
            <a:rPr lang="en-US" sz="1600" b="1">
              <a:solidFill>
                <a:schemeClr val="bg1"/>
              </a:solidFill>
            </a:rPr>
            <a:t> data</a:t>
          </a:r>
          <a:r>
            <a:rPr lang="en-US" sz="1600" b="1" baseline="0">
              <a:solidFill>
                <a:schemeClr val="bg1"/>
              </a:solidFill>
            </a:rPr>
            <a:t> in this tab.</a:t>
          </a:r>
          <a:endParaRPr lang="en-US" sz="1600" b="1">
            <a:solidFill>
              <a:schemeClr val="bg1"/>
            </a:solidFill>
          </a:endParaRP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2</xdr:col>
      <xdr:colOff>0</xdr:colOff>
      <xdr:row>3</xdr:row>
      <xdr:rowOff>0</xdr:rowOff>
    </xdr:from>
    <xdr:to>
      <xdr:col>4</xdr:col>
      <xdr:colOff>885825</xdr:colOff>
      <xdr:row>4</xdr:row>
      <xdr:rowOff>142875</xdr:rowOff>
    </xdr:to>
    <xdr:sp macro="" textlink="">
      <xdr:nvSpPr>
        <xdr:cNvPr id="2" name="TextBox 1">
          <a:extLst>
            <a:ext uri="{FF2B5EF4-FFF2-40B4-BE49-F238E27FC236}">
              <a16:creationId xmlns:a16="http://schemas.microsoft.com/office/drawing/2014/main" id="{00000000-0008-0000-0A00-000002000000}"/>
            </a:ext>
          </a:extLst>
        </xdr:cNvPr>
        <xdr:cNvSpPr txBox="1"/>
      </xdr:nvSpPr>
      <xdr:spPr>
        <a:xfrm>
          <a:off x="2828925" y="571500"/>
          <a:ext cx="3114675" cy="333375"/>
        </a:xfrm>
        <a:prstGeom prst="rect">
          <a:avLst/>
        </a:prstGeom>
        <a:solidFill>
          <a:schemeClr val="tx2"/>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600" b="1">
              <a:solidFill>
                <a:schemeClr val="bg1"/>
              </a:solidFill>
            </a:rPr>
            <a:t>Please enter </a:t>
          </a:r>
          <a:r>
            <a:rPr lang="en-US" sz="1600" b="1" u="sng">
              <a:solidFill>
                <a:schemeClr val="bg1"/>
              </a:solidFill>
            </a:rPr>
            <a:t>2023</a:t>
          </a:r>
          <a:r>
            <a:rPr lang="en-US" sz="1600" b="1">
              <a:solidFill>
                <a:schemeClr val="bg1"/>
              </a:solidFill>
            </a:rPr>
            <a:t> data</a:t>
          </a:r>
          <a:r>
            <a:rPr lang="en-US" sz="1600" b="1" baseline="0">
              <a:solidFill>
                <a:schemeClr val="bg1"/>
              </a:solidFill>
            </a:rPr>
            <a:t> in this tab.</a:t>
          </a:r>
          <a:endParaRPr lang="en-US" sz="1600" b="1">
            <a:solidFill>
              <a:schemeClr val="bg1"/>
            </a:solidFill>
          </a:endParaRP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0</xdr:col>
      <xdr:colOff>190500</xdr:colOff>
      <xdr:row>5</xdr:row>
      <xdr:rowOff>123825</xdr:rowOff>
    </xdr:from>
    <xdr:to>
      <xdr:col>1</xdr:col>
      <xdr:colOff>1638300</xdr:colOff>
      <xdr:row>7</xdr:row>
      <xdr:rowOff>76200</xdr:rowOff>
    </xdr:to>
    <xdr:sp macro="" textlink="">
      <xdr:nvSpPr>
        <xdr:cNvPr id="2" name="TextBox 1">
          <a:extLst>
            <a:ext uri="{FF2B5EF4-FFF2-40B4-BE49-F238E27FC236}">
              <a16:creationId xmlns:a16="http://schemas.microsoft.com/office/drawing/2014/main" id="{00000000-0008-0000-0C00-000002000000}"/>
            </a:ext>
          </a:extLst>
        </xdr:cNvPr>
        <xdr:cNvSpPr txBox="1"/>
      </xdr:nvSpPr>
      <xdr:spPr>
        <a:xfrm>
          <a:off x="190500" y="1076325"/>
          <a:ext cx="3114675" cy="333375"/>
        </a:xfrm>
        <a:prstGeom prst="rect">
          <a:avLst/>
        </a:prstGeom>
        <a:solidFill>
          <a:schemeClr val="accen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600" b="1">
              <a:solidFill>
                <a:schemeClr val="bg1"/>
              </a:solidFill>
            </a:rPr>
            <a:t>Please enter </a:t>
          </a:r>
          <a:r>
            <a:rPr lang="en-US" sz="1600" b="1" u="sng">
              <a:solidFill>
                <a:schemeClr val="bg1"/>
              </a:solidFill>
            </a:rPr>
            <a:t>2022</a:t>
          </a:r>
          <a:r>
            <a:rPr lang="en-US" sz="1600" b="1" u="none">
              <a:solidFill>
                <a:schemeClr val="bg1"/>
              </a:solidFill>
            </a:rPr>
            <a:t> data</a:t>
          </a:r>
          <a:r>
            <a:rPr lang="en-US" sz="1600" b="1" baseline="0">
              <a:solidFill>
                <a:schemeClr val="bg1"/>
              </a:solidFill>
            </a:rPr>
            <a:t> in this tab.</a:t>
          </a:r>
          <a:endParaRPr lang="en-US" sz="1600" b="1">
            <a:solidFill>
              <a:schemeClr val="bg1"/>
            </a:solidFill>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0</xdr:col>
      <xdr:colOff>190500</xdr:colOff>
      <xdr:row>5</xdr:row>
      <xdr:rowOff>123825</xdr:rowOff>
    </xdr:from>
    <xdr:to>
      <xdr:col>1</xdr:col>
      <xdr:colOff>1638300</xdr:colOff>
      <xdr:row>7</xdr:row>
      <xdr:rowOff>76200</xdr:rowOff>
    </xdr:to>
    <xdr:sp macro="" textlink="">
      <xdr:nvSpPr>
        <xdr:cNvPr id="2" name="TextBox 1">
          <a:extLst>
            <a:ext uri="{FF2B5EF4-FFF2-40B4-BE49-F238E27FC236}">
              <a16:creationId xmlns:a16="http://schemas.microsoft.com/office/drawing/2014/main" id="{00000000-0008-0000-0D00-000002000000}"/>
            </a:ext>
          </a:extLst>
        </xdr:cNvPr>
        <xdr:cNvSpPr txBox="1"/>
      </xdr:nvSpPr>
      <xdr:spPr>
        <a:xfrm>
          <a:off x="190500" y="1076325"/>
          <a:ext cx="3114675" cy="333375"/>
        </a:xfrm>
        <a:prstGeom prst="rect">
          <a:avLst/>
        </a:prstGeom>
        <a:solidFill>
          <a:schemeClr val="tx2"/>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600" b="1">
              <a:solidFill>
                <a:schemeClr val="bg1"/>
              </a:solidFill>
            </a:rPr>
            <a:t>Please enter </a:t>
          </a:r>
          <a:r>
            <a:rPr lang="en-US" sz="1600" b="1" u="sng">
              <a:solidFill>
                <a:schemeClr val="bg1"/>
              </a:solidFill>
            </a:rPr>
            <a:t>2023</a:t>
          </a:r>
          <a:r>
            <a:rPr lang="en-US" sz="1600" b="1" u="none">
              <a:solidFill>
                <a:schemeClr val="bg1"/>
              </a:solidFill>
            </a:rPr>
            <a:t> data</a:t>
          </a:r>
          <a:r>
            <a:rPr lang="en-US" sz="1600" b="1" baseline="0">
              <a:solidFill>
                <a:schemeClr val="bg1"/>
              </a:solidFill>
            </a:rPr>
            <a:t> in this tab.</a:t>
          </a:r>
          <a:endParaRPr lang="en-US" sz="1600" b="1">
            <a:solidFill>
              <a:schemeClr val="bg1"/>
            </a:solidFill>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190500</xdr:colOff>
      <xdr:row>5</xdr:row>
      <xdr:rowOff>0</xdr:rowOff>
    </xdr:from>
    <xdr:to>
      <xdr:col>2</xdr:col>
      <xdr:colOff>819150</xdr:colOff>
      <xdr:row>6</xdr:row>
      <xdr:rowOff>142875</xdr:rowOff>
    </xdr:to>
    <xdr:sp macro="" textlink="">
      <xdr:nvSpPr>
        <xdr:cNvPr id="2" name="TextBox 1">
          <a:extLst>
            <a:ext uri="{FF2B5EF4-FFF2-40B4-BE49-F238E27FC236}">
              <a16:creationId xmlns:a16="http://schemas.microsoft.com/office/drawing/2014/main" id="{00000000-0008-0000-0E00-000002000000}"/>
            </a:ext>
          </a:extLst>
        </xdr:cNvPr>
        <xdr:cNvSpPr txBox="1"/>
      </xdr:nvSpPr>
      <xdr:spPr>
        <a:xfrm>
          <a:off x="190500" y="952500"/>
          <a:ext cx="4438650" cy="333375"/>
        </a:xfrm>
        <a:prstGeom prst="rect">
          <a:avLst/>
        </a:prstGeom>
        <a:solidFill>
          <a:schemeClr val="accent5"/>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600" b="1">
              <a:solidFill>
                <a:schemeClr val="bg1"/>
              </a:solidFill>
            </a:rPr>
            <a:t>Please enter </a:t>
          </a:r>
          <a:r>
            <a:rPr lang="en-US" sz="1600" b="1" u="sng">
              <a:solidFill>
                <a:schemeClr val="bg1"/>
              </a:solidFill>
            </a:rPr>
            <a:t>2022 and 2023</a:t>
          </a:r>
          <a:r>
            <a:rPr lang="en-US" sz="1600" b="1" u="none">
              <a:solidFill>
                <a:schemeClr val="bg1"/>
              </a:solidFill>
            </a:rPr>
            <a:t> in</a:t>
          </a:r>
          <a:r>
            <a:rPr lang="en-US" sz="1600" b="1" u="none" baseline="0">
              <a:solidFill>
                <a:schemeClr val="bg1"/>
              </a:solidFill>
            </a:rPr>
            <a:t> this</a:t>
          </a:r>
          <a:r>
            <a:rPr lang="en-US" sz="1600" b="1" baseline="0">
              <a:solidFill>
                <a:schemeClr val="bg1"/>
              </a:solidFill>
            </a:rPr>
            <a:t> tab.</a:t>
          </a:r>
          <a:endParaRPr lang="en-US" sz="1600" b="1">
            <a:solidFill>
              <a:schemeClr val="bg1"/>
            </a:solidFill>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2714625</xdr:colOff>
      <xdr:row>4</xdr:row>
      <xdr:rowOff>0</xdr:rowOff>
    </xdr:from>
    <xdr:to>
      <xdr:col>2</xdr:col>
      <xdr:colOff>1257300</xdr:colOff>
      <xdr:row>5</xdr:row>
      <xdr:rowOff>142875</xdr:rowOff>
    </xdr:to>
    <xdr:sp macro="" textlink="">
      <xdr:nvSpPr>
        <xdr:cNvPr id="2" name="TextBox 1">
          <a:extLst>
            <a:ext uri="{FF2B5EF4-FFF2-40B4-BE49-F238E27FC236}">
              <a16:creationId xmlns:a16="http://schemas.microsoft.com/office/drawing/2014/main" id="{00000000-0008-0000-1000-000002000000}"/>
            </a:ext>
          </a:extLst>
        </xdr:cNvPr>
        <xdr:cNvSpPr txBox="1"/>
      </xdr:nvSpPr>
      <xdr:spPr>
        <a:xfrm>
          <a:off x="2714625" y="762000"/>
          <a:ext cx="3114675" cy="333375"/>
        </a:xfrm>
        <a:prstGeom prst="rect">
          <a:avLst/>
        </a:prstGeom>
        <a:solidFill>
          <a:schemeClr val="accen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600" b="1">
              <a:solidFill>
                <a:schemeClr val="bg1"/>
              </a:solidFill>
            </a:rPr>
            <a:t>Please enter </a:t>
          </a:r>
          <a:r>
            <a:rPr lang="en-US" sz="1600" b="1" u="sng">
              <a:solidFill>
                <a:schemeClr val="bg1"/>
              </a:solidFill>
            </a:rPr>
            <a:t>2022</a:t>
          </a:r>
          <a:r>
            <a:rPr lang="en-US" sz="1600" b="1">
              <a:solidFill>
                <a:schemeClr val="bg1"/>
              </a:solidFill>
            </a:rPr>
            <a:t> data</a:t>
          </a:r>
          <a:r>
            <a:rPr lang="en-US" sz="1600" b="1" baseline="0">
              <a:solidFill>
                <a:schemeClr val="bg1"/>
              </a:solidFill>
            </a:rPr>
            <a:t> in this tab.</a:t>
          </a:r>
          <a:endParaRPr lang="en-US" sz="1600" b="1">
            <a:solidFill>
              <a:schemeClr val="bg1"/>
            </a:solidFill>
          </a:endParaRPr>
        </a:p>
      </xdr:txBody>
    </xdr:sp>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https://bailit.sharepoint.com/Megan/RI%20Governor/MA%20TME%20APM%202019%20Template%20with%20calculations.xlsm" TargetMode="External"/><Relationship Id="rId1" Type="http://schemas.openxmlformats.org/officeDocument/2006/relationships/externalLinkPath" Target="/Megan/RI%20Governor/MA%20TME%20APM%202019%20Template%20with%20calculations.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driveId="b!EafGo8Zh5UKynTOQLzvznZyqeBz4Sv1OhyBQULY9lIsG-Yxob63XQ5y40XtgQkaX" itemId="01EAYU7ECS4BIVFCCLRZDJOQAIGEOQEQFR">
      <xxl21:absoluteUrl r:id="rId2"/>
    </xxl21:alternateUrls>
    <sheetNames>
      <sheetName val="Contents"/>
      <sheetName val="A. Front Page"/>
      <sheetName val="B. Zip Code"/>
      <sheetName val="C. Physician Group"/>
      <sheetName val="D.1 Summary"/>
      <sheetName val="D.2 Summary Trends"/>
      <sheetName val="Reference Tables"/>
      <sheetName val="Payer Names"/>
      <sheetName val="System Data"/>
    </sheetNames>
    <sheetDataSet>
      <sheetData sheetId="0"/>
      <sheetData sheetId="1"/>
      <sheetData sheetId="2"/>
      <sheetData sheetId="3"/>
      <sheetData sheetId="4"/>
      <sheetData sheetId="5"/>
      <sheetData sheetId="6"/>
      <sheetData sheetId="7"/>
      <sheetData sheetId="8"/>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87E84299-F9EF-4868-9F09-A2C590F8840F}" name="InsurerFilingSchedule" displayName="InsurerFilingSchedule" ref="A4:B10" totalsRowShown="0" headerRowDxfId="495" dataDxfId="494">
  <autoFilter ref="A4:B10" xr:uid="{8B86219A-D80A-4537-937F-4E9F3EF6919E}"/>
  <tableColumns count="2">
    <tableColumn id="1" xr3:uid="{3370217B-A4B3-48B7-A19A-C883EC32629F}" name="Insurers' TME Filing Schedule Date" dataDxfId="493"/>
    <tableColumn id="2" xr3:uid="{6F847357-AB38-462F-82E4-3701AF91DB40}" name="Files Due" dataDxfId="492"/>
  </tableColumns>
  <tableStyleInfo name="TableStyleLight9"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9" xr:uid="{7074A1B8-1B10-4E88-AB95-0D29BBB5D189}" name="HDTME22" displayName="HDTME22" ref="A10:G11" totalsRowShown="0" headerRowDxfId="462" dataDxfId="460" headerRowBorderDxfId="461" tableBorderDxfId="459" totalsRowBorderDxfId="458">
  <tableColumns count="7">
    <tableColumn id="1" xr3:uid="{757005CB-3142-4704-BA3E-B371C52F3E68}" name="Insurer Carrier Org ID" dataDxfId="457"/>
    <tableColumn id="2" xr3:uid="{DA888885-D1E4-45B0-8E8A-4713BF097911}" name="Period Beginning Date" dataDxfId="456"/>
    <tableColumn id="3" xr3:uid="{3E80D15B-48AF-4AF3-B38C-346AF4FE29DF}" name="Period Ending Date" dataDxfId="455"/>
    <tableColumn id="4" xr3:uid="{904DCBD0-6F15-4FCF-A22E-A7D3D76DFBA5}" name="Insurer Comments" dataDxfId="454"/>
    <tableColumn id="5" xr3:uid="{46A93FBD-7E1D-4081-836B-77098B024D3A}" name="Clinical Risk Adjustment Tool" dataDxfId="453"/>
    <tableColumn id="6" xr3:uid="{CFD6E493-A5DD-4B88-A57D-806C93C748E0}" name="Clinical Risk Adjustment Version" dataDxfId="452"/>
    <tableColumn id="8" xr3:uid="{469F210A-BC85-46A3-948C-C46D2F11BF83}" name="&quot;Doing Business As&quot;" dataDxfId="451"/>
  </tableColumns>
  <tableStyleInfo name="TableStyleMedium2"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0" xr:uid="{CC7E5A69-A7AE-42D5-88EA-62AD0252D126}" name="HDTME23" displayName="HDTME23" ref="A10:G11" totalsRowShown="0" headerRowDxfId="450" dataDxfId="448" headerRowBorderDxfId="449" tableBorderDxfId="447" totalsRowBorderDxfId="446">
  <tableColumns count="7">
    <tableColumn id="1" xr3:uid="{1EFC7E8F-4C0D-4670-ADAA-CE632F9B9663}" name="Insurer Carrier Org ID" dataDxfId="445"/>
    <tableColumn id="2" xr3:uid="{01820B11-781A-4177-96BB-2AB768BBAEE0}" name="Period Beginning Date" dataDxfId="444"/>
    <tableColumn id="3" xr3:uid="{879B9BEC-243E-4F36-BC7B-EAECBDDB4F25}" name="Period Ending Date" dataDxfId="443"/>
    <tableColumn id="4" xr3:uid="{8075FDC8-F732-47C2-9F14-22A645B5EBEB}" name="Insurer Comments" dataDxfId="442"/>
    <tableColumn id="5" xr3:uid="{0F775EE0-6470-49CB-801D-A22DFD6FD2DD}" name="Clinical Risk Adjustment Tool" dataDxfId="441"/>
    <tableColumn id="6" xr3:uid="{947D019F-EE0A-42F3-9F38-1054EC7B1663}" name="Clinical Risk Adjustment Version" dataDxfId="440"/>
    <tableColumn id="8" xr3:uid="{E496E3B8-4BD1-4627-8AA8-EB234B66BA42}" name="&quot;Doing Business As&quot;" dataDxfId="439"/>
  </tableColumns>
  <tableStyleInfo name="TableStyleMedium2"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1" xr:uid="{E162CE2A-BC1D-4A25-B3D9-F6FE54CFE20D}" name="AN_TME22" displayName="AN_TME22" ref="A10:AF200" totalsRowShown="0" headerRowDxfId="438" dataDxfId="436" headerRowBorderDxfId="437" tableBorderDxfId="435" totalsRowBorderDxfId="434" dataCellStyle="Currency">
  <autoFilter ref="A10:AF200" xr:uid="{E162CE2A-BC1D-4A25-B3D9-F6FE54CFE20D}"/>
  <tableColumns count="32">
    <tableColumn id="1" xr3:uid="{5A6EFACE-CB57-4ACD-8BB7-BECF9D768D0E}" name="Advanced Network/Insurance Carrier Org ID" dataDxfId="433"/>
    <tableColumn id="2" xr3:uid="{F7D05234-5730-40FB-8CF1-082859665C69}" name="Insurance Category Code" dataDxfId="432"/>
    <tableColumn id="32" xr3:uid="{55ED64D4-6298-4F92-97DE-6833E0305BDD}" name="Attribution Hierarchy Code" dataDxfId="431"/>
    <tableColumn id="3" xr3:uid="{659289D3-4CAB-4D11-9B7C-8CBC7A48B714}" name="Member Months" dataDxfId="430"/>
    <tableColumn id="4" xr3:uid="{13AEB3C9-C48C-454D-9E0B-0DE91F0C41DD}" name="Clinical Risk Score" dataDxfId="429" dataCellStyle="Comma"/>
    <tableColumn id="5" xr3:uid="{6CA578F2-D255-41EB-857F-3AE051710805}" name="Claims: Hospital Inpatient" dataDxfId="428" dataCellStyle="Currency"/>
    <tableColumn id="6" xr3:uid="{D7B548A3-B0CD-44EA-9DC2-0B2767C5E8AA}" name="Claims: Hospital Outpatient" dataDxfId="427" dataCellStyle="Currency"/>
    <tableColumn id="7" xr3:uid="{EB8E7E15-AA8C-4827-B3CD-5E0F98A98734}" name="Claims: Professional, Primary Care" dataDxfId="426" dataCellStyle="Currency"/>
    <tableColumn id="8" xr3:uid="{56AE1FB7-63AB-4558-9FCF-38D51322AAF1}" name="Claims: Professional, Primary Care (for Monitoring Purposes)" dataDxfId="425" dataCellStyle="Currency"/>
    <tableColumn id="9" xr3:uid="{7F717624-FFED-41E3-8D9A-C6B645244A0A}" name="Claims: Professional, Specialty" dataDxfId="424" dataCellStyle="Currency"/>
    <tableColumn id="10" xr3:uid="{881CAC17-5AF3-40AE-8C56-6D459D534F6B}" name="Claims: Professional Other" dataDxfId="423" dataCellStyle="Currency"/>
    <tableColumn id="11" xr3:uid="{8A34132A-7C39-4787-B402-7F8E6C95C35E}" name="Claims: Pharmacy" dataDxfId="422" dataCellStyle="Currency"/>
    <tableColumn id="12" xr3:uid="{3F88466C-D7B4-4E22-920D-1FE3E484CC7E}" name="Claims: Long-Term Care" dataDxfId="421" dataCellStyle="Currency"/>
    <tableColumn id="13" xr3:uid="{69FA7A5F-1714-40F0-ABEE-499D27A51DEC}" name="Claims: Other" dataDxfId="420" dataCellStyle="Currency"/>
    <tableColumn id="14" xr3:uid="{D9A65174-7FE4-4E02-B847-B93B40EAB48C}" name="Non-Claims: Prospective Capitated, Prospective Global Budget, Prospective Case Rate, or Prospective Episode-Based Payments" dataDxfId="419" dataCellStyle="Currency"/>
    <tableColumn id="15" xr3:uid="{7BD0AF75-5851-452F-A797-C036BA17ECF0}" name="Non-Claims: Performance Incentive Payments" dataDxfId="418" dataCellStyle="Currency"/>
    <tableColumn id="16" xr3:uid="{9DC533B0-4280-4650-B1E2-A61E42E56064}" name="Non-Claims: Payments to Support Population Health and Practice Infrastructure" dataDxfId="417" dataCellStyle="Currency"/>
    <tableColumn id="17" xr3:uid="{E7119B95-B8E6-42B8-8333-CCC5392AD8CB}" name="Non-Claims: Provider Salaries" dataDxfId="416" dataCellStyle="Currency"/>
    <tableColumn id="18" xr3:uid="{DCAD063A-917B-4675-A57E-7A89C2F05514}" name="Non-Claims: Recovery" dataDxfId="415" dataCellStyle="Currency"/>
    <tableColumn id="27" xr3:uid="{3908A1F8-4C01-4B65-B854-2E8CABB3EECB}" name="Non-Claims: Other" dataDxfId="414" dataCellStyle="Currency"/>
    <tableColumn id="19" xr3:uid="{AE4ED714-C00E-4D2C-9452-C31356B81F71}" name="Non-Claims: Total Primary Care Non-Claims-Based Payments" dataDxfId="413" dataCellStyle="Currency"/>
    <tableColumn id="29" xr3:uid="{7D84BBD1-0629-4284-9A7E-98DEC9058FC8}" name="Total Claims Excluded because of Truncation" dataDxfId="412" dataCellStyle="Currency"/>
    <tableColumn id="28" xr3:uid="{4E3B714E-9B93-4382-AC29-D0F29EB1DB9A}" name="Count of Members with Claims Truncated" dataDxfId="411" dataCellStyle="Comma"/>
    <tableColumn id="20" xr3:uid="{7DB8D7A8-1B30-4533-9802-0591AF1CF83A}" name="TOTAL Non-Truncated Unadjusted Claims Expenses" dataDxfId="410" dataCellStyle="Currency">
      <calculatedColumnFormula>SUM(F11:H11)+SUM(J11:N11)</calculatedColumnFormula>
    </tableColumn>
    <tableColumn id="21" xr3:uid="{8D399C3B-06FA-45E1-A2A3-F4A7532BEF1F}" name="TOTAL Truncated Unadjusted Claims Expenses (A21 -A19)" dataDxfId="409" dataCellStyle="Currency">
      <calculatedColumnFormula>AN_TME22[[#This Row],[TOTAL Non-Truncated Unadjusted Claims Expenses]]-AN_TME22[[#This Row],[Total Claims Excluded because of Truncation]]</calculatedColumnFormula>
    </tableColumn>
    <tableColumn id="22" xr3:uid="{5917CF4F-C9C2-4FDE-AE40-6440A99AD5A4}" name="TOTAL Non-Claims Expenses" dataDxfId="408" dataCellStyle="Currency">
      <calculatedColumnFormula>SUM(O11:T11)</calculatedColumnFormula>
    </tableColumn>
    <tableColumn id="25" xr3:uid="{737BAF19-BC80-4D25-A562-45508FE908E1}" name="TOTAL Non-Truncated Unadjusted Expenses (A21 + A23)" dataDxfId="407" dataCellStyle="Currency">
      <calculatedColumnFormula>AN_TME22[[#This Row],[TOTAL Non-Truncated Unadjusted Claims Expenses]]+AN_TME22[[#This Row],[TOTAL Non-Claims Expenses]]</calculatedColumnFormula>
    </tableColumn>
    <tableColumn id="30" xr3:uid="{D3AEF83F-1B9D-4C86-9CA4-6244CBCF6F2B}" name="TOTAL Truncated Unadjusted Expenses (A22 + A23)" dataDxfId="406" dataCellStyle="Currency">
      <calculatedColumnFormula>AN_TME22[[#This Row],[TOTAL Truncated Unadjusted Claims Expenses (A21 -A19)]]+AN_TME22[[#This Row],[TOTAL Non-Claims Expenses]]</calculatedColumnFormula>
    </tableColumn>
    <tableColumn id="23" xr3:uid="{5610B621-F7BB-4403-9D55-66B1DE34BD48}" name="Non-Truncated Unadjusted TME (PMPM) (A24 / A1)" dataDxfId="405" dataCellStyle="Comma">
      <calculatedColumnFormula>IFERROR(AN_TME22[[#This Row],[TOTAL Non-Truncated Unadjusted Expenses (A21 + A23)]]/AN_TME22[[#This Row],[Member Months]],0)</calculatedColumnFormula>
    </tableColumn>
    <tableColumn id="26" xr3:uid="{4C712E45-7A2C-4B20-A66C-B8859CB2793F}" name="Truncated Unadjusted TME (PMPM) (A25 / A1)" dataDxfId="404" dataCellStyle="Comma">
      <calculatedColumnFormula>IFERROR(AN_TME22[[#This Row],[TOTAL Truncated Unadjusted Expenses (A22 + A23)]]/AN_TME22[[#This Row],[Member Months]],0)</calculatedColumnFormula>
    </tableColumn>
    <tableColumn id="31" xr3:uid="{9CA4691E-5D2E-4C06-9EEA-E3DC4E577556}" name="Average Claims Truncated Per Member" dataDxfId="403" dataCellStyle="Comma">
      <calculatedColumnFormula>IFERROR(AN_TME22[[#This Row],[Total Claims Excluded because of Truncation]]/AN_TME22[[#This Row],[Count of Members with Claims Truncated]], 0)</calculatedColumnFormula>
    </tableColumn>
    <tableColumn id="24" xr3:uid="{9CC87E55-87E8-4275-81C4-C74A18FEBDE4}" name="Total Claims Excluded (A19)/Total Non-Truncated Claims Expenses (A21)" dataDxfId="402" dataCellStyle="Currency">
      <calculatedColumnFormula>IFERROR(AN_TME22[[#This Row],[Total Claims Excluded because of Truncation]]/AN_TME22[[#This Row],[TOTAL Non-Truncated Unadjusted Claims Expenses]], 0)</calculatedColumnFormula>
    </tableColumn>
  </tableColumns>
  <tableStyleInfo name="TableStyleMedium2"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2" xr:uid="{DDA91E24-01FF-4184-B27B-33D156298320}" name="AN_TME23" displayName="AN_TME23" ref="A10:AF200" totalsRowShown="0" headerRowDxfId="401" dataDxfId="399" headerRowBorderDxfId="400" tableBorderDxfId="398" totalsRowBorderDxfId="397" dataCellStyle="Currency">
  <autoFilter ref="A10:AF200" xr:uid="{7EAEA293-1E72-499F-9FE1-477D513A5A8A}"/>
  <tableColumns count="32">
    <tableColumn id="1" xr3:uid="{8FF2E1AE-7EE4-4838-8F3D-AD9D2CFA4978}" name="Advanced Network/Insurance Carrier Org ID" dataDxfId="396"/>
    <tableColumn id="2" xr3:uid="{7BFBA54F-B6AF-457A-B372-B45546BB4D9E}" name="Insurance Category Code" dataDxfId="395"/>
    <tableColumn id="32" xr3:uid="{3C83EC3B-E609-4D76-A458-74A4FEB6630A}" name="Attribution Hierarchy Code" dataDxfId="394"/>
    <tableColumn id="3" xr3:uid="{99925550-A389-4CE2-8C93-9FB4390D785A}" name="Member Months" dataDxfId="393"/>
    <tableColumn id="4" xr3:uid="{ED7EE255-36D0-4D9A-A6D8-2695104B95AD}" name="Clinical Risk Score" dataDxfId="392" dataCellStyle="Comma"/>
    <tableColumn id="5" xr3:uid="{E339E7A5-E641-4C70-9AC0-62F6F4B1E64A}" name="Claims: Hospital Inpatient" dataDxfId="391" dataCellStyle="Currency"/>
    <tableColumn id="6" xr3:uid="{A4DF115A-8D5C-48B2-AABF-0CB26B70E289}" name="Claims: Hospital Outpatient" dataDxfId="390" dataCellStyle="Currency"/>
    <tableColumn id="7" xr3:uid="{C2F13FE9-A72E-4086-9287-C9120F23FB23}" name="Claims: Professional, Primary Care" dataDxfId="389" dataCellStyle="Currency"/>
    <tableColumn id="8" xr3:uid="{0E47E018-9354-4D27-A274-4C667B92B82A}" name="Claims: Professional, Primary Care (for Monitoring Purposes)" dataDxfId="388" dataCellStyle="Currency"/>
    <tableColumn id="9" xr3:uid="{B97EFE88-C4D0-4DB1-B717-65113E1CE98B}" name="Claims: Professional, Specialty" dataDxfId="387" dataCellStyle="Currency"/>
    <tableColumn id="10" xr3:uid="{A72B4A0B-B9EA-4CAD-BA63-C9C5FD16D5F4}" name="Claims: Professional Other" dataDxfId="386" dataCellStyle="Currency"/>
    <tableColumn id="11" xr3:uid="{62B3FB68-2F99-44AA-9B12-15F8326E4CCF}" name="Claims: Pharmacy" dataDxfId="385" dataCellStyle="Currency"/>
    <tableColumn id="12" xr3:uid="{53C26B93-1E7A-4C73-8248-0092178EB320}" name="Claims: Long-Term Care" dataDxfId="384" dataCellStyle="Currency"/>
    <tableColumn id="13" xr3:uid="{423F5DC3-BD1E-4484-8E3A-0B6964CAEF4D}" name="Claims: Other" dataDxfId="383" dataCellStyle="Currency"/>
    <tableColumn id="14" xr3:uid="{73A8528A-824F-4798-86B4-1E61F3184267}" name="Non-Claims: Prospective Capitated, Prospective Global Budget, Prospective Case Rate, or Prospective Episode-Based Payments" dataDxfId="382" dataCellStyle="Currency"/>
    <tableColumn id="15" xr3:uid="{8F7FF294-8609-43F9-B722-81ACC21607D7}" name="Non-Claims: Performance Incentive Payments" dataDxfId="381" dataCellStyle="Currency"/>
    <tableColumn id="16" xr3:uid="{AA719EA1-66C2-4E6B-A768-7E4819536E73}" name="Non-Claims: Payments to Support Population Health and Practice Infrastructure" dataDxfId="380" dataCellStyle="Currency"/>
    <tableColumn id="17" xr3:uid="{48B3CDEA-4548-4CF6-A099-EFA1C142599F}" name="Non-Claims: Provider Salaries" dataDxfId="379" dataCellStyle="Currency"/>
    <tableColumn id="18" xr3:uid="{72734435-2069-4A74-B432-00B07B4C5140}" name="Non-Claims: Recovery" dataDxfId="378" dataCellStyle="Currency"/>
    <tableColumn id="27" xr3:uid="{C78D3872-561F-4EA1-994A-AF0C02EB6128}" name="Non-Claims: Other" dataDxfId="377" dataCellStyle="Currency"/>
    <tableColumn id="19" xr3:uid="{34949747-9E44-431A-929B-4839D5432128}" name="Non-Claims: Total Primary Care Non-Claims-Based Payments" dataDxfId="376" dataCellStyle="Currency"/>
    <tableColumn id="29" xr3:uid="{D4974DFC-F5B3-48FC-A23B-9B76C5CF1A12}" name="Total Claims Excluded because of Truncation" dataDxfId="375" dataCellStyle="Currency"/>
    <tableColumn id="28" xr3:uid="{C2D55DED-D0FA-410C-9092-C30A5972C3EE}" name="Count of Members with Claims Truncated" dataDxfId="374" dataCellStyle="Currency"/>
    <tableColumn id="20" xr3:uid="{184C45A2-A6CE-4B10-AD1C-5C4E4006EC49}" name="TOTAL Non-Truncated Unadjusted Claims Expenses" dataDxfId="373" dataCellStyle="Currency">
      <calculatedColumnFormula>SUM(F11:H11)+SUM(J11:N11)</calculatedColumnFormula>
    </tableColumn>
    <tableColumn id="21" xr3:uid="{3D0F3673-324A-485D-93D1-D8961F25757F}" name="TOTAL Truncated Unadjusted Claims Expenses (A21 -A19)" dataDxfId="372" dataCellStyle="Currency">
      <calculatedColumnFormula>AN_TME23[[#This Row],[TOTAL Non-Truncated Unadjusted Claims Expenses]]-AN_TME23[[#This Row],[Total Claims Excluded because of Truncation]]</calculatedColumnFormula>
    </tableColumn>
    <tableColumn id="22" xr3:uid="{440EE0C2-8702-4ED7-8868-6C36BEF19E5C}" name="TOTAL Non-Claims Expenses" dataDxfId="371" dataCellStyle="Currency">
      <calculatedColumnFormula>SUM(O11:T11)</calculatedColumnFormula>
    </tableColumn>
    <tableColumn id="25" xr3:uid="{4F06C5BB-1F17-495A-B2EE-B3A1486A7D71}" name="TOTAL Non-Truncated Unadjusted Expenses (A21 + A23)" dataDxfId="370" dataCellStyle="Currency">
      <calculatedColumnFormula>AN_TME23[[#This Row],[TOTAL Non-Truncated Unadjusted Claims Expenses]]+AN_TME23[[#This Row],[TOTAL Non-Claims Expenses]]</calculatedColumnFormula>
    </tableColumn>
    <tableColumn id="30" xr3:uid="{02ECBF35-EED4-4446-B8EF-7E984F322DA6}" name="TOTAL Truncated Unadjusted Expenses (A22 + A23)" dataDxfId="369" dataCellStyle="Currency">
      <calculatedColumnFormula>AN_TME23[[#This Row],[TOTAL Truncated Unadjusted Claims Expenses (A21 -A19)]]+AN_TME23[[#This Row],[TOTAL Non-Claims Expenses]]</calculatedColumnFormula>
    </tableColumn>
    <tableColumn id="23" xr3:uid="{F829B3BB-22FF-4864-83A2-13EFF30BD082}" name="Non-Truncated Unadjusted TME (PMPM) (A24 / A1)" dataDxfId="368" dataCellStyle="Comma">
      <calculatedColumnFormula>IFERROR(AN_TME23[[#This Row],[TOTAL Non-Truncated Unadjusted Expenses (A21 + A23)]]/AN_TME23[[#This Row],[Member Months]],0)</calculatedColumnFormula>
    </tableColumn>
    <tableColumn id="26" xr3:uid="{38825454-82E0-43C0-80A6-96631C1EEAFF}" name="Truncated Unadjusted TME (PMPM) (A25 / A1)" dataDxfId="367" dataCellStyle="Comma">
      <calculatedColumnFormula>IFERROR(AN_TME23[[#This Row],[TOTAL Truncated Unadjusted Expenses (A22 + A23)]]/AN_TME23[[#This Row],[Member Months]],0)</calculatedColumnFormula>
    </tableColumn>
    <tableColumn id="24" xr3:uid="{482AF8FA-9A7B-484B-9861-8446C5BBACEF}" name="Average Claims Truncated Per Member" dataDxfId="366" dataCellStyle="Currency">
      <calculatedColumnFormula>IFERROR(AN_TME23[[#This Row],[Total Claims Excluded because of Truncation]]/AN_TME23[[#This Row],[Count of Members with Claims Truncated]], 0)</calculatedColumnFormula>
    </tableColumn>
    <tableColumn id="31" xr3:uid="{E4BDB1D1-EAEB-448D-9761-BD6DD5E95BDD}" name="Total Claims Excluded (A19)/Total Non-Truncated Claims Expenses (A21)" dataDxfId="365" dataCellStyle="Currency">
      <calculatedColumnFormula>IFERROR(AN_TME23[[#This Row],[Total Claims Excluded because of Truncation]]/AN_TME23[[#This Row],[TOTAL Non-Truncated Unadjusted Claims Expenses]], 0)</calculatedColumnFormula>
    </tableColumn>
  </tableColumns>
  <tableStyleInfo name="TableStyleMedium2"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 xr:uid="{4C600357-29CD-4134-AD66-CC85DFAA7D20}" name="RX_REBATES22" displayName="RX_REBATES22" ref="A10:D17" totalsRowShown="0" headerRowDxfId="364" headerRowBorderDxfId="363" tableBorderDxfId="362" totalsRowBorderDxfId="361">
  <autoFilter ref="A10:D17" xr:uid="{09306306-9EC2-4D64-899F-4177F3C275C5}"/>
  <tableColumns count="4">
    <tableColumn id="1" xr3:uid="{1174DB7B-63EF-4F4B-A258-A91E288E8645}" name="Insurance Category Code" dataDxfId="360"/>
    <tableColumn id="6" xr3:uid="{2CA69363-13E1-44C2-8B5E-0AC452C86269}" name="Retail Pharmacy Rebates" dataDxfId="359" dataCellStyle="Currency"/>
    <tableColumn id="5" xr3:uid="{FBA6DB4C-FE89-4DAD-A966-23919B907450}" name="Medical Pharmacy Rebates" dataDxfId="358" dataCellStyle="Currency"/>
    <tableColumn id="2" xr3:uid="{5E292E25-AF0B-4A6E-8784-465E608C66E3}" name="Total Pharmacy Rebates" dataDxfId="357" dataCellStyle="Currency">
      <calculatedColumnFormula>RX_REBATES22[[#This Row],[Retail Pharmacy Rebates]]+RX_REBATES22[[#This Row],[Medical Pharmacy Rebates]]</calculatedColumnFormula>
    </tableColumn>
  </tableColumns>
  <tableStyleInfo name="TableStyleMedium2" showFirstColumn="0" showLastColumn="0" showRowStripes="1"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 xr:uid="{4CE7ED61-66C1-4CF3-AA0E-82AD4D9DF229}" name="RX_REBATES23" displayName="RX_REBATES23" ref="A10:D17" totalsRowShown="0" headerRowDxfId="356" headerRowBorderDxfId="355" tableBorderDxfId="354" totalsRowBorderDxfId="353">
  <autoFilter ref="A10:D17" xr:uid="{09306306-9EC2-4D64-899F-4177F3C275C5}"/>
  <tableColumns count="4">
    <tableColumn id="1" xr3:uid="{856C6877-176A-4ACA-995B-3EC8F8C10940}" name="Insurance Category Code" dataDxfId="352"/>
    <tableColumn id="6" xr3:uid="{1F998C5E-A356-4171-BABA-62F987494FD5}" name="Retail Pharmacy Rebates" dataDxfId="351" dataCellStyle="Currency"/>
    <tableColumn id="5" xr3:uid="{891EFC06-1CE3-4AAC-90C5-77C994EA8C4F}" name="Medical Pharmacy Rebates" dataDxfId="350" dataCellStyle="Currency"/>
    <tableColumn id="2" xr3:uid="{DAE02794-D2E0-4081-B702-5BDBCF5B6DCD}" name="Total Pharmacy Rebates" dataDxfId="349" dataCellStyle="Currency">
      <calculatedColumnFormula>RX_REBATES23[[#This Row],[Retail Pharmacy Rebates]]+RX_REBATES23[[#This Row],[Medical Pharmacy Rebates]]</calculatedColumnFormula>
    </tableColumn>
  </tableColumns>
  <tableStyleInfo name="TableStyleMedium2" showFirstColumn="0" showLastColumn="0" showRowStripes="1" showColumnStripes="0"/>
</table>
</file>

<file path=xl/tables/table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AD175777-FB4C-40ED-983E-3B582C53683B}" name="LOB_ENROLL" displayName="LOB_ENROLL" ref="A10:C18" totalsRowShown="0" headerRowDxfId="348" dataDxfId="346" headerRowBorderDxfId="347" tableBorderDxfId="345" totalsRowBorderDxfId="344">
  <autoFilter ref="A10:C18" xr:uid="{4C069C62-AC96-4B6C-A8D5-7D0C27B03B1A}"/>
  <tableColumns count="3">
    <tableColumn id="1" xr3:uid="{DFF7681B-F057-4EE6-9F53-099C0D73BCBC}" name="Line of Business Enrollment Category Code" dataDxfId="343"/>
    <tableColumn id="2" xr3:uid="{CB9527D1-36D0-4263-8308-22FB55D9AA6D}" name="2022 Member Months" dataDxfId="342" dataCellStyle="Comma"/>
    <tableColumn id="4" xr3:uid="{F40BBF16-E8DF-4D56-A095-0D220946E06A}" name="2023 Member Months" dataDxfId="341" dataCellStyle="Comma"/>
  </tableColumns>
  <tableStyleInfo name="TableStyleMedium2" showFirstColumn="0" showLastColumn="0" showRowStripes="1" showColumnStripes="0"/>
</table>
</file>

<file path=xl/tables/table1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5" xr:uid="{E036AA82-677A-4B63-BE40-429996453C84}" name="INC_FEES" displayName="INC_FEES" ref="E10:G11" totalsRowShown="0" headerRowDxfId="340" dataDxfId="338" headerRowBorderDxfId="339" tableBorderDxfId="337">
  <autoFilter ref="E10:G11" xr:uid="{03C12976-0667-4859-BB65-CC08E5515EEE}"/>
  <tableColumns count="3">
    <tableColumn id="1" xr3:uid="{A840EA0A-746E-43BF-A17F-5D596B324FC2}" name="Line of Business Enrollment Category Code" dataDxfId="336"/>
    <tableColumn id="4" xr3:uid="{ABCAD3CC-E68C-419E-AADB-90D09D71E64D}" name="2022 Income from Fees of Uninsured Plans" dataDxfId="335" dataCellStyle="Currency"/>
    <tableColumn id="3" xr3:uid="{A163DD47-8E84-4AF3-845F-0416B627742A}" name="2023 Income from Fees of Uninsured Plans" dataDxfId="334" dataCellStyle="Currency"/>
  </tableColumns>
  <tableStyleInfo name="TableStyleMedium2" showFirstColumn="0" showLastColumn="0" showRowStripes="1" showColumnStripes="0"/>
</table>
</file>

<file path=xl/tables/table1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3" xr:uid="{7B7B7CAC-CEC6-452B-BAF0-A3FD1540F1C3}" name="StandardDeviation22" displayName="StandardDeviation22" ref="A10:E120" totalsRowShown="0" headerRowDxfId="333" headerRowBorderDxfId="332" tableBorderDxfId="331" totalsRowBorderDxfId="330">
  <autoFilter ref="A10:E120" xr:uid="{F8ADE3CC-78B4-4C8B-BA53-2F852D150525}"/>
  <tableColumns count="5">
    <tableColumn id="1" xr3:uid="{2889C983-F580-4DD5-AAE8-818BC4271EC3}" name="Advanced Network/Insurance Carrier Org ID" dataDxfId="329"/>
    <tableColumn id="2" xr3:uid="{C9824833-3E49-4BDB-AC1B-5D4DDB176FA1}" name="Market ID" dataDxfId="328"/>
    <tableColumn id="4" xr3:uid="{845F48D5-0EB7-4EA8-B155-7DC4246CCD39}" name="Member Months" dataDxfId="327"/>
    <tableColumn id="5" xr3:uid="{CFB6DDCD-4472-4C7C-8148-DE650C544B39}" name="Total Spending After Truncation" dataDxfId="326"/>
    <tableColumn id="3" xr3:uid="{516EF6DA-A832-4AF9-B24B-4660BAA7485F}" name="Standard Deviation PMPM" dataDxfId="325"/>
  </tableColumns>
  <tableStyleInfo name="TableStyleMedium2" showFirstColumn="0" showLastColumn="0" showRowStripes="1" showColumnStripes="0"/>
</table>
</file>

<file path=xl/tables/table1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5" xr:uid="{0F56E8C4-DA38-4628-816B-52074E372CFC}" name="StandardDeviation23" displayName="StandardDeviation23" ref="A10:E120" totalsRowShown="0" headerRowDxfId="324" headerRowBorderDxfId="323" tableBorderDxfId="322" totalsRowBorderDxfId="321">
  <autoFilter ref="A10:E120" xr:uid="{F8ADE3CC-78B4-4C8B-BA53-2F852D150525}"/>
  <tableColumns count="5">
    <tableColumn id="1" xr3:uid="{9FCABB89-CE97-44B2-BFC0-DAE578EF00FC}" name="Advanced Network/Insurance Carrier Org ID" dataDxfId="320"/>
    <tableColumn id="2" xr3:uid="{F3D17D6C-D337-4990-A66D-71A9B77DE204}" name="Market ID" dataDxfId="319"/>
    <tableColumn id="4" xr3:uid="{DD748F04-031C-4CC9-AF06-724E9AEB90B4}" name="Member Months" dataDxfId="318"/>
    <tableColumn id="5" xr3:uid="{6C590BD7-F8DC-4BAE-B3CC-450E6608DC11}" name="Total Spending After Truncation" dataDxfId="317"/>
    <tableColumn id="3" xr3:uid="{A288D4EA-74C2-48DB-9AFB-AC20939E4944}" name="Standard Deviation PMPM" dataDxfId="316"/>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9C10AD14-5CAA-47E7-B5CA-A6381EC8AA07}" name="LgProvEntOrgIDs" displayName="LgProvEntOrgIDs" ref="A12:B45" totalsRowShown="0" headerRowDxfId="491">
  <autoFilter ref="A12:B45" xr:uid="{19C57F37-6DCB-4E55-B9EA-731B1B98821B}"/>
  <tableColumns count="2">
    <tableColumn id="1" xr3:uid="{0AE0FBE8-2C06-4459-90AE-6EDF809C8E46}" name="Advanced Network/Insurer Carrier Org ID" dataDxfId="490"/>
    <tableColumn id="2" xr3:uid="{06DA5646-4AAB-4AF2-ACBB-642B3DBF1D63}" name="Advanced Network/Insurance Carrier Overall" dataDxfId="489"/>
  </tableColumns>
  <tableStyleInfo name="TableStyleLight9" showFirstColumn="0" showLastColumn="0" showRowStripes="1" showColumnStripes="0"/>
</table>
</file>

<file path=xl/tables/table2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A23E593E-F882-40C0-B5BA-826FFBC79AC6}" name="Age_Sex22" displayName="Age_Sex22" ref="A10:J2010" totalsRowShown="0" headerRowDxfId="315" dataDxfId="313" headerRowBorderDxfId="314" tableBorderDxfId="312" totalsRowBorderDxfId="311" dataCellStyle="Currency">
  <autoFilter ref="A10:J2010" xr:uid="{A23E593E-F882-40C0-B5BA-826FFBC79AC6}"/>
  <tableColumns count="10">
    <tableColumn id="1" xr3:uid="{9289629D-AD12-45E4-8871-583B646E7D7B}" name="Advanced Network ID" dataDxfId="310"/>
    <tableColumn id="2" xr3:uid="{62B8C90B-1C2C-4792-8B7E-FE74C8410E05}" name="Insurance Category Code" dataDxfId="309"/>
    <tableColumn id="3" xr3:uid="{F44FB3CC-1EAB-4CD5-8D3F-208F3AA48936}" name="Age Band Code" dataDxfId="308"/>
    <tableColumn id="4" xr3:uid="{0784D10E-C557-4199-A613-631C76B6F50D}" name="Sex Band Code" dataDxfId="307"/>
    <tableColumn id="5" xr3:uid="{26DBBB9B-0FAA-4B9C-8B4F-2C79F404980B}" name="Total Member Months by Age/Sex Band" dataDxfId="306" dataCellStyle="Currency"/>
    <tableColumn id="6" xr3:uid="{3DF141CF-D414-4654-8469-FD8786F1FD2F}" name="Total Spending before Truncation is Applied" dataDxfId="305" dataCellStyle="Currency"/>
    <tableColumn id="7" xr3:uid="{F96886A8-7633-40F7-BA63-94173D429093}" name="Count of Members whose Spending was Truncated" dataDxfId="304" dataCellStyle="Comma"/>
    <tableColumn id="8" xr3:uid="{D82236AC-F9C1-4F82-98D2-C926D83957B2}" name="Total Spending After Applying Truncation at the Member Level" dataDxfId="303" dataCellStyle="Currency"/>
    <tableColumn id="9" xr3:uid="{E7519996-EFA6-424F-916E-40C3748DA0CE}" name="Total Dollars Excluded from Spending After Applying Truncation at the Member Level" dataDxfId="302" dataCellStyle="Currency"/>
    <tableColumn id="10" xr3:uid="{AEBE62C3-1F2B-4256-8CE0-8CC72293EBE8}" name="Truncated Spending + Dollars Excluded = Total Spending before Truncation is Applied?" dataDxfId="301" dataCellStyle="Currency">
      <calculatedColumnFormula>Age_Sex22[[#This Row],[Total Spending After Applying Truncation at the Member Level]]+Age_Sex22[[#This Row],[Total Dollars Excluded from Spending After Applying Truncation at the Member Level]]=Age_Sex22[[#This Row],[Total Spending before Truncation is Applied]]</calculatedColumnFormula>
    </tableColumn>
  </tableColumns>
  <tableStyleInfo name="TableStyleMedium2" showFirstColumn="0" showLastColumn="0" showRowStripes="1" showColumnStripes="0"/>
</table>
</file>

<file path=xl/tables/table2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C7786EC5-CDA5-47BC-AF03-D2E6A671A3E3}" name="Age_Sex23" displayName="Age_Sex23" ref="A10:J2010" totalsRowShown="0" headerRowDxfId="300" dataDxfId="298" headerRowBorderDxfId="299" tableBorderDxfId="297" totalsRowBorderDxfId="296" dataCellStyle="Currency">
  <autoFilter ref="A10:J2010" xr:uid="{C7786EC5-CDA5-47BC-AF03-D2E6A671A3E3}"/>
  <tableColumns count="10">
    <tableColumn id="1" xr3:uid="{1DD80D46-C4BB-4DD6-8D0C-935EA87F33E9}" name="Advanced Network ID" dataDxfId="295"/>
    <tableColumn id="2" xr3:uid="{4F4F4250-B44F-4C99-94BF-D7A6FCC5B885}" name="Insurance Category Code" dataDxfId="294"/>
    <tableColumn id="3" xr3:uid="{37A70620-61FE-44BA-B937-49D20373BC35}" name="Age Band Code" dataDxfId="293"/>
    <tableColumn id="4" xr3:uid="{E95AA020-E089-4402-B19F-59702E6F5DA5}" name="Sex Band Code" dataDxfId="292"/>
    <tableColumn id="5" xr3:uid="{54D3E311-3188-4E0B-84B1-EBD196B7DF01}" name="Total Member Months by Age/Sex Band" dataDxfId="291" dataCellStyle="Currency"/>
    <tableColumn id="6" xr3:uid="{7CE007F1-DB40-45A1-B2F0-A6DB22C9D411}" name="Total Spending before Truncation is Applied" dataDxfId="290" dataCellStyle="Currency"/>
    <tableColumn id="7" xr3:uid="{886DC988-EE07-4325-9EBC-734B88622526}" name="Count of Members whose Spending was Truncated" dataDxfId="289" dataCellStyle="Comma"/>
    <tableColumn id="8" xr3:uid="{86E7C18C-F50C-47CA-BF0A-792A85762A36}" name="Total Spending After Applying Truncation at the Member Level" dataDxfId="288" dataCellStyle="Currency"/>
    <tableColumn id="9" xr3:uid="{29F3D9D6-B58D-4FB3-B737-1F56DF695BCF}" name="Total Dollars Excluded from Spending After Applying Truncation at the Member Level" dataDxfId="287" dataCellStyle="Currency"/>
    <tableColumn id="10" xr3:uid="{8063D115-BE7A-48C4-922D-23B0212E5D01}" name="Truncated Spending + Dollars Excluded = Total Spending before Truncation is Applied?" dataDxfId="286" dataCellStyle="Currency">
      <calculatedColumnFormula>Age_Sex23[[#This Row],[Total Spending After Applying Truncation at the Member Level]]+Age_Sex23[[#This Row],[Total Dollars Excluded from Spending After Applying Truncation at the Member Level]]=Age_Sex23[[#This Row],[Total Spending before Truncation is Applied]]</calculatedColumnFormula>
    </tableColumn>
  </tableColumns>
  <tableStyleInfo name="TableStyleMedium2" showFirstColumn="0" showLastColumn="0" showRowStripes="1" showColumnStripes="0"/>
</table>
</file>

<file path=xl/tables/table2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A6172A0C-3C63-4690-945A-C16BBDE6FA2D}" name="MMbyMkt" displayName="MMbyMkt" ref="B6:E14" totalsRowShown="0" headerRowDxfId="285" headerRowBorderDxfId="284" tableBorderDxfId="283" totalsRowBorderDxfId="282">
  <tableColumns count="4">
    <tableColumn id="1" xr3:uid="{CAB1A30A-CBDC-4D93-8F04-B49C3023267A}" name="Market" dataDxfId="281"/>
    <tableColumn id="3" xr3:uid="{99AE4CBD-0701-42E3-8DE0-407E24A37047}" name="2022" dataDxfId="280" dataCellStyle="Comma"/>
    <tableColumn id="6" xr3:uid="{2E6AA1BC-B99D-4DBC-BF6A-3D36D76A4FC3}" name="2023" dataDxfId="279" dataCellStyle="Comma"/>
    <tableColumn id="8" xr3:uid="{F95269AA-0816-499B-A7A5-D5BC491787B0}" name="2022-2023 Trend" dataDxfId="278" dataCellStyle="Percent"/>
  </tableColumns>
  <tableStyleInfo name="TableStyleMedium2" showFirstColumn="0" showLastColumn="0" showRowStripes="1" showColumnStripes="0"/>
</table>
</file>

<file path=xl/tables/table2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0" xr:uid="{2C8A7256-0E80-4D2C-AD8D-EC03D3C2CA56}" name="TMEbyMkt" displayName="TMEbyMkt" ref="B17:E25" totalsRowShown="0" headerRowDxfId="277" headerRowBorderDxfId="276" tableBorderDxfId="275" totalsRowBorderDxfId="274">
  <tableColumns count="4">
    <tableColumn id="1" xr3:uid="{56BBCCB1-8110-4050-AAF9-933E705C164C}" name="Market" dataDxfId="273"/>
    <tableColumn id="3" xr3:uid="{E8D5F693-8DE0-4A96-B243-AA1200C303F2}" name="2022" dataDxfId="272" dataCellStyle="Currency"/>
    <tableColumn id="5" xr3:uid="{2325D394-74D5-4600-97A0-8781C4676366}" name="2023" dataDxfId="271" dataCellStyle="Currency"/>
    <tableColumn id="6" xr3:uid="{ADE40CA6-5349-43C9-89C6-8F37AAF0B009}" name="2022-2023 Trend" dataDxfId="270" dataCellStyle="Percent"/>
  </tableColumns>
  <tableStyleInfo name="TableStyleMedium2" showFirstColumn="0" showLastColumn="0" showRowStripes="1" showColumnStripes="0"/>
</table>
</file>

<file path=xl/tables/table2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1" xr:uid="{4B5ED463-693F-4F10-B465-E0C5109E788A}" name="ComTotTME" displayName="ComTotTME" ref="B40:E66" totalsRowShown="0" headerRowDxfId="269" dataDxfId="267" headerRowBorderDxfId="268" tableBorderDxfId="266" totalsRowBorderDxfId="265">
  <tableColumns count="4">
    <tableColumn id="1" xr3:uid="{B348ABA0-C8C5-42E8-BC53-D62A51A3AF16}" name="Service Category" dataDxfId="264"/>
    <tableColumn id="3" xr3:uid="{0E3BBB76-216E-48FA-A593-B650038D3678}" name="2022" dataDxfId="263" dataCellStyle="Currency"/>
    <tableColumn id="6" xr3:uid="{5CE52A6C-0297-4D4D-8765-B1024DD3583D}" name="2023" dataDxfId="262" dataCellStyle="Currency"/>
    <tableColumn id="4" xr3:uid="{423C9EC5-4CFB-4DA0-984D-6735D25A9DE0}" name="2022-2023 Trend" dataDxfId="261" dataCellStyle="Percent"/>
  </tableColumns>
  <tableStyleInfo name="TableStyleMedium2" showFirstColumn="0" showLastColumn="0" showRowStripes="1" showColumnStripes="0"/>
</table>
</file>

<file path=xl/tables/table2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4" xr:uid="{2659A510-29DD-4A37-9E5F-6105D84A52DF}" name="ICC3TME" displayName="ICC3TME" ref="G40:J66" totalsRowShown="0" headerRowDxfId="260" headerRowBorderDxfId="259" tableBorderDxfId="258" totalsRowBorderDxfId="257">
  <tableColumns count="4">
    <tableColumn id="1" xr3:uid="{92D11A4B-3EFA-4CCA-883E-AA6D3A781F9C}" name="Service Category" dataDxfId="256"/>
    <tableColumn id="3" xr3:uid="{1A7C560C-169B-4109-B45B-34AE45210E5B}" name="2022" dataDxfId="255" dataCellStyle="Currency"/>
    <tableColumn id="6" xr3:uid="{08A7EC16-9102-43B0-B913-7B47BE9DCDD2}" name="2023" dataDxfId="254" dataCellStyle="Currency"/>
    <tableColumn id="4" xr3:uid="{7C943E37-9C12-46F8-B639-081D5C290968}" name="2022-2023 Trend" dataDxfId="253" dataCellStyle="Percent"/>
  </tableColumns>
  <tableStyleInfo name="TableStyleMedium2" showFirstColumn="0" showLastColumn="0" showRowStripes="1" showColumnStripes="0"/>
</table>
</file>

<file path=xl/tables/table2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6" xr:uid="{1BA709B4-3C8D-4EE0-84CC-799BDAEFC4BB}" name="ICC4TME" displayName="ICC4TME" ref="L40:O66" totalsRowShown="0" headerRowDxfId="252" dataDxfId="250" headerRowBorderDxfId="251" tableBorderDxfId="249" totalsRowBorderDxfId="248">
  <tableColumns count="4">
    <tableColumn id="1" xr3:uid="{732A6DF4-D9EA-4648-898C-23A3FF9E6AAD}" name="Service Category" dataDxfId="247"/>
    <tableColumn id="3" xr3:uid="{501C3263-A223-48F4-A389-FA9E43FA138C}" name="2022" dataDxfId="246" dataCellStyle="Currency"/>
    <tableColumn id="6" xr3:uid="{69A7A913-4D59-43AF-8051-5344E1BF3924}" name="2023" dataDxfId="245" dataCellStyle="Currency"/>
    <tableColumn id="4" xr3:uid="{9A279DF3-2F19-4F43-B98A-5446978A8492}" name="2022-2023 Trend" dataDxfId="244" dataCellStyle="Percent"/>
  </tableColumns>
  <tableStyleInfo name="TableStyleMedium2" showFirstColumn="0" showLastColumn="0" showRowStripes="1" showColumnStripes="0"/>
</table>
</file>

<file path=xl/tables/table2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4" xr:uid="{0FFF164C-723F-44DD-9015-F75211FAACFA}" name="MCareTotTME" displayName="MCareTotTME" ref="B70:E96" totalsRowShown="0" headerRowDxfId="243" dataDxfId="241" headerRowBorderDxfId="242" tableBorderDxfId="240" totalsRowBorderDxfId="239">
  <tableColumns count="4">
    <tableColumn id="1" xr3:uid="{30D428FB-B795-4292-B18C-4DC498EA5C87}" name="Service Category" dataDxfId="238"/>
    <tableColumn id="3" xr3:uid="{D3910952-F591-42FB-AAAC-094189FAD29C}" name="2022" dataDxfId="237" dataCellStyle="Currency"/>
    <tableColumn id="6" xr3:uid="{BD4F1850-7CC8-49AC-9B5E-E625B9C53C6B}" name="2023" dataDxfId="236" dataCellStyle="Currency"/>
    <tableColumn id="4" xr3:uid="{E4E876DE-AAA6-45A0-BE88-AC3EB59A90E7}" name="2022-2023 Trend" dataDxfId="235" dataCellStyle="Percent"/>
  </tableColumns>
  <tableStyleInfo name="TableStyleMedium2" showFirstColumn="0" showLastColumn="0" showRowStripes="1" showColumnStripes="0"/>
</table>
</file>

<file path=xl/tables/table2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8" xr:uid="{4D0A03A1-CFA0-4C01-81C9-AE71256C1C17}" name="ICC5TME" displayName="ICC5TME" ref="L70:O96" totalsRowShown="0" headerRowDxfId="234" dataDxfId="232" headerRowBorderDxfId="233" tableBorderDxfId="231" totalsRowBorderDxfId="230">
  <tableColumns count="4">
    <tableColumn id="1" xr3:uid="{AF6B2F6F-3A7A-47C9-ACF9-48C56D4825A6}" name="Service Category" dataDxfId="229"/>
    <tableColumn id="3" xr3:uid="{DBC366C5-B664-406F-AE38-AC934FF6C01B}" name="2022" dataDxfId="228" dataCellStyle="Currency"/>
    <tableColumn id="6" xr3:uid="{E70337AA-DDE6-4A46-97D7-55F446E245F4}" name="2023" dataDxfId="227" dataCellStyle="Currency"/>
    <tableColumn id="4" xr3:uid="{9E812AA8-B0EB-4DFC-B22B-633BC961FE67}" name="2022-2023 Trend" dataDxfId="226" dataCellStyle="Percent"/>
  </tableColumns>
  <tableStyleInfo name="TableStyleMedium2" showFirstColumn="0" showLastColumn="0" showRowStripes="1" showColumnStripes="0"/>
</table>
</file>

<file path=xl/tables/table2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9" xr:uid="{15F10042-BBB5-4666-936C-12EC2F56B95D}" name="ICC7TME" displayName="ICC7TME" ref="B100:E126" totalsRowShown="0" headerRowDxfId="225" dataDxfId="223" headerRowBorderDxfId="224" tableBorderDxfId="222" totalsRowBorderDxfId="221">
  <tableColumns count="4">
    <tableColumn id="1" xr3:uid="{73D42A39-F193-40EB-8DF9-71890F04C71E}" name="Service Category" dataDxfId="220"/>
    <tableColumn id="3" xr3:uid="{AEDF9181-F20F-4FBE-9720-F3E955B4BB91}" name="2022" dataDxfId="219" dataCellStyle="Currency"/>
    <tableColumn id="5" xr3:uid="{72657816-2340-4049-B31C-8087C67F3196}" name="2023" dataDxfId="218" dataCellStyle="Currency"/>
    <tableColumn id="6" xr3:uid="{11EDD83E-5A30-44DA-9929-18793664EC24}" name="2022-2023 Trend" dataDxfId="217" dataCellStyle="Percent"/>
  </tableColumns>
  <tableStyleInfo name="TableStyleMedium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EA027678-7AF3-4DA1-AB01-26E3BB44502F}" name="InsCarrierOrgIDs" displayName="InsCarrierOrgIDs" ref="A47:B54" totalsRowShown="0" headerRowDxfId="488" dataDxfId="487">
  <autoFilter ref="A47:B54" xr:uid="{D2341DF6-4E5D-4606-8D68-1C4370E7AF79}"/>
  <tableColumns count="2">
    <tableColumn id="1" xr3:uid="{0DDDB29F-D2EC-4BEA-91CD-5D84C7371D33}" name="Insurance Carrier Organizational ID" dataDxfId="486"/>
    <tableColumn id="2" xr3:uid="{D955FA7D-DB4C-4921-B37D-497B9D2BC4CE}" name="Insurer" dataDxfId="485"/>
  </tableColumns>
  <tableStyleInfo name="TableStyleLight9" showFirstColumn="0" showLastColumn="0" showRowStripes="1" showColumnStripes="0"/>
</table>
</file>

<file path=xl/tables/table3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1" xr:uid="{194B868E-1F9C-4D33-9159-115CDB8DB970}" name="TMEPMPMbyMkt" displayName="TMEPMPMbyMkt" ref="G17:J25" totalsRowShown="0" headerRowDxfId="216" headerRowBorderDxfId="215" tableBorderDxfId="214" totalsRowBorderDxfId="213">
  <tableColumns count="4">
    <tableColumn id="1" xr3:uid="{9C52447F-A510-4FEA-8594-4B07B64E9FD0}" name="Market"/>
    <tableColumn id="3" xr3:uid="{7C1E30EF-0840-4847-8D32-9C50BA468E97}" name="2022" dataDxfId="212" dataCellStyle="Currency">
      <calculatedColumnFormula>TMEbyMkt[[#This Row],[2022]]/C7</calculatedColumnFormula>
    </tableColumn>
    <tableColumn id="5" xr3:uid="{23E1FED3-4580-4CB7-A32A-2DA6F6180E11}" name="2023" dataDxfId="211" dataCellStyle="Currency">
      <calculatedColumnFormula>TMEbyMkt[[#This Row],[2022]]/D7</calculatedColumnFormula>
    </tableColumn>
    <tableColumn id="6" xr3:uid="{41C4770C-61D8-4FB9-B08C-7A41BA16A52D}" name="2022-2023 Trend" dataDxfId="210" dataCellStyle="Percent"/>
  </tableColumns>
  <tableStyleInfo name="TableStyleMedium2" showFirstColumn="0" showLastColumn="0" showRowStripes="1" showColumnStripes="0"/>
</table>
</file>

<file path=xl/tables/table3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2" xr:uid="{86BDBF44-B372-4D9D-8FA0-88BF6922F0C6}" name="RATMEbyMkt" displayName="RATMEbyMkt" ref="B28:E36" totalsRowShown="0" headerRowDxfId="209" headerRowBorderDxfId="208" tableBorderDxfId="207" totalsRowBorderDxfId="206">
  <tableColumns count="4">
    <tableColumn id="1" xr3:uid="{0B7112A5-2C0E-4822-ABE0-CA456A8B637A}" name="Market"/>
    <tableColumn id="3" xr3:uid="{71ACB1C6-C9C8-4469-9050-0AC82EF20AB9}" name="2022" dataDxfId="205" dataCellStyle="Currency"/>
    <tableColumn id="5" xr3:uid="{243D045B-56CC-4F45-8413-B66CBEB23F33}" name="2023" dataDxfId="204" dataCellStyle="Currency"/>
    <tableColumn id="6" xr3:uid="{BEDD2846-AD2A-4466-BE76-9C4109787CCF}" name="2022-2023 Trend" dataDxfId="203" dataCellStyle="Percent"/>
  </tableColumns>
  <tableStyleInfo name="TableStyleMedium2" showFirstColumn="0" showLastColumn="0" showRowStripes="1" showColumnStripes="0"/>
</table>
</file>

<file path=xl/tables/table3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3" xr:uid="{7AD0A186-11D7-4298-B7B9-F58F287386AE}" name="RATMEPMPMbyMkt" displayName="RATMEPMPMbyMkt" ref="G28:J36" totalsRowShown="0" headerRowDxfId="202" headerRowBorderDxfId="201" tableBorderDxfId="200" totalsRowBorderDxfId="199">
  <tableColumns count="4">
    <tableColumn id="1" xr3:uid="{F6B043E4-AF21-4F40-A072-B38C904AD482}" name="Market"/>
    <tableColumn id="3" xr3:uid="{526C619F-B707-4F4B-9C37-6CD58C72AC76}" name="2022" dataDxfId="198" dataCellStyle="Currency">
      <calculatedColumnFormula>RATMEbyMkt[[#This Row],[2022]]/C7</calculatedColumnFormula>
    </tableColumn>
    <tableColumn id="5" xr3:uid="{9F7F58C1-7721-4F70-8B5D-B20802214E85}" name="2023" dataDxfId="197" dataCellStyle="Currency">
      <calculatedColumnFormula>RATMEbyMkt[[#This Row],[2022]]/D7</calculatedColumnFormula>
    </tableColumn>
    <tableColumn id="6" xr3:uid="{8951AED1-D359-4ACA-A407-A080DF9D635E}" name="2022-2023 Trend" dataDxfId="196" dataCellStyle="Percent"/>
  </tableColumns>
  <tableStyleInfo name="TableStyleMedium2" showFirstColumn="0" showLastColumn="0" showRowStripes="1" showColumnStripes="0"/>
</table>
</file>

<file path=xl/tables/table3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7" xr:uid="{D2ABFE95-8D93-4E25-AB66-059FBEA398DA}" name="ICC1TME" displayName="ICC1TME" ref="G70:J96" totalsRowShown="0" headerRowDxfId="195" dataDxfId="193" headerRowBorderDxfId="194" tableBorderDxfId="192" totalsRowBorderDxfId="191">
  <tableColumns count="4">
    <tableColumn id="1" xr3:uid="{80BB2C78-DBB7-4089-B5A1-489BD32B1F18}" name="Service Category" dataDxfId="190"/>
    <tableColumn id="3" xr3:uid="{E7107820-4126-4CBE-985E-1302B550A794}" name="2022" dataDxfId="189" dataCellStyle="Currency"/>
    <tableColumn id="6" xr3:uid="{7F32B562-B9DE-4E61-87B0-E829000B6061}" name="2023" dataDxfId="188" dataCellStyle="Currency"/>
    <tableColumn id="4" xr3:uid="{810389FA-6434-4F8A-B727-43FF8E7C3CAB}" name="2022-2023 Trend" dataDxfId="187" dataCellStyle="Currency">
      <calculatedColumnFormula>ICC3TME[[#This Row],[2023]]/ICC3TME[[#This Row],[2022]]-1</calculatedColumnFormula>
    </tableColumn>
  </tableColumns>
  <tableStyleInfo name="TableStyleMedium2" showFirstColumn="0" showLastColumn="0" showRowStripes="1" showColumnStripes="0"/>
</table>
</file>

<file path=xl/tables/table3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59589812-4C0A-4769-9FAC-1F773C548E00}" name="ExpectedICC" displayName="ExpectedICC" ref="A4:H11" totalsRowShown="0" headerRowDxfId="186" dataDxfId="184" headerRowBorderDxfId="185" tableBorderDxfId="183" totalsRowBorderDxfId="182">
  <autoFilter ref="A4:H11" xr:uid="{DF7F4EC6-2F97-4225-B3D3-1F8A33792275}"/>
  <tableColumns count="8">
    <tableColumn id="1" xr3:uid="{80E2D06D-4166-46FD-A9D8-1812314A6C5B}" name="Insurer" dataDxfId="181"/>
    <tableColumn id="2" xr3:uid="{2C956982-5F96-4066-A8EC-8092BC8A1C9F}" name="Medicare Managed Care" dataDxfId="180"/>
    <tableColumn id="3" xr3:uid="{752FEFAD-B37E-47B2-B965-FD6A777747D8}" name="Medicaid Managed Care" dataDxfId="179"/>
    <tableColumn id="4" xr3:uid="{0C6A36A8-1AF3-4B7C-A0B1-3B5D7593CE0C}" name="Commercial Full Claims" dataDxfId="178"/>
    <tableColumn id="5" xr3:uid="{FD65149A-7977-49A7-8766-2446E9811647}" name="Commercial Partial Claims" dataDxfId="177"/>
    <tableColumn id="6" xr3:uid="{C5C454F2-D4D3-4DBD-B73C-0AC67494FACD}" name="Medicare Exp. Duals" dataDxfId="176"/>
    <tableColumn id="7" xr3:uid="{B2AC31DA-1CD3-4948-B690-489B8C7D05AB}" name="Medicaid Exp. Duals" dataDxfId="175"/>
    <tableColumn id="8" xr3:uid="{BA985DD9-650F-4DB7-9484-40A6D64064F5}" name="Other" dataDxfId="174"/>
  </tableColumns>
  <tableStyleInfo name="TableStyleLight9" showFirstColumn="0" showLastColumn="0" showRowStripes="1" showColumnStripes="0"/>
</table>
</file>

<file path=xl/tables/table3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6448F20-9666-4074-911F-2DEBDFF7472F}" name="PublicData22" displayName="PublicData22" ref="A14:B20" totalsRowShown="0" headerRowDxfId="173" dataDxfId="171" headerRowBorderDxfId="172" tableBorderDxfId="170" totalsRowBorderDxfId="169">
  <autoFilter ref="A14:B20" xr:uid="{AC7ED5CE-95F6-4001-9A0C-741AE00B309D}"/>
  <tableColumns count="2">
    <tableColumn id="1" xr3:uid="{6945F25C-D2C6-4DE2-BF99-636490C9593A}" name="2022" dataDxfId="168"/>
    <tableColumn id="2" xr3:uid="{4237B78B-FEA0-44DC-A2BC-630FDAB640B4}" name="Medicare Managed Care Enrollment by State/County/Contract _x000a_X 12" dataDxfId="167"/>
  </tableColumns>
  <tableStyleInfo name="TableStyleLight9" showFirstColumn="0" showLastColumn="0" showRowStripes="1" showColumnStripes="0"/>
</table>
</file>

<file path=xl/tables/table3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3" xr:uid="{DE785662-3774-4443-8588-C32E8F8A8D84}" name="PublicData23" displayName="PublicData23" ref="D14:E20" totalsRowShown="0" headerRowDxfId="166" dataDxfId="164" headerRowBorderDxfId="165" tableBorderDxfId="163" totalsRowBorderDxfId="162">
  <autoFilter ref="D14:E20" xr:uid="{DE785662-3774-4443-8588-C32E8F8A8D84}"/>
  <tableColumns count="2">
    <tableColumn id="1" xr3:uid="{FF529C3F-A4A3-489B-A2B4-39DC9C8C39ED}" name="2023" dataDxfId="161"/>
    <tableColumn id="2" xr3:uid="{6FA5BB2D-4B14-4617-BA3B-E1B28342402C}" name="Medicare Managed Care Enrollment by State/County/Contract _x000a_X 12" dataDxfId="160"/>
  </tableColumns>
  <tableStyleInfo name="TableStyleLight9" showFirstColumn="0" showLastColumn="0" showRowStripes="1" showColumnStripes="0"/>
</table>
</file>

<file path=xl/tables/table3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6" xr:uid="{49B522C9-D89B-49AC-B865-341DCBA48DE7}" name="MandatoryQ" displayName="MandatoryQ" ref="A23:B54" totalsRowShown="0" headerRowDxfId="159" headerRowBorderDxfId="158" tableBorderDxfId="157" totalsRowBorderDxfId="156">
  <autoFilter ref="A23:B54" xr:uid="{49B522C9-D89B-49AC-B865-341DCBA48DE7}"/>
  <tableColumns count="2">
    <tableColumn id="1" xr3:uid="{B792FC8C-E6DE-4701-9649-C1668712FE15}" name="Question" dataDxfId="155"/>
    <tableColumn id="2" xr3:uid="{D0C2FD04-E757-4D4C-8B0C-A01514025833}" name="Expected Answer" dataDxfId="154"/>
  </tableColumns>
  <tableStyleInfo name="TableStyleLight9"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73C10FD5-7887-4ADB-9632-00EA490730BF}" name="InsuranceCatCodes" displayName="InsuranceCatCodes" ref="A56:B63" totalsRowShown="0" headerRowDxfId="484" dataDxfId="483">
  <autoFilter ref="A56:B63" xr:uid="{A619587B-D6D0-48B0-9B4C-4C41F33EFB5A}"/>
  <tableColumns count="2">
    <tableColumn id="1" xr3:uid="{C275CB2E-9EC4-478D-BC26-D0007BA014BC}" name="Insurance Category Code" dataDxfId="482"/>
    <tableColumn id="2" xr3:uid="{A60DAD8F-9F4C-43F0-8B55-8BB2646C3B68}" name="Definition" dataDxfId="481"/>
  </tableColumns>
  <tableStyleInfo name="TableStyleLight9"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64CD8CD6-DBC5-4246-9E8A-F02FE7DD7FE9}" name="LOBEnrollCatCodes" displayName="LOBEnrollCatCodes" ref="A65:B73" totalsRowShown="0" headerRowDxfId="480" dataDxfId="479">
  <autoFilter ref="A65:B73" xr:uid="{A58078EE-5396-4975-9937-441FFAA73145}"/>
  <tableColumns count="2">
    <tableColumn id="1" xr3:uid="{9AA78217-19DA-4578-937F-6DDCE92627B2}" name="Line of Business Enrollment Category Code" dataDxfId="478"/>
    <tableColumn id="2" xr3:uid="{8D3E2BD4-BDCF-4A8A-9CD1-3C4C06C54549}" name="Definition" dataDxfId="477"/>
  </tableColumns>
  <tableStyleInfo name="TableStyleLight9"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2" xr:uid="{3DE4C990-E584-4F6B-902B-8F7ADEE03D92}" name="MarketCodes" displayName="MarketCodes" ref="A75:B78" totalsRowShown="0" tableBorderDxfId="476">
  <autoFilter ref="A75:B78" xr:uid="{3DE4C990-E584-4F6B-902B-8F7ADEE03D92}"/>
  <tableColumns count="2">
    <tableColumn id="1" xr3:uid="{D6A026E6-5FC5-4A67-8D27-F93474644DAD}" name="Market Code" dataDxfId="475"/>
    <tableColumn id="2" xr3:uid="{5AAD7437-1064-4604-AB3A-E7AA65A1DE40}" name="Definition" dataDxfId="474"/>
  </tableColumns>
  <tableStyleInfo name="TableStyleLight9"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7" xr:uid="{62BF1549-25D5-42ED-BEA3-989DE2F2307D}" name="AgeBandCodes" displayName="AgeBandCodes" ref="A80:B88" totalsRowShown="0" tableBorderDxfId="473">
  <autoFilter ref="A80:B88" xr:uid="{62BF1549-25D5-42ED-BEA3-989DE2F2307D}"/>
  <tableColumns count="2">
    <tableColumn id="1" xr3:uid="{CC1DC3D4-2A2F-49F4-BD72-EC8FE73F3D4E}" name="Age Band Code" dataDxfId="472"/>
    <tableColumn id="2" xr3:uid="{A122D0F2-11B9-4478-B44F-5F87E3F0EF20}" name="Definition" dataDxfId="471"/>
  </tableColumns>
  <tableStyleInfo name="TableStyleLight9"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8" xr:uid="{169D5859-494C-4769-9C33-CAC36C094D3C}" name="SexCodes" displayName="SexCodes" ref="A90:B92" totalsRowShown="0" dataDxfId="470" tableBorderDxfId="469">
  <autoFilter ref="A90:B92" xr:uid="{169D5859-494C-4769-9C33-CAC36C094D3C}"/>
  <tableColumns count="2">
    <tableColumn id="1" xr3:uid="{431E9207-A632-4A70-9AB2-EB93099D7AA4}" name="Sex Code" dataDxfId="468"/>
    <tableColumn id="2" xr3:uid="{5211E66D-1AD2-4E31-B9D7-7B2FE74E5546}" name="Definition" dataDxfId="467"/>
  </tableColumns>
  <tableStyleInfo name="TableStyleLight9"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24F04519-98DF-45FC-9D7F-F1EFEC8BF70B}" name="HierarchyCodes" displayName="HierarchyCodes" ref="A94:B99" totalsRowShown="0" headerRowDxfId="466" dataDxfId="465">
  <autoFilter ref="A94:B99" xr:uid="{24F04519-98DF-45FC-9D7F-F1EFEC8BF70B}"/>
  <tableColumns count="2">
    <tableColumn id="1" xr3:uid="{E7E80616-0CDE-4657-82C1-94F63469A58F}" name="Attribution Hierarchy Code" dataDxfId="464"/>
    <tableColumn id="2" xr3:uid="{542BA8DF-E09F-4AC5-BA77-7726103714E5}" name="Definition" dataDxfId="463"/>
  </tableColumns>
  <tableStyleInfo name="TableStyleLight9"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0.xml.rels><?xml version="1.0" encoding="UTF-8" standalone="yes"?>
<Relationships xmlns="http://schemas.openxmlformats.org/package/2006/relationships"><Relationship Id="rId3" Type="http://schemas.openxmlformats.org/officeDocument/2006/relationships/table" Target="../tables/table17.xml"/><Relationship Id="rId2" Type="http://schemas.openxmlformats.org/officeDocument/2006/relationships/table" Target="../tables/table16.xml"/><Relationship Id="rId1" Type="http://schemas.openxmlformats.org/officeDocument/2006/relationships/drawing" Target="../drawings/drawing8.xml"/></Relationships>
</file>

<file path=xl/worksheets/_rels/sheet11.xml.rels><?xml version="1.0" encoding="UTF-8" standalone="yes"?>
<Relationships xmlns="http://schemas.openxmlformats.org/package/2006/relationships"><Relationship Id="rId3" Type="http://schemas.openxmlformats.org/officeDocument/2006/relationships/table" Target="../tables/table18.xml"/><Relationship Id="rId2" Type="http://schemas.openxmlformats.org/officeDocument/2006/relationships/drawing" Target="../drawings/drawing9.xml"/><Relationship Id="rId1" Type="http://schemas.openxmlformats.org/officeDocument/2006/relationships/printerSettings" Target="../printerSettings/printerSettings7.bin"/></Relationships>
</file>

<file path=xl/worksheets/_rels/sheet12.xml.rels><?xml version="1.0" encoding="UTF-8" standalone="yes"?>
<Relationships xmlns="http://schemas.openxmlformats.org/package/2006/relationships"><Relationship Id="rId3" Type="http://schemas.openxmlformats.org/officeDocument/2006/relationships/table" Target="../tables/table19.xml"/><Relationship Id="rId2" Type="http://schemas.openxmlformats.org/officeDocument/2006/relationships/drawing" Target="../drawings/drawing10.xml"/><Relationship Id="rId1" Type="http://schemas.openxmlformats.org/officeDocument/2006/relationships/printerSettings" Target="../printerSettings/printerSettings8.bin"/></Relationships>
</file>

<file path=xl/worksheets/_rels/sheet13.xml.rels><?xml version="1.0" encoding="UTF-8" standalone="yes"?>
<Relationships xmlns="http://schemas.openxmlformats.org/package/2006/relationships"><Relationship Id="rId2" Type="http://schemas.openxmlformats.org/officeDocument/2006/relationships/table" Target="../tables/table20.xml"/><Relationship Id="rId1" Type="http://schemas.openxmlformats.org/officeDocument/2006/relationships/drawing" Target="../drawings/drawing11.xml"/></Relationships>
</file>

<file path=xl/worksheets/_rels/sheet14.xml.rels><?xml version="1.0" encoding="UTF-8" standalone="yes"?>
<Relationships xmlns="http://schemas.openxmlformats.org/package/2006/relationships"><Relationship Id="rId2" Type="http://schemas.openxmlformats.org/officeDocument/2006/relationships/table" Target="../tables/table21.xml"/><Relationship Id="rId1" Type="http://schemas.openxmlformats.org/officeDocument/2006/relationships/drawing" Target="../drawings/drawing12.xml"/></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6.xml.rels><?xml version="1.0" encoding="UTF-8" standalone="yes"?>
<Relationships xmlns="http://schemas.openxmlformats.org/package/2006/relationships"><Relationship Id="rId8" Type="http://schemas.openxmlformats.org/officeDocument/2006/relationships/table" Target="../tables/table28.xml"/><Relationship Id="rId13" Type="http://schemas.openxmlformats.org/officeDocument/2006/relationships/table" Target="../tables/table33.xml"/><Relationship Id="rId3" Type="http://schemas.openxmlformats.org/officeDocument/2006/relationships/table" Target="../tables/table23.xml"/><Relationship Id="rId7" Type="http://schemas.openxmlformats.org/officeDocument/2006/relationships/table" Target="../tables/table27.xml"/><Relationship Id="rId12" Type="http://schemas.openxmlformats.org/officeDocument/2006/relationships/table" Target="../tables/table32.xml"/><Relationship Id="rId2" Type="http://schemas.openxmlformats.org/officeDocument/2006/relationships/table" Target="../tables/table22.xml"/><Relationship Id="rId1" Type="http://schemas.openxmlformats.org/officeDocument/2006/relationships/printerSettings" Target="../printerSettings/printerSettings10.bin"/><Relationship Id="rId6" Type="http://schemas.openxmlformats.org/officeDocument/2006/relationships/table" Target="../tables/table26.xml"/><Relationship Id="rId11" Type="http://schemas.openxmlformats.org/officeDocument/2006/relationships/table" Target="../tables/table31.xml"/><Relationship Id="rId5" Type="http://schemas.openxmlformats.org/officeDocument/2006/relationships/table" Target="../tables/table25.xml"/><Relationship Id="rId10" Type="http://schemas.openxmlformats.org/officeDocument/2006/relationships/table" Target="../tables/table30.xml"/><Relationship Id="rId4" Type="http://schemas.openxmlformats.org/officeDocument/2006/relationships/table" Target="../tables/table24.xml"/><Relationship Id="rId9" Type="http://schemas.openxmlformats.org/officeDocument/2006/relationships/table" Target="../tables/table29.xml"/></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9.xml.rels><?xml version="1.0" encoding="UTF-8" standalone="yes"?>
<Relationships xmlns="http://schemas.openxmlformats.org/package/2006/relationships"><Relationship Id="rId3" Type="http://schemas.openxmlformats.org/officeDocument/2006/relationships/table" Target="../tables/table36.xml"/><Relationship Id="rId2" Type="http://schemas.openxmlformats.org/officeDocument/2006/relationships/table" Target="../tables/table35.xml"/><Relationship Id="rId1" Type="http://schemas.openxmlformats.org/officeDocument/2006/relationships/table" Target="../tables/table34.xml"/><Relationship Id="rId4" Type="http://schemas.openxmlformats.org/officeDocument/2006/relationships/table" Target="../tables/table37.xml"/></Relationships>
</file>

<file path=xl/worksheets/_rels/sheet2.xml.rels><?xml version="1.0" encoding="UTF-8" standalone="yes"?>
<Relationships xmlns="http://schemas.openxmlformats.org/package/2006/relationships"><Relationship Id="rId8" Type="http://schemas.openxmlformats.org/officeDocument/2006/relationships/table" Target="../tables/table7.xml"/><Relationship Id="rId3" Type="http://schemas.openxmlformats.org/officeDocument/2006/relationships/table" Target="../tables/table2.xml"/><Relationship Id="rId7" Type="http://schemas.openxmlformats.org/officeDocument/2006/relationships/table" Target="../tables/table6.xml"/><Relationship Id="rId2" Type="http://schemas.openxmlformats.org/officeDocument/2006/relationships/table" Target="../tables/table1.xml"/><Relationship Id="rId1" Type="http://schemas.openxmlformats.org/officeDocument/2006/relationships/printerSettings" Target="../printerSettings/printerSettings1.bin"/><Relationship Id="rId6" Type="http://schemas.openxmlformats.org/officeDocument/2006/relationships/table" Target="../tables/table5.xml"/><Relationship Id="rId5" Type="http://schemas.openxmlformats.org/officeDocument/2006/relationships/table" Target="../tables/table4.xml"/><Relationship Id="rId10" Type="http://schemas.openxmlformats.org/officeDocument/2006/relationships/table" Target="../tables/table9.xml"/><Relationship Id="rId4" Type="http://schemas.openxmlformats.org/officeDocument/2006/relationships/table" Target="../tables/table3.xml"/><Relationship Id="rId9" Type="http://schemas.openxmlformats.org/officeDocument/2006/relationships/table" Target="../tables/table8.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3" Type="http://schemas.openxmlformats.org/officeDocument/2006/relationships/table" Target="../tables/table10.xml"/><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3" Type="http://schemas.openxmlformats.org/officeDocument/2006/relationships/table" Target="../tables/table11.xml"/><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3" Type="http://schemas.openxmlformats.org/officeDocument/2006/relationships/table" Target="../tables/table12.xml"/><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3" Type="http://schemas.openxmlformats.org/officeDocument/2006/relationships/table" Target="../tables/table13.xml"/><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2" Type="http://schemas.openxmlformats.org/officeDocument/2006/relationships/table" Target="../tables/table14.xml"/><Relationship Id="rId1" Type="http://schemas.openxmlformats.org/officeDocument/2006/relationships/drawing" Target="../drawings/drawing6.xml"/></Relationships>
</file>

<file path=xl/worksheets/_rels/sheet9.xml.rels><?xml version="1.0" encoding="UTF-8" standalone="yes"?>
<Relationships xmlns="http://schemas.openxmlformats.org/package/2006/relationships"><Relationship Id="rId2" Type="http://schemas.openxmlformats.org/officeDocument/2006/relationships/table" Target="../tables/table15.xml"/><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DF97E7-E538-414B-AB63-691B20B7DF09}">
  <sheetPr codeName="Sheet3">
    <tabColor theme="0" tint="-0.249977111117893"/>
  </sheetPr>
  <dimension ref="B2:D16"/>
  <sheetViews>
    <sheetView zoomScaleNormal="100" workbookViewId="0">
      <selection activeCell="D8" sqref="D8"/>
    </sheetView>
  </sheetViews>
  <sheetFormatPr defaultRowHeight="15" x14ac:dyDescent="0.25"/>
  <cols>
    <col min="1" max="1" width="3.85546875" customWidth="1"/>
    <col min="2" max="2" width="55.85546875" bestFit="1" customWidth="1"/>
    <col min="3" max="3" width="28.42578125" bestFit="1" customWidth="1"/>
    <col min="4" max="4" width="83.5703125" customWidth="1"/>
  </cols>
  <sheetData>
    <row r="2" spans="2:4" x14ac:dyDescent="0.25">
      <c r="B2" s="1" t="s">
        <v>0</v>
      </c>
      <c r="C2" s="1"/>
    </row>
    <row r="4" spans="2:4" x14ac:dyDescent="0.25">
      <c r="B4" s="135" t="s">
        <v>1</v>
      </c>
      <c r="C4" s="135" t="s">
        <v>2</v>
      </c>
      <c r="D4" s="135" t="s">
        <v>3</v>
      </c>
    </row>
    <row r="5" spans="2:4" ht="75" x14ac:dyDescent="0.25">
      <c r="B5" s="172" t="s">
        <v>4</v>
      </c>
      <c r="C5" s="173" t="s">
        <v>5</v>
      </c>
      <c r="D5" s="10" t="s">
        <v>471</v>
      </c>
    </row>
    <row r="6" spans="2:4" ht="75" x14ac:dyDescent="0.25">
      <c r="B6" s="172" t="s">
        <v>6</v>
      </c>
      <c r="C6" s="173" t="s">
        <v>5</v>
      </c>
      <c r="D6" s="10" t="s">
        <v>472</v>
      </c>
    </row>
    <row r="7" spans="2:4" ht="45" x14ac:dyDescent="0.25">
      <c r="B7" s="172" t="s">
        <v>446</v>
      </c>
      <c r="C7" s="173" t="s">
        <v>7</v>
      </c>
      <c r="D7" s="10" t="s">
        <v>473</v>
      </c>
    </row>
    <row r="8" spans="2:4" ht="45" x14ac:dyDescent="0.25">
      <c r="B8" s="172" t="s">
        <v>447</v>
      </c>
      <c r="C8" s="173" t="s">
        <v>7</v>
      </c>
      <c r="D8" s="10" t="s">
        <v>474</v>
      </c>
    </row>
    <row r="9" spans="2:4" ht="30" x14ac:dyDescent="0.25">
      <c r="B9" s="172" t="s">
        <v>448</v>
      </c>
      <c r="C9" s="173" t="s">
        <v>7</v>
      </c>
      <c r="D9" s="10" t="s">
        <v>475</v>
      </c>
    </row>
    <row r="10" spans="2:4" ht="60" x14ac:dyDescent="0.25">
      <c r="B10" s="172" t="s">
        <v>8</v>
      </c>
      <c r="C10" s="173" t="s">
        <v>7</v>
      </c>
      <c r="D10" s="10" t="s">
        <v>476</v>
      </c>
    </row>
    <row r="11" spans="2:4" ht="45" x14ac:dyDescent="0.25">
      <c r="B11" s="172" t="s">
        <v>449</v>
      </c>
      <c r="C11" s="173" t="s">
        <v>7</v>
      </c>
      <c r="D11" s="10" t="s">
        <v>477</v>
      </c>
    </row>
    <row r="12" spans="2:4" ht="30" x14ac:dyDescent="0.25">
      <c r="B12" s="172" t="s">
        <v>450</v>
      </c>
      <c r="C12" s="201" t="s">
        <v>7</v>
      </c>
      <c r="D12" s="10" t="s">
        <v>451</v>
      </c>
    </row>
    <row r="13" spans="2:4" ht="30" x14ac:dyDescent="0.25">
      <c r="B13" s="172" t="s">
        <v>9</v>
      </c>
      <c r="C13" s="173" t="s">
        <v>7</v>
      </c>
      <c r="D13" s="10" t="s">
        <v>10</v>
      </c>
    </row>
    <row r="14" spans="2:4" ht="90" x14ac:dyDescent="0.25">
      <c r="B14" s="468" t="s">
        <v>11</v>
      </c>
      <c r="C14" s="469" t="s">
        <v>5</v>
      </c>
      <c r="D14" s="470" t="s">
        <v>478</v>
      </c>
    </row>
    <row r="15" spans="2:4" ht="90" x14ac:dyDescent="0.25">
      <c r="B15" s="465" t="s">
        <v>12</v>
      </c>
      <c r="C15" s="466" t="s">
        <v>5</v>
      </c>
      <c r="D15" s="467" t="s">
        <v>479</v>
      </c>
    </row>
    <row r="16" spans="2:4" ht="105" x14ac:dyDescent="0.25">
      <c r="B16" s="465" t="s">
        <v>13</v>
      </c>
      <c r="C16" s="466" t="s">
        <v>5</v>
      </c>
      <c r="D16" s="471" t="s">
        <v>480</v>
      </c>
    </row>
  </sheetData>
  <sheetProtection algorithmName="SHA-512" hashValue="IU9YrQ8mcMz/GBHDhnZyDv4e8706lQktyDFJa1ZKHsmj6L+I2n3JkFPxWq0EHctOOcNY9Dtk3Wqe4miE1WUGng==" saltValue="bf6rcNzRCbH5YElLxNTQLg==" spinCount="100000" sheet="1" objects="1" scenarios="1"/>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27F955-CA2A-4794-B4D9-6F63F496C241}">
  <sheetPr codeName="Sheet12">
    <tabColor theme="3"/>
  </sheetPr>
  <dimension ref="A1:G18"/>
  <sheetViews>
    <sheetView zoomScaleNormal="100" workbookViewId="0">
      <selection activeCell="E10" sqref="E10"/>
    </sheetView>
  </sheetViews>
  <sheetFormatPr defaultColWidth="9.140625" defaultRowHeight="15" x14ac:dyDescent="0.25"/>
  <cols>
    <col min="1" max="1" width="33.140625" customWidth="1"/>
    <col min="2" max="3" width="24" customWidth="1"/>
    <col min="4" max="4" width="39.140625" customWidth="1"/>
    <col min="5" max="5" width="23.42578125" customWidth="1"/>
    <col min="6" max="6" width="27.5703125" customWidth="1"/>
    <col min="7" max="7" width="26.5703125" customWidth="1"/>
  </cols>
  <sheetData>
    <row r="1" spans="1:7" x14ac:dyDescent="0.25">
      <c r="A1" s="1" t="s">
        <v>160</v>
      </c>
    </row>
    <row r="2" spans="1:7" x14ac:dyDescent="0.25">
      <c r="A2" s="1" t="s">
        <v>452</v>
      </c>
    </row>
    <row r="3" spans="1:7" ht="15" customHeight="1" x14ac:dyDescent="0.25">
      <c r="E3" s="531" t="s">
        <v>490</v>
      </c>
      <c r="F3" s="531"/>
      <c r="G3" s="531"/>
    </row>
    <row r="4" spans="1:7" x14ac:dyDescent="0.25">
      <c r="A4" t="s">
        <v>161</v>
      </c>
      <c r="E4" s="531"/>
      <c r="F4" s="531"/>
      <c r="G4" s="531"/>
    </row>
    <row r="5" spans="1:7" ht="15" customHeight="1" x14ac:dyDescent="0.25">
      <c r="E5" s="531"/>
      <c r="F5" s="531"/>
      <c r="G5" s="531"/>
    </row>
    <row r="6" spans="1:7" x14ac:dyDescent="0.25">
      <c r="E6" s="531"/>
      <c r="F6" s="531"/>
      <c r="G6" s="531"/>
    </row>
    <row r="7" spans="1:7" x14ac:dyDescent="0.25">
      <c r="E7" s="531"/>
      <c r="F7" s="531"/>
      <c r="G7" s="531"/>
    </row>
    <row r="8" spans="1:7" ht="40.35" customHeight="1" x14ac:dyDescent="0.25">
      <c r="E8" s="532"/>
      <c r="F8" s="532"/>
      <c r="G8" s="532"/>
    </row>
    <row r="9" spans="1:7" x14ac:dyDescent="0.25">
      <c r="A9" s="4" t="s">
        <v>181</v>
      </c>
      <c r="B9" s="4" t="s">
        <v>182</v>
      </c>
      <c r="C9" s="4" t="s">
        <v>183</v>
      </c>
      <c r="E9" s="4" t="s">
        <v>224</v>
      </c>
      <c r="F9" s="4" t="s">
        <v>225</v>
      </c>
      <c r="G9" s="4" t="s">
        <v>226</v>
      </c>
    </row>
    <row r="10" spans="1:7" s="183" customFormat="1" ht="45" x14ac:dyDescent="0.25">
      <c r="A10" s="181" t="s">
        <v>70</v>
      </c>
      <c r="B10" s="184" t="s">
        <v>227</v>
      </c>
      <c r="C10" s="184" t="s">
        <v>426</v>
      </c>
      <c r="E10" s="175" t="s">
        <v>70</v>
      </c>
      <c r="F10" s="175" t="s">
        <v>228</v>
      </c>
      <c r="G10" s="175" t="s">
        <v>427</v>
      </c>
    </row>
    <row r="11" spans="1:7" x14ac:dyDescent="0.25">
      <c r="A11" s="386"/>
      <c r="B11" s="395"/>
      <c r="C11" s="396"/>
      <c r="E11" s="443"/>
      <c r="F11" s="226"/>
      <c r="G11" s="226"/>
    </row>
    <row r="12" spans="1:7" x14ac:dyDescent="0.25">
      <c r="A12" s="389"/>
      <c r="B12" s="114"/>
      <c r="C12" s="397"/>
    </row>
    <row r="13" spans="1:7" x14ac:dyDescent="0.25">
      <c r="A13" s="386"/>
      <c r="B13" s="395"/>
      <c r="C13" s="396"/>
    </row>
    <row r="14" spans="1:7" x14ac:dyDescent="0.25">
      <c r="A14" s="389"/>
      <c r="B14" s="114"/>
      <c r="C14" s="397"/>
    </row>
    <row r="15" spans="1:7" x14ac:dyDescent="0.25">
      <c r="A15" s="386"/>
      <c r="B15" s="395"/>
      <c r="C15" s="396"/>
    </row>
    <row r="16" spans="1:7" x14ac:dyDescent="0.25">
      <c r="A16" s="389"/>
      <c r="B16" s="114"/>
      <c r="C16" s="397"/>
    </row>
    <row r="17" spans="1:3" x14ac:dyDescent="0.25">
      <c r="A17" s="386"/>
      <c r="B17" s="395"/>
      <c r="C17" s="396"/>
    </row>
    <row r="18" spans="1:3" x14ac:dyDescent="0.25">
      <c r="A18" s="398"/>
      <c r="B18" s="399"/>
      <c r="C18" s="400"/>
    </row>
  </sheetData>
  <sheetProtection algorithmName="SHA-512" hashValue="KiqM4KsIgUV64Y6qIZtREFzduGyuzIGGkhRYqSPS9KOoQFtE7wB/BRyjIO13o4dTw3q817FM8tg7MBrSJqk/ng==" saltValue="vQMLy9dJZ+7bj761/SV9zA==" spinCount="100000" sheet="1" objects="1" scenarios="1"/>
  <protectedRanges>
    <protectedRange sqref="E11:G11" name="Range2"/>
    <protectedRange sqref="A11:C18" name="Range1"/>
  </protectedRanges>
  <mergeCells count="1">
    <mergeCell ref="E3:G8"/>
  </mergeCells>
  <dataValidations count="3">
    <dataValidation type="whole" allowBlank="1" showInputMessage="1" showErrorMessage="1" error="901 = Individual_x000a_902 = Large group, fully insured_x000a_903 = Small group, full insured_x000a_904 = Self-insured_x000a_905 = Student market_x000a_906 = Medicare managed care_x000a_907 = Medicaid/CHIP managed care_x000a_908 = Medicare/Medicaid duals" prompt="901 = Individual_x000a_902 = Large group, fully insured_x000a_903 = Small group, full insured_x000a_904 = Self-insured_x000a_905 = Student market_x000a_906 = Medicare managed care_x000a_907 = Medicaid/CHIP managed care_x000a_908 = Medicare/Medicaid duals" sqref="A11:A18" xr:uid="{963EF0D4-AC46-4FE1-BDB4-94C1AB15818E}">
      <formula1>901</formula1>
      <formula2>908</formula2>
    </dataValidation>
    <dataValidation type="decimal" operator="greaterThan" allowBlank="1" showInputMessage="1" showErrorMessage="1" error="See Definitions tab." prompt="See Definitions tab." sqref="B11:C18" xr:uid="{EC72DC3A-E98A-40FC-ACCD-872394E01B6A}">
      <formula1>0</formula1>
    </dataValidation>
    <dataValidation type="whole" allowBlank="1" showInputMessage="1" showErrorMessage="1" error="901 = Individual_x000a_902 = Large group, fully insured_x000a_903 = Small group, full insured_x000a_904 = Self-insured_x000a_905 = Student market_x000a_906 = Medicare managed care_x000a_907 = Medicaid/CHIP managed care_x000a_908 = Medicare/Medicaid duals" prompt="904 = Self-insured" sqref="E11" xr:uid="{C3DCA4AA-D09B-44B7-BA36-E2E3FDBA1D63}">
      <formula1>901</formula1>
      <formula2>908</formula2>
    </dataValidation>
  </dataValidations>
  <pageMargins left="0.7" right="0.7" top="0.75" bottom="0.75" header="0.3" footer="0.3"/>
  <drawing r:id="rId1"/>
  <tableParts count="2">
    <tablePart r:id="rId2"/>
    <tablePart r:id="rId3"/>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3C3848-A909-4FFC-BB87-33176D081FBD}">
  <sheetPr codeName="Sheet13">
    <tabColor theme="4"/>
  </sheetPr>
  <dimension ref="A1:E120"/>
  <sheetViews>
    <sheetView topLeftCell="A2" zoomScaleNormal="100" workbookViewId="0">
      <selection activeCell="A9" sqref="A9"/>
    </sheetView>
  </sheetViews>
  <sheetFormatPr defaultColWidth="9.140625" defaultRowHeight="15" x14ac:dyDescent="0.25"/>
  <cols>
    <col min="1" max="1" width="43.5703125" customWidth="1"/>
    <col min="2" max="2" width="25" customWidth="1"/>
    <col min="3" max="5" width="22" customWidth="1"/>
  </cols>
  <sheetData>
    <row r="1" spans="1:5" x14ac:dyDescent="0.25">
      <c r="A1" s="1" t="s">
        <v>160</v>
      </c>
      <c r="B1" s="1"/>
    </row>
    <row r="2" spans="1:5" ht="26.45" customHeight="1" x14ac:dyDescent="0.25">
      <c r="A2" s="1" t="s">
        <v>234</v>
      </c>
      <c r="B2" s="1"/>
      <c r="D2" s="530" t="s">
        <v>229</v>
      </c>
      <c r="E2" s="530"/>
    </row>
    <row r="3" spans="1:5" x14ac:dyDescent="0.25">
      <c r="D3" s="533" t="str">
        <f>IF(AND(A11&lt;&gt;"", OR('Data Validation'!C20&gt;0,'Data Validation'!D20&gt;0,'Data Validation'!E20&gt;0)), "PLEASE REVIEW - Misalignment of truncated spending for 2022. Check Data Validation tab.", "Good")</f>
        <v>Good</v>
      </c>
      <c r="E3" s="533"/>
    </row>
    <row r="4" spans="1:5" x14ac:dyDescent="0.25">
      <c r="A4" t="s">
        <v>161</v>
      </c>
      <c r="D4" s="533"/>
      <c r="E4" s="533"/>
    </row>
    <row r="5" spans="1:5" x14ac:dyDescent="0.25">
      <c r="D5" s="533"/>
      <c r="E5" s="533"/>
    </row>
    <row r="7" spans="1:5" x14ac:dyDescent="0.25">
      <c r="B7" s="164" t="s">
        <v>230</v>
      </c>
    </row>
    <row r="8" spans="1:5" x14ac:dyDescent="0.25">
      <c r="A8" s="30"/>
      <c r="B8" s="30"/>
    </row>
    <row r="9" spans="1:5" x14ac:dyDescent="0.25">
      <c r="B9" s="164" t="s">
        <v>69</v>
      </c>
      <c r="C9" s="4" t="s">
        <v>181</v>
      </c>
      <c r="D9" s="4" t="s">
        <v>182</v>
      </c>
      <c r="E9" s="4" t="s">
        <v>183</v>
      </c>
    </row>
    <row r="10" spans="1:5" s="183" customFormat="1" ht="30" x14ac:dyDescent="0.25">
      <c r="A10" s="178" t="s">
        <v>210</v>
      </c>
      <c r="B10" s="185" t="s">
        <v>231</v>
      </c>
      <c r="C10" s="182" t="s">
        <v>211</v>
      </c>
      <c r="D10" s="182" t="s">
        <v>232</v>
      </c>
      <c r="E10" s="182" t="s">
        <v>233</v>
      </c>
    </row>
    <row r="11" spans="1:5" x14ac:dyDescent="0.25">
      <c r="A11" s="386"/>
      <c r="B11" s="310"/>
      <c r="C11" s="311"/>
      <c r="D11" s="401"/>
      <c r="E11" s="402"/>
    </row>
    <row r="12" spans="1:5" x14ac:dyDescent="0.25">
      <c r="A12" s="389"/>
      <c r="B12" s="4"/>
      <c r="C12" s="16"/>
      <c r="D12" s="403"/>
      <c r="E12" s="404"/>
    </row>
    <row r="13" spans="1:5" x14ac:dyDescent="0.25">
      <c r="A13" s="386"/>
      <c r="B13" s="310"/>
      <c r="C13" s="311"/>
      <c r="D13" s="401"/>
      <c r="E13" s="402"/>
    </row>
    <row r="14" spans="1:5" x14ac:dyDescent="0.25">
      <c r="A14" s="389"/>
      <c r="B14" s="4"/>
      <c r="C14" s="16"/>
      <c r="D14" s="403"/>
      <c r="E14" s="404"/>
    </row>
    <row r="15" spans="1:5" x14ac:dyDescent="0.25">
      <c r="A15" s="386"/>
      <c r="B15" s="310"/>
      <c r="C15" s="311"/>
      <c r="D15" s="401"/>
      <c r="E15" s="402"/>
    </row>
    <row r="16" spans="1:5" x14ac:dyDescent="0.25">
      <c r="A16" s="389"/>
      <c r="B16" s="4"/>
      <c r="C16" s="16"/>
      <c r="D16" s="403"/>
      <c r="E16" s="404"/>
    </row>
    <row r="17" spans="1:5" x14ac:dyDescent="0.25">
      <c r="A17" s="386"/>
      <c r="B17" s="310"/>
      <c r="C17" s="311"/>
      <c r="D17" s="401"/>
      <c r="E17" s="402"/>
    </row>
    <row r="18" spans="1:5" x14ac:dyDescent="0.25">
      <c r="A18" s="389"/>
      <c r="B18" s="4"/>
      <c r="C18" s="16"/>
      <c r="D18" s="403"/>
      <c r="E18" s="404"/>
    </row>
    <row r="19" spans="1:5" x14ac:dyDescent="0.25">
      <c r="A19" s="386"/>
      <c r="B19" s="310"/>
      <c r="C19" s="311"/>
      <c r="D19" s="401"/>
      <c r="E19" s="402"/>
    </row>
    <row r="20" spans="1:5" x14ac:dyDescent="0.25">
      <c r="A20" s="389"/>
      <c r="B20" s="4"/>
      <c r="C20" s="16"/>
      <c r="D20" s="403"/>
      <c r="E20" s="404"/>
    </row>
    <row r="21" spans="1:5" x14ac:dyDescent="0.25">
      <c r="A21" s="386"/>
      <c r="B21" s="310"/>
      <c r="C21" s="311"/>
      <c r="D21" s="401"/>
      <c r="E21" s="402"/>
    </row>
    <row r="22" spans="1:5" x14ac:dyDescent="0.25">
      <c r="A22" s="389"/>
      <c r="B22" s="4"/>
      <c r="C22" s="16"/>
      <c r="D22" s="403"/>
      <c r="E22" s="404"/>
    </row>
    <row r="23" spans="1:5" x14ac:dyDescent="0.25">
      <c r="A23" s="386"/>
      <c r="B23" s="310"/>
      <c r="C23" s="311"/>
      <c r="D23" s="401"/>
      <c r="E23" s="402"/>
    </row>
    <row r="24" spans="1:5" x14ac:dyDescent="0.25">
      <c r="A24" s="389"/>
      <c r="B24" s="4"/>
      <c r="C24" s="16"/>
      <c r="D24" s="403"/>
      <c r="E24" s="404"/>
    </row>
    <row r="25" spans="1:5" x14ac:dyDescent="0.25">
      <c r="A25" s="386"/>
      <c r="B25" s="310"/>
      <c r="C25" s="311"/>
      <c r="D25" s="401"/>
      <c r="E25" s="402"/>
    </row>
    <row r="26" spans="1:5" x14ac:dyDescent="0.25">
      <c r="A26" s="389"/>
      <c r="B26" s="4"/>
      <c r="C26" s="16"/>
      <c r="D26" s="403"/>
      <c r="E26" s="404"/>
    </row>
    <row r="27" spans="1:5" x14ac:dyDescent="0.25">
      <c r="A27" s="386"/>
      <c r="B27" s="310"/>
      <c r="C27" s="311"/>
      <c r="D27" s="401"/>
      <c r="E27" s="402"/>
    </row>
    <row r="28" spans="1:5" x14ac:dyDescent="0.25">
      <c r="A28" s="389"/>
      <c r="B28" s="4"/>
      <c r="C28" s="16"/>
      <c r="D28" s="403"/>
      <c r="E28" s="404"/>
    </row>
    <row r="29" spans="1:5" x14ac:dyDescent="0.25">
      <c r="A29" s="386"/>
      <c r="B29" s="310"/>
      <c r="C29" s="311"/>
      <c r="D29" s="401"/>
      <c r="E29" s="402"/>
    </row>
    <row r="30" spans="1:5" x14ac:dyDescent="0.25">
      <c r="A30" s="389"/>
      <c r="B30" s="4"/>
      <c r="C30" s="16"/>
      <c r="D30" s="403"/>
      <c r="E30" s="404"/>
    </row>
    <row r="31" spans="1:5" x14ac:dyDescent="0.25">
      <c r="A31" s="386"/>
      <c r="B31" s="310"/>
      <c r="C31" s="311"/>
      <c r="D31" s="407"/>
      <c r="E31" s="402"/>
    </row>
    <row r="32" spans="1:5" x14ac:dyDescent="0.25">
      <c r="A32" s="389"/>
      <c r="B32" s="4"/>
      <c r="C32" s="16"/>
      <c r="D32" s="408"/>
      <c r="E32" s="404"/>
    </row>
    <row r="33" spans="1:5" x14ac:dyDescent="0.25">
      <c r="A33" s="386"/>
      <c r="B33" s="310"/>
      <c r="C33" s="311"/>
      <c r="D33" s="407"/>
      <c r="E33" s="402"/>
    </row>
    <row r="34" spans="1:5" x14ac:dyDescent="0.25">
      <c r="A34" s="389"/>
      <c r="B34" s="4"/>
      <c r="C34" s="16"/>
      <c r="D34" s="408"/>
      <c r="E34" s="404"/>
    </row>
    <row r="35" spans="1:5" x14ac:dyDescent="0.25">
      <c r="A35" s="386"/>
      <c r="B35" s="310"/>
      <c r="C35" s="311"/>
      <c r="D35" s="407"/>
      <c r="E35" s="402"/>
    </row>
    <row r="36" spans="1:5" x14ac:dyDescent="0.25">
      <c r="A36" s="389"/>
      <c r="B36" s="4"/>
      <c r="C36" s="16"/>
      <c r="D36" s="408"/>
      <c r="E36" s="404"/>
    </row>
    <row r="37" spans="1:5" x14ac:dyDescent="0.25">
      <c r="A37" s="386"/>
      <c r="B37" s="310"/>
      <c r="C37" s="311"/>
      <c r="D37" s="407"/>
      <c r="E37" s="402"/>
    </row>
    <row r="38" spans="1:5" x14ac:dyDescent="0.25">
      <c r="A38" s="389"/>
      <c r="B38" s="4"/>
      <c r="C38" s="16"/>
      <c r="D38" s="408"/>
      <c r="E38" s="404"/>
    </row>
    <row r="39" spans="1:5" x14ac:dyDescent="0.25">
      <c r="A39" s="386"/>
      <c r="B39" s="310"/>
      <c r="C39" s="311"/>
      <c r="D39" s="407"/>
      <c r="E39" s="402"/>
    </row>
    <row r="40" spans="1:5" x14ac:dyDescent="0.25">
      <c r="A40" s="389"/>
      <c r="B40" s="4"/>
      <c r="C40" s="16"/>
      <c r="D40" s="408"/>
      <c r="E40" s="404"/>
    </row>
    <row r="41" spans="1:5" x14ac:dyDescent="0.25">
      <c r="A41" s="386"/>
      <c r="B41" s="310"/>
      <c r="C41" s="311"/>
      <c r="D41" s="407"/>
      <c r="E41" s="402"/>
    </row>
    <row r="42" spans="1:5" x14ac:dyDescent="0.25">
      <c r="A42" s="389"/>
      <c r="B42" s="4"/>
      <c r="C42" s="16"/>
      <c r="D42" s="408"/>
      <c r="E42" s="404"/>
    </row>
    <row r="43" spans="1:5" x14ac:dyDescent="0.25">
      <c r="A43" s="386"/>
      <c r="B43" s="310"/>
      <c r="C43" s="311"/>
      <c r="D43" s="407"/>
      <c r="E43" s="402"/>
    </row>
    <row r="44" spans="1:5" x14ac:dyDescent="0.25">
      <c r="A44" s="389"/>
      <c r="B44" s="4"/>
      <c r="C44" s="16"/>
      <c r="D44" s="408"/>
      <c r="E44" s="404"/>
    </row>
    <row r="45" spans="1:5" x14ac:dyDescent="0.25">
      <c r="A45" s="386"/>
      <c r="B45" s="310"/>
      <c r="C45" s="311"/>
      <c r="D45" s="407"/>
      <c r="E45" s="402"/>
    </row>
    <row r="46" spans="1:5" x14ac:dyDescent="0.25">
      <c r="A46" s="389"/>
      <c r="B46" s="4"/>
      <c r="C46" s="16"/>
      <c r="D46" s="408"/>
      <c r="E46" s="404"/>
    </row>
    <row r="47" spans="1:5" x14ac:dyDescent="0.25">
      <c r="A47" s="386"/>
      <c r="B47" s="310"/>
      <c r="C47" s="311"/>
      <c r="D47" s="407"/>
      <c r="E47" s="402"/>
    </row>
    <row r="48" spans="1:5" x14ac:dyDescent="0.25">
      <c r="A48" s="389"/>
      <c r="B48" s="4"/>
      <c r="C48" s="16"/>
      <c r="D48" s="408"/>
      <c r="E48" s="404"/>
    </row>
    <row r="49" spans="1:5" x14ac:dyDescent="0.25">
      <c r="A49" s="386"/>
      <c r="B49" s="310"/>
      <c r="C49" s="311"/>
      <c r="D49" s="407"/>
      <c r="E49" s="402"/>
    </row>
    <row r="50" spans="1:5" x14ac:dyDescent="0.25">
      <c r="A50" s="389"/>
      <c r="B50" s="4"/>
      <c r="C50" s="16"/>
      <c r="D50" s="408"/>
      <c r="E50" s="404"/>
    </row>
    <row r="51" spans="1:5" x14ac:dyDescent="0.25">
      <c r="A51" s="386"/>
      <c r="B51" s="310"/>
      <c r="C51" s="311"/>
      <c r="D51" s="407"/>
      <c r="E51" s="402"/>
    </row>
    <row r="52" spans="1:5" x14ac:dyDescent="0.25">
      <c r="A52" s="389"/>
      <c r="B52" s="4"/>
      <c r="C52" s="16"/>
      <c r="D52" s="408"/>
      <c r="E52" s="404"/>
    </row>
    <row r="53" spans="1:5" x14ac:dyDescent="0.25">
      <c r="A53" s="386"/>
      <c r="B53" s="310"/>
      <c r="C53" s="311"/>
      <c r="D53" s="407"/>
      <c r="E53" s="402"/>
    </row>
    <row r="54" spans="1:5" x14ac:dyDescent="0.25">
      <c r="A54" s="389"/>
      <c r="B54" s="4"/>
      <c r="C54" s="16"/>
      <c r="D54" s="408"/>
      <c r="E54" s="404"/>
    </row>
    <row r="55" spans="1:5" x14ac:dyDescent="0.25">
      <c r="A55" s="386"/>
      <c r="B55" s="310"/>
      <c r="C55" s="311"/>
      <c r="D55" s="407"/>
      <c r="E55" s="402"/>
    </row>
    <row r="56" spans="1:5" x14ac:dyDescent="0.25">
      <c r="A56" s="389"/>
      <c r="B56" s="4"/>
      <c r="C56" s="16"/>
      <c r="D56" s="408"/>
      <c r="E56" s="404"/>
    </row>
    <row r="57" spans="1:5" x14ac:dyDescent="0.25">
      <c r="A57" s="386"/>
      <c r="B57" s="310"/>
      <c r="C57" s="311"/>
      <c r="D57" s="407"/>
      <c r="E57" s="402"/>
    </row>
    <row r="58" spans="1:5" x14ac:dyDescent="0.25">
      <c r="A58" s="389"/>
      <c r="B58" s="4"/>
      <c r="C58" s="16"/>
      <c r="D58" s="408"/>
      <c r="E58" s="404"/>
    </row>
    <row r="59" spans="1:5" x14ac:dyDescent="0.25">
      <c r="A59" s="386"/>
      <c r="B59" s="310"/>
      <c r="C59" s="311"/>
      <c r="D59" s="407"/>
      <c r="E59" s="402"/>
    </row>
    <row r="60" spans="1:5" x14ac:dyDescent="0.25">
      <c r="A60" s="389"/>
      <c r="B60" s="4"/>
      <c r="C60" s="16"/>
      <c r="D60" s="408"/>
      <c r="E60" s="404"/>
    </row>
    <row r="61" spans="1:5" x14ac:dyDescent="0.25">
      <c r="A61" s="386"/>
      <c r="B61" s="310"/>
      <c r="C61" s="311"/>
      <c r="D61" s="401"/>
      <c r="E61" s="402"/>
    </row>
    <row r="62" spans="1:5" x14ac:dyDescent="0.25">
      <c r="A62" s="389"/>
      <c r="B62" s="4"/>
      <c r="C62" s="16"/>
      <c r="D62" s="403"/>
      <c r="E62" s="404"/>
    </row>
    <row r="63" spans="1:5" x14ac:dyDescent="0.25">
      <c r="A63" s="386"/>
      <c r="B63" s="310"/>
      <c r="C63" s="311"/>
      <c r="D63" s="401"/>
      <c r="E63" s="402"/>
    </row>
    <row r="64" spans="1:5" x14ac:dyDescent="0.25">
      <c r="A64" s="389"/>
      <c r="B64" s="4"/>
      <c r="C64" s="16"/>
      <c r="D64" s="403"/>
      <c r="E64" s="404"/>
    </row>
    <row r="65" spans="1:5" x14ac:dyDescent="0.25">
      <c r="A65" s="386"/>
      <c r="B65" s="310"/>
      <c r="C65" s="311"/>
      <c r="D65" s="401"/>
      <c r="E65" s="402"/>
    </row>
    <row r="66" spans="1:5" x14ac:dyDescent="0.25">
      <c r="A66" s="389"/>
      <c r="B66" s="4"/>
      <c r="C66" s="16"/>
      <c r="D66" s="403"/>
      <c r="E66" s="404"/>
    </row>
    <row r="67" spans="1:5" x14ac:dyDescent="0.25">
      <c r="A67" s="386"/>
      <c r="B67" s="310"/>
      <c r="C67" s="311"/>
      <c r="D67" s="401"/>
      <c r="E67" s="402"/>
    </row>
    <row r="68" spans="1:5" x14ac:dyDescent="0.25">
      <c r="A68" s="389"/>
      <c r="B68" s="4"/>
      <c r="C68" s="16"/>
      <c r="D68" s="403"/>
      <c r="E68" s="404"/>
    </row>
    <row r="69" spans="1:5" x14ac:dyDescent="0.25">
      <c r="A69" s="386"/>
      <c r="B69" s="310"/>
      <c r="C69" s="311"/>
      <c r="D69" s="401"/>
      <c r="E69" s="402"/>
    </row>
    <row r="70" spans="1:5" x14ac:dyDescent="0.25">
      <c r="A70" s="389"/>
      <c r="B70" s="4"/>
      <c r="C70" s="16"/>
      <c r="D70" s="403"/>
      <c r="E70" s="404"/>
    </row>
    <row r="71" spans="1:5" x14ac:dyDescent="0.25">
      <c r="A71" s="386"/>
      <c r="B71" s="310"/>
      <c r="C71" s="311"/>
      <c r="D71" s="401"/>
      <c r="E71" s="402"/>
    </row>
    <row r="72" spans="1:5" x14ac:dyDescent="0.25">
      <c r="A72" s="389"/>
      <c r="B72" s="4"/>
      <c r="C72" s="16"/>
      <c r="D72" s="403"/>
      <c r="E72" s="404"/>
    </row>
    <row r="73" spans="1:5" x14ac:dyDescent="0.25">
      <c r="A73" s="386"/>
      <c r="B73" s="310"/>
      <c r="C73" s="311"/>
      <c r="D73" s="401"/>
      <c r="E73" s="402"/>
    </row>
    <row r="74" spans="1:5" x14ac:dyDescent="0.25">
      <c r="A74" s="389"/>
      <c r="B74" s="4"/>
      <c r="C74" s="16"/>
      <c r="D74" s="403"/>
      <c r="E74" s="404"/>
    </row>
    <row r="75" spans="1:5" x14ac:dyDescent="0.25">
      <c r="A75" s="386"/>
      <c r="B75" s="310"/>
      <c r="C75" s="311"/>
      <c r="D75" s="401"/>
      <c r="E75" s="402"/>
    </row>
    <row r="76" spans="1:5" x14ac:dyDescent="0.25">
      <c r="A76" s="389"/>
      <c r="B76" s="4"/>
      <c r="C76" s="16"/>
      <c r="D76" s="403"/>
      <c r="E76" s="404"/>
    </row>
    <row r="77" spans="1:5" x14ac:dyDescent="0.25">
      <c r="A77" s="386"/>
      <c r="B77" s="310"/>
      <c r="C77" s="311"/>
      <c r="D77" s="401"/>
      <c r="E77" s="402"/>
    </row>
    <row r="78" spans="1:5" x14ac:dyDescent="0.25">
      <c r="A78" s="389"/>
      <c r="B78" s="4"/>
      <c r="C78" s="16"/>
      <c r="D78" s="403"/>
      <c r="E78" s="404"/>
    </row>
    <row r="79" spans="1:5" x14ac:dyDescent="0.25">
      <c r="A79" s="386"/>
      <c r="B79" s="310"/>
      <c r="C79" s="311"/>
      <c r="D79" s="401"/>
      <c r="E79" s="402"/>
    </row>
    <row r="80" spans="1:5" x14ac:dyDescent="0.25">
      <c r="A80" s="389"/>
      <c r="B80" s="4"/>
      <c r="C80" s="16"/>
      <c r="D80" s="403"/>
      <c r="E80" s="404"/>
    </row>
    <row r="81" spans="1:5" x14ac:dyDescent="0.25">
      <c r="A81" s="386"/>
      <c r="B81" s="310"/>
      <c r="C81" s="311"/>
      <c r="D81" s="401"/>
      <c r="E81" s="402"/>
    </row>
    <row r="82" spans="1:5" x14ac:dyDescent="0.25">
      <c r="A82" s="389"/>
      <c r="B82" s="4"/>
      <c r="C82" s="16"/>
      <c r="D82" s="403"/>
      <c r="E82" s="404"/>
    </row>
    <row r="83" spans="1:5" x14ac:dyDescent="0.25">
      <c r="A83" s="386"/>
      <c r="B83" s="310"/>
      <c r="C83" s="311"/>
      <c r="D83" s="401"/>
      <c r="E83" s="402"/>
    </row>
    <row r="84" spans="1:5" x14ac:dyDescent="0.25">
      <c r="A84" s="389"/>
      <c r="B84" s="4"/>
      <c r="C84" s="16"/>
      <c r="D84" s="403"/>
      <c r="E84" s="404"/>
    </row>
    <row r="85" spans="1:5" x14ac:dyDescent="0.25">
      <c r="A85" s="386"/>
      <c r="B85" s="310"/>
      <c r="C85" s="311"/>
      <c r="D85" s="401"/>
      <c r="E85" s="402"/>
    </row>
    <row r="86" spans="1:5" x14ac:dyDescent="0.25">
      <c r="A86" s="389"/>
      <c r="B86" s="4"/>
      <c r="C86" s="16"/>
      <c r="D86" s="403"/>
      <c r="E86" s="404"/>
    </row>
    <row r="87" spans="1:5" x14ac:dyDescent="0.25">
      <c r="A87" s="386"/>
      <c r="B87" s="310"/>
      <c r="C87" s="311"/>
      <c r="D87" s="401"/>
      <c r="E87" s="402"/>
    </row>
    <row r="88" spans="1:5" x14ac:dyDescent="0.25">
      <c r="A88" s="389"/>
      <c r="B88" s="4"/>
      <c r="C88" s="16"/>
      <c r="D88" s="403"/>
      <c r="E88" s="404"/>
    </row>
    <row r="89" spans="1:5" x14ac:dyDescent="0.25">
      <c r="A89" s="386"/>
      <c r="B89" s="310"/>
      <c r="C89" s="311"/>
      <c r="D89" s="401"/>
      <c r="E89" s="402"/>
    </row>
    <row r="90" spans="1:5" x14ac:dyDescent="0.25">
      <c r="A90" s="398"/>
      <c r="B90" s="384"/>
      <c r="C90" s="385"/>
      <c r="D90" s="405"/>
      <c r="E90" s="406"/>
    </row>
    <row r="91" spans="1:5" x14ac:dyDescent="0.25">
      <c r="A91" s="386"/>
      <c r="B91" s="310"/>
      <c r="C91" s="311"/>
      <c r="D91" s="401"/>
      <c r="E91" s="402"/>
    </row>
    <row r="92" spans="1:5" x14ac:dyDescent="0.25">
      <c r="A92" s="398"/>
      <c r="B92" s="384"/>
      <c r="C92" s="385"/>
      <c r="D92" s="405"/>
      <c r="E92" s="406"/>
    </row>
    <row r="93" spans="1:5" x14ac:dyDescent="0.25">
      <c r="A93" s="386"/>
      <c r="B93" s="310"/>
      <c r="C93" s="311"/>
      <c r="D93" s="401"/>
      <c r="E93" s="402"/>
    </row>
    <row r="94" spans="1:5" x14ac:dyDescent="0.25">
      <c r="A94" s="398"/>
      <c r="B94" s="384"/>
      <c r="C94" s="385"/>
      <c r="D94" s="405"/>
      <c r="E94" s="406"/>
    </row>
    <row r="95" spans="1:5" x14ac:dyDescent="0.25">
      <c r="A95" s="386"/>
      <c r="B95" s="310"/>
      <c r="C95" s="311"/>
      <c r="D95" s="401"/>
      <c r="E95" s="402"/>
    </row>
    <row r="96" spans="1:5" x14ac:dyDescent="0.25">
      <c r="A96" s="398"/>
      <c r="B96" s="384"/>
      <c r="C96" s="385"/>
      <c r="D96" s="405"/>
      <c r="E96" s="406"/>
    </row>
    <row r="97" spans="1:5" x14ac:dyDescent="0.25">
      <c r="A97" s="386"/>
      <c r="B97" s="310"/>
      <c r="C97" s="311"/>
      <c r="D97" s="401"/>
      <c r="E97" s="402"/>
    </row>
    <row r="98" spans="1:5" x14ac:dyDescent="0.25">
      <c r="A98" s="398"/>
      <c r="B98" s="384"/>
      <c r="C98" s="385"/>
      <c r="D98" s="405"/>
      <c r="E98" s="406"/>
    </row>
    <row r="99" spans="1:5" x14ac:dyDescent="0.25">
      <c r="A99" s="386"/>
      <c r="B99" s="310"/>
      <c r="C99" s="311"/>
      <c r="D99" s="401"/>
      <c r="E99" s="402"/>
    </row>
    <row r="100" spans="1:5" x14ac:dyDescent="0.25">
      <c r="A100" s="398"/>
      <c r="B100" s="384"/>
      <c r="C100" s="385"/>
      <c r="D100" s="405"/>
      <c r="E100" s="406"/>
    </row>
    <row r="101" spans="1:5" x14ac:dyDescent="0.25">
      <c r="A101" s="386"/>
      <c r="B101" s="310"/>
      <c r="C101" s="311"/>
      <c r="D101" s="401"/>
      <c r="E101" s="402"/>
    </row>
    <row r="102" spans="1:5" x14ac:dyDescent="0.25">
      <c r="A102" s="398"/>
      <c r="B102" s="384"/>
      <c r="C102" s="385"/>
      <c r="D102" s="405"/>
      <c r="E102" s="406"/>
    </row>
    <row r="103" spans="1:5" x14ac:dyDescent="0.25">
      <c r="A103" s="386"/>
      <c r="B103" s="310"/>
      <c r="C103" s="311"/>
      <c r="D103" s="401"/>
      <c r="E103" s="402"/>
    </row>
    <row r="104" spans="1:5" x14ac:dyDescent="0.25">
      <c r="A104" s="398"/>
      <c r="B104" s="384"/>
      <c r="C104" s="385"/>
      <c r="D104" s="405"/>
      <c r="E104" s="406"/>
    </row>
    <row r="105" spans="1:5" x14ac:dyDescent="0.25">
      <c r="A105" s="386"/>
      <c r="B105" s="310"/>
      <c r="C105" s="311"/>
      <c r="D105" s="401"/>
      <c r="E105" s="402"/>
    </row>
    <row r="106" spans="1:5" x14ac:dyDescent="0.25">
      <c r="A106" s="398"/>
      <c r="B106" s="384"/>
      <c r="C106" s="385"/>
      <c r="D106" s="405"/>
      <c r="E106" s="406"/>
    </row>
    <row r="107" spans="1:5" x14ac:dyDescent="0.25">
      <c r="A107" s="386"/>
      <c r="B107" s="310"/>
      <c r="C107" s="311"/>
      <c r="D107" s="401"/>
      <c r="E107" s="402"/>
    </row>
    <row r="108" spans="1:5" x14ac:dyDescent="0.25">
      <c r="A108" s="398"/>
      <c r="B108" s="384"/>
      <c r="C108" s="385"/>
      <c r="D108" s="405"/>
      <c r="E108" s="406"/>
    </row>
    <row r="109" spans="1:5" x14ac:dyDescent="0.25">
      <c r="A109" s="386"/>
      <c r="B109" s="310"/>
      <c r="C109" s="311"/>
      <c r="D109" s="401"/>
      <c r="E109" s="402"/>
    </row>
    <row r="110" spans="1:5" x14ac:dyDescent="0.25">
      <c r="A110" s="398"/>
      <c r="B110" s="384"/>
      <c r="C110" s="385"/>
      <c r="D110" s="405"/>
      <c r="E110" s="406"/>
    </row>
    <row r="111" spans="1:5" x14ac:dyDescent="0.25">
      <c r="A111" s="386"/>
      <c r="B111" s="310"/>
      <c r="C111" s="311"/>
      <c r="D111" s="401"/>
      <c r="E111" s="402"/>
    </row>
    <row r="112" spans="1:5" x14ac:dyDescent="0.25">
      <c r="A112" s="398"/>
      <c r="B112" s="384"/>
      <c r="C112" s="385"/>
      <c r="D112" s="405"/>
      <c r="E112" s="406"/>
    </row>
    <row r="113" spans="1:5" x14ac:dyDescent="0.25">
      <c r="A113" s="386"/>
      <c r="B113" s="310"/>
      <c r="C113" s="311"/>
      <c r="D113" s="401"/>
      <c r="E113" s="402"/>
    </row>
    <row r="114" spans="1:5" x14ac:dyDescent="0.25">
      <c r="A114" s="398"/>
      <c r="B114" s="384"/>
      <c r="C114" s="385"/>
      <c r="D114" s="405"/>
      <c r="E114" s="406"/>
    </row>
    <row r="115" spans="1:5" x14ac:dyDescent="0.25">
      <c r="A115" s="386"/>
      <c r="B115" s="310"/>
      <c r="C115" s="311"/>
      <c r="D115" s="401"/>
      <c r="E115" s="402"/>
    </row>
    <row r="116" spans="1:5" x14ac:dyDescent="0.25">
      <c r="A116" s="398"/>
      <c r="B116" s="384"/>
      <c r="C116" s="385"/>
      <c r="D116" s="405"/>
      <c r="E116" s="406"/>
    </row>
    <row r="117" spans="1:5" x14ac:dyDescent="0.25">
      <c r="A117" s="386"/>
      <c r="B117" s="310"/>
      <c r="C117" s="311"/>
      <c r="D117" s="401"/>
      <c r="E117" s="402"/>
    </row>
    <row r="118" spans="1:5" x14ac:dyDescent="0.25">
      <c r="A118" s="398"/>
      <c r="B118" s="384"/>
      <c r="C118" s="385"/>
      <c r="D118" s="405"/>
      <c r="E118" s="406"/>
    </row>
    <row r="119" spans="1:5" x14ac:dyDescent="0.25">
      <c r="A119" s="386"/>
      <c r="B119" s="310"/>
      <c r="C119" s="311"/>
      <c r="D119" s="401"/>
      <c r="E119" s="402"/>
    </row>
    <row r="120" spans="1:5" x14ac:dyDescent="0.25">
      <c r="A120" s="398"/>
      <c r="B120" s="384"/>
      <c r="C120" s="385"/>
      <c r="D120" s="405"/>
      <c r="E120" s="406"/>
    </row>
  </sheetData>
  <sheetProtection algorithmName="SHA-512" hashValue="bXJV2CvWeb1m9GKlRjbrkZA8oReKy0vZhluqEvigO9SJZMdEb4hOmnZbNRKBmNyt+nYHCgeVpFvIzNMcYmrPMg==" saltValue="JqzzHip3NKYVS6MnPhHlFg==" spinCount="100000" sheet="1" insertRows="0"/>
  <protectedRanges>
    <protectedRange sqref="A11:E120" name="Range1"/>
  </protectedRanges>
  <mergeCells count="2">
    <mergeCell ref="D3:E5"/>
    <mergeCell ref="D2:E2"/>
  </mergeCells>
  <conditionalFormatting sqref="D3:E5">
    <cfRule type="notContainsText" dxfId="138" priority="1" operator="notContains" text="Good">
      <formula>ISERROR(SEARCH("Good",D3))</formula>
    </cfRule>
    <cfRule type="containsText" dxfId="137" priority="2" operator="containsText" text="Good">
      <formula>NOT(ISERROR(SEARCH("Good",D3)))</formula>
    </cfRule>
  </conditionalFormatting>
  <dataValidations xWindow="228" yWindow="654" count="4">
    <dataValidation allowBlank="1" showInputMessage="1" showErrorMessage="1" error="See Definitions tab." prompt="See Definitions tab." sqref="D11:E120" xr:uid="{FB08230F-11B1-493D-B38A-9DF4F852D2BF}"/>
    <dataValidation type="whole" allowBlank="1" showInputMessage="1" showErrorMessage="1" error="Please input the OHS-assigned organizational ID of the Advanced Network or the Carrier Overall ID (100). " prompt="If inputting Advanced Network-level TME, please input the OHS-assigned organizational ID of the Advanced Network._x000a_If inputting insurance carrier-level standard deviation, please input the Carrier Overall ID (100)." sqref="A11:A120" xr:uid="{FDE5FF0C-633E-4ECF-AEF1-BE1D7BEC6B1C}">
      <formula1>100</formula1>
      <formula2>999</formula2>
    </dataValidation>
    <dataValidation type="whole" allowBlank="1" showInputMessage="1" showErrorMessage="1" error="2 = Medicaid and Medicaid MCOs_x000a_6= Medicaid Expenditures for Duals" prompt="1 = Medicare (Insurance Category Codes 1 and 5)_x000a_2 = Medicaid (Insurance Category Codes 2 and 6)_x000a_3 = Commercial (Insurance Category Codes 3 and 4)" sqref="B11:B120" xr:uid="{ED72999B-7D11-448A-95F1-0A1BF4345939}">
      <formula1>1</formula1>
      <formula2>3</formula2>
    </dataValidation>
    <dataValidation type="decimal" operator="greaterThan" allowBlank="1" showInputMessage="1" showErrorMessage="1" prompt="The number of unique members participating in a plan each month with a medical benefit, regardless of whether the member has any paid claims._x000a_" sqref="C11:C120" xr:uid="{11137EE2-1A4E-4BA1-858F-DA468A99F099}">
      <formula1>0</formula1>
    </dataValidation>
  </dataValidations>
  <hyperlinks>
    <hyperlink ref="D2:E2" location="'Data Validation'!B20" display="Check for alignment of truncated spending by market" xr:uid="{094C5F72-0F5E-48D8-9F17-6272CA1BDA13}"/>
  </hyperlinks>
  <pageMargins left="0.7" right="0.7" top="0.75" bottom="0.75" header="0.3" footer="0.3"/>
  <pageSetup orientation="portrait" horizontalDpi="1200" verticalDpi="1200" r:id="rId1"/>
  <drawing r:id="rId2"/>
  <tableParts count="1">
    <tablePart r:id="rId3"/>
  </tablePart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F983B0-593A-470A-897C-6D58A92D4F1A}">
  <sheetPr codeName="Sheet14">
    <tabColor theme="3"/>
  </sheetPr>
  <dimension ref="A1:E120"/>
  <sheetViews>
    <sheetView zoomScaleNormal="100" workbookViewId="0">
      <selection activeCell="D3" sqref="D3:E5"/>
    </sheetView>
  </sheetViews>
  <sheetFormatPr defaultColWidth="9.140625" defaultRowHeight="15" x14ac:dyDescent="0.25"/>
  <cols>
    <col min="1" max="1" width="43.5703125" customWidth="1"/>
    <col min="2" max="2" width="25" customWidth="1"/>
    <col min="3" max="5" width="22" customWidth="1"/>
  </cols>
  <sheetData>
    <row r="1" spans="1:5" x14ac:dyDescent="0.25">
      <c r="A1" s="1" t="s">
        <v>160</v>
      </c>
      <c r="B1" s="1"/>
    </row>
    <row r="2" spans="1:5" ht="32.1" customHeight="1" x14ac:dyDescent="0.25">
      <c r="A2" s="1" t="s">
        <v>428</v>
      </c>
      <c r="B2" s="1"/>
      <c r="D2" s="530" t="s">
        <v>229</v>
      </c>
      <c r="E2" s="530"/>
    </row>
    <row r="3" spans="1:5" x14ac:dyDescent="0.25">
      <c r="D3" s="533" t="str">
        <f>IF(AND(A11&lt;&gt;"", OR('Data Validation'!F20&gt;0,'Data Validation'!G20&gt;0,'Data Validation'!H20&gt;0)), "PLEASE REVIEW - Misalignment of truncated spending for 2023. Check Data Validation tab.", "Good")</f>
        <v>Good</v>
      </c>
      <c r="E3" s="533"/>
    </row>
    <row r="4" spans="1:5" x14ac:dyDescent="0.25">
      <c r="A4" t="s">
        <v>161</v>
      </c>
      <c r="D4" s="533"/>
      <c r="E4" s="533"/>
    </row>
    <row r="5" spans="1:5" x14ac:dyDescent="0.25">
      <c r="D5" s="533"/>
      <c r="E5" s="533"/>
    </row>
    <row r="7" spans="1:5" x14ac:dyDescent="0.25">
      <c r="B7" s="164" t="s">
        <v>230</v>
      </c>
    </row>
    <row r="9" spans="1:5" x14ac:dyDescent="0.25">
      <c r="B9" s="164" t="s">
        <v>69</v>
      </c>
      <c r="C9" s="4" t="s">
        <v>181</v>
      </c>
      <c r="D9" s="4" t="s">
        <v>182</v>
      </c>
      <c r="E9" s="4" t="s">
        <v>183</v>
      </c>
    </row>
    <row r="10" spans="1:5" s="183" customFormat="1" ht="30" x14ac:dyDescent="0.25">
      <c r="A10" s="178" t="s">
        <v>210</v>
      </c>
      <c r="B10" s="184" t="s">
        <v>231</v>
      </c>
      <c r="C10" s="182" t="s">
        <v>211</v>
      </c>
      <c r="D10" s="182" t="s">
        <v>232</v>
      </c>
      <c r="E10" s="182" t="s">
        <v>233</v>
      </c>
    </row>
    <row r="11" spans="1:5" x14ac:dyDescent="0.25">
      <c r="A11" s="386"/>
      <c r="B11" s="442"/>
      <c r="C11" s="311"/>
      <c r="D11" s="401"/>
      <c r="E11" s="402"/>
    </row>
    <row r="12" spans="1:5" x14ac:dyDescent="0.25">
      <c r="A12" s="389"/>
      <c r="B12" s="9"/>
      <c r="C12" s="16"/>
      <c r="D12" s="403"/>
      <c r="E12" s="404"/>
    </row>
    <row r="13" spans="1:5" x14ac:dyDescent="0.25">
      <c r="A13" s="386"/>
      <c r="B13" s="442"/>
      <c r="C13" s="311"/>
      <c r="D13" s="401"/>
      <c r="E13" s="402"/>
    </row>
    <row r="14" spans="1:5" x14ac:dyDescent="0.25">
      <c r="A14" s="389"/>
      <c r="B14" s="9"/>
      <c r="C14" s="16"/>
      <c r="D14" s="403"/>
      <c r="E14" s="404"/>
    </row>
    <row r="15" spans="1:5" x14ac:dyDescent="0.25">
      <c r="A15" s="386"/>
      <c r="B15" s="442"/>
      <c r="C15" s="311"/>
      <c r="D15" s="401"/>
      <c r="E15" s="402"/>
    </row>
    <row r="16" spans="1:5" x14ac:dyDescent="0.25">
      <c r="A16" s="389"/>
      <c r="B16" s="9"/>
      <c r="C16" s="16"/>
      <c r="D16" s="403"/>
      <c r="E16" s="404"/>
    </row>
    <row r="17" spans="1:5" x14ac:dyDescent="0.25">
      <c r="A17" s="386"/>
      <c r="B17" s="442"/>
      <c r="C17" s="311"/>
      <c r="D17" s="401"/>
      <c r="E17" s="402"/>
    </row>
    <row r="18" spans="1:5" x14ac:dyDescent="0.25">
      <c r="A18" s="389"/>
      <c r="B18" s="9"/>
      <c r="C18" s="16"/>
      <c r="D18" s="403"/>
      <c r="E18" s="404"/>
    </row>
    <row r="19" spans="1:5" x14ac:dyDescent="0.25">
      <c r="A19" s="386"/>
      <c r="B19" s="442"/>
      <c r="C19" s="311"/>
      <c r="D19" s="401"/>
      <c r="E19" s="402"/>
    </row>
    <row r="20" spans="1:5" x14ac:dyDescent="0.25">
      <c r="A20" s="389"/>
      <c r="B20" s="9"/>
      <c r="C20" s="16"/>
      <c r="D20" s="403"/>
      <c r="E20" s="404"/>
    </row>
    <row r="21" spans="1:5" x14ac:dyDescent="0.25">
      <c r="A21" s="386"/>
      <c r="B21" s="442"/>
      <c r="C21" s="311"/>
      <c r="D21" s="401"/>
      <c r="E21" s="402"/>
    </row>
    <row r="22" spans="1:5" x14ac:dyDescent="0.25">
      <c r="A22" s="389"/>
      <c r="B22" s="9"/>
      <c r="C22" s="16"/>
      <c r="D22" s="403"/>
      <c r="E22" s="404"/>
    </row>
    <row r="23" spans="1:5" x14ac:dyDescent="0.25">
      <c r="A23" s="386"/>
      <c r="B23" s="442"/>
      <c r="C23" s="311"/>
      <c r="D23" s="401"/>
      <c r="E23" s="402"/>
    </row>
    <row r="24" spans="1:5" x14ac:dyDescent="0.25">
      <c r="A24" s="389"/>
      <c r="B24" s="9"/>
      <c r="C24" s="16"/>
      <c r="D24" s="403"/>
      <c r="E24" s="404"/>
    </row>
    <row r="25" spans="1:5" x14ac:dyDescent="0.25">
      <c r="A25" s="386"/>
      <c r="B25" s="442"/>
      <c r="C25" s="311"/>
      <c r="D25" s="401"/>
      <c r="E25" s="402"/>
    </row>
    <row r="26" spans="1:5" x14ac:dyDescent="0.25">
      <c r="A26" s="389"/>
      <c r="B26" s="9"/>
      <c r="C26" s="16"/>
      <c r="D26" s="403"/>
      <c r="E26" s="404"/>
    </row>
    <row r="27" spans="1:5" x14ac:dyDescent="0.25">
      <c r="A27" s="386"/>
      <c r="B27" s="442"/>
      <c r="C27" s="311"/>
      <c r="D27" s="401"/>
      <c r="E27" s="402"/>
    </row>
    <row r="28" spans="1:5" x14ac:dyDescent="0.25">
      <c r="A28" s="389"/>
      <c r="B28" s="9"/>
      <c r="C28" s="16"/>
      <c r="D28" s="403"/>
      <c r="E28" s="404"/>
    </row>
    <row r="29" spans="1:5" x14ac:dyDescent="0.25">
      <c r="A29" s="386"/>
      <c r="B29" s="442"/>
      <c r="C29" s="311"/>
      <c r="D29" s="401"/>
      <c r="E29" s="402"/>
    </row>
    <row r="30" spans="1:5" x14ac:dyDescent="0.25">
      <c r="A30" s="389"/>
      <c r="B30" s="9"/>
      <c r="C30" s="16"/>
      <c r="D30" s="403"/>
      <c r="E30" s="404"/>
    </row>
    <row r="31" spans="1:5" x14ac:dyDescent="0.25">
      <c r="A31" s="386"/>
      <c r="B31" s="442"/>
      <c r="C31" s="311"/>
      <c r="D31" s="407"/>
      <c r="E31" s="402"/>
    </row>
    <row r="32" spans="1:5" x14ac:dyDescent="0.25">
      <c r="A32" s="389"/>
      <c r="B32" s="9"/>
      <c r="C32" s="16"/>
      <c r="D32" s="408"/>
      <c r="E32" s="404"/>
    </row>
    <row r="33" spans="1:5" x14ac:dyDescent="0.25">
      <c r="A33" s="386"/>
      <c r="B33" s="442"/>
      <c r="C33" s="311"/>
      <c r="D33" s="407"/>
      <c r="E33" s="402"/>
    </row>
    <row r="34" spans="1:5" x14ac:dyDescent="0.25">
      <c r="A34" s="389"/>
      <c r="B34" s="9"/>
      <c r="C34" s="16"/>
      <c r="D34" s="408"/>
      <c r="E34" s="404"/>
    </row>
    <row r="35" spans="1:5" x14ac:dyDescent="0.25">
      <c r="A35" s="386"/>
      <c r="B35" s="442"/>
      <c r="C35" s="311"/>
      <c r="D35" s="407"/>
      <c r="E35" s="402"/>
    </row>
    <row r="36" spans="1:5" x14ac:dyDescent="0.25">
      <c r="A36" s="389"/>
      <c r="B36" s="9"/>
      <c r="C36" s="16"/>
      <c r="D36" s="408"/>
      <c r="E36" s="404"/>
    </row>
    <row r="37" spans="1:5" x14ac:dyDescent="0.25">
      <c r="A37" s="386"/>
      <c r="B37" s="442"/>
      <c r="C37" s="311"/>
      <c r="D37" s="407"/>
      <c r="E37" s="402"/>
    </row>
    <row r="38" spans="1:5" x14ac:dyDescent="0.25">
      <c r="A38" s="389"/>
      <c r="B38" s="9"/>
      <c r="C38" s="16"/>
      <c r="D38" s="408"/>
      <c r="E38" s="404"/>
    </row>
    <row r="39" spans="1:5" x14ac:dyDescent="0.25">
      <c r="A39" s="386"/>
      <c r="B39" s="442"/>
      <c r="C39" s="311"/>
      <c r="D39" s="407"/>
      <c r="E39" s="402"/>
    </row>
    <row r="40" spans="1:5" x14ac:dyDescent="0.25">
      <c r="A40" s="389"/>
      <c r="B40" s="9"/>
      <c r="C40" s="16"/>
      <c r="D40" s="408"/>
      <c r="E40" s="404"/>
    </row>
    <row r="41" spans="1:5" x14ac:dyDescent="0.25">
      <c r="A41" s="386"/>
      <c r="B41" s="442"/>
      <c r="C41" s="311"/>
      <c r="D41" s="407"/>
      <c r="E41" s="402"/>
    </row>
    <row r="42" spans="1:5" x14ac:dyDescent="0.25">
      <c r="A42" s="389"/>
      <c r="B42" s="9"/>
      <c r="C42" s="16"/>
      <c r="D42" s="408"/>
      <c r="E42" s="404"/>
    </row>
    <row r="43" spans="1:5" x14ac:dyDescent="0.25">
      <c r="A43" s="386"/>
      <c r="B43" s="442"/>
      <c r="C43" s="311"/>
      <c r="D43" s="407"/>
      <c r="E43" s="402"/>
    </row>
    <row r="44" spans="1:5" x14ac:dyDescent="0.25">
      <c r="A44" s="389"/>
      <c r="B44" s="9"/>
      <c r="C44" s="16"/>
      <c r="D44" s="408"/>
      <c r="E44" s="404"/>
    </row>
    <row r="45" spans="1:5" x14ac:dyDescent="0.25">
      <c r="A45" s="386"/>
      <c r="B45" s="442"/>
      <c r="C45" s="311"/>
      <c r="D45" s="407"/>
      <c r="E45" s="402"/>
    </row>
    <row r="46" spans="1:5" x14ac:dyDescent="0.25">
      <c r="A46" s="389"/>
      <c r="B46" s="9"/>
      <c r="C46" s="16"/>
      <c r="D46" s="408"/>
      <c r="E46" s="404"/>
    </row>
    <row r="47" spans="1:5" x14ac:dyDescent="0.25">
      <c r="A47" s="386"/>
      <c r="B47" s="442"/>
      <c r="C47" s="311"/>
      <c r="D47" s="407"/>
      <c r="E47" s="402"/>
    </row>
    <row r="48" spans="1:5" x14ac:dyDescent="0.25">
      <c r="A48" s="389"/>
      <c r="B48" s="9"/>
      <c r="C48" s="16"/>
      <c r="D48" s="408"/>
      <c r="E48" s="404"/>
    </row>
    <row r="49" spans="1:5" x14ac:dyDescent="0.25">
      <c r="A49" s="386"/>
      <c r="B49" s="442"/>
      <c r="C49" s="311"/>
      <c r="D49" s="407"/>
      <c r="E49" s="402"/>
    </row>
    <row r="50" spans="1:5" x14ac:dyDescent="0.25">
      <c r="A50" s="389"/>
      <c r="B50" s="9"/>
      <c r="C50" s="16"/>
      <c r="D50" s="408"/>
      <c r="E50" s="404"/>
    </row>
    <row r="51" spans="1:5" x14ac:dyDescent="0.25">
      <c r="A51" s="386"/>
      <c r="B51" s="442"/>
      <c r="C51" s="311"/>
      <c r="D51" s="407"/>
      <c r="E51" s="402"/>
    </row>
    <row r="52" spans="1:5" x14ac:dyDescent="0.25">
      <c r="A52" s="389"/>
      <c r="B52" s="9"/>
      <c r="C52" s="16"/>
      <c r="D52" s="408"/>
      <c r="E52" s="404"/>
    </row>
    <row r="53" spans="1:5" x14ac:dyDescent="0.25">
      <c r="A53" s="386"/>
      <c r="B53" s="442"/>
      <c r="C53" s="311"/>
      <c r="D53" s="407"/>
      <c r="E53" s="402"/>
    </row>
    <row r="54" spans="1:5" x14ac:dyDescent="0.25">
      <c r="A54" s="389"/>
      <c r="B54" s="9"/>
      <c r="C54" s="16"/>
      <c r="D54" s="408"/>
      <c r="E54" s="404"/>
    </row>
    <row r="55" spans="1:5" x14ac:dyDescent="0.25">
      <c r="A55" s="386"/>
      <c r="B55" s="442"/>
      <c r="C55" s="311"/>
      <c r="D55" s="407"/>
      <c r="E55" s="402"/>
    </row>
    <row r="56" spans="1:5" x14ac:dyDescent="0.25">
      <c r="A56" s="389"/>
      <c r="B56" s="9"/>
      <c r="C56" s="16"/>
      <c r="D56" s="408"/>
      <c r="E56" s="404"/>
    </row>
    <row r="57" spans="1:5" x14ac:dyDescent="0.25">
      <c r="A57" s="386"/>
      <c r="B57" s="442"/>
      <c r="C57" s="311"/>
      <c r="D57" s="407"/>
      <c r="E57" s="402"/>
    </row>
    <row r="58" spans="1:5" x14ac:dyDescent="0.25">
      <c r="A58" s="389"/>
      <c r="B58" s="9"/>
      <c r="C58" s="16"/>
      <c r="D58" s="408"/>
      <c r="E58" s="404"/>
    </row>
    <row r="59" spans="1:5" x14ac:dyDescent="0.25">
      <c r="A59" s="386"/>
      <c r="B59" s="442"/>
      <c r="C59" s="311"/>
      <c r="D59" s="407"/>
      <c r="E59" s="402"/>
    </row>
    <row r="60" spans="1:5" x14ac:dyDescent="0.25">
      <c r="A60" s="389"/>
      <c r="B60" s="9"/>
      <c r="C60" s="16"/>
      <c r="D60" s="408"/>
      <c r="E60" s="404"/>
    </row>
    <row r="61" spans="1:5" x14ac:dyDescent="0.25">
      <c r="A61" s="386"/>
      <c r="B61" s="442"/>
      <c r="C61" s="311"/>
      <c r="D61" s="401"/>
      <c r="E61" s="402"/>
    </row>
    <row r="62" spans="1:5" x14ac:dyDescent="0.25">
      <c r="A62" s="389"/>
      <c r="B62" s="9"/>
      <c r="C62" s="16"/>
      <c r="D62" s="403"/>
      <c r="E62" s="404"/>
    </row>
    <row r="63" spans="1:5" x14ac:dyDescent="0.25">
      <c r="A63" s="386"/>
      <c r="B63" s="442"/>
      <c r="C63" s="311"/>
      <c r="D63" s="401"/>
      <c r="E63" s="402"/>
    </row>
    <row r="64" spans="1:5" x14ac:dyDescent="0.25">
      <c r="A64" s="389"/>
      <c r="B64" s="9"/>
      <c r="C64" s="16"/>
      <c r="D64" s="403"/>
      <c r="E64" s="404"/>
    </row>
    <row r="65" spans="1:5" x14ac:dyDescent="0.25">
      <c r="A65" s="386"/>
      <c r="B65" s="442"/>
      <c r="C65" s="311"/>
      <c r="D65" s="401"/>
      <c r="E65" s="402"/>
    </row>
    <row r="66" spans="1:5" x14ac:dyDescent="0.25">
      <c r="A66" s="389"/>
      <c r="B66" s="9"/>
      <c r="C66" s="16"/>
      <c r="D66" s="403"/>
      <c r="E66" s="404"/>
    </row>
    <row r="67" spans="1:5" x14ac:dyDescent="0.25">
      <c r="A67" s="386"/>
      <c r="B67" s="442"/>
      <c r="C67" s="311"/>
      <c r="D67" s="401"/>
      <c r="E67" s="402"/>
    </row>
    <row r="68" spans="1:5" x14ac:dyDescent="0.25">
      <c r="A68" s="389"/>
      <c r="B68" s="9"/>
      <c r="C68" s="16"/>
      <c r="D68" s="403"/>
      <c r="E68" s="404"/>
    </row>
    <row r="69" spans="1:5" x14ac:dyDescent="0.25">
      <c r="A69" s="386"/>
      <c r="B69" s="442"/>
      <c r="C69" s="311"/>
      <c r="D69" s="401"/>
      <c r="E69" s="402"/>
    </row>
    <row r="70" spans="1:5" x14ac:dyDescent="0.25">
      <c r="A70" s="389"/>
      <c r="B70" s="9"/>
      <c r="C70" s="16"/>
      <c r="D70" s="403"/>
      <c r="E70" s="404"/>
    </row>
    <row r="71" spans="1:5" x14ac:dyDescent="0.25">
      <c r="A71" s="386"/>
      <c r="B71" s="442"/>
      <c r="C71" s="311"/>
      <c r="D71" s="401"/>
      <c r="E71" s="402"/>
    </row>
    <row r="72" spans="1:5" x14ac:dyDescent="0.25">
      <c r="A72" s="389"/>
      <c r="B72" s="4"/>
      <c r="C72" s="16"/>
      <c r="D72" s="403"/>
      <c r="E72" s="404"/>
    </row>
    <row r="73" spans="1:5" x14ac:dyDescent="0.25">
      <c r="A73" s="386"/>
      <c r="B73" s="310"/>
      <c r="C73" s="311"/>
      <c r="D73" s="401"/>
      <c r="E73" s="402"/>
    </row>
    <row r="74" spans="1:5" x14ac:dyDescent="0.25">
      <c r="A74" s="389"/>
      <c r="B74" s="4"/>
      <c r="C74" s="16"/>
      <c r="D74" s="403"/>
      <c r="E74" s="404"/>
    </row>
    <row r="75" spans="1:5" x14ac:dyDescent="0.25">
      <c r="A75" s="386"/>
      <c r="B75" s="310"/>
      <c r="C75" s="311"/>
      <c r="D75" s="401"/>
      <c r="E75" s="402"/>
    </row>
    <row r="76" spans="1:5" x14ac:dyDescent="0.25">
      <c r="A76" s="389"/>
      <c r="B76" s="4"/>
      <c r="C76" s="16"/>
      <c r="D76" s="403"/>
      <c r="E76" s="404"/>
    </row>
    <row r="77" spans="1:5" x14ac:dyDescent="0.25">
      <c r="A77" s="386"/>
      <c r="B77" s="310"/>
      <c r="C77" s="311"/>
      <c r="D77" s="401"/>
      <c r="E77" s="402"/>
    </row>
    <row r="78" spans="1:5" x14ac:dyDescent="0.25">
      <c r="A78" s="389"/>
      <c r="B78" s="4"/>
      <c r="C78" s="16"/>
      <c r="D78" s="403"/>
      <c r="E78" s="404"/>
    </row>
    <row r="79" spans="1:5" x14ac:dyDescent="0.25">
      <c r="A79" s="386"/>
      <c r="B79" s="310"/>
      <c r="C79" s="311"/>
      <c r="D79" s="401"/>
      <c r="E79" s="402"/>
    </row>
    <row r="80" spans="1:5" x14ac:dyDescent="0.25">
      <c r="A80" s="389"/>
      <c r="B80" s="4"/>
      <c r="C80" s="16"/>
      <c r="D80" s="403"/>
      <c r="E80" s="404"/>
    </row>
    <row r="81" spans="1:5" x14ac:dyDescent="0.25">
      <c r="A81" s="386"/>
      <c r="B81" s="310"/>
      <c r="C81" s="311"/>
      <c r="D81" s="401"/>
      <c r="E81" s="402"/>
    </row>
    <row r="82" spans="1:5" x14ac:dyDescent="0.25">
      <c r="A82" s="389"/>
      <c r="B82" s="4"/>
      <c r="C82" s="16"/>
      <c r="D82" s="403"/>
      <c r="E82" s="404"/>
    </row>
    <row r="83" spans="1:5" x14ac:dyDescent="0.25">
      <c r="A83" s="386"/>
      <c r="B83" s="310"/>
      <c r="C83" s="311"/>
      <c r="D83" s="401"/>
      <c r="E83" s="402"/>
    </row>
    <row r="84" spans="1:5" x14ac:dyDescent="0.25">
      <c r="A84" s="389"/>
      <c r="B84" s="4"/>
      <c r="C84" s="16"/>
      <c r="D84" s="403"/>
      <c r="E84" s="404"/>
    </row>
    <row r="85" spans="1:5" x14ac:dyDescent="0.25">
      <c r="A85" s="386"/>
      <c r="B85" s="310"/>
      <c r="C85" s="311"/>
      <c r="D85" s="401"/>
      <c r="E85" s="402"/>
    </row>
    <row r="86" spans="1:5" x14ac:dyDescent="0.25">
      <c r="A86" s="389"/>
      <c r="B86" s="4"/>
      <c r="C86" s="16"/>
      <c r="D86" s="403"/>
      <c r="E86" s="404"/>
    </row>
    <row r="87" spans="1:5" x14ac:dyDescent="0.25">
      <c r="A87" s="386"/>
      <c r="B87" s="310"/>
      <c r="C87" s="311"/>
      <c r="D87" s="401"/>
      <c r="E87" s="402"/>
    </row>
    <row r="88" spans="1:5" x14ac:dyDescent="0.25">
      <c r="A88" s="389"/>
      <c r="B88" s="4"/>
      <c r="C88" s="16"/>
      <c r="D88" s="403"/>
      <c r="E88" s="404"/>
    </row>
    <row r="89" spans="1:5" x14ac:dyDescent="0.25">
      <c r="A89" s="386"/>
      <c r="B89" s="310"/>
      <c r="C89" s="311"/>
      <c r="D89" s="401"/>
      <c r="E89" s="402"/>
    </row>
    <row r="90" spans="1:5" x14ac:dyDescent="0.25">
      <c r="A90" s="398"/>
      <c r="B90" s="4"/>
      <c r="C90" s="385"/>
      <c r="D90" s="405"/>
      <c r="E90" s="406"/>
    </row>
    <row r="91" spans="1:5" x14ac:dyDescent="0.25">
      <c r="A91" s="386"/>
      <c r="B91" s="310"/>
      <c r="C91" s="311"/>
      <c r="D91" s="401"/>
      <c r="E91" s="402"/>
    </row>
    <row r="92" spans="1:5" x14ac:dyDescent="0.25">
      <c r="A92" s="398"/>
      <c r="B92" s="4"/>
      <c r="C92" s="385"/>
      <c r="D92" s="405"/>
      <c r="E92" s="406"/>
    </row>
    <row r="93" spans="1:5" x14ac:dyDescent="0.25">
      <c r="A93" s="386"/>
      <c r="B93" s="310"/>
      <c r="C93" s="311"/>
      <c r="D93" s="401"/>
      <c r="E93" s="402"/>
    </row>
    <row r="94" spans="1:5" x14ac:dyDescent="0.25">
      <c r="A94" s="398"/>
      <c r="B94" s="4"/>
      <c r="C94" s="385"/>
      <c r="D94" s="405"/>
      <c r="E94" s="406"/>
    </row>
    <row r="95" spans="1:5" x14ac:dyDescent="0.25">
      <c r="A95" s="386"/>
      <c r="B95" s="310"/>
      <c r="C95" s="311"/>
      <c r="D95" s="401"/>
      <c r="E95" s="402"/>
    </row>
    <row r="96" spans="1:5" x14ac:dyDescent="0.25">
      <c r="A96" s="398"/>
      <c r="B96" s="4"/>
      <c r="C96" s="385"/>
      <c r="D96" s="405"/>
      <c r="E96" s="406"/>
    </row>
    <row r="97" spans="1:5" x14ac:dyDescent="0.25">
      <c r="A97" s="386"/>
      <c r="B97" s="310"/>
      <c r="C97" s="311"/>
      <c r="D97" s="401"/>
      <c r="E97" s="402"/>
    </row>
    <row r="98" spans="1:5" x14ac:dyDescent="0.25">
      <c r="A98" s="398"/>
      <c r="B98" s="4"/>
      <c r="C98" s="385"/>
      <c r="D98" s="405"/>
      <c r="E98" s="406"/>
    </row>
    <row r="99" spans="1:5" x14ac:dyDescent="0.25">
      <c r="A99" s="386"/>
      <c r="B99" s="310"/>
      <c r="C99" s="311"/>
      <c r="D99" s="401"/>
      <c r="E99" s="402"/>
    </row>
    <row r="100" spans="1:5" x14ac:dyDescent="0.25">
      <c r="A100" s="398"/>
      <c r="B100" s="4"/>
      <c r="C100" s="385"/>
      <c r="D100" s="405"/>
      <c r="E100" s="406"/>
    </row>
    <row r="101" spans="1:5" x14ac:dyDescent="0.25">
      <c r="A101" s="386"/>
      <c r="B101" s="310"/>
      <c r="C101" s="311"/>
      <c r="D101" s="401"/>
      <c r="E101" s="402"/>
    </row>
    <row r="102" spans="1:5" x14ac:dyDescent="0.25">
      <c r="A102" s="398"/>
      <c r="B102" s="4"/>
      <c r="C102" s="385"/>
      <c r="D102" s="405"/>
      <c r="E102" s="406"/>
    </row>
    <row r="103" spans="1:5" x14ac:dyDescent="0.25">
      <c r="A103" s="386"/>
      <c r="B103" s="310"/>
      <c r="C103" s="311"/>
      <c r="D103" s="401"/>
      <c r="E103" s="402"/>
    </row>
    <row r="104" spans="1:5" x14ac:dyDescent="0.25">
      <c r="A104" s="398"/>
      <c r="B104" s="4"/>
      <c r="C104" s="385"/>
      <c r="D104" s="405"/>
      <c r="E104" s="406"/>
    </row>
    <row r="105" spans="1:5" x14ac:dyDescent="0.25">
      <c r="A105" s="386"/>
      <c r="B105" s="310"/>
      <c r="C105" s="311"/>
      <c r="D105" s="401"/>
      <c r="E105" s="402"/>
    </row>
    <row r="106" spans="1:5" x14ac:dyDescent="0.25">
      <c r="A106" s="398"/>
      <c r="B106" s="4"/>
      <c r="C106" s="385"/>
      <c r="D106" s="405"/>
      <c r="E106" s="406"/>
    </row>
    <row r="107" spans="1:5" x14ac:dyDescent="0.25">
      <c r="A107" s="386"/>
      <c r="B107" s="310"/>
      <c r="C107" s="311"/>
      <c r="D107" s="401"/>
      <c r="E107" s="402"/>
    </row>
    <row r="108" spans="1:5" x14ac:dyDescent="0.25">
      <c r="A108" s="398"/>
      <c r="B108" s="4"/>
      <c r="C108" s="385"/>
      <c r="D108" s="405"/>
      <c r="E108" s="406"/>
    </row>
    <row r="109" spans="1:5" x14ac:dyDescent="0.25">
      <c r="A109" s="386"/>
      <c r="B109" s="310"/>
      <c r="C109" s="311"/>
      <c r="D109" s="401"/>
      <c r="E109" s="402"/>
    </row>
    <row r="110" spans="1:5" x14ac:dyDescent="0.25">
      <c r="A110" s="398"/>
      <c r="B110" s="4"/>
      <c r="C110" s="385"/>
      <c r="D110" s="405"/>
      <c r="E110" s="406"/>
    </row>
    <row r="111" spans="1:5" x14ac:dyDescent="0.25">
      <c r="A111" s="386"/>
      <c r="B111" s="310"/>
      <c r="C111" s="311"/>
      <c r="D111" s="401"/>
      <c r="E111" s="402"/>
    </row>
    <row r="112" spans="1:5" x14ac:dyDescent="0.25">
      <c r="A112" s="398"/>
      <c r="B112" s="4"/>
      <c r="C112" s="385"/>
      <c r="D112" s="405"/>
      <c r="E112" s="406"/>
    </row>
    <row r="113" spans="1:5" x14ac:dyDescent="0.25">
      <c r="A113" s="386"/>
      <c r="B113" s="310"/>
      <c r="C113" s="311"/>
      <c r="D113" s="401"/>
      <c r="E113" s="402"/>
    </row>
    <row r="114" spans="1:5" x14ac:dyDescent="0.25">
      <c r="A114" s="398"/>
      <c r="B114" s="4"/>
      <c r="C114" s="385"/>
      <c r="D114" s="405"/>
      <c r="E114" s="406"/>
    </row>
    <row r="115" spans="1:5" x14ac:dyDescent="0.25">
      <c r="A115" s="386"/>
      <c r="B115" s="310"/>
      <c r="C115" s="311"/>
      <c r="D115" s="401"/>
      <c r="E115" s="402"/>
    </row>
    <row r="116" spans="1:5" x14ac:dyDescent="0.25">
      <c r="A116" s="398"/>
      <c r="B116" s="4"/>
      <c r="C116" s="385"/>
      <c r="D116" s="405"/>
      <c r="E116" s="406"/>
    </row>
    <row r="117" spans="1:5" x14ac:dyDescent="0.25">
      <c r="A117" s="386"/>
      <c r="B117" s="310"/>
      <c r="C117" s="311"/>
      <c r="D117" s="401"/>
      <c r="E117" s="402"/>
    </row>
    <row r="118" spans="1:5" x14ac:dyDescent="0.25">
      <c r="A118" s="398"/>
      <c r="B118" s="4"/>
      <c r="C118" s="385"/>
      <c r="D118" s="405"/>
      <c r="E118" s="406"/>
    </row>
    <row r="119" spans="1:5" x14ac:dyDescent="0.25">
      <c r="A119" s="386"/>
      <c r="B119" s="310"/>
      <c r="C119" s="311"/>
      <c r="D119" s="401"/>
      <c r="E119" s="402"/>
    </row>
    <row r="120" spans="1:5" x14ac:dyDescent="0.25">
      <c r="A120" s="398"/>
      <c r="B120" s="4"/>
      <c r="C120" s="385"/>
      <c r="D120" s="405"/>
      <c r="E120" s="406"/>
    </row>
  </sheetData>
  <sheetProtection algorithmName="SHA-512" hashValue="U67dyiEhHnl7batiXNQWGNYweSQtZYmle1ixqLAKGYT+mcUlSVM9aZ3+ARxvqVgZpMvR2Vv7M1pU9rACupn5+w==" saltValue="bfNGgMhWLnps4od4ZuueSQ==" spinCount="100000" sheet="1" insertRows="0"/>
  <protectedRanges>
    <protectedRange sqref="A11:E120" name="Range1"/>
  </protectedRanges>
  <mergeCells count="2">
    <mergeCell ref="D2:E2"/>
    <mergeCell ref="D3:E5"/>
  </mergeCells>
  <conditionalFormatting sqref="D3:E5">
    <cfRule type="notContainsText" dxfId="136" priority="1" operator="notContains" text="Good">
      <formula>ISERROR(SEARCH("Good",D3))</formula>
    </cfRule>
    <cfRule type="containsText" dxfId="135" priority="2" operator="containsText" text="Good">
      <formula>NOT(ISERROR(SEARCH("Good",D3)))</formula>
    </cfRule>
  </conditionalFormatting>
  <dataValidations count="4">
    <dataValidation allowBlank="1" showInputMessage="1" showErrorMessage="1" error="See Definitions tab." prompt="See Definitions tab." sqref="D11:E120" xr:uid="{6E605E1B-9AAE-4DE2-8034-3CF258E7CE38}"/>
    <dataValidation type="whole" allowBlank="1" showInputMessage="1" showErrorMessage="1" error="Please input the OHS-assigned organizational ID of the Advanced Network or the Carrier Overall ID (100). " prompt="If inputting Advanced Network-level TME, please input the OHS-assigned organizational ID of the Advanced Network._x000a_If inputting insurance carrier-level standard deviation, please input the Carrier Overall ID (100)." sqref="A11:A120" xr:uid="{7B6B9ED2-2DA1-4054-AA05-02AA8B3C905D}">
      <formula1>100</formula1>
      <formula2>999</formula2>
    </dataValidation>
    <dataValidation type="decimal" operator="greaterThan" allowBlank="1" showInputMessage="1" showErrorMessage="1" error="See Definitions tab." prompt="The number of unique members participating in a plan each month with a medical benefit, regardless of whether the member has any paid claims._x000a_" sqref="C11:C120" xr:uid="{6AFA3A47-B6A8-444A-B166-0083CFC05436}">
      <formula1>0</formula1>
    </dataValidation>
    <dataValidation type="whole" allowBlank="1" showInputMessage="1" showErrorMessage="1" error="2 = Medicaid and Medicaid MCOs_x000a_6= Medicaid Expenditures for Duals" prompt="1 = Medicare (Insurance Category Codes 1 and 5)_x000a_2 = Medicaid (Insurance Category Codes 2 and 6)_x000a_3 = Commercial (Insurance Category Codes 3 and 4)" sqref="B11:B120" xr:uid="{024097E8-1264-4790-A79B-A637EF7B9F8D}">
      <formula1>1</formula1>
      <formula2>3</formula2>
    </dataValidation>
  </dataValidations>
  <hyperlinks>
    <hyperlink ref="D2:E2" location="'Data Validation'!B4:B20" display="Check for alignment of truncated spending by market" xr:uid="{74089D6C-5963-41C6-830A-B1AD6888A4AD}"/>
  </hyperlinks>
  <pageMargins left="0.7" right="0.7" top="0.75" bottom="0.75" header="0.3" footer="0.3"/>
  <pageSetup orientation="portrait" horizontalDpi="1200" verticalDpi="1200" r:id="rId1"/>
  <drawing r:id="rId2"/>
  <tableParts count="1">
    <tablePart r:id="rId3"/>
  </tablePart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131404-4EB6-45F8-8DDF-29D044AFAF37}">
  <sheetPr codeName="Sheet15">
    <tabColor theme="4"/>
  </sheetPr>
  <dimension ref="A1:J2010"/>
  <sheetViews>
    <sheetView zoomScaleNormal="100" workbookViewId="0">
      <selection activeCell="G11" sqref="G11"/>
    </sheetView>
  </sheetViews>
  <sheetFormatPr defaultRowHeight="15" x14ac:dyDescent="0.25"/>
  <cols>
    <col min="1" max="1" width="25.5703125" customWidth="1"/>
    <col min="2" max="9" width="28.5703125" customWidth="1"/>
    <col min="10" max="10" width="29.5703125" customWidth="1"/>
  </cols>
  <sheetData>
    <row r="1" spans="1:10" x14ac:dyDescent="0.25">
      <c r="A1" s="1" t="s">
        <v>160</v>
      </c>
    </row>
    <row r="2" spans="1:10" x14ac:dyDescent="0.25">
      <c r="A2" s="1" t="s">
        <v>238</v>
      </c>
    </row>
    <row r="4" spans="1:10" x14ac:dyDescent="0.25">
      <c r="A4" t="s">
        <v>161</v>
      </c>
    </row>
    <row r="5" spans="1:10" x14ac:dyDescent="0.25">
      <c r="A5" s="176"/>
    </row>
    <row r="9" spans="1:10" x14ac:dyDescent="0.25">
      <c r="C9" s="4" t="s">
        <v>181</v>
      </c>
      <c r="D9" s="4" t="s">
        <v>182</v>
      </c>
      <c r="E9" s="4" t="s">
        <v>183</v>
      </c>
      <c r="F9" s="4" t="s">
        <v>184</v>
      </c>
      <c r="G9" s="4" t="s">
        <v>185</v>
      </c>
      <c r="H9" s="4" t="s">
        <v>186</v>
      </c>
      <c r="I9" s="4" t="s">
        <v>187</v>
      </c>
      <c r="J9" s="4" t="s">
        <v>188</v>
      </c>
    </row>
    <row r="10" spans="1:10" ht="60" x14ac:dyDescent="0.25">
      <c r="A10" s="178" t="s">
        <v>235</v>
      </c>
      <c r="B10" s="179" t="s">
        <v>61</v>
      </c>
      <c r="C10" s="179" t="s">
        <v>83</v>
      </c>
      <c r="D10" s="179" t="s">
        <v>149</v>
      </c>
      <c r="E10" s="179" t="s">
        <v>151</v>
      </c>
      <c r="F10" s="179" t="s">
        <v>153</v>
      </c>
      <c r="G10" s="179" t="s">
        <v>155</v>
      </c>
      <c r="H10" s="179" t="s">
        <v>157</v>
      </c>
      <c r="I10" s="179" t="s">
        <v>236</v>
      </c>
      <c r="J10" s="437" t="s">
        <v>237</v>
      </c>
    </row>
    <row r="11" spans="1:10" x14ac:dyDescent="0.25">
      <c r="A11" s="386"/>
      <c r="B11" s="310"/>
      <c r="C11" s="311"/>
      <c r="D11" s="518"/>
      <c r="E11" s="409"/>
      <c r="F11" s="312"/>
      <c r="G11" s="522"/>
      <c r="H11" s="312"/>
      <c r="I11" s="455"/>
      <c r="J11" s="271" t="b">
        <f>Age_Sex22[[#This Row],[Total Spending After Applying Truncation at the Member Level]]+Age_Sex22[[#This Row],[Total Dollars Excluded from Spending After Applying Truncation at the Member Level]]=Age_Sex22[[#This Row],[Total Spending before Truncation is Applied]]</f>
        <v>1</v>
      </c>
    </row>
    <row r="12" spans="1:10" x14ac:dyDescent="0.25">
      <c r="A12" s="389"/>
      <c r="B12" s="4"/>
      <c r="C12" s="16"/>
      <c r="D12" s="519"/>
      <c r="E12" s="410"/>
      <c r="F12" s="313"/>
      <c r="G12" s="256"/>
      <c r="H12" s="313"/>
      <c r="I12" s="456"/>
      <c r="J12" s="271" t="b">
        <f>Age_Sex22[[#This Row],[Total Spending After Applying Truncation at the Member Level]]+Age_Sex22[[#This Row],[Total Dollars Excluded from Spending After Applying Truncation at the Member Level]]=Age_Sex22[[#This Row],[Total Spending before Truncation is Applied]]</f>
        <v>1</v>
      </c>
    </row>
    <row r="13" spans="1:10" x14ac:dyDescent="0.25">
      <c r="A13" s="386"/>
      <c r="B13" s="310"/>
      <c r="C13" s="311"/>
      <c r="D13" s="518"/>
      <c r="E13" s="409"/>
      <c r="F13" s="312"/>
      <c r="G13" s="522"/>
      <c r="H13" s="312"/>
      <c r="I13" s="455"/>
      <c r="J13" s="271" t="b">
        <f>Age_Sex22[[#This Row],[Total Spending After Applying Truncation at the Member Level]]+Age_Sex22[[#This Row],[Total Dollars Excluded from Spending After Applying Truncation at the Member Level]]=Age_Sex22[[#This Row],[Total Spending before Truncation is Applied]]</f>
        <v>1</v>
      </c>
    </row>
    <row r="14" spans="1:10" x14ac:dyDescent="0.25">
      <c r="A14" s="389"/>
      <c r="B14" s="4"/>
      <c r="C14" s="16"/>
      <c r="D14" s="519"/>
      <c r="E14" s="410"/>
      <c r="F14" s="313"/>
      <c r="G14" s="256"/>
      <c r="H14" s="313"/>
      <c r="I14" s="456"/>
      <c r="J14" s="271" t="b">
        <f>Age_Sex22[[#This Row],[Total Spending After Applying Truncation at the Member Level]]+Age_Sex22[[#This Row],[Total Dollars Excluded from Spending After Applying Truncation at the Member Level]]=Age_Sex22[[#This Row],[Total Spending before Truncation is Applied]]</f>
        <v>1</v>
      </c>
    </row>
    <row r="15" spans="1:10" x14ac:dyDescent="0.25">
      <c r="A15" s="386"/>
      <c r="B15" s="310"/>
      <c r="C15" s="311"/>
      <c r="D15" s="518"/>
      <c r="E15" s="409"/>
      <c r="F15" s="312"/>
      <c r="G15" s="522"/>
      <c r="H15" s="312"/>
      <c r="I15" s="455"/>
      <c r="J15" s="271" t="b">
        <f>Age_Sex22[[#This Row],[Total Spending After Applying Truncation at the Member Level]]+Age_Sex22[[#This Row],[Total Dollars Excluded from Spending After Applying Truncation at the Member Level]]=Age_Sex22[[#This Row],[Total Spending before Truncation is Applied]]</f>
        <v>1</v>
      </c>
    </row>
    <row r="16" spans="1:10" x14ac:dyDescent="0.25">
      <c r="A16" s="389"/>
      <c r="B16" s="4"/>
      <c r="C16" s="16"/>
      <c r="D16" s="519"/>
      <c r="E16" s="410"/>
      <c r="F16" s="313"/>
      <c r="G16" s="256"/>
      <c r="H16" s="313"/>
      <c r="I16" s="456"/>
      <c r="J16" s="271" t="b">
        <f>Age_Sex22[[#This Row],[Total Spending After Applying Truncation at the Member Level]]+Age_Sex22[[#This Row],[Total Dollars Excluded from Spending After Applying Truncation at the Member Level]]=Age_Sex22[[#This Row],[Total Spending before Truncation is Applied]]</f>
        <v>1</v>
      </c>
    </row>
    <row r="17" spans="1:10" x14ac:dyDescent="0.25">
      <c r="A17" s="386"/>
      <c r="B17" s="310"/>
      <c r="C17" s="311"/>
      <c r="D17" s="518"/>
      <c r="E17" s="409"/>
      <c r="F17" s="312"/>
      <c r="G17" s="522"/>
      <c r="H17" s="312"/>
      <c r="I17" s="455"/>
      <c r="J17" s="271" t="b">
        <f>Age_Sex22[[#This Row],[Total Spending After Applying Truncation at the Member Level]]+Age_Sex22[[#This Row],[Total Dollars Excluded from Spending After Applying Truncation at the Member Level]]=Age_Sex22[[#This Row],[Total Spending before Truncation is Applied]]</f>
        <v>1</v>
      </c>
    </row>
    <row r="18" spans="1:10" x14ac:dyDescent="0.25">
      <c r="A18" s="389"/>
      <c r="B18" s="4"/>
      <c r="C18" s="16"/>
      <c r="D18" s="519"/>
      <c r="E18" s="410"/>
      <c r="F18" s="313"/>
      <c r="G18" s="256"/>
      <c r="H18" s="313"/>
      <c r="I18" s="456"/>
      <c r="J18" s="271" t="b">
        <f>Age_Sex22[[#This Row],[Total Spending After Applying Truncation at the Member Level]]+Age_Sex22[[#This Row],[Total Dollars Excluded from Spending After Applying Truncation at the Member Level]]=Age_Sex22[[#This Row],[Total Spending before Truncation is Applied]]</f>
        <v>1</v>
      </c>
    </row>
    <row r="19" spans="1:10" x14ac:dyDescent="0.25">
      <c r="A19" s="386"/>
      <c r="B19" s="310"/>
      <c r="C19" s="311"/>
      <c r="D19" s="518"/>
      <c r="E19" s="409"/>
      <c r="F19" s="312"/>
      <c r="G19" s="522"/>
      <c r="H19" s="312"/>
      <c r="I19" s="455"/>
      <c r="J19" s="271" t="b">
        <f>Age_Sex22[[#This Row],[Total Spending After Applying Truncation at the Member Level]]+Age_Sex22[[#This Row],[Total Dollars Excluded from Spending After Applying Truncation at the Member Level]]=Age_Sex22[[#This Row],[Total Spending before Truncation is Applied]]</f>
        <v>1</v>
      </c>
    </row>
    <row r="20" spans="1:10" x14ac:dyDescent="0.25">
      <c r="A20" s="389"/>
      <c r="B20" s="4"/>
      <c r="C20" s="16"/>
      <c r="D20" s="519"/>
      <c r="E20" s="410"/>
      <c r="F20" s="313"/>
      <c r="G20" s="256"/>
      <c r="H20" s="313"/>
      <c r="I20" s="456"/>
      <c r="J20" s="271" t="b">
        <f>Age_Sex22[[#This Row],[Total Spending After Applying Truncation at the Member Level]]+Age_Sex22[[#This Row],[Total Dollars Excluded from Spending After Applying Truncation at the Member Level]]=Age_Sex22[[#This Row],[Total Spending before Truncation is Applied]]</f>
        <v>1</v>
      </c>
    </row>
    <row r="21" spans="1:10" x14ac:dyDescent="0.25">
      <c r="A21" s="386"/>
      <c r="B21" s="310"/>
      <c r="C21" s="311"/>
      <c r="D21" s="518"/>
      <c r="E21" s="409"/>
      <c r="F21" s="312"/>
      <c r="G21" s="522"/>
      <c r="H21" s="312"/>
      <c r="I21" s="455"/>
      <c r="J21" s="271" t="b">
        <f>Age_Sex22[[#This Row],[Total Spending After Applying Truncation at the Member Level]]+Age_Sex22[[#This Row],[Total Dollars Excluded from Spending After Applying Truncation at the Member Level]]=Age_Sex22[[#This Row],[Total Spending before Truncation is Applied]]</f>
        <v>1</v>
      </c>
    </row>
    <row r="22" spans="1:10" x14ac:dyDescent="0.25">
      <c r="A22" s="389"/>
      <c r="B22" s="4"/>
      <c r="C22" s="16"/>
      <c r="D22" s="519"/>
      <c r="E22" s="410"/>
      <c r="F22" s="313"/>
      <c r="G22" s="256"/>
      <c r="H22" s="313"/>
      <c r="I22" s="456"/>
      <c r="J22" s="271" t="b">
        <f>Age_Sex22[[#This Row],[Total Spending After Applying Truncation at the Member Level]]+Age_Sex22[[#This Row],[Total Dollars Excluded from Spending After Applying Truncation at the Member Level]]=Age_Sex22[[#This Row],[Total Spending before Truncation is Applied]]</f>
        <v>1</v>
      </c>
    </row>
    <row r="23" spans="1:10" x14ac:dyDescent="0.25">
      <c r="A23" s="386"/>
      <c r="B23" s="310"/>
      <c r="C23" s="311"/>
      <c r="D23" s="518"/>
      <c r="E23" s="409"/>
      <c r="F23" s="312"/>
      <c r="G23" s="522"/>
      <c r="H23" s="312"/>
      <c r="I23" s="455"/>
      <c r="J23" s="271" t="b">
        <f>Age_Sex22[[#This Row],[Total Spending After Applying Truncation at the Member Level]]+Age_Sex22[[#This Row],[Total Dollars Excluded from Spending After Applying Truncation at the Member Level]]=Age_Sex22[[#This Row],[Total Spending before Truncation is Applied]]</f>
        <v>1</v>
      </c>
    </row>
    <row r="24" spans="1:10" x14ac:dyDescent="0.25">
      <c r="A24" s="389"/>
      <c r="B24" s="4"/>
      <c r="C24" s="16"/>
      <c r="D24" s="519"/>
      <c r="E24" s="410"/>
      <c r="F24" s="313"/>
      <c r="G24" s="256"/>
      <c r="H24" s="313"/>
      <c r="I24" s="456"/>
      <c r="J24" s="271" t="b">
        <f>Age_Sex22[[#This Row],[Total Spending After Applying Truncation at the Member Level]]+Age_Sex22[[#This Row],[Total Dollars Excluded from Spending After Applying Truncation at the Member Level]]=Age_Sex22[[#This Row],[Total Spending before Truncation is Applied]]</f>
        <v>1</v>
      </c>
    </row>
    <row r="25" spans="1:10" x14ac:dyDescent="0.25">
      <c r="A25" s="386"/>
      <c r="B25" s="310"/>
      <c r="C25" s="311"/>
      <c r="D25" s="518"/>
      <c r="E25" s="409"/>
      <c r="F25" s="312"/>
      <c r="G25" s="522"/>
      <c r="H25" s="312"/>
      <c r="I25" s="455"/>
      <c r="J25" s="271" t="b">
        <f>Age_Sex22[[#This Row],[Total Spending After Applying Truncation at the Member Level]]+Age_Sex22[[#This Row],[Total Dollars Excluded from Spending After Applying Truncation at the Member Level]]=Age_Sex22[[#This Row],[Total Spending before Truncation is Applied]]</f>
        <v>1</v>
      </c>
    </row>
    <row r="26" spans="1:10" x14ac:dyDescent="0.25">
      <c r="A26" s="389"/>
      <c r="B26" s="4"/>
      <c r="C26" s="16"/>
      <c r="D26" s="519"/>
      <c r="E26" s="410"/>
      <c r="F26" s="313"/>
      <c r="G26" s="256"/>
      <c r="H26" s="313"/>
      <c r="I26" s="456"/>
      <c r="J26" s="271" t="b">
        <f>Age_Sex22[[#This Row],[Total Spending After Applying Truncation at the Member Level]]+Age_Sex22[[#This Row],[Total Dollars Excluded from Spending After Applying Truncation at the Member Level]]=Age_Sex22[[#This Row],[Total Spending before Truncation is Applied]]</f>
        <v>1</v>
      </c>
    </row>
    <row r="27" spans="1:10" x14ac:dyDescent="0.25">
      <c r="A27" s="386"/>
      <c r="B27" s="310"/>
      <c r="C27" s="311"/>
      <c r="D27" s="518"/>
      <c r="E27" s="409"/>
      <c r="F27" s="312"/>
      <c r="G27" s="522"/>
      <c r="H27" s="312"/>
      <c r="I27" s="455"/>
      <c r="J27" s="271" t="b">
        <f>Age_Sex22[[#This Row],[Total Spending After Applying Truncation at the Member Level]]+Age_Sex22[[#This Row],[Total Dollars Excluded from Spending After Applying Truncation at the Member Level]]=Age_Sex22[[#This Row],[Total Spending before Truncation is Applied]]</f>
        <v>1</v>
      </c>
    </row>
    <row r="28" spans="1:10" x14ac:dyDescent="0.25">
      <c r="A28" s="389"/>
      <c r="B28" s="4"/>
      <c r="C28" s="16"/>
      <c r="D28" s="519"/>
      <c r="E28" s="410"/>
      <c r="F28" s="313"/>
      <c r="G28" s="256"/>
      <c r="H28" s="313"/>
      <c r="I28" s="456"/>
      <c r="J28" s="271" t="b">
        <f>Age_Sex22[[#This Row],[Total Spending After Applying Truncation at the Member Level]]+Age_Sex22[[#This Row],[Total Dollars Excluded from Spending After Applying Truncation at the Member Level]]=Age_Sex22[[#This Row],[Total Spending before Truncation is Applied]]</f>
        <v>1</v>
      </c>
    </row>
    <row r="29" spans="1:10" x14ac:dyDescent="0.25">
      <c r="A29" s="386"/>
      <c r="B29" s="310"/>
      <c r="C29" s="311"/>
      <c r="D29" s="518"/>
      <c r="E29" s="409"/>
      <c r="F29" s="312"/>
      <c r="G29" s="522"/>
      <c r="H29" s="312"/>
      <c r="I29" s="455"/>
      <c r="J29" s="271" t="b">
        <f>Age_Sex22[[#This Row],[Total Spending After Applying Truncation at the Member Level]]+Age_Sex22[[#This Row],[Total Dollars Excluded from Spending After Applying Truncation at the Member Level]]=Age_Sex22[[#This Row],[Total Spending before Truncation is Applied]]</f>
        <v>1</v>
      </c>
    </row>
    <row r="30" spans="1:10" x14ac:dyDescent="0.25">
      <c r="A30" s="389"/>
      <c r="B30" s="4"/>
      <c r="C30" s="16"/>
      <c r="D30" s="519"/>
      <c r="E30" s="410"/>
      <c r="F30" s="313"/>
      <c r="G30" s="256"/>
      <c r="H30" s="313"/>
      <c r="I30" s="456"/>
      <c r="J30" s="271" t="b">
        <f>Age_Sex22[[#This Row],[Total Spending After Applying Truncation at the Member Level]]+Age_Sex22[[#This Row],[Total Dollars Excluded from Spending After Applying Truncation at the Member Level]]=Age_Sex22[[#This Row],[Total Spending before Truncation is Applied]]</f>
        <v>1</v>
      </c>
    </row>
    <row r="31" spans="1:10" x14ac:dyDescent="0.25">
      <c r="A31" s="386"/>
      <c r="B31" s="310"/>
      <c r="C31" s="311"/>
      <c r="D31" s="518"/>
      <c r="E31" s="409"/>
      <c r="F31" s="312"/>
      <c r="G31" s="522"/>
      <c r="H31" s="312"/>
      <c r="I31" s="455"/>
      <c r="J31" s="271" t="b">
        <f>Age_Sex22[[#This Row],[Total Spending After Applying Truncation at the Member Level]]+Age_Sex22[[#This Row],[Total Dollars Excluded from Spending After Applying Truncation at the Member Level]]=Age_Sex22[[#This Row],[Total Spending before Truncation is Applied]]</f>
        <v>1</v>
      </c>
    </row>
    <row r="32" spans="1:10" x14ac:dyDescent="0.25">
      <c r="A32" s="389"/>
      <c r="B32" s="4"/>
      <c r="C32" s="16"/>
      <c r="D32" s="519"/>
      <c r="E32" s="410"/>
      <c r="F32" s="313"/>
      <c r="G32" s="256"/>
      <c r="H32" s="313"/>
      <c r="I32" s="456"/>
      <c r="J32" s="271" t="b">
        <f>Age_Sex22[[#This Row],[Total Spending After Applying Truncation at the Member Level]]+Age_Sex22[[#This Row],[Total Dollars Excluded from Spending After Applying Truncation at the Member Level]]=Age_Sex22[[#This Row],[Total Spending before Truncation is Applied]]</f>
        <v>1</v>
      </c>
    </row>
    <row r="33" spans="1:10" x14ac:dyDescent="0.25">
      <c r="A33" s="386"/>
      <c r="B33" s="310"/>
      <c r="C33" s="311"/>
      <c r="D33" s="518"/>
      <c r="E33" s="409"/>
      <c r="F33" s="312"/>
      <c r="G33" s="522"/>
      <c r="H33" s="312"/>
      <c r="I33" s="455"/>
      <c r="J33" s="271" t="b">
        <f>Age_Sex22[[#This Row],[Total Spending After Applying Truncation at the Member Level]]+Age_Sex22[[#This Row],[Total Dollars Excluded from Spending After Applying Truncation at the Member Level]]=Age_Sex22[[#This Row],[Total Spending before Truncation is Applied]]</f>
        <v>1</v>
      </c>
    </row>
    <row r="34" spans="1:10" x14ac:dyDescent="0.25">
      <c r="A34" s="389"/>
      <c r="B34" s="4"/>
      <c r="C34" s="16"/>
      <c r="D34" s="519"/>
      <c r="E34" s="410"/>
      <c r="F34" s="313"/>
      <c r="G34" s="256"/>
      <c r="H34" s="313"/>
      <c r="I34" s="456"/>
      <c r="J34" s="271" t="b">
        <f>Age_Sex22[[#This Row],[Total Spending After Applying Truncation at the Member Level]]+Age_Sex22[[#This Row],[Total Dollars Excluded from Spending After Applying Truncation at the Member Level]]=Age_Sex22[[#This Row],[Total Spending before Truncation is Applied]]</f>
        <v>1</v>
      </c>
    </row>
    <row r="35" spans="1:10" x14ac:dyDescent="0.25">
      <c r="A35" s="386"/>
      <c r="B35" s="310"/>
      <c r="C35" s="311"/>
      <c r="D35" s="518"/>
      <c r="E35" s="409"/>
      <c r="F35" s="312"/>
      <c r="G35" s="522"/>
      <c r="H35" s="312"/>
      <c r="I35" s="455"/>
      <c r="J35" s="271" t="b">
        <f>Age_Sex22[[#This Row],[Total Spending After Applying Truncation at the Member Level]]+Age_Sex22[[#This Row],[Total Dollars Excluded from Spending After Applying Truncation at the Member Level]]=Age_Sex22[[#This Row],[Total Spending before Truncation is Applied]]</f>
        <v>1</v>
      </c>
    </row>
    <row r="36" spans="1:10" x14ac:dyDescent="0.25">
      <c r="A36" s="389"/>
      <c r="B36" s="4"/>
      <c r="C36" s="16"/>
      <c r="D36" s="519"/>
      <c r="E36" s="410"/>
      <c r="F36" s="313"/>
      <c r="G36" s="256"/>
      <c r="H36" s="313"/>
      <c r="I36" s="456"/>
      <c r="J36" s="271" t="b">
        <f>Age_Sex22[[#This Row],[Total Spending After Applying Truncation at the Member Level]]+Age_Sex22[[#This Row],[Total Dollars Excluded from Spending After Applying Truncation at the Member Level]]=Age_Sex22[[#This Row],[Total Spending before Truncation is Applied]]</f>
        <v>1</v>
      </c>
    </row>
    <row r="37" spans="1:10" x14ac:dyDescent="0.25">
      <c r="A37" s="386"/>
      <c r="B37" s="310"/>
      <c r="C37" s="311"/>
      <c r="D37" s="518"/>
      <c r="E37" s="409"/>
      <c r="F37" s="312"/>
      <c r="G37" s="522"/>
      <c r="H37" s="312"/>
      <c r="I37" s="455"/>
      <c r="J37" s="271" t="b">
        <f>Age_Sex22[[#This Row],[Total Spending After Applying Truncation at the Member Level]]+Age_Sex22[[#This Row],[Total Dollars Excluded from Spending After Applying Truncation at the Member Level]]=Age_Sex22[[#This Row],[Total Spending before Truncation is Applied]]</f>
        <v>1</v>
      </c>
    </row>
    <row r="38" spans="1:10" x14ac:dyDescent="0.25">
      <c r="A38" s="389"/>
      <c r="B38" s="4"/>
      <c r="C38" s="16"/>
      <c r="D38" s="519"/>
      <c r="E38" s="410"/>
      <c r="F38" s="313"/>
      <c r="G38" s="256"/>
      <c r="H38" s="313"/>
      <c r="I38" s="456"/>
      <c r="J38" s="271" t="b">
        <f>Age_Sex22[[#This Row],[Total Spending After Applying Truncation at the Member Level]]+Age_Sex22[[#This Row],[Total Dollars Excluded from Spending After Applying Truncation at the Member Level]]=Age_Sex22[[#This Row],[Total Spending before Truncation is Applied]]</f>
        <v>1</v>
      </c>
    </row>
    <row r="39" spans="1:10" x14ac:dyDescent="0.25">
      <c r="A39" s="386"/>
      <c r="B39" s="310"/>
      <c r="C39" s="311"/>
      <c r="D39" s="518"/>
      <c r="E39" s="409"/>
      <c r="F39" s="312"/>
      <c r="G39" s="522"/>
      <c r="H39" s="312"/>
      <c r="I39" s="455"/>
      <c r="J39" s="271" t="b">
        <f>Age_Sex22[[#This Row],[Total Spending After Applying Truncation at the Member Level]]+Age_Sex22[[#This Row],[Total Dollars Excluded from Spending After Applying Truncation at the Member Level]]=Age_Sex22[[#This Row],[Total Spending before Truncation is Applied]]</f>
        <v>1</v>
      </c>
    </row>
    <row r="40" spans="1:10" x14ac:dyDescent="0.25">
      <c r="A40" s="389"/>
      <c r="B40" s="4"/>
      <c r="C40" s="16"/>
      <c r="D40" s="519"/>
      <c r="E40" s="410"/>
      <c r="F40" s="313"/>
      <c r="G40" s="256"/>
      <c r="H40" s="313"/>
      <c r="I40" s="456"/>
      <c r="J40" s="271" t="b">
        <f>Age_Sex22[[#This Row],[Total Spending After Applying Truncation at the Member Level]]+Age_Sex22[[#This Row],[Total Dollars Excluded from Spending After Applying Truncation at the Member Level]]=Age_Sex22[[#This Row],[Total Spending before Truncation is Applied]]</f>
        <v>1</v>
      </c>
    </row>
    <row r="41" spans="1:10" x14ac:dyDescent="0.25">
      <c r="A41" s="386"/>
      <c r="B41" s="310"/>
      <c r="C41" s="311"/>
      <c r="D41" s="518"/>
      <c r="E41" s="409"/>
      <c r="F41" s="312"/>
      <c r="G41" s="522"/>
      <c r="H41" s="312"/>
      <c r="I41" s="455"/>
      <c r="J41" s="271" t="b">
        <f>Age_Sex22[[#This Row],[Total Spending After Applying Truncation at the Member Level]]+Age_Sex22[[#This Row],[Total Dollars Excluded from Spending After Applying Truncation at the Member Level]]=Age_Sex22[[#This Row],[Total Spending before Truncation is Applied]]</f>
        <v>1</v>
      </c>
    </row>
    <row r="42" spans="1:10" x14ac:dyDescent="0.25">
      <c r="A42" s="389"/>
      <c r="B42" s="4"/>
      <c r="C42" s="16"/>
      <c r="D42" s="519"/>
      <c r="E42" s="410"/>
      <c r="F42" s="313"/>
      <c r="G42" s="256"/>
      <c r="H42" s="313"/>
      <c r="I42" s="456"/>
      <c r="J42" s="271" t="b">
        <f>Age_Sex22[[#This Row],[Total Spending After Applying Truncation at the Member Level]]+Age_Sex22[[#This Row],[Total Dollars Excluded from Spending After Applying Truncation at the Member Level]]=Age_Sex22[[#This Row],[Total Spending before Truncation is Applied]]</f>
        <v>1</v>
      </c>
    </row>
    <row r="43" spans="1:10" x14ac:dyDescent="0.25">
      <c r="A43" s="386"/>
      <c r="B43" s="310"/>
      <c r="C43" s="311"/>
      <c r="D43" s="518"/>
      <c r="E43" s="409"/>
      <c r="F43" s="312"/>
      <c r="G43" s="522"/>
      <c r="H43" s="312"/>
      <c r="I43" s="455"/>
      <c r="J43" s="271" t="b">
        <f>Age_Sex22[[#This Row],[Total Spending After Applying Truncation at the Member Level]]+Age_Sex22[[#This Row],[Total Dollars Excluded from Spending After Applying Truncation at the Member Level]]=Age_Sex22[[#This Row],[Total Spending before Truncation is Applied]]</f>
        <v>1</v>
      </c>
    </row>
    <row r="44" spans="1:10" x14ac:dyDescent="0.25">
      <c r="A44" s="389"/>
      <c r="B44" s="4"/>
      <c r="C44" s="16"/>
      <c r="D44" s="519"/>
      <c r="E44" s="410"/>
      <c r="F44" s="313"/>
      <c r="G44" s="256"/>
      <c r="H44" s="313"/>
      <c r="I44" s="456"/>
      <c r="J44" s="271" t="b">
        <f>Age_Sex22[[#This Row],[Total Spending After Applying Truncation at the Member Level]]+Age_Sex22[[#This Row],[Total Dollars Excluded from Spending After Applying Truncation at the Member Level]]=Age_Sex22[[#This Row],[Total Spending before Truncation is Applied]]</f>
        <v>1</v>
      </c>
    </row>
    <row r="45" spans="1:10" x14ac:dyDescent="0.25">
      <c r="A45" s="386"/>
      <c r="B45" s="310"/>
      <c r="C45" s="311"/>
      <c r="D45" s="518"/>
      <c r="E45" s="409"/>
      <c r="F45" s="312"/>
      <c r="G45" s="522"/>
      <c r="H45" s="312"/>
      <c r="I45" s="455"/>
      <c r="J45" s="271" t="b">
        <f>Age_Sex22[[#This Row],[Total Spending After Applying Truncation at the Member Level]]+Age_Sex22[[#This Row],[Total Dollars Excluded from Spending After Applying Truncation at the Member Level]]=Age_Sex22[[#This Row],[Total Spending before Truncation is Applied]]</f>
        <v>1</v>
      </c>
    </row>
    <row r="46" spans="1:10" x14ac:dyDescent="0.25">
      <c r="A46" s="389"/>
      <c r="B46" s="4"/>
      <c r="C46" s="16"/>
      <c r="D46" s="519"/>
      <c r="E46" s="410"/>
      <c r="F46" s="313"/>
      <c r="G46" s="256"/>
      <c r="H46" s="313"/>
      <c r="I46" s="456"/>
      <c r="J46" s="271" t="b">
        <f>Age_Sex22[[#This Row],[Total Spending After Applying Truncation at the Member Level]]+Age_Sex22[[#This Row],[Total Dollars Excluded from Spending After Applying Truncation at the Member Level]]=Age_Sex22[[#This Row],[Total Spending before Truncation is Applied]]</f>
        <v>1</v>
      </c>
    </row>
    <row r="47" spans="1:10" x14ac:dyDescent="0.25">
      <c r="A47" s="386"/>
      <c r="B47" s="310"/>
      <c r="C47" s="311"/>
      <c r="D47" s="518"/>
      <c r="E47" s="409"/>
      <c r="F47" s="312"/>
      <c r="G47" s="522"/>
      <c r="H47" s="312"/>
      <c r="I47" s="455"/>
      <c r="J47" s="271" t="b">
        <f>Age_Sex22[[#This Row],[Total Spending After Applying Truncation at the Member Level]]+Age_Sex22[[#This Row],[Total Dollars Excluded from Spending After Applying Truncation at the Member Level]]=Age_Sex22[[#This Row],[Total Spending before Truncation is Applied]]</f>
        <v>1</v>
      </c>
    </row>
    <row r="48" spans="1:10" x14ac:dyDescent="0.25">
      <c r="A48" s="389"/>
      <c r="B48" s="4"/>
      <c r="C48" s="16"/>
      <c r="D48" s="519"/>
      <c r="E48" s="410"/>
      <c r="F48" s="313"/>
      <c r="G48" s="256"/>
      <c r="H48" s="313"/>
      <c r="I48" s="456"/>
      <c r="J48" s="271" t="b">
        <f>Age_Sex22[[#This Row],[Total Spending After Applying Truncation at the Member Level]]+Age_Sex22[[#This Row],[Total Dollars Excluded from Spending After Applying Truncation at the Member Level]]=Age_Sex22[[#This Row],[Total Spending before Truncation is Applied]]</f>
        <v>1</v>
      </c>
    </row>
    <row r="49" spans="1:10" x14ac:dyDescent="0.25">
      <c r="A49" s="386"/>
      <c r="B49" s="310"/>
      <c r="C49" s="311"/>
      <c r="D49" s="518"/>
      <c r="E49" s="409"/>
      <c r="F49" s="312"/>
      <c r="G49" s="522"/>
      <c r="H49" s="312"/>
      <c r="I49" s="455"/>
      <c r="J49" s="271" t="b">
        <f>Age_Sex22[[#This Row],[Total Spending After Applying Truncation at the Member Level]]+Age_Sex22[[#This Row],[Total Dollars Excluded from Spending After Applying Truncation at the Member Level]]=Age_Sex22[[#This Row],[Total Spending before Truncation is Applied]]</f>
        <v>1</v>
      </c>
    </row>
    <row r="50" spans="1:10" x14ac:dyDescent="0.25">
      <c r="A50" s="389"/>
      <c r="B50" s="4"/>
      <c r="C50" s="16"/>
      <c r="D50" s="519"/>
      <c r="E50" s="410"/>
      <c r="F50" s="313"/>
      <c r="G50" s="256"/>
      <c r="H50" s="313"/>
      <c r="I50" s="456"/>
      <c r="J50" s="271" t="b">
        <f>Age_Sex22[[#This Row],[Total Spending After Applying Truncation at the Member Level]]+Age_Sex22[[#This Row],[Total Dollars Excluded from Spending After Applying Truncation at the Member Level]]=Age_Sex22[[#This Row],[Total Spending before Truncation is Applied]]</f>
        <v>1</v>
      </c>
    </row>
    <row r="51" spans="1:10" x14ac:dyDescent="0.25">
      <c r="A51" s="386"/>
      <c r="B51" s="310"/>
      <c r="C51" s="311"/>
      <c r="D51" s="518"/>
      <c r="E51" s="409"/>
      <c r="F51" s="312"/>
      <c r="G51" s="522"/>
      <c r="H51" s="312"/>
      <c r="I51" s="455"/>
      <c r="J51" s="271" t="b">
        <f>Age_Sex22[[#This Row],[Total Spending After Applying Truncation at the Member Level]]+Age_Sex22[[#This Row],[Total Dollars Excluded from Spending After Applying Truncation at the Member Level]]=Age_Sex22[[#This Row],[Total Spending before Truncation is Applied]]</f>
        <v>1</v>
      </c>
    </row>
    <row r="52" spans="1:10" x14ac:dyDescent="0.25">
      <c r="A52" s="389"/>
      <c r="B52" s="4"/>
      <c r="C52" s="16"/>
      <c r="D52" s="519"/>
      <c r="E52" s="410"/>
      <c r="F52" s="313"/>
      <c r="G52" s="256"/>
      <c r="H52" s="313"/>
      <c r="I52" s="456"/>
      <c r="J52" s="271" t="b">
        <f>Age_Sex22[[#This Row],[Total Spending After Applying Truncation at the Member Level]]+Age_Sex22[[#This Row],[Total Dollars Excluded from Spending After Applying Truncation at the Member Level]]=Age_Sex22[[#This Row],[Total Spending before Truncation is Applied]]</f>
        <v>1</v>
      </c>
    </row>
    <row r="53" spans="1:10" x14ac:dyDescent="0.25">
      <c r="A53" s="386"/>
      <c r="B53" s="310"/>
      <c r="C53" s="311"/>
      <c r="D53" s="518"/>
      <c r="E53" s="409"/>
      <c r="F53" s="312"/>
      <c r="G53" s="522"/>
      <c r="H53" s="312"/>
      <c r="I53" s="455"/>
      <c r="J53" s="271" t="b">
        <f>Age_Sex22[[#This Row],[Total Spending After Applying Truncation at the Member Level]]+Age_Sex22[[#This Row],[Total Dollars Excluded from Spending After Applying Truncation at the Member Level]]=Age_Sex22[[#This Row],[Total Spending before Truncation is Applied]]</f>
        <v>1</v>
      </c>
    </row>
    <row r="54" spans="1:10" x14ac:dyDescent="0.25">
      <c r="A54" s="389"/>
      <c r="B54" s="4"/>
      <c r="C54" s="16"/>
      <c r="D54" s="519"/>
      <c r="E54" s="410"/>
      <c r="F54" s="313"/>
      <c r="G54" s="256"/>
      <c r="H54" s="313"/>
      <c r="I54" s="456"/>
      <c r="J54" s="271" t="b">
        <f>Age_Sex22[[#This Row],[Total Spending After Applying Truncation at the Member Level]]+Age_Sex22[[#This Row],[Total Dollars Excluded from Spending After Applying Truncation at the Member Level]]=Age_Sex22[[#This Row],[Total Spending before Truncation is Applied]]</f>
        <v>1</v>
      </c>
    </row>
    <row r="55" spans="1:10" x14ac:dyDescent="0.25">
      <c r="A55" s="386"/>
      <c r="B55" s="310"/>
      <c r="C55" s="311"/>
      <c r="D55" s="518"/>
      <c r="E55" s="409"/>
      <c r="F55" s="312"/>
      <c r="G55" s="522"/>
      <c r="H55" s="312"/>
      <c r="I55" s="455"/>
      <c r="J55" s="271" t="b">
        <f>Age_Sex22[[#This Row],[Total Spending After Applying Truncation at the Member Level]]+Age_Sex22[[#This Row],[Total Dollars Excluded from Spending After Applying Truncation at the Member Level]]=Age_Sex22[[#This Row],[Total Spending before Truncation is Applied]]</f>
        <v>1</v>
      </c>
    </row>
    <row r="56" spans="1:10" x14ac:dyDescent="0.25">
      <c r="A56" s="389"/>
      <c r="B56" s="4"/>
      <c r="C56" s="16"/>
      <c r="D56" s="519"/>
      <c r="E56" s="410"/>
      <c r="F56" s="313"/>
      <c r="G56" s="256"/>
      <c r="H56" s="313"/>
      <c r="I56" s="456"/>
      <c r="J56" s="271" t="b">
        <f>Age_Sex22[[#This Row],[Total Spending After Applying Truncation at the Member Level]]+Age_Sex22[[#This Row],[Total Dollars Excluded from Spending After Applying Truncation at the Member Level]]=Age_Sex22[[#This Row],[Total Spending before Truncation is Applied]]</f>
        <v>1</v>
      </c>
    </row>
    <row r="57" spans="1:10" x14ac:dyDescent="0.25">
      <c r="A57" s="386"/>
      <c r="B57" s="310"/>
      <c r="C57" s="311"/>
      <c r="D57" s="518"/>
      <c r="E57" s="409"/>
      <c r="F57" s="312"/>
      <c r="G57" s="522"/>
      <c r="H57" s="312"/>
      <c r="I57" s="455"/>
      <c r="J57" s="271" t="b">
        <f>Age_Sex22[[#This Row],[Total Spending After Applying Truncation at the Member Level]]+Age_Sex22[[#This Row],[Total Dollars Excluded from Spending After Applying Truncation at the Member Level]]=Age_Sex22[[#This Row],[Total Spending before Truncation is Applied]]</f>
        <v>1</v>
      </c>
    </row>
    <row r="58" spans="1:10" x14ac:dyDescent="0.25">
      <c r="A58" s="389"/>
      <c r="B58" s="4"/>
      <c r="C58" s="16"/>
      <c r="D58" s="519"/>
      <c r="E58" s="410"/>
      <c r="F58" s="313"/>
      <c r="G58" s="256"/>
      <c r="H58" s="313"/>
      <c r="I58" s="456"/>
      <c r="J58" s="271" t="b">
        <f>Age_Sex22[[#This Row],[Total Spending After Applying Truncation at the Member Level]]+Age_Sex22[[#This Row],[Total Dollars Excluded from Spending After Applying Truncation at the Member Level]]=Age_Sex22[[#This Row],[Total Spending before Truncation is Applied]]</f>
        <v>1</v>
      </c>
    </row>
    <row r="59" spans="1:10" x14ac:dyDescent="0.25">
      <c r="A59" s="386"/>
      <c r="B59" s="310"/>
      <c r="C59" s="311"/>
      <c r="D59" s="518"/>
      <c r="E59" s="409"/>
      <c r="F59" s="312"/>
      <c r="G59" s="522"/>
      <c r="H59" s="312"/>
      <c r="I59" s="455"/>
      <c r="J59" s="271" t="b">
        <f>Age_Sex22[[#This Row],[Total Spending After Applying Truncation at the Member Level]]+Age_Sex22[[#This Row],[Total Dollars Excluded from Spending After Applying Truncation at the Member Level]]=Age_Sex22[[#This Row],[Total Spending before Truncation is Applied]]</f>
        <v>1</v>
      </c>
    </row>
    <row r="60" spans="1:10" x14ac:dyDescent="0.25">
      <c r="A60" s="389"/>
      <c r="B60" s="4"/>
      <c r="C60" s="16"/>
      <c r="D60" s="519"/>
      <c r="E60" s="410"/>
      <c r="F60" s="313"/>
      <c r="G60" s="256"/>
      <c r="H60" s="313"/>
      <c r="I60" s="456"/>
      <c r="J60" s="271" t="b">
        <f>Age_Sex22[[#This Row],[Total Spending After Applying Truncation at the Member Level]]+Age_Sex22[[#This Row],[Total Dollars Excluded from Spending After Applying Truncation at the Member Level]]=Age_Sex22[[#This Row],[Total Spending before Truncation is Applied]]</f>
        <v>1</v>
      </c>
    </row>
    <row r="61" spans="1:10" x14ac:dyDescent="0.25">
      <c r="A61" s="386"/>
      <c r="B61" s="310"/>
      <c r="C61" s="311"/>
      <c r="D61" s="518"/>
      <c r="E61" s="409"/>
      <c r="F61" s="312"/>
      <c r="G61" s="522"/>
      <c r="H61" s="312"/>
      <c r="I61" s="455"/>
      <c r="J61" s="271" t="b">
        <f>Age_Sex22[[#This Row],[Total Spending After Applying Truncation at the Member Level]]+Age_Sex22[[#This Row],[Total Dollars Excluded from Spending After Applying Truncation at the Member Level]]=Age_Sex22[[#This Row],[Total Spending before Truncation is Applied]]</f>
        <v>1</v>
      </c>
    </row>
    <row r="62" spans="1:10" x14ac:dyDescent="0.25">
      <c r="A62" s="389"/>
      <c r="B62" s="4"/>
      <c r="C62" s="16"/>
      <c r="D62" s="519"/>
      <c r="E62" s="410"/>
      <c r="F62" s="313"/>
      <c r="G62" s="256"/>
      <c r="H62" s="313"/>
      <c r="I62" s="456"/>
      <c r="J62" s="271" t="b">
        <f>Age_Sex22[[#This Row],[Total Spending After Applying Truncation at the Member Level]]+Age_Sex22[[#This Row],[Total Dollars Excluded from Spending After Applying Truncation at the Member Level]]=Age_Sex22[[#This Row],[Total Spending before Truncation is Applied]]</f>
        <v>1</v>
      </c>
    </row>
    <row r="63" spans="1:10" x14ac:dyDescent="0.25">
      <c r="A63" s="386"/>
      <c r="B63" s="310"/>
      <c r="C63" s="311"/>
      <c r="D63" s="518"/>
      <c r="E63" s="409"/>
      <c r="F63" s="312"/>
      <c r="G63" s="522"/>
      <c r="H63" s="312"/>
      <c r="I63" s="455"/>
      <c r="J63" s="271" t="b">
        <f>Age_Sex22[[#This Row],[Total Spending After Applying Truncation at the Member Level]]+Age_Sex22[[#This Row],[Total Dollars Excluded from Spending After Applying Truncation at the Member Level]]=Age_Sex22[[#This Row],[Total Spending before Truncation is Applied]]</f>
        <v>1</v>
      </c>
    </row>
    <row r="64" spans="1:10" x14ac:dyDescent="0.25">
      <c r="A64" s="389"/>
      <c r="B64" s="4"/>
      <c r="C64" s="16"/>
      <c r="D64" s="519"/>
      <c r="E64" s="410"/>
      <c r="F64" s="313"/>
      <c r="G64" s="256"/>
      <c r="H64" s="313"/>
      <c r="I64" s="456"/>
      <c r="J64" s="271" t="b">
        <f>Age_Sex22[[#This Row],[Total Spending After Applying Truncation at the Member Level]]+Age_Sex22[[#This Row],[Total Dollars Excluded from Spending After Applying Truncation at the Member Level]]=Age_Sex22[[#This Row],[Total Spending before Truncation is Applied]]</f>
        <v>1</v>
      </c>
    </row>
    <row r="65" spans="1:10" x14ac:dyDescent="0.25">
      <c r="A65" s="386"/>
      <c r="B65" s="310"/>
      <c r="C65" s="311"/>
      <c r="D65" s="518"/>
      <c r="E65" s="409"/>
      <c r="F65" s="312"/>
      <c r="G65" s="522"/>
      <c r="H65" s="312"/>
      <c r="I65" s="455"/>
      <c r="J65" s="271" t="b">
        <f>Age_Sex22[[#This Row],[Total Spending After Applying Truncation at the Member Level]]+Age_Sex22[[#This Row],[Total Dollars Excluded from Spending After Applying Truncation at the Member Level]]=Age_Sex22[[#This Row],[Total Spending before Truncation is Applied]]</f>
        <v>1</v>
      </c>
    </row>
    <row r="66" spans="1:10" x14ac:dyDescent="0.25">
      <c r="A66" s="389"/>
      <c r="B66" s="4"/>
      <c r="C66" s="16"/>
      <c r="D66" s="519"/>
      <c r="E66" s="410"/>
      <c r="F66" s="313"/>
      <c r="G66" s="256"/>
      <c r="H66" s="313"/>
      <c r="I66" s="456"/>
      <c r="J66" s="271" t="b">
        <f>Age_Sex22[[#This Row],[Total Spending After Applying Truncation at the Member Level]]+Age_Sex22[[#This Row],[Total Dollars Excluded from Spending After Applying Truncation at the Member Level]]=Age_Sex22[[#This Row],[Total Spending before Truncation is Applied]]</f>
        <v>1</v>
      </c>
    </row>
    <row r="67" spans="1:10" x14ac:dyDescent="0.25">
      <c r="A67" s="386"/>
      <c r="B67" s="310"/>
      <c r="C67" s="311"/>
      <c r="D67" s="518"/>
      <c r="E67" s="409"/>
      <c r="F67" s="312"/>
      <c r="G67" s="522"/>
      <c r="H67" s="312"/>
      <c r="I67" s="455"/>
      <c r="J67" s="271" t="b">
        <f>Age_Sex22[[#This Row],[Total Spending After Applying Truncation at the Member Level]]+Age_Sex22[[#This Row],[Total Dollars Excluded from Spending After Applying Truncation at the Member Level]]=Age_Sex22[[#This Row],[Total Spending before Truncation is Applied]]</f>
        <v>1</v>
      </c>
    </row>
    <row r="68" spans="1:10" x14ac:dyDescent="0.25">
      <c r="A68" s="389"/>
      <c r="B68" s="4"/>
      <c r="C68" s="16"/>
      <c r="D68" s="519"/>
      <c r="E68" s="410"/>
      <c r="F68" s="313"/>
      <c r="G68" s="256"/>
      <c r="H68" s="313"/>
      <c r="I68" s="456"/>
      <c r="J68" s="271" t="b">
        <f>Age_Sex22[[#This Row],[Total Spending After Applying Truncation at the Member Level]]+Age_Sex22[[#This Row],[Total Dollars Excluded from Spending After Applying Truncation at the Member Level]]=Age_Sex22[[#This Row],[Total Spending before Truncation is Applied]]</f>
        <v>1</v>
      </c>
    </row>
    <row r="69" spans="1:10" x14ac:dyDescent="0.25">
      <c r="A69" s="386"/>
      <c r="B69" s="310"/>
      <c r="C69" s="311"/>
      <c r="D69" s="518"/>
      <c r="E69" s="409"/>
      <c r="F69" s="312"/>
      <c r="G69" s="522"/>
      <c r="H69" s="312"/>
      <c r="I69" s="455"/>
      <c r="J69" s="271" t="b">
        <f>Age_Sex22[[#This Row],[Total Spending After Applying Truncation at the Member Level]]+Age_Sex22[[#This Row],[Total Dollars Excluded from Spending After Applying Truncation at the Member Level]]=Age_Sex22[[#This Row],[Total Spending before Truncation is Applied]]</f>
        <v>1</v>
      </c>
    </row>
    <row r="70" spans="1:10" x14ac:dyDescent="0.25">
      <c r="A70" s="389"/>
      <c r="B70" s="4"/>
      <c r="C70" s="16"/>
      <c r="D70" s="519"/>
      <c r="E70" s="410"/>
      <c r="F70" s="313"/>
      <c r="G70" s="256"/>
      <c r="H70" s="313"/>
      <c r="I70" s="456"/>
      <c r="J70" s="271" t="b">
        <f>Age_Sex22[[#This Row],[Total Spending After Applying Truncation at the Member Level]]+Age_Sex22[[#This Row],[Total Dollars Excluded from Spending After Applying Truncation at the Member Level]]=Age_Sex22[[#This Row],[Total Spending before Truncation is Applied]]</f>
        <v>1</v>
      </c>
    </row>
    <row r="71" spans="1:10" x14ac:dyDescent="0.25">
      <c r="A71" s="386"/>
      <c r="B71" s="310"/>
      <c r="C71" s="311"/>
      <c r="D71" s="518"/>
      <c r="E71" s="409"/>
      <c r="F71" s="312"/>
      <c r="G71" s="522"/>
      <c r="H71" s="312"/>
      <c r="I71" s="455"/>
      <c r="J71" s="271" t="b">
        <f>Age_Sex22[[#This Row],[Total Spending After Applying Truncation at the Member Level]]+Age_Sex22[[#This Row],[Total Dollars Excluded from Spending After Applying Truncation at the Member Level]]=Age_Sex22[[#This Row],[Total Spending before Truncation is Applied]]</f>
        <v>1</v>
      </c>
    </row>
    <row r="72" spans="1:10" x14ac:dyDescent="0.25">
      <c r="A72" s="389"/>
      <c r="B72" s="4"/>
      <c r="C72" s="16"/>
      <c r="D72" s="519"/>
      <c r="E72" s="410"/>
      <c r="F72" s="313"/>
      <c r="G72" s="256"/>
      <c r="H72" s="313"/>
      <c r="I72" s="456"/>
      <c r="J72" s="271" t="b">
        <f>Age_Sex22[[#This Row],[Total Spending After Applying Truncation at the Member Level]]+Age_Sex22[[#This Row],[Total Dollars Excluded from Spending After Applying Truncation at the Member Level]]=Age_Sex22[[#This Row],[Total Spending before Truncation is Applied]]</f>
        <v>1</v>
      </c>
    </row>
    <row r="73" spans="1:10" x14ac:dyDescent="0.25">
      <c r="A73" s="386"/>
      <c r="B73" s="310"/>
      <c r="C73" s="311"/>
      <c r="D73" s="518"/>
      <c r="E73" s="409"/>
      <c r="F73" s="312"/>
      <c r="G73" s="522"/>
      <c r="H73" s="312"/>
      <c r="I73" s="455"/>
      <c r="J73" s="271" t="b">
        <f>Age_Sex22[[#This Row],[Total Spending After Applying Truncation at the Member Level]]+Age_Sex22[[#This Row],[Total Dollars Excluded from Spending After Applying Truncation at the Member Level]]=Age_Sex22[[#This Row],[Total Spending before Truncation is Applied]]</f>
        <v>1</v>
      </c>
    </row>
    <row r="74" spans="1:10" x14ac:dyDescent="0.25">
      <c r="A74" s="389"/>
      <c r="B74" s="4"/>
      <c r="C74" s="16"/>
      <c r="D74" s="519"/>
      <c r="E74" s="410"/>
      <c r="F74" s="313"/>
      <c r="G74" s="256"/>
      <c r="H74" s="313"/>
      <c r="I74" s="456"/>
      <c r="J74" s="271" t="b">
        <f>Age_Sex22[[#This Row],[Total Spending After Applying Truncation at the Member Level]]+Age_Sex22[[#This Row],[Total Dollars Excluded from Spending After Applying Truncation at the Member Level]]=Age_Sex22[[#This Row],[Total Spending before Truncation is Applied]]</f>
        <v>1</v>
      </c>
    </row>
    <row r="75" spans="1:10" x14ac:dyDescent="0.25">
      <c r="A75" s="386"/>
      <c r="B75" s="310"/>
      <c r="C75" s="311"/>
      <c r="D75" s="518"/>
      <c r="E75" s="409"/>
      <c r="F75" s="312"/>
      <c r="G75" s="522"/>
      <c r="H75" s="312"/>
      <c r="I75" s="455"/>
      <c r="J75" s="271" t="b">
        <f>Age_Sex22[[#This Row],[Total Spending After Applying Truncation at the Member Level]]+Age_Sex22[[#This Row],[Total Dollars Excluded from Spending After Applying Truncation at the Member Level]]=Age_Sex22[[#This Row],[Total Spending before Truncation is Applied]]</f>
        <v>1</v>
      </c>
    </row>
    <row r="76" spans="1:10" x14ac:dyDescent="0.25">
      <c r="A76" s="389"/>
      <c r="B76" s="4"/>
      <c r="C76" s="16"/>
      <c r="D76" s="519"/>
      <c r="E76" s="410"/>
      <c r="F76" s="313"/>
      <c r="G76" s="256"/>
      <c r="H76" s="313"/>
      <c r="I76" s="456"/>
      <c r="J76" s="271" t="b">
        <f>Age_Sex22[[#This Row],[Total Spending After Applying Truncation at the Member Level]]+Age_Sex22[[#This Row],[Total Dollars Excluded from Spending After Applying Truncation at the Member Level]]=Age_Sex22[[#This Row],[Total Spending before Truncation is Applied]]</f>
        <v>1</v>
      </c>
    </row>
    <row r="77" spans="1:10" x14ac:dyDescent="0.25">
      <c r="A77" s="386"/>
      <c r="B77" s="310"/>
      <c r="C77" s="311"/>
      <c r="D77" s="518"/>
      <c r="E77" s="409"/>
      <c r="F77" s="312"/>
      <c r="G77" s="522"/>
      <c r="H77" s="312"/>
      <c r="I77" s="455"/>
      <c r="J77" s="271" t="b">
        <f>Age_Sex22[[#This Row],[Total Spending After Applying Truncation at the Member Level]]+Age_Sex22[[#This Row],[Total Dollars Excluded from Spending After Applying Truncation at the Member Level]]=Age_Sex22[[#This Row],[Total Spending before Truncation is Applied]]</f>
        <v>1</v>
      </c>
    </row>
    <row r="78" spans="1:10" x14ac:dyDescent="0.25">
      <c r="A78" s="389"/>
      <c r="B78" s="4"/>
      <c r="C78" s="16"/>
      <c r="D78" s="519"/>
      <c r="E78" s="410"/>
      <c r="F78" s="313"/>
      <c r="G78" s="256"/>
      <c r="H78" s="313"/>
      <c r="I78" s="456"/>
      <c r="J78" s="271" t="b">
        <f>Age_Sex22[[#This Row],[Total Spending After Applying Truncation at the Member Level]]+Age_Sex22[[#This Row],[Total Dollars Excluded from Spending After Applying Truncation at the Member Level]]=Age_Sex22[[#This Row],[Total Spending before Truncation is Applied]]</f>
        <v>1</v>
      </c>
    </row>
    <row r="79" spans="1:10" x14ac:dyDescent="0.25">
      <c r="A79" s="386"/>
      <c r="B79" s="310"/>
      <c r="C79" s="311"/>
      <c r="D79" s="518"/>
      <c r="E79" s="409"/>
      <c r="F79" s="312"/>
      <c r="G79" s="522"/>
      <c r="H79" s="312"/>
      <c r="I79" s="455"/>
      <c r="J79" s="271" t="b">
        <f>Age_Sex22[[#This Row],[Total Spending After Applying Truncation at the Member Level]]+Age_Sex22[[#This Row],[Total Dollars Excluded from Spending After Applying Truncation at the Member Level]]=Age_Sex22[[#This Row],[Total Spending before Truncation is Applied]]</f>
        <v>1</v>
      </c>
    </row>
    <row r="80" spans="1:10" x14ac:dyDescent="0.25">
      <c r="A80" s="389"/>
      <c r="B80" s="4"/>
      <c r="C80" s="16"/>
      <c r="D80" s="519"/>
      <c r="E80" s="410"/>
      <c r="F80" s="313"/>
      <c r="G80" s="256"/>
      <c r="H80" s="313"/>
      <c r="I80" s="456"/>
      <c r="J80" s="271" t="b">
        <f>Age_Sex22[[#This Row],[Total Spending After Applying Truncation at the Member Level]]+Age_Sex22[[#This Row],[Total Dollars Excluded from Spending After Applying Truncation at the Member Level]]=Age_Sex22[[#This Row],[Total Spending before Truncation is Applied]]</f>
        <v>1</v>
      </c>
    </row>
    <row r="81" spans="1:10" x14ac:dyDescent="0.25">
      <c r="A81" s="386"/>
      <c r="B81" s="310"/>
      <c r="C81" s="311"/>
      <c r="D81" s="518"/>
      <c r="E81" s="409"/>
      <c r="F81" s="312"/>
      <c r="G81" s="522"/>
      <c r="H81" s="312"/>
      <c r="I81" s="455"/>
      <c r="J81" s="271" t="b">
        <f>Age_Sex22[[#This Row],[Total Spending After Applying Truncation at the Member Level]]+Age_Sex22[[#This Row],[Total Dollars Excluded from Spending After Applying Truncation at the Member Level]]=Age_Sex22[[#This Row],[Total Spending before Truncation is Applied]]</f>
        <v>1</v>
      </c>
    </row>
    <row r="82" spans="1:10" x14ac:dyDescent="0.25">
      <c r="A82" s="389"/>
      <c r="B82" s="4"/>
      <c r="C82" s="16"/>
      <c r="D82" s="519"/>
      <c r="E82" s="410"/>
      <c r="F82" s="313"/>
      <c r="G82" s="256"/>
      <c r="H82" s="313"/>
      <c r="I82" s="456"/>
      <c r="J82" s="271" t="b">
        <f>Age_Sex22[[#This Row],[Total Spending After Applying Truncation at the Member Level]]+Age_Sex22[[#This Row],[Total Dollars Excluded from Spending After Applying Truncation at the Member Level]]=Age_Sex22[[#This Row],[Total Spending before Truncation is Applied]]</f>
        <v>1</v>
      </c>
    </row>
    <row r="83" spans="1:10" x14ac:dyDescent="0.25">
      <c r="A83" s="386"/>
      <c r="B83" s="310"/>
      <c r="C83" s="311"/>
      <c r="D83" s="518"/>
      <c r="E83" s="409"/>
      <c r="F83" s="312"/>
      <c r="G83" s="522"/>
      <c r="H83" s="312"/>
      <c r="I83" s="455"/>
      <c r="J83" s="271" t="b">
        <f>Age_Sex22[[#This Row],[Total Spending After Applying Truncation at the Member Level]]+Age_Sex22[[#This Row],[Total Dollars Excluded from Spending After Applying Truncation at the Member Level]]=Age_Sex22[[#This Row],[Total Spending before Truncation is Applied]]</f>
        <v>1</v>
      </c>
    </row>
    <row r="84" spans="1:10" x14ac:dyDescent="0.25">
      <c r="A84" s="389"/>
      <c r="B84" s="4"/>
      <c r="C84" s="16"/>
      <c r="D84" s="519"/>
      <c r="E84" s="410"/>
      <c r="F84" s="313"/>
      <c r="G84" s="256"/>
      <c r="H84" s="313"/>
      <c r="I84" s="456"/>
      <c r="J84" s="271" t="b">
        <f>Age_Sex22[[#This Row],[Total Spending After Applying Truncation at the Member Level]]+Age_Sex22[[#This Row],[Total Dollars Excluded from Spending After Applying Truncation at the Member Level]]=Age_Sex22[[#This Row],[Total Spending before Truncation is Applied]]</f>
        <v>1</v>
      </c>
    </row>
    <row r="85" spans="1:10" x14ac:dyDescent="0.25">
      <c r="A85" s="386"/>
      <c r="B85" s="310"/>
      <c r="C85" s="311"/>
      <c r="D85" s="518"/>
      <c r="E85" s="409"/>
      <c r="F85" s="312"/>
      <c r="G85" s="522"/>
      <c r="H85" s="312"/>
      <c r="I85" s="455"/>
      <c r="J85" s="271" t="b">
        <f>Age_Sex22[[#This Row],[Total Spending After Applying Truncation at the Member Level]]+Age_Sex22[[#This Row],[Total Dollars Excluded from Spending After Applying Truncation at the Member Level]]=Age_Sex22[[#This Row],[Total Spending before Truncation is Applied]]</f>
        <v>1</v>
      </c>
    </row>
    <row r="86" spans="1:10" x14ac:dyDescent="0.25">
      <c r="A86" s="389"/>
      <c r="B86" s="4"/>
      <c r="C86" s="16"/>
      <c r="D86" s="519"/>
      <c r="E86" s="410"/>
      <c r="F86" s="313"/>
      <c r="G86" s="256"/>
      <c r="H86" s="313"/>
      <c r="I86" s="456"/>
      <c r="J86" s="271" t="b">
        <f>Age_Sex22[[#This Row],[Total Spending After Applying Truncation at the Member Level]]+Age_Sex22[[#This Row],[Total Dollars Excluded from Spending After Applying Truncation at the Member Level]]=Age_Sex22[[#This Row],[Total Spending before Truncation is Applied]]</f>
        <v>1</v>
      </c>
    </row>
    <row r="87" spans="1:10" x14ac:dyDescent="0.25">
      <c r="A87" s="386"/>
      <c r="B87" s="310"/>
      <c r="C87" s="311"/>
      <c r="D87" s="518"/>
      <c r="E87" s="409"/>
      <c r="F87" s="312"/>
      <c r="G87" s="522"/>
      <c r="H87" s="312"/>
      <c r="I87" s="455"/>
      <c r="J87" s="271" t="b">
        <f>Age_Sex22[[#This Row],[Total Spending After Applying Truncation at the Member Level]]+Age_Sex22[[#This Row],[Total Dollars Excluded from Spending After Applying Truncation at the Member Level]]=Age_Sex22[[#This Row],[Total Spending before Truncation is Applied]]</f>
        <v>1</v>
      </c>
    </row>
    <row r="88" spans="1:10" x14ac:dyDescent="0.25">
      <c r="A88" s="389"/>
      <c r="B88" s="4"/>
      <c r="C88" s="16"/>
      <c r="D88" s="519"/>
      <c r="E88" s="410"/>
      <c r="F88" s="313"/>
      <c r="G88" s="256"/>
      <c r="H88" s="313"/>
      <c r="I88" s="456"/>
      <c r="J88" s="271" t="b">
        <f>Age_Sex22[[#This Row],[Total Spending After Applying Truncation at the Member Level]]+Age_Sex22[[#This Row],[Total Dollars Excluded from Spending After Applying Truncation at the Member Level]]=Age_Sex22[[#This Row],[Total Spending before Truncation is Applied]]</f>
        <v>1</v>
      </c>
    </row>
    <row r="89" spans="1:10" x14ac:dyDescent="0.25">
      <c r="A89" s="386"/>
      <c r="B89" s="310"/>
      <c r="C89" s="311"/>
      <c r="D89" s="518"/>
      <c r="E89" s="409"/>
      <c r="F89" s="312"/>
      <c r="G89" s="522"/>
      <c r="H89" s="312"/>
      <c r="I89" s="455"/>
      <c r="J89" s="271" t="b">
        <f>Age_Sex22[[#This Row],[Total Spending After Applying Truncation at the Member Level]]+Age_Sex22[[#This Row],[Total Dollars Excluded from Spending After Applying Truncation at the Member Level]]=Age_Sex22[[#This Row],[Total Spending before Truncation is Applied]]</f>
        <v>1</v>
      </c>
    </row>
    <row r="90" spans="1:10" x14ac:dyDescent="0.25">
      <c r="A90" s="389"/>
      <c r="B90" s="4"/>
      <c r="C90" s="16"/>
      <c r="D90" s="519"/>
      <c r="E90" s="410"/>
      <c r="F90" s="313"/>
      <c r="G90" s="256"/>
      <c r="H90" s="313"/>
      <c r="I90" s="456"/>
      <c r="J90" s="271" t="b">
        <f>Age_Sex22[[#This Row],[Total Spending After Applying Truncation at the Member Level]]+Age_Sex22[[#This Row],[Total Dollars Excluded from Spending After Applying Truncation at the Member Level]]=Age_Sex22[[#This Row],[Total Spending before Truncation is Applied]]</f>
        <v>1</v>
      </c>
    </row>
    <row r="91" spans="1:10" x14ac:dyDescent="0.25">
      <c r="A91" s="386"/>
      <c r="B91" s="310"/>
      <c r="C91" s="311"/>
      <c r="D91" s="518"/>
      <c r="E91" s="409"/>
      <c r="F91" s="312"/>
      <c r="G91" s="522"/>
      <c r="H91" s="312"/>
      <c r="I91" s="455"/>
      <c r="J91" s="271" t="b">
        <f>Age_Sex22[[#This Row],[Total Spending After Applying Truncation at the Member Level]]+Age_Sex22[[#This Row],[Total Dollars Excluded from Spending After Applying Truncation at the Member Level]]=Age_Sex22[[#This Row],[Total Spending before Truncation is Applied]]</f>
        <v>1</v>
      </c>
    </row>
    <row r="92" spans="1:10" x14ac:dyDescent="0.25">
      <c r="A92" s="389"/>
      <c r="B92" s="4"/>
      <c r="C92" s="16"/>
      <c r="D92" s="519"/>
      <c r="E92" s="410"/>
      <c r="F92" s="313"/>
      <c r="G92" s="256"/>
      <c r="H92" s="313"/>
      <c r="I92" s="456"/>
      <c r="J92" s="271" t="b">
        <f>Age_Sex22[[#This Row],[Total Spending After Applying Truncation at the Member Level]]+Age_Sex22[[#This Row],[Total Dollars Excluded from Spending After Applying Truncation at the Member Level]]=Age_Sex22[[#This Row],[Total Spending before Truncation is Applied]]</f>
        <v>1</v>
      </c>
    </row>
    <row r="93" spans="1:10" x14ac:dyDescent="0.25">
      <c r="A93" s="386"/>
      <c r="B93" s="310"/>
      <c r="C93" s="311"/>
      <c r="D93" s="518"/>
      <c r="E93" s="409"/>
      <c r="F93" s="312"/>
      <c r="G93" s="522"/>
      <c r="H93" s="312"/>
      <c r="I93" s="455"/>
      <c r="J93" s="271" t="b">
        <f>Age_Sex22[[#This Row],[Total Spending After Applying Truncation at the Member Level]]+Age_Sex22[[#This Row],[Total Dollars Excluded from Spending After Applying Truncation at the Member Level]]=Age_Sex22[[#This Row],[Total Spending before Truncation is Applied]]</f>
        <v>1</v>
      </c>
    </row>
    <row r="94" spans="1:10" x14ac:dyDescent="0.25">
      <c r="A94" s="389"/>
      <c r="B94" s="4"/>
      <c r="C94" s="16"/>
      <c r="D94" s="519"/>
      <c r="E94" s="410"/>
      <c r="F94" s="313"/>
      <c r="G94" s="256"/>
      <c r="H94" s="313"/>
      <c r="I94" s="456"/>
      <c r="J94" s="271" t="b">
        <f>Age_Sex22[[#This Row],[Total Spending After Applying Truncation at the Member Level]]+Age_Sex22[[#This Row],[Total Dollars Excluded from Spending After Applying Truncation at the Member Level]]=Age_Sex22[[#This Row],[Total Spending before Truncation is Applied]]</f>
        <v>1</v>
      </c>
    </row>
    <row r="95" spans="1:10" x14ac:dyDescent="0.25">
      <c r="A95" s="386"/>
      <c r="B95" s="310"/>
      <c r="C95" s="311"/>
      <c r="D95" s="518"/>
      <c r="E95" s="409"/>
      <c r="F95" s="312"/>
      <c r="G95" s="522"/>
      <c r="H95" s="312"/>
      <c r="I95" s="455"/>
      <c r="J95" s="271" t="b">
        <f>Age_Sex22[[#This Row],[Total Spending After Applying Truncation at the Member Level]]+Age_Sex22[[#This Row],[Total Dollars Excluded from Spending After Applying Truncation at the Member Level]]=Age_Sex22[[#This Row],[Total Spending before Truncation is Applied]]</f>
        <v>1</v>
      </c>
    </row>
    <row r="96" spans="1:10" x14ac:dyDescent="0.25">
      <c r="A96" s="389"/>
      <c r="B96" s="4"/>
      <c r="C96" s="16"/>
      <c r="D96" s="519"/>
      <c r="E96" s="410"/>
      <c r="F96" s="313"/>
      <c r="G96" s="256"/>
      <c r="H96" s="313"/>
      <c r="I96" s="456"/>
      <c r="J96" s="271" t="b">
        <f>Age_Sex22[[#This Row],[Total Spending After Applying Truncation at the Member Level]]+Age_Sex22[[#This Row],[Total Dollars Excluded from Spending After Applying Truncation at the Member Level]]=Age_Sex22[[#This Row],[Total Spending before Truncation is Applied]]</f>
        <v>1</v>
      </c>
    </row>
    <row r="97" spans="1:10" x14ac:dyDescent="0.25">
      <c r="A97" s="386"/>
      <c r="B97" s="310"/>
      <c r="C97" s="311"/>
      <c r="D97" s="518"/>
      <c r="E97" s="409"/>
      <c r="F97" s="312"/>
      <c r="G97" s="522"/>
      <c r="H97" s="312"/>
      <c r="I97" s="455"/>
      <c r="J97" s="271" t="b">
        <f>Age_Sex22[[#This Row],[Total Spending After Applying Truncation at the Member Level]]+Age_Sex22[[#This Row],[Total Dollars Excluded from Spending After Applying Truncation at the Member Level]]=Age_Sex22[[#This Row],[Total Spending before Truncation is Applied]]</f>
        <v>1</v>
      </c>
    </row>
    <row r="98" spans="1:10" x14ac:dyDescent="0.25">
      <c r="A98" s="389"/>
      <c r="B98" s="4"/>
      <c r="C98" s="16"/>
      <c r="D98" s="519"/>
      <c r="E98" s="410"/>
      <c r="F98" s="313"/>
      <c r="G98" s="256"/>
      <c r="H98" s="313"/>
      <c r="I98" s="456"/>
      <c r="J98" s="271" t="b">
        <f>Age_Sex22[[#This Row],[Total Spending After Applying Truncation at the Member Level]]+Age_Sex22[[#This Row],[Total Dollars Excluded from Spending After Applying Truncation at the Member Level]]=Age_Sex22[[#This Row],[Total Spending before Truncation is Applied]]</f>
        <v>1</v>
      </c>
    </row>
    <row r="99" spans="1:10" x14ac:dyDescent="0.25">
      <c r="A99" s="386"/>
      <c r="B99" s="310"/>
      <c r="C99" s="311"/>
      <c r="D99" s="518"/>
      <c r="E99" s="409"/>
      <c r="F99" s="312"/>
      <c r="G99" s="522"/>
      <c r="H99" s="312"/>
      <c r="I99" s="455"/>
      <c r="J99" s="271" t="b">
        <f>Age_Sex22[[#This Row],[Total Spending After Applying Truncation at the Member Level]]+Age_Sex22[[#This Row],[Total Dollars Excluded from Spending After Applying Truncation at the Member Level]]=Age_Sex22[[#This Row],[Total Spending before Truncation is Applied]]</f>
        <v>1</v>
      </c>
    </row>
    <row r="100" spans="1:10" x14ac:dyDescent="0.25">
      <c r="A100" s="389"/>
      <c r="B100" s="4"/>
      <c r="C100" s="16"/>
      <c r="D100" s="519"/>
      <c r="E100" s="410"/>
      <c r="F100" s="313"/>
      <c r="G100" s="256"/>
      <c r="H100" s="313"/>
      <c r="I100" s="456"/>
      <c r="J100" s="271" t="b">
        <f>Age_Sex22[[#This Row],[Total Spending After Applying Truncation at the Member Level]]+Age_Sex22[[#This Row],[Total Dollars Excluded from Spending After Applying Truncation at the Member Level]]=Age_Sex22[[#This Row],[Total Spending before Truncation is Applied]]</f>
        <v>1</v>
      </c>
    </row>
    <row r="101" spans="1:10" x14ac:dyDescent="0.25">
      <c r="A101" s="386"/>
      <c r="B101" s="310"/>
      <c r="C101" s="311"/>
      <c r="D101" s="518"/>
      <c r="E101" s="409"/>
      <c r="F101" s="312"/>
      <c r="G101" s="522"/>
      <c r="H101" s="312"/>
      <c r="I101" s="455"/>
      <c r="J101" s="271" t="b">
        <f>Age_Sex22[[#This Row],[Total Spending After Applying Truncation at the Member Level]]+Age_Sex22[[#This Row],[Total Dollars Excluded from Spending After Applying Truncation at the Member Level]]=Age_Sex22[[#This Row],[Total Spending before Truncation is Applied]]</f>
        <v>1</v>
      </c>
    </row>
    <row r="102" spans="1:10" x14ac:dyDescent="0.25">
      <c r="A102" s="389"/>
      <c r="B102" s="4"/>
      <c r="C102" s="16"/>
      <c r="D102" s="519"/>
      <c r="E102" s="410"/>
      <c r="F102" s="313"/>
      <c r="G102" s="256"/>
      <c r="H102" s="313"/>
      <c r="I102" s="456"/>
      <c r="J102" s="271" t="b">
        <f>Age_Sex22[[#This Row],[Total Spending After Applying Truncation at the Member Level]]+Age_Sex22[[#This Row],[Total Dollars Excluded from Spending After Applying Truncation at the Member Level]]=Age_Sex22[[#This Row],[Total Spending before Truncation is Applied]]</f>
        <v>1</v>
      </c>
    </row>
    <row r="103" spans="1:10" x14ac:dyDescent="0.25">
      <c r="A103" s="386"/>
      <c r="B103" s="310"/>
      <c r="C103" s="311"/>
      <c r="D103" s="518"/>
      <c r="E103" s="409"/>
      <c r="F103" s="312"/>
      <c r="G103" s="522"/>
      <c r="H103" s="312"/>
      <c r="I103" s="455"/>
      <c r="J103" s="271" t="b">
        <f>Age_Sex22[[#This Row],[Total Spending After Applying Truncation at the Member Level]]+Age_Sex22[[#This Row],[Total Dollars Excluded from Spending After Applying Truncation at the Member Level]]=Age_Sex22[[#This Row],[Total Spending before Truncation is Applied]]</f>
        <v>1</v>
      </c>
    </row>
    <row r="104" spans="1:10" x14ac:dyDescent="0.25">
      <c r="A104" s="389"/>
      <c r="B104" s="4"/>
      <c r="C104" s="16"/>
      <c r="D104" s="519"/>
      <c r="E104" s="410"/>
      <c r="F104" s="313"/>
      <c r="G104" s="256"/>
      <c r="H104" s="313"/>
      <c r="I104" s="456"/>
      <c r="J104" s="271" t="b">
        <f>Age_Sex22[[#This Row],[Total Spending After Applying Truncation at the Member Level]]+Age_Sex22[[#This Row],[Total Dollars Excluded from Spending After Applying Truncation at the Member Level]]=Age_Sex22[[#This Row],[Total Spending before Truncation is Applied]]</f>
        <v>1</v>
      </c>
    </row>
    <row r="105" spans="1:10" x14ac:dyDescent="0.25">
      <c r="A105" s="386"/>
      <c r="B105" s="310"/>
      <c r="C105" s="311"/>
      <c r="D105" s="518"/>
      <c r="E105" s="409"/>
      <c r="F105" s="312"/>
      <c r="G105" s="522"/>
      <c r="H105" s="312"/>
      <c r="I105" s="455"/>
      <c r="J105" s="271" t="b">
        <f>Age_Sex22[[#This Row],[Total Spending After Applying Truncation at the Member Level]]+Age_Sex22[[#This Row],[Total Dollars Excluded from Spending After Applying Truncation at the Member Level]]=Age_Sex22[[#This Row],[Total Spending before Truncation is Applied]]</f>
        <v>1</v>
      </c>
    </row>
    <row r="106" spans="1:10" x14ac:dyDescent="0.25">
      <c r="A106" s="389"/>
      <c r="B106" s="4"/>
      <c r="C106" s="16"/>
      <c r="D106" s="519"/>
      <c r="E106" s="410"/>
      <c r="F106" s="313"/>
      <c r="G106" s="256"/>
      <c r="H106" s="313"/>
      <c r="I106" s="456"/>
      <c r="J106" s="271" t="b">
        <f>Age_Sex22[[#This Row],[Total Spending After Applying Truncation at the Member Level]]+Age_Sex22[[#This Row],[Total Dollars Excluded from Spending After Applying Truncation at the Member Level]]=Age_Sex22[[#This Row],[Total Spending before Truncation is Applied]]</f>
        <v>1</v>
      </c>
    </row>
    <row r="107" spans="1:10" x14ac:dyDescent="0.25">
      <c r="A107" s="386"/>
      <c r="B107" s="310"/>
      <c r="C107" s="311"/>
      <c r="D107" s="518"/>
      <c r="E107" s="409"/>
      <c r="F107" s="312"/>
      <c r="G107" s="522"/>
      <c r="H107" s="312"/>
      <c r="I107" s="455"/>
      <c r="J107" s="271" t="b">
        <f>Age_Sex22[[#This Row],[Total Spending After Applying Truncation at the Member Level]]+Age_Sex22[[#This Row],[Total Dollars Excluded from Spending After Applying Truncation at the Member Level]]=Age_Sex22[[#This Row],[Total Spending before Truncation is Applied]]</f>
        <v>1</v>
      </c>
    </row>
    <row r="108" spans="1:10" x14ac:dyDescent="0.25">
      <c r="A108" s="389"/>
      <c r="B108" s="4"/>
      <c r="C108" s="16"/>
      <c r="D108" s="519"/>
      <c r="E108" s="410"/>
      <c r="F108" s="313"/>
      <c r="G108" s="256"/>
      <c r="H108" s="313"/>
      <c r="I108" s="456"/>
      <c r="J108" s="271" t="b">
        <f>Age_Sex22[[#This Row],[Total Spending After Applying Truncation at the Member Level]]+Age_Sex22[[#This Row],[Total Dollars Excluded from Spending After Applying Truncation at the Member Level]]=Age_Sex22[[#This Row],[Total Spending before Truncation is Applied]]</f>
        <v>1</v>
      </c>
    </row>
    <row r="109" spans="1:10" x14ac:dyDescent="0.25">
      <c r="A109" s="386"/>
      <c r="B109" s="310"/>
      <c r="C109" s="311"/>
      <c r="D109" s="518"/>
      <c r="E109" s="409"/>
      <c r="F109" s="312"/>
      <c r="G109" s="522"/>
      <c r="H109" s="312"/>
      <c r="I109" s="455"/>
      <c r="J109" s="271" t="b">
        <f>Age_Sex22[[#This Row],[Total Spending After Applying Truncation at the Member Level]]+Age_Sex22[[#This Row],[Total Dollars Excluded from Spending After Applying Truncation at the Member Level]]=Age_Sex22[[#This Row],[Total Spending before Truncation is Applied]]</f>
        <v>1</v>
      </c>
    </row>
    <row r="110" spans="1:10" x14ac:dyDescent="0.25">
      <c r="A110" s="389"/>
      <c r="B110" s="4"/>
      <c r="C110" s="16"/>
      <c r="D110" s="519"/>
      <c r="E110" s="410"/>
      <c r="F110" s="313"/>
      <c r="G110" s="256"/>
      <c r="H110" s="313"/>
      <c r="I110" s="456"/>
      <c r="J110" s="271" t="b">
        <f>Age_Sex22[[#This Row],[Total Spending After Applying Truncation at the Member Level]]+Age_Sex22[[#This Row],[Total Dollars Excluded from Spending After Applying Truncation at the Member Level]]=Age_Sex22[[#This Row],[Total Spending before Truncation is Applied]]</f>
        <v>1</v>
      </c>
    </row>
    <row r="111" spans="1:10" x14ac:dyDescent="0.25">
      <c r="A111" s="386"/>
      <c r="B111" s="310"/>
      <c r="C111" s="311"/>
      <c r="D111" s="518"/>
      <c r="E111" s="409"/>
      <c r="F111" s="312"/>
      <c r="G111" s="522"/>
      <c r="H111" s="312"/>
      <c r="I111" s="455"/>
      <c r="J111" s="271" t="b">
        <f>Age_Sex22[[#This Row],[Total Spending After Applying Truncation at the Member Level]]+Age_Sex22[[#This Row],[Total Dollars Excluded from Spending After Applying Truncation at the Member Level]]=Age_Sex22[[#This Row],[Total Spending before Truncation is Applied]]</f>
        <v>1</v>
      </c>
    </row>
    <row r="112" spans="1:10" x14ac:dyDescent="0.25">
      <c r="A112" s="389"/>
      <c r="B112" s="4"/>
      <c r="C112" s="16"/>
      <c r="D112" s="519"/>
      <c r="E112" s="410"/>
      <c r="F112" s="313"/>
      <c r="G112" s="256"/>
      <c r="H112" s="313"/>
      <c r="I112" s="456"/>
      <c r="J112" s="271" t="b">
        <f>Age_Sex22[[#This Row],[Total Spending After Applying Truncation at the Member Level]]+Age_Sex22[[#This Row],[Total Dollars Excluded from Spending After Applying Truncation at the Member Level]]=Age_Sex22[[#This Row],[Total Spending before Truncation is Applied]]</f>
        <v>1</v>
      </c>
    </row>
    <row r="113" spans="1:10" x14ac:dyDescent="0.25">
      <c r="A113" s="386"/>
      <c r="B113" s="310"/>
      <c r="C113" s="311"/>
      <c r="D113" s="518"/>
      <c r="E113" s="409"/>
      <c r="F113" s="312"/>
      <c r="G113" s="522"/>
      <c r="H113" s="312"/>
      <c r="I113" s="455"/>
      <c r="J113" s="271" t="b">
        <f>Age_Sex22[[#This Row],[Total Spending After Applying Truncation at the Member Level]]+Age_Sex22[[#This Row],[Total Dollars Excluded from Spending After Applying Truncation at the Member Level]]=Age_Sex22[[#This Row],[Total Spending before Truncation is Applied]]</f>
        <v>1</v>
      </c>
    </row>
    <row r="114" spans="1:10" x14ac:dyDescent="0.25">
      <c r="A114" s="389"/>
      <c r="B114" s="4"/>
      <c r="C114" s="16"/>
      <c r="D114" s="519"/>
      <c r="E114" s="410"/>
      <c r="F114" s="313"/>
      <c r="G114" s="256"/>
      <c r="H114" s="313"/>
      <c r="I114" s="456"/>
      <c r="J114" s="271" t="b">
        <f>Age_Sex22[[#This Row],[Total Spending After Applying Truncation at the Member Level]]+Age_Sex22[[#This Row],[Total Dollars Excluded from Spending After Applying Truncation at the Member Level]]=Age_Sex22[[#This Row],[Total Spending before Truncation is Applied]]</f>
        <v>1</v>
      </c>
    </row>
    <row r="115" spans="1:10" x14ac:dyDescent="0.25">
      <c r="A115" s="386"/>
      <c r="B115" s="310"/>
      <c r="C115" s="311"/>
      <c r="D115" s="518"/>
      <c r="E115" s="409"/>
      <c r="F115" s="312"/>
      <c r="G115" s="522"/>
      <c r="H115" s="312"/>
      <c r="I115" s="455"/>
      <c r="J115" s="271" t="b">
        <f>Age_Sex22[[#This Row],[Total Spending After Applying Truncation at the Member Level]]+Age_Sex22[[#This Row],[Total Dollars Excluded from Spending After Applying Truncation at the Member Level]]=Age_Sex22[[#This Row],[Total Spending before Truncation is Applied]]</f>
        <v>1</v>
      </c>
    </row>
    <row r="116" spans="1:10" x14ac:dyDescent="0.25">
      <c r="A116" s="389"/>
      <c r="B116" s="4"/>
      <c r="C116" s="16"/>
      <c r="D116" s="519"/>
      <c r="E116" s="410"/>
      <c r="F116" s="313"/>
      <c r="G116" s="256"/>
      <c r="H116" s="313"/>
      <c r="I116" s="456"/>
      <c r="J116" s="271" t="b">
        <f>Age_Sex22[[#This Row],[Total Spending After Applying Truncation at the Member Level]]+Age_Sex22[[#This Row],[Total Dollars Excluded from Spending After Applying Truncation at the Member Level]]=Age_Sex22[[#This Row],[Total Spending before Truncation is Applied]]</f>
        <v>1</v>
      </c>
    </row>
    <row r="117" spans="1:10" x14ac:dyDescent="0.25">
      <c r="A117" s="386"/>
      <c r="B117" s="310"/>
      <c r="C117" s="311"/>
      <c r="D117" s="518"/>
      <c r="E117" s="409"/>
      <c r="F117" s="312"/>
      <c r="G117" s="522"/>
      <c r="H117" s="312"/>
      <c r="I117" s="455"/>
      <c r="J117" s="271" t="b">
        <f>Age_Sex22[[#This Row],[Total Spending After Applying Truncation at the Member Level]]+Age_Sex22[[#This Row],[Total Dollars Excluded from Spending After Applying Truncation at the Member Level]]=Age_Sex22[[#This Row],[Total Spending before Truncation is Applied]]</f>
        <v>1</v>
      </c>
    </row>
    <row r="118" spans="1:10" x14ac:dyDescent="0.25">
      <c r="A118" s="389"/>
      <c r="B118" s="4"/>
      <c r="C118" s="16"/>
      <c r="D118" s="519"/>
      <c r="E118" s="410"/>
      <c r="F118" s="313"/>
      <c r="G118" s="256"/>
      <c r="H118" s="313"/>
      <c r="I118" s="456"/>
      <c r="J118" s="271" t="b">
        <f>Age_Sex22[[#This Row],[Total Spending After Applying Truncation at the Member Level]]+Age_Sex22[[#This Row],[Total Dollars Excluded from Spending After Applying Truncation at the Member Level]]=Age_Sex22[[#This Row],[Total Spending before Truncation is Applied]]</f>
        <v>1</v>
      </c>
    </row>
    <row r="119" spans="1:10" x14ac:dyDescent="0.25">
      <c r="A119" s="386"/>
      <c r="B119" s="310"/>
      <c r="C119" s="311"/>
      <c r="D119" s="518"/>
      <c r="E119" s="409"/>
      <c r="F119" s="312"/>
      <c r="G119" s="522"/>
      <c r="H119" s="312"/>
      <c r="I119" s="455"/>
      <c r="J119" s="271" t="b">
        <f>Age_Sex22[[#This Row],[Total Spending After Applying Truncation at the Member Level]]+Age_Sex22[[#This Row],[Total Dollars Excluded from Spending After Applying Truncation at the Member Level]]=Age_Sex22[[#This Row],[Total Spending before Truncation is Applied]]</f>
        <v>1</v>
      </c>
    </row>
    <row r="120" spans="1:10" x14ac:dyDescent="0.25">
      <c r="A120" s="389"/>
      <c r="B120" s="4"/>
      <c r="C120" s="16"/>
      <c r="D120" s="519"/>
      <c r="E120" s="410"/>
      <c r="F120" s="313"/>
      <c r="G120" s="256"/>
      <c r="H120" s="313"/>
      <c r="I120" s="456"/>
      <c r="J120" s="271" t="b">
        <f>Age_Sex22[[#This Row],[Total Spending After Applying Truncation at the Member Level]]+Age_Sex22[[#This Row],[Total Dollars Excluded from Spending After Applying Truncation at the Member Level]]=Age_Sex22[[#This Row],[Total Spending before Truncation is Applied]]</f>
        <v>1</v>
      </c>
    </row>
    <row r="121" spans="1:10" x14ac:dyDescent="0.25">
      <c r="A121" s="386"/>
      <c r="B121" s="310"/>
      <c r="C121" s="311"/>
      <c r="D121" s="518"/>
      <c r="E121" s="409"/>
      <c r="F121" s="312"/>
      <c r="G121" s="522"/>
      <c r="H121" s="312"/>
      <c r="I121" s="455"/>
      <c r="J121" s="271" t="b">
        <f>Age_Sex22[[#This Row],[Total Spending After Applying Truncation at the Member Level]]+Age_Sex22[[#This Row],[Total Dollars Excluded from Spending After Applying Truncation at the Member Level]]=Age_Sex22[[#This Row],[Total Spending before Truncation is Applied]]</f>
        <v>1</v>
      </c>
    </row>
    <row r="122" spans="1:10" x14ac:dyDescent="0.25">
      <c r="A122" s="389"/>
      <c r="B122" s="4"/>
      <c r="C122" s="16"/>
      <c r="D122" s="519"/>
      <c r="E122" s="410"/>
      <c r="F122" s="313"/>
      <c r="G122" s="256"/>
      <c r="H122" s="313"/>
      <c r="I122" s="456"/>
      <c r="J122" s="271" t="b">
        <f>Age_Sex22[[#This Row],[Total Spending After Applying Truncation at the Member Level]]+Age_Sex22[[#This Row],[Total Dollars Excluded from Spending After Applying Truncation at the Member Level]]=Age_Sex22[[#This Row],[Total Spending before Truncation is Applied]]</f>
        <v>1</v>
      </c>
    </row>
    <row r="123" spans="1:10" x14ac:dyDescent="0.25">
      <c r="A123" s="386"/>
      <c r="B123" s="310"/>
      <c r="C123" s="311"/>
      <c r="D123" s="518"/>
      <c r="E123" s="409"/>
      <c r="F123" s="312"/>
      <c r="G123" s="522"/>
      <c r="H123" s="312"/>
      <c r="I123" s="455"/>
      <c r="J123" s="271" t="b">
        <f>Age_Sex22[[#This Row],[Total Spending After Applying Truncation at the Member Level]]+Age_Sex22[[#This Row],[Total Dollars Excluded from Spending After Applying Truncation at the Member Level]]=Age_Sex22[[#This Row],[Total Spending before Truncation is Applied]]</f>
        <v>1</v>
      </c>
    </row>
    <row r="124" spans="1:10" x14ac:dyDescent="0.25">
      <c r="A124" s="389"/>
      <c r="B124" s="4"/>
      <c r="C124" s="16"/>
      <c r="D124" s="519"/>
      <c r="E124" s="410"/>
      <c r="F124" s="313"/>
      <c r="G124" s="256"/>
      <c r="H124" s="313"/>
      <c r="I124" s="456"/>
      <c r="J124" s="271" t="b">
        <f>Age_Sex22[[#This Row],[Total Spending After Applying Truncation at the Member Level]]+Age_Sex22[[#This Row],[Total Dollars Excluded from Spending After Applying Truncation at the Member Level]]=Age_Sex22[[#This Row],[Total Spending before Truncation is Applied]]</f>
        <v>1</v>
      </c>
    </row>
    <row r="125" spans="1:10" x14ac:dyDescent="0.25">
      <c r="A125" s="386"/>
      <c r="B125" s="310"/>
      <c r="C125" s="311"/>
      <c r="D125" s="518"/>
      <c r="E125" s="409"/>
      <c r="F125" s="312"/>
      <c r="G125" s="522"/>
      <c r="H125" s="312"/>
      <c r="I125" s="455"/>
      <c r="J125" s="271" t="b">
        <f>Age_Sex22[[#This Row],[Total Spending After Applying Truncation at the Member Level]]+Age_Sex22[[#This Row],[Total Dollars Excluded from Spending After Applying Truncation at the Member Level]]=Age_Sex22[[#This Row],[Total Spending before Truncation is Applied]]</f>
        <v>1</v>
      </c>
    </row>
    <row r="126" spans="1:10" x14ac:dyDescent="0.25">
      <c r="A126" s="389"/>
      <c r="B126" s="4"/>
      <c r="C126" s="16"/>
      <c r="D126" s="519"/>
      <c r="E126" s="410"/>
      <c r="F126" s="313"/>
      <c r="G126" s="256"/>
      <c r="H126" s="313"/>
      <c r="I126" s="456"/>
      <c r="J126" s="271" t="b">
        <f>Age_Sex22[[#This Row],[Total Spending After Applying Truncation at the Member Level]]+Age_Sex22[[#This Row],[Total Dollars Excluded from Spending After Applying Truncation at the Member Level]]=Age_Sex22[[#This Row],[Total Spending before Truncation is Applied]]</f>
        <v>1</v>
      </c>
    </row>
    <row r="127" spans="1:10" x14ac:dyDescent="0.25">
      <c r="A127" s="386"/>
      <c r="B127" s="310"/>
      <c r="C127" s="311"/>
      <c r="D127" s="518"/>
      <c r="E127" s="409"/>
      <c r="F127" s="312"/>
      <c r="G127" s="522"/>
      <c r="H127" s="312"/>
      <c r="I127" s="455"/>
      <c r="J127" s="271" t="b">
        <f>Age_Sex22[[#This Row],[Total Spending After Applying Truncation at the Member Level]]+Age_Sex22[[#This Row],[Total Dollars Excluded from Spending After Applying Truncation at the Member Level]]=Age_Sex22[[#This Row],[Total Spending before Truncation is Applied]]</f>
        <v>1</v>
      </c>
    </row>
    <row r="128" spans="1:10" x14ac:dyDescent="0.25">
      <c r="A128" s="389"/>
      <c r="B128" s="4"/>
      <c r="C128" s="16"/>
      <c r="D128" s="519"/>
      <c r="E128" s="410"/>
      <c r="F128" s="313"/>
      <c r="G128" s="256"/>
      <c r="H128" s="313"/>
      <c r="I128" s="456"/>
      <c r="J128" s="271" t="b">
        <f>Age_Sex22[[#This Row],[Total Spending After Applying Truncation at the Member Level]]+Age_Sex22[[#This Row],[Total Dollars Excluded from Spending After Applying Truncation at the Member Level]]=Age_Sex22[[#This Row],[Total Spending before Truncation is Applied]]</f>
        <v>1</v>
      </c>
    </row>
    <row r="129" spans="1:10" x14ac:dyDescent="0.25">
      <c r="A129" s="386"/>
      <c r="B129" s="310"/>
      <c r="C129" s="311"/>
      <c r="D129" s="518"/>
      <c r="E129" s="409"/>
      <c r="F129" s="312"/>
      <c r="G129" s="522"/>
      <c r="H129" s="312"/>
      <c r="I129" s="455"/>
      <c r="J129" s="271" t="b">
        <f>Age_Sex22[[#This Row],[Total Spending After Applying Truncation at the Member Level]]+Age_Sex22[[#This Row],[Total Dollars Excluded from Spending After Applying Truncation at the Member Level]]=Age_Sex22[[#This Row],[Total Spending before Truncation is Applied]]</f>
        <v>1</v>
      </c>
    </row>
    <row r="130" spans="1:10" x14ac:dyDescent="0.25">
      <c r="A130" s="389"/>
      <c r="B130" s="4"/>
      <c r="C130" s="16"/>
      <c r="D130" s="519"/>
      <c r="E130" s="410"/>
      <c r="F130" s="313"/>
      <c r="G130" s="256"/>
      <c r="H130" s="313"/>
      <c r="I130" s="456"/>
      <c r="J130" s="271" t="b">
        <f>Age_Sex22[[#This Row],[Total Spending After Applying Truncation at the Member Level]]+Age_Sex22[[#This Row],[Total Dollars Excluded from Spending After Applying Truncation at the Member Level]]=Age_Sex22[[#This Row],[Total Spending before Truncation is Applied]]</f>
        <v>1</v>
      </c>
    </row>
    <row r="131" spans="1:10" x14ac:dyDescent="0.25">
      <c r="A131" s="386"/>
      <c r="B131" s="310"/>
      <c r="C131" s="311"/>
      <c r="D131" s="518"/>
      <c r="E131" s="409"/>
      <c r="F131" s="312"/>
      <c r="G131" s="522"/>
      <c r="H131" s="312"/>
      <c r="I131" s="455"/>
      <c r="J131" s="271" t="b">
        <f>Age_Sex22[[#This Row],[Total Spending After Applying Truncation at the Member Level]]+Age_Sex22[[#This Row],[Total Dollars Excluded from Spending After Applying Truncation at the Member Level]]=Age_Sex22[[#This Row],[Total Spending before Truncation is Applied]]</f>
        <v>1</v>
      </c>
    </row>
    <row r="132" spans="1:10" x14ac:dyDescent="0.25">
      <c r="A132" s="389"/>
      <c r="B132" s="4"/>
      <c r="C132" s="16"/>
      <c r="D132" s="519"/>
      <c r="E132" s="410"/>
      <c r="F132" s="313"/>
      <c r="G132" s="256"/>
      <c r="H132" s="313"/>
      <c r="I132" s="456"/>
      <c r="J132" s="271" t="b">
        <f>Age_Sex22[[#This Row],[Total Spending After Applying Truncation at the Member Level]]+Age_Sex22[[#This Row],[Total Dollars Excluded from Spending After Applying Truncation at the Member Level]]=Age_Sex22[[#This Row],[Total Spending before Truncation is Applied]]</f>
        <v>1</v>
      </c>
    </row>
    <row r="133" spans="1:10" x14ac:dyDescent="0.25">
      <c r="A133" s="386"/>
      <c r="B133" s="310"/>
      <c r="C133" s="311"/>
      <c r="D133" s="518"/>
      <c r="E133" s="409"/>
      <c r="F133" s="312"/>
      <c r="G133" s="522"/>
      <c r="H133" s="312"/>
      <c r="I133" s="455"/>
      <c r="J133" s="271" t="b">
        <f>Age_Sex22[[#This Row],[Total Spending After Applying Truncation at the Member Level]]+Age_Sex22[[#This Row],[Total Dollars Excluded from Spending After Applying Truncation at the Member Level]]=Age_Sex22[[#This Row],[Total Spending before Truncation is Applied]]</f>
        <v>1</v>
      </c>
    </row>
    <row r="134" spans="1:10" x14ac:dyDescent="0.25">
      <c r="A134" s="389"/>
      <c r="B134" s="4"/>
      <c r="C134" s="16"/>
      <c r="D134" s="519"/>
      <c r="E134" s="410"/>
      <c r="F134" s="313"/>
      <c r="G134" s="256"/>
      <c r="H134" s="313"/>
      <c r="I134" s="456"/>
      <c r="J134" s="271" t="b">
        <f>Age_Sex22[[#This Row],[Total Spending After Applying Truncation at the Member Level]]+Age_Sex22[[#This Row],[Total Dollars Excluded from Spending After Applying Truncation at the Member Level]]=Age_Sex22[[#This Row],[Total Spending before Truncation is Applied]]</f>
        <v>1</v>
      </c>
    </row>
    <row r="135" spans="1:10" x14ac:dyDescent="0.25">
      <c r="A135" s="386"/>
      <c r="B135" s="310"/>
      <c r="C135" s="311"/>
      <c r="D135" s="518"/>
      <c r="E135" s="409"/>
      <c r="F135" s="312"/>
      <c r="G135" s="522"/>
      <c r="H135" s="312"/>
      <c r="I135" s="455"/>
      <c r="J135" s="271" t="b">
        <f>Age_Sex22[[#This Row],[Total Spending After Applying Truncation at the Member Level]]+Age_Sex22[[#This Row],[Total Dollars Excluded from Spending After Applying Truncation at the Member Level]]=Age_Sex22[[#This Row],[Total Spending before Truncation is Applied]]</f>
        <v>1</v>
      </c>
    </row>
    <row r="136" spans="1:10" x14ac:dyDescent="0.25">
      <c r="A136" s="389"/>
      <c r="B136" s="4"/>
      <c r="C136" s="16"/>
      <c r="D136" s="519"/>
      <c r="E136" s="410"/>
      <c r="F136" s="313"/>
      <c r="G136" s="256"/>
      <c r="H136" s="313"/>
      <c r="I136" s="456"/>
      <c r="J136" s="271" t="b">
        <f>Age_Sex22[[#This Row],[Total Spending After Applying Truncation at the Member Level]]+Age_Sex22[[#This Row],[Total Dollars Excluded from Spending After Applying Truncation at the Member Level]]=Age_Sex22[[#This Row],[Total Spending before Truncation is Applied]]</f>
        <v>1</v>
      </c>
    </row>
    <row r="137" spans="1:10" x14ac:dyDescent="0.25">
      <c r="A137" s="386"/>
      <c r="B137" s="310"/>
      <c r="C137" s="311"/>
      <c r="D137" s="518"/>
      <c r="E137" s="409"/>
      <c r="F137" s="312"/>
      <c r="G137" s="522"/>
      <c r="H137" s="312"/>
      <c r="I137" s="455"/>
      <c r="J137" s="271" t="b">
        <f>Age_Sex22[[#This Row],[Total Spending After Applying Truncation at the Member Level]]+Age_Sex22[[#This Row],[Total Dollars Excluded from Spending After Applying Truncation at the Member Level]]=Age_Sex22[[#This Row],[Total Spending before Truncation is Applied]]</f>
        <v>1</v>
      </c>
    </row>
    <row r="138" spans="1:10" x14ac:dyDescent="0.25">
      <c r="A138" s="389"/>
      <c r="B138" s="4"/>
      <c r="C138" s="16"/>
      <c r="D138" s="519"/>
      <c r="E138" s="410"/>
      <c r="F138" s="313"/>
      <c r="G138" s="256"/>
      <c r="H138" s="313"/>
      <c r="I138" s="456"/>
      <c r="J138" s="271" t="b">
        <f>Age_Sex22[[#This Row],[Total Spending After Applying Truncation at the Member Level]]+Age_Sex22[[#This Row],[Total Dollars Excluded from Spending After Applying Truncation at the Member Level]]=Age_Sex22[[#This Row],[Total Spending before Truncation is Applied]]</f>
        <v>1</v>
      </c>
    </row>
    <row r="139" spans="1:10" x14ac:dyDescent="0.25">
      <c r="A139" s="386"/>
      <c r="B139" s="310"/>
      <c r="C139" s="311"/>
      <c r="D139" s="518"/>
      <c r="E139" s="409"/>
      <c r="F139" s="312"/>
      <c r="G139" s="522"/>
      <c r="H139" s="312"/>
      <c r="I139" s="455"/>
      <c r="J139" s="271" t="b">
        <f>Age_Sex22[[#This Row],[Total Spending After Applying Truncation at the Member Level]]+Age_Sex22[[#This Row],[Total Dollars Excluded from Spending After Applying Truncation at the Member Level]]=Age_Sex22[[#This Row],[Total Spending before Truncation is Applied]]</f>
        <v>1</v>
      </c>
    </row>
    <row r="140" spans="1:10" x14ac:dyDescent="0.25">
      <c r="A140" s="389"/>
      <c r="B140" s="4"/>
      <c r="C140" s="16"/>
      <c r="D140" s="519"/>
      <c r="E140" s="410"/>
      <c r="F140" s="313"/>
      <c r="G140" s="256"/>
      <c r="H140" s="313"/>
      <c r="I140" s="456"/>
      <c r="J140" s="271" t="b">
        <f>Age_Sex22[[#This Row],[Total Spending After Applying Truncation at the Member Level]]+Age_Sex22[[#This Row],[Total Dollars Excluded from Spending After Applying Truncation at the Member Level]]=Age_Sex22[[#This Row],[Total Spending before Truncation is Applied]]</f>
        <v>1</v>
      </c>
    </row>
    <row r="141" spans="1:10" x14ac:dyDescent="0.25">
      <c r="A141" s="386"/>
      <c r="B141" s="310"/>
      <c r="C141" s="311"/>
      <c r="D141" s="518"/>
      <c r="E141" s="409"/>
      <c r="F141" s="312"/>
      <c r="G141" s="522"/>
      <c r="H141" s="312"/>
      <c r="I141" s="455"/>
      <c r="J141" s="271" t="b">
        <f>Age_Sex22[[#This Row],[Total Spending After Applying Truncation at the Member Level]]+Age_Sex22[[#This Row],[Total Dollars Excluded from Spending After Applying Truncation at the Member Level]]=Age_Sex22[[#This Row],[Total Spending before Truncation is Applied]]</f>
        <v>1</v>
      </c>
    </row>
    <row r="142" spans="1:10" x14ac:dyDescent="0.25">
      <c r="A142" s="389"/>
      <c r="B142" s="4"/>
      <c r="C142" s="16"/>
      <c r="D142" s="519"/>
      <c r="E142" s="410"/>
      <c r="F142" s="313"/>
      <c r="G142" s="256"/>
      <c r="H142" s="313"/>
      <c r="I142" s="456"/>
      <c r="J142" s="271" t="b">
        <f>Age_Sex22[[#This Row],[Total Spending After Applying Truncation at the Member Level]]+Age_Sex22[[#This Row],[Total Dollars Excluded from Spending After Applying Truncation at the Member Level]]=Age_Sex22[[#This Row],[Total Spending before Truncation is Applied]]</f>
        <v>1</v>
      </c>
    </row>
    <row r="143" spans="1:10" x14ac:dyDescent="0.25">
      <c r="A143" s="386"/>
      <c r="B143" s="310"/>
      <c r="C143" s="311"/>
      <c r="D143" s="518"/>
      <c r="E143" s="409"/>
      <c r="F143" s="312"/>
      <c r="G143" s="522"/>
      <c r="H143" s="312"/>
      <c r="I143" s="455"/>
      <c r="J143" s="271" t="b">
        <f>Age_Sex22[[#This Row],[Total Spending After Applying Truncation at the Member Level]]+Age_Sex22[[#This Row],[Total Dollars Excluded from Spending After Applying Truncation at the Member Level]]=Age_Sex22[[#This Row],[Total Spending before Truncation is Applied]]</f>
        <v>1</v>
      </c>
    </row>
    <row r="144" spans="1:10" x14ac:dyDescent="0.25">
      <c r="A144" s="389"/>
      <c r="B144" s="4"/>
      <c r="C144" s="16"/>
      <c r="D144" s="519"/>
      <c r="E144" s="410"/>
      <c r="F144" s="313"/>
      <c r="G144" s="256"/>
      <c r="H144" s="313"/>
      <c r="I144" s="456"/>
      <c r="J144" s="271" t="b">
        <f>Age_Sex22[[#This Row],[Total Spending After Applying Truncation at the Member Level]]+Age_Sex22[[#This Row],[Total Dollars Excluded from Spending After Applying Truncation at the Member Level]]=Age_Sex22[[#This Row],[Total Spending before Truncation is Applied]]</f>
        <v>1</v>
      </c>
    </row>
    <row r="145" spans="1:10" x14ac:dyDescent="0.25">
      <c r="A145" s="386"/>
      <c r="B145" s="310"/>
      <c r="C145" s="311"/>
      <c r="D145" s="518"/>
      <c r="E145" s="409"/>
      <c r="F145" s="312"/>
      <c r="G145" s="522"/>
      <c r="H145" s="312"/>
      <c r="I145" s="455"/>
      <c r="J145" s="271" t="b">
        <f>Age_Sex22[[#This Row],[Total Spending After Applying Truncation at the Member Level]]+Age_Sex22[[#This Row],[Total Dollars Excluded from Spending After Applying Truncation at the Member Level]]=Age_Sex22[[#This Row],[Total Spending before Truncation is Applied]]</f>
        <v>1</v>
      </c>
    </row>
    <row r="146" spans="1:10" x14ac:dyDescent="0.25">
      <c r="A146" s="389"/>
      <c r="B146" s="4"/>
      <c r="C146" s="16"/>
      <c r="D146" s="519"/>
      <c r="E146" s="410"/>
      <c r="F146" s="313"/>
      <c r="G146" s="256"/>
      <c r="H146" s="313"/>
      <c r="I146" s="456"/>
      <c r="J146" s="271" t="b">
        <f>Age_Sex22[[#This Row],[Total Spending After Applying Truncation at the Member Level]]+Age_Sex22[[#This Row],[Total Dollars Excluded from Spending After Applying Truncation at the Member Level]]=Age_Sex22[[#This Row],[Total Spending before Truncation is Applied]]</f>
        <v>1</v>
      </c>
    </row>
    <row r="147" spans="1:10" x14ac:dyDescent="0.25">
      <c r="A147" s="386"/>
      <c r="B147" s="310"/>
      <c r="C147" s="311"/>
      <c r="D147" s="518"/>
      <c r="E147" s="409"/>
      <c r="F147" s="312"/>
      <c r="G147" s="522"/>
      <c r="H147" s="312"/>
      <c r="I147" s="455"/>
      <c r="J147" s="271" t="b">
        <f>Age_Sex22[[#This Row],[Total Spending After Applying Truncation at the Member Level]]+Age_Sex22[[#This Row],[Total Dollars Excluded from Spending After Applying Truncation at the Member Level]]=Age_Sex22[[#This Row],[Total Spending before Truncation is Applied]]</f>
        <v>1</v>
      </c>
    </row>
    <row r="148" spans="1:10" x14ac:dyDescent="0.25">
      <c r="A148" s="389"/>
      <c r="B148" s="4"/>
      <c r="C148" s="16"/>
      <c r="D148" s="519"/>
      <c r="E148" s="410"/>
      <c r="F148" s="313"/>
      <c r="G148" s="256"/>
      <c r="H148" s="313"/>
      <c r="I148" s="456"/>
      <c r="J148" s="271" t="b">
        <f>Age_Sex22[[#This Row],[Total Spending After Applying Truncation at the Member Level]]+Age_Sex22[[#This Row],[Total Dollars Excluded from Spending After Applying Truncation at the Member Level]]=Age_Sex22[[#This Row],[Total Spending before Truncation is Applied]]</f>
        <v>1</v>
      </c>
    </row>
    <row r="149" spans="1:10" x14ac:dyDescent="0.25">
      <c r="A149" s="386"/>
      <c r="B149" s="310"/>
      <c r="C149" s="311"/>
      <c r="D149" s="518"/>
      <c r="E149" s="409"/>
      <c r="F149" s="312"/>
      <c r="G149" s="522"/>
      <c r="H149" s="312"/>
      <c r="I149" s="455"/>
      <c r="J149" s="271" t="b">
        <f>Age_Sex22[[#This Row],[Total Spending After Applying Truncation at the Member Level]]+Age_Sex22[[#This Row],[Total Dollars Excluded from Spending After Applying Truncation at the Member Level]]=Age_Sex22[[#This Row],[Total Spending before Truncation is Applied]]</f>
        <v>1</v>
      </c>
    </row>
    <row r="150" spans="1:10" x14ac:dyDescent="0.25">
      <c r="A150" s="389"/>
      <c r="B150" s="4"/>
      <c r="C150" s="16"/>
      <c r="D150" s="519"/>
      <c r="E150" s="410"/>
      <c r="F150" s="313"/>
      <c r="G150" s="256"/>
      <c r="H150" s="313"/>
      <c r="I150" s="456"/>
      <c r="J150" s="271" t="b">
        <f>Age_Sex22[[#This Row],[Total Spending After Applying Truncation at the Member Level]]+Age_Sex22[[#This Row],[Total Dollars Excluded from Spending After Applying Truncation at the Member Level]]=Age_Sex22[[#This Row],[Total Spending before Truncation is Applied]]</f>
        <v>1</v>
      </c>
    </row>
    <row r="151" spans="1:10" x14ac:dyDescent="0.25">
      <c r="A151" s="386"/>
      <c r="B151" s="310"/>
      <c r="C151" s="311"/>
      <c r="D151" s="518"/>
      <c r="E151" s="409"/>
      <c r="F151" s="312"/>
      <c r="G151" s="522"/>
      <c r="H151" s="312"/>
      <c r="I151" s="455"/>
      <c r="J151" s="271" t="b">
        <f>Age_Sex22[[#This Row],[Total Spending After Applying Truncation at the Member Level]]+Age_Sex22[[#This Row],[Total Dollars Excluded from Spending After Applying Truncation at the Member Level]]=Age_Sex22[[#This Row],[Total Spending before Truncation is Applied]]</f>
        <v>1</v>
      </c>
    </row>
    <row r="152" spans="1:10" x14ac:dyDescent="0.25">
      <c r="A152" s="389"/>
      <c r="B152" s="4"/>
      <c r="C152" s="16"/>
      <c r="D152" s="519"/>
      <c r="E152" s="410"/>
      <c r="F152" s="313"/>
      <c r="G152" s="256"/>
      <c r="H152" s="313"/>
      <c r="I152" s="456"/>
      <c r="J152" s="271" t="b">
        <f>Age_Sex22[[#This Row],[Total Spending After Applying Truncation at the Member Level]]+Age_Sex22[[#This Row],[Total Dollars Excluded from Spending After Applying Truncation at the Member Level]]=Age_Sex22[[#This Row],[Total Spending before Truncation is Applied]]</f>
        <v>1</v>
      </c>
    </row>
    <row r="153" spans="1:10" x14ac:dyDescent="0.25">
      <c r="A153" s="386"/>
      <c r="B153" s="310"/>
      <c r="C153" s="311"/>
      <c r="D153" s="518"/>
      <c r="E153" s="409"/>
      <c r="F153" s="312"/>
      <c r="G153" s="522"/>
      <c r="H153" s="312"/>
      <c r="I153" s="455"/>
      <c r="J153" s="271" t="b">
        <f>Age_Sex22[[#This Row],[Total Spending After Applying Truncation at the Member Level]]+Age_Sex22[[#This Row],[Total Dollars Excluded from Spending After Applying Truncation at the Member Level]]=Age_Sex22[[#This Row],[Total Spending before Truncation is Applied]]</f>
        <v>1</v>
      </c>
    </row>
    <row r="154" spans="1:10" x14ac:dyDescent="0.25">
      <c r="A154" s="389"/>
      <c r="B154" s="4"/>
      <c r="C154" s="16"/>
      <c r="D154" s="519"/>
      <c r="E154" s="410"/>
      <c r="F154" s="313"/>
      <c r="G154" s="256"/>
      <c r="H154" s="313"/>
      <c r="I154" s="456"/>
      <c r="J154" s="271" t="b">
        <f>Age_Sex22[[#This Row],[Total Spending After Applying Truncation at the Member Level]]+Age_Sex22[[#This Row],[Total Dollars Excluded from Spending After Applying Truncation at the Member Level]]=Age_Sex22[[#This Row],[Total Spending before Truncation is Applied]]</f>
        <v>1</v>
      </c>
    </row>
    <row r="155" spans="1:10" x14ac:dyDescent="0.25">
      <c r="A155" s="386"/>
      <c r="B155" s="310"/>
      <c r="C155" s="311"/>
      <c r="D155" s="518"/>
      <c r="E155" s="409"/>
      <c r="F155" s="312"/>
      <c r="G155" s="522"/>
      <c r="H155" s="312"/>
      <c r="I155" s="455"/>
      <c r="J155" s="271" t="b">
        <f>Age_Sex22[[#This Row],[Total Spending After Applying Truncation at the Member Level]]+Age_Sex22[[#This Row],[Total Dollars Excluded from Spending After Applying Truncation at the Member Level]]=Age_Sex22[[#This Row],[Total Spending before Truncation is Applied]]</f>
        <v>1</v>
      </c>
    </row>
    <row r="156" spans="1:10" x14ac:dyDescent="0.25">
      <c r="A156" s="389"/>
      <c r="B156" s="4"/>
      <c r="C156" s="16"/>
      <c r="D156" s="519"/>
      <c r="E156" s="410"/>
      <c r="F156" s="313"/>
      <c r="G156" s="256"/>
      <c r="H156" s="313"/>
      <c r="I156" s="456"/>
      <c r="J156" s="271" t="b">
        <f>Age_Sex22[[#This Row],[Total Spending After Applying Truncation at the Member Level]]+Age_Sex22[[#This Row],[Total Dollars Excluded from Spending After Applying Truncation at the Member Level]]=Age_Sex22[[#This Row],[Total Spending before Truncation is Applied]]</f>
        <v>1</v>
      </c>
    </row>
    <row r="157" spans="1:10" x14ac:dyDescent="0.25">
      <c r="A157" s="386"/>
      <c r="B157" s="310"/>
      <c r="C157" s="311"/>
      <c r="D157" s="518"/>
      <c r="E157" s="409"/>
      <c r="F157" s="312"/>
      <c r="G157" s="522"/>
      <c r="H157" s="312"/>
      <c r="I157" s="455"/>
      <c r="J157" s="271" t="b">
        <f>Age_Sex22[[#This Row],[Total Spending After Applying Truncation at the Member Level]]+Age_Sex22[[#This Row],[Total Dollars Excluded from Spending After Applying Truncation at the Member Level]]=Age_Sex22[[#This Row],[Total Spending before Truncation is Applied]]</f>
        <v>1</v>
      </c>
    </row>
    <row r="158" spans="1:10" x14ac:dyDescent="0.25">
      <c r="A158" s="389"/>
      <c r="B158" s="4"/>
      <c r="C158" s="16"/>
      <c r="D158" s="519"/>
      <c r="E158" s="410"/>
      <c r="F158" s="313"/>
      <c r="G158" s="256"/>
      <c r="H158" s="313"/>
      <c r="I158" s="456"/>
      <c r="J158" s="271" t="b">
        <f>Age_Sex22[[#This Row],[Total Spending After Applying Truncation at the Member Level]]+Age_Sex22[[#This Row],[Total Dollars Excluded from Spending After Applying Truncation at the Member Level]]=Age_Sex22[[#This Row],[Total Spending before Truncation is Applied]]</f>
        <v>1</v>
      </c>
    </row>
    <row r="159" spans="1:10" x14ac:dyDescent="0.25">
      <c r="A159" s="386"/>
      <c r="B159" s="310"/>
      <c r="C159" s="311"/>
      <c r="D159" s="518"/>
      <c r="E159" s="409"/>
      <c r="F159" s="312"/>
      <c r="G159" s="522"/>
      <c r="H159" s="312"/>
      <c r="I159" s="455"/>
      <c r="J159" s="271" t="b">
        <f>Age_Sex22[[#This Row],[Total Spending After Applying Truncation at the Member Level]]+Age_Sex22[[#This Row],[Total Dollars Excluded from Spending After Applying Truncation at the Member Level]]=Age_Sex22[[#This Row],[Total Spending before Truncation is Applied]]</f>
        <v>1</v>
      </c>
    </row>
    <row r="160" spans="1:10" x14ac:dyDescent="0.25">
      <c r="A160" s="389"/>
      <c r="B160" s="4"/>
      <c r="C160" s="16"/>
      <c r="D160" s="519"/>
      <c r="E160" s="410"/>
      <c r="F160" s="313"/>
      <c r="G160" s="256"/>
      <c r="H160" s="313"/>
      <c r="I160" s="456"/>
      <c r="J160" s="271" t="b">
        <f>Age_Sex22[[#This Row],[Total Spending After Applying Truncation at the Member Level]]+Age_Sex22[[#This Row],[Total Dollars Excluded from Spending After Applying Truncation at the Member Level]]=Age_Sex22[[#This Row],[Total Spending before Truncation is Applied]]</f>
        <v>1</v>
      </c>
    </row>
    <row r="161" spans="1:10" x14ac:dyDescent="0.25">
      <c r="A161" s="386"/>
      <c r="B161" s="310"/>
      <c r="C161" s="311"/>
      <c r="D161" s="518"/>
      <c r="E161" s="409"/>
      <c r="F161" s="312"/>
      <c r="G161" s="522"/>
      <c r="H161" s="312"/>
      <c r="I161" s="455"/>
      <c r="J161" s="271" t="b">
        <f>Age_Sex22[[#This Row],[Total Spending After Applying Truncation at the Member Level]]+Age_Sex22[[#This Row],[Total Dollars Excluded from Spending After Applying Truncation at the Member Level]]=Age_Sex22[[#This Row],[Total Spending before Truncation is Applied]]</f>
        <v>1</v>
      </c>
    </row>
    <row r="162" spans="1:10" x14ac:dyDescent="0.25">
      <c r="A162" s="389"/>
      <c r="B162" s="4"/>
      <c r="C162" s="16"/>
      <c r="D162" s="519"/>
      <c r="E162" s="410"/>
      <c r="F162" s="313"/>
      <c r="G162" s="256"/>
      <c r="H162" s="313"/>
      <c r="I162" s="456"/>
      <c r="J162" s="271" t="b">
        <f>Age_Sex22[[#This Row],[Total Spending After Applying Truncation at the Member Level]]+Age_Sex22[[#This Row],[Total Dollars Excluded from Spending After Applying Truncation at the Member Level]]=Age_Sex22[[#This Row],[Total Spending before Truncation is Applied]]</f>
        <v>1</v>
      </c>
    </row>
    <row r="163" spans="1:10" x14ac:dyDescent="0.25">
      <c r="A163" s="386"/>
      <c r="B163" s="310"/>
      <c r="C163" s="311"/>
      <c r="D163" s="518"/>
      <c r="E163" s="409"/>
      <c r="F163" s="312"/>
      <c r="G163" s="522"/>
      <c r="H163" s="312"/>
      <c r="I163" s="455"/>
      <c r="J163" s="271" t="b">
        <f>Age_Sex22[[#This Row],[Total Spending After Applying Truncation at the Member Level]]+Age_Sex22[[#This Row],[Total Dollars Excluded from Spending After Applying Truncation at the Member Level]]=Age_Sex22[[#This Row],[Total Spending before Truncation is Applied]]</f>
        <v>1</v>
      </c>
    </row>
    <row r="164" spans="1:10" x14ac:dyDescent="0.25">
      <c r="A164" s="389"/>
      <c r="B164" s="4"/>
      <c r="C164" s="16"/>
      <c r="D164" s="519"/>
      <c r="E164" s="410"/>
      <c r="F164" s="313"/>
      <c r="G164" s="256"/>
      <c r="H164" s="313"/>
      <c r="I164" s="456"/>
      <c r="J164" s="271" t="b">
        <f>Age_Sex22[[#This Row],[Total Spending After Applying Truncation at the Member Level]]+Age_Sex22[[#This Row],[Total Dollars Excluded from Spending After Applying Truncation at the Member Level]]=Age_Sex22[[#This Row],[Total Spending before Truncation is Applied]]</f>
        <v>1</v>
      </c>
    </row>
    <row r="165" spans="1:10" x14ac:dyDescent="0.25">
      <c r="A165" s="386"/>
      <c r="B165" s="310"/>
      <c r="C165" s="311"/>
      <c r="D165" s="518"/>
      <c r="E165" s="409"/>
      <c r="F165" s="312"/>
      <c r="G165" s="522"/>
      <c r="H165" s="312"/>
      <c r="I165" s="455"/>
      <c r="J165" s="271" t="b">
        <f>Age_Sex22[[#This Row],[Total Spending After Applying Truncation at the Member Level]]+Age_Sex22[[#This Row],[Total Dollars Excluded from Spending After Applying Truncation at the Member Level]]=Age_Sex22[[#This Row],[Total Spending before Truncation is Applied]]</f>
        <v>1</v>
      </c>
    </row>
    <row r="166" spans="1:10" x14ac:dyDescent="0.25">
      <c r="A166" s="389"/>
      <c r="B166" s="4"/>
      <c r="C166" s="16"/>
      <c r="D166" s="519"/>
      <c r="E166" s="410"/>
      <c r="F166" s="313"/>
      <c r="G166" s="256"/>
      <c r="H166" s="313"/>
      <c r="I166" s="456"/>
      <c r="J166" s="271" t="b">
        <f>Age_Sex22[[#This Row],[Total Spending After Applying Truncation at the Member Level]]+Age_Sex22[[#This Row],[Total Dollars Excluded from Spending After Applying Truncation at the Member Level]]=Age_Sex22[[#This Row],[Total Spending before Truncation is Applied]]</f>
        <v>1</v>
      </c>
    </row>
    <row r="167" spans="1:10" x14ac:dyDescent="0.25">
      <c r="A167" s="386"/>
      <c r="B167" s="310"/>
      <c r="C167" s="311"/>
      <c r="D167" s="518"/>
      <c r="E167" s="409"/>
      <c r="F167" s="312"/>
      <c r="G167" s="522"/>
      <c r="H167" s="312"/>
      <c r="I167" s="455"/>
      <c r="J167" s="271" t="b">
        <f>Age_Sex22[[#This Row],[Total Spending After Applying Truncation at the Member Level]]+Age_Sex22[[#This Row],[Total Dollars Excluded from Spending After Applying Truncation at the Member Level]]=Age_Sex22[[#This Row],[Total Spending before Truncation is Applied]]</f>
        <v>1</v>
      </c>
    </row>
    <row r="168" spans="1:10" x14ac:dyDescent="0.25">
      <c r="A168" s="389"/>
      <c r="B168" s="4"/>
      <c r="C168" s="16"/>
      <c r="D168" s="519"/>
      <c r="E168" s="410"/>
      <c r="F168" s="313"/>
      <c r="G168" s="256"/>
      <c r="H168" s="313"/>
      <c r="I168" s="456"/>
      <c r="J168" s="271" t="b">
        <f>Age_Sex22[[#This Row],[Total Spending After Applying Truncation at the Member Level]]+Age_Sex22[[#This Row],[Total Dollars Excluded from Spending After Applying Truncation at the Member Level]]=Age_Sex22[[#This Row],[Total Spending before Truncation is Applied]]</f>
        <v>1</v>
      </c>
    </row>
    <row r="169" spans="1:10" x14ac:dyDescent="0.25">
      <c r="A169" s="386"/>
      <c r="B169" s="310"/>
      <c r="C169" s="311"/>
      <c r="D169" s="518"/>
      <c r="E169" s="409"/>
      <c r="F169" s="312"/>
      <c r="G169" s="522"/>
      <c r="H169" s="312"/>
      <c r="I169" s="455"/>
      <c r="J169" s="271" t="b">
        <f>Age_Sex22[[#This Row],[Total Spending After Applying Truncation at the Member Level]]+Age_Sex22[[#This Row],[Total Dollars Excluded from Spending After Applying Truncation at the Member Level]]=Age_Sex22[[#This Row],[Total Spending before Truncation is Applied]]</f>
        <v>1</v>
      </c>
    </row>
    <row r="170" spans="1:10" x14ac:dyDescent="0.25">
      <c r="A170" s="389"/>
      <c r="B170" s="4"/>
      <c r="C170" s="16"/>
      <c r="D170" s="519"/>
      <c r="E170" s="410"/>
      <c r="F170" s="313"/>
      <c r="G170" s="256"/>
      <c r="H170" s="313"/>
      <c r="I170" s="456"/>
      <c r="J170" s="271" t="b">
        <f>Age_Sex22[[#This Row],[Total Spending After Applying Truncation at the Member Level]]+Age_Sex22[[#This Row],[Total Dollars Excluded from Spending After Applying Truncation at the Member Level]]=Age_Sex22[[#This Row],[Total Spending before Truncation is Applied]]</f>
        <v>1</v>
      </c>
    </row>
    <row r="171" spans="1:10" x14ac:dyDescent="0.25">
      <c r="A171" s="386"/>
      <c r="B171" s="310"/>
      <c r="C171" s="311"/>
      <c r="D171" s="518"/>
      <c r="E171" s="409"/>
      <c r="F171" s="312"/>
      <c r="G171" s="522"/>
      <c r="H171" s="312"/>
      <c r="I171" s="455"/>
      <c r="J171" s="271" t="b">
        <f>Age_Sex22[[#This Row],[Total Spending After Applying Truncation at the Member Level]]+Age_Sex22[[#This Row],[Total Dollars Excluded from Spending After Applying Truncation at the Member Level]]=Age_Sex22[[#This Row],[Total Spending before Truncation is Applied]]</f>
        <v>1</v>
      </c>
    </row>
    <row r="172" spans="1:10" x14ac:dyDescent="0.25">
      <c r="A172" s="389"/>
      <c r="B172" s="4"/>
      <c r="C172" s="16"/>
      <c r="D172" s="519"/>
      <c r="E172" s="410"/>
      <c r="F172" s="313"/>
      <c r="G172" s="256"/>
      <c r="H172" s="313"/>
      <c r="I172" s="456"/>
      <c r="J172" s="271" t="b">
        <f>Age_Sex22[[#This Row],[Total Spending After Applying Truncation at the Member Level]]+Age_Sex22[[#This Row],[Total Dollars Excluded from Spending After Applying Truncation at the Member Level]]=Age_Sex22[[#This Row],[Total Spending before Truncation is Applied]]</f>
        <v>1</v>
      </c>
    </row>
    <row r="173" spans="1:10" x14ac:dyDescent="0.25">
      <c r="A173" s="386"/>
      <c r="B173" s="310"/>
      <c r="C173" s="311"/>
      <c r="D173" s="518"/>
      <c r="E173" s="409"/>
      <c r="F173" s="312"/>
      <c r="G173" s="522"/>
      <c r="H173" s="312"/>
      <c r="I173" s="455"/>
      <c r="J173" s="271" t="b">
        <f>Age_Sex22[[#This Row],[Total Spending After Applying Truncation at the Member Level]]+Age_Sex22[[#This Row],[Total Dollars Excluded from Spending After Applying Truncation at the Member Level]]=Age_Sex22[[#This Row],[Total Spending before Truncation is Applied]]</f>
        <v>1</v>
      </c>
    </row>
    <row r="174" spans="1:10" x14ac:dyDescent="0.25">
      <c r="A174" s="389"/>
      <c r="B174" s="4"/>
      <c r="C174" s="16"/>
      <c r="D174" s="519"/>
      <c r="E174" s="410"/>
      <c r="F174" s="313"/>
      <c r="G174" s="256"/>
      <c r="H174" s="313"/>
      <c r="I174" s="456"/>
      <c r="J174" s="271" t="b">
        <f>Age_Sex22[[#This Row],[Total Spending After Applying Truncation at the Member Level]]+Age_Sex22[[#This Row],[Total Dollars Excluded from Spending After Applying Truncation at the Member Level]]=Age_Sex22[[#This Row],[Total Spending before Truncation is Applied]]</f>
        <v>1</v>
      </c>
    </row>
    <row r="175" spans="1:10" x14ac:dyDescent="0.25">
      <c r="A175" s="386"/>
      <c r="B175" s="310"/>
      <c r="C175" s="311"/>
      <c r="D175" s="518"/>
      <c r="E175" s="409"/>
      <c r="F175" s="312"/>
      <c r="G175" s="522"/>
      <c r="H175" s="312"/>
      <c r="I175" s="455"/>
      <c r="J175" s="271" t="b">
        <f>Age_Sex22[[#This Row],[Total Spending After Applying Truncation at the Member Level]]+Age_Sex22[[#This Row],[Total Dollars Excluded from Spending After Applying Truncation at the Member Level]]=Age_Sex22[[#This Row],[Total Spending before Truncation is Applied]]</f>
        <v>1</v>
      </c>
    </row>
    <row r="176" spans="1:10" x14ac:dyDescent="0.25">
      <c r="A176" s="389"/>
      <c r="B176" s="4"/>
      <c r="C176" s="16"/>
      <c r="D176" s="519"/>
      <c r="E176" s="410"/>
      <c r="F176" s="313"/>
      <c r="G176" s="256"/>
      <c r="H176" s="313"/>
      <c r="I176" s="456"/>
      <c r="J176" s="271" t="b">
        <f>Age_Sex22[[#This Row],[Total Spending After Applying Truncation at the Member Level]]+Age_Sex22[[#This Row],[Total Dollars Excluded from Spending After Applying Truncation at the Member Level]]=Age_Sex22[[#This Row],[Total Spending before Truncation is Applied]]</f>
        <v>1</v>
      </c>
    </row>
    <row r="177" spans="1:10" x14ac:dyDescent="0.25">
      <c r="A177" s="386"/>
      <c r="B177" s="310"/>
      <c r="C177" s="311"/>
      <c r="D177" s="518"/>
      <c r="E177" s="409"/>
      <c r="F177" s="312"/>
      <c r="G177" s="522"/>
      <c r="H177" s="312"/>
      <c r="I177" s="455"/>
      <c r="J177" s="271" t="b">
        <f>Age_Sex22[[#This Row],[Total Spending After Applying Truncation at the Member Level]]+Age_Sex22[[#This Row],[Total Dollars Excluded from Spending After Applying Truncation at the Member Level]]=Age_Sex22[[#This Row],[Total Spending before Truncation is Applied]]</f>
        <v>1</v>
      </c>
    </row>
    <row r="178" spans="1:10" x14ac:dyDescent="0.25">
      <c r="A178" s="389"/>
      <c r="B178" s="4"/>
      <c r="C178" s="16"/>
      <c r="D178" s="519"/>
      <c r="E178" s="410"/>
      <c r="F178" s="313"/>
      <c r="G178" s="256"/>
      <c r="H178" s="313"/>
      <c r="I178" s="456"/>
      <c r="J178" s="271" t="b">
        <f>Age_Sex22[[#This Row],[Total Spending After Applying Truncation at the Member Level]]+Age_Sex22[[#This Row],[Total Dollars Excluded from Spending After Applying Truncation at the Member Level]]=Age_Sex22[[#This Row],[Total Spending before Truncation is Applied]]</f>
        <v>1</v>
      </c>
    </row>
    <row r="179" spans="1:10" x14ac:dyDescent="0.25">
      <c r="A179" s="386"/>
      <c r="B179" s="310"/>
      <c r="C179" s="311"/>
      <c r="D179" s="518"/>
      <c r="E179" s="409"/>
      <c r="F179" s="312"/>
      <c r="G179" s="522"/>
      <c r="H179" s="312"/>
      <c r="I179" s="455"/>
      <c r="J179" s="271" t="b">
        <f>Age_Sex22[[#This Row],[Total Spending After Applying Truncation at the Member Level]]+Age_Sex22[[#This Row],[Total Dollars Excluded from Spending After Applying Truncation at the Member Level]]=Age_Sex22[[#This Row],[Total Spending before Truncation is Applied]]</f>
        <v>1</v>
      </c>
    </row>
    <row r="180" spans="1:10" x14ac:dyDescent="0.25">
      <c r="A180" s="389"/>
      <c r="B180" s="4"/>
      <c r="C180" s="16"/>
      <c r="D180" s="519"/>
      <c r="E180" s="410"/>
      <c r="F180" s="313"/>
      <c r="G180" s="256"/>
      <c r="H180" s="313"/>
      <c r="I180" s="456"/>
      <c r="J180" s="271" t="b">
        <f>Age_Sex22[[#This Row],[Total Spending After Applying Truncation at the Member Level]]+Age_Sex22[[#This Row],[Total Dollars Excluded from Spending After Applying Truncation at the Member Level]]=Age_Sex22[[#This Row],[Total Spending before Truncation is Applied]]</f>
        <v>1</v>
      </c>
    </row>
    <row r="181" spans="1:10" x14ac:dyDescent="0.25">
      <c r="A181" s="386"/>
      <c r="B181" s="310"/>
      <c r="C181" s="311"/>
      <c r="D181" s="518"/>
      <c r="E181" s="409"/>
      <c r="F181" s="312"/>
      <c r="G181" s="522"/>
      <c r="H181" s="312"/>
      <c r="I181" s="455"/>
      <c r="J181" s="271" t="b">
        <f>Age_Sex22[[#This Row],[Total Spending After Applying Truncation at the Member Level]]+Age_Sex22[[#This Row],[Total Dollars Excluded from Spending After Applying Truncation at the Member Level]]=Age_Sex22[[#This Row],[Total Spending before Truncation is Applied]]</f>
        <v>1</v>
      </c>
    </row>
    <row r="182" spans="1:10" x14ac:dyDescent="0.25">
      <c r="A182" s="389"/>
      <c r="B182" s="4"/>
      <c r="C182" s="16"/>
      <c r="D182" s="519"/>
      <c r="E182" s="410"/>
      <c r="F182" s="313"/>
      <c r="G182" s="256"/>
      <c r="H182" s="313"/>
      <c r="I182" s="456"/>
      <c r="J182" s="271" t="b">
        <f>Age_Sex22[[#This Row],[Total Spending After Applying Truncation at the Member Level]]+Age_Sex22[[#This Row],[Total Dollars Excluded from Spending After Applying Truncation at the Member Level]]=Age_Sex22[[#This Row],[Total Spending before Truncation is Applied]]</f>
        <v>1</v>
      </c>
    </row>
    <row r="183" spans="1:10" x14ac:dyDescent="0.25">
      <c r="A183" s="386"/>
      <c r="B183" s="310"/>
      <c r="C183" s="311"/>
      <c r="D183" s="518"/>
      <c r="E183" s="409"/>
      <c r="F183" s="312"/>
      <c r="G183" s="522"/>
      <c r="H183" s="312"/>
      <c r="I183" s="455"/>
      <c r="J183" s="271" t="b">
        <f>Age_Sex22[[#This Row],[Total Spending After Applying Truncation at the Member Level]]+Age_Sex22[[#This Row],[Total Dollars Excluded from Spending After Applying Truncation at the Member Level]]=Age_Sex22[[#This Row],[Total Spending before Truncation is Applied]]</f>
        <v>1</v>
      </c>
    </row>
    <row r="184" spans="1:10" x14ac:dyDescent="0.25">
      <c r="A184" s="389"/>
      <c r="B184" s="4"/>
      <c r="C184" s="16"/>
      <c r="D184" s="519"/>
      <c r="E184" s="410"/>
      <c r="F184" s="313"/>
      <c r="G184" s="256"/>
      <c r="H184" s="313"/>
      <c r="I184" s="456"/>
      <c r="J184" s="271" t="b">
        <f>Age_Sex22[[#This Row],[Total Spending After Applying Truncation at the Member Level]]+Age_Sex22[[#This Row],[Total Dollars Excluded from Spending After Applying Truncation at the Member Level]]=Age_Sex22[[#This Row],[Total Spending before Truncation is Applied]]</f>
        <v>1</v>
      </c>
    </row>
    <row r="185" spans="1:10" x14ac:dyDescent="0.25">
      <c r="A185" s="386"/>
      <c r="B185" s="310"/>
      <c r="C185" s="311"/>
      <c r="D185" s="518"/>
      <c r="E185" s="409"/>
      <c r="F185" s="312"/>
      <c r="G185" s="522"/>
      <c r="H185" s="312"/>
      <c r="I185" s="455"/>
      <c r="J185" s="271" t="b">
        <f>Age_Sex22[[#This Row],[Total Spending After Applying Truncation at the Member Level]]+Age_Sex22[[#This Row],[Total Dollars Excluded from Spending After Applying Truncation at the Member Level]]=Age_Sex22[[#This Row],[Total Spending before Truncation is Applied]]</f>
        <v>1</v>
      </c>
    </row>
    <row r="186" spans="1:10" x14ac:dyDescent="0.25">
      <c r="A186" s="389"/>
      <c r="B186" s="4"/>
      <c r="C186" s="16"/>
      <c r="D186" s="519"/>
      <c r="E186" s="410"/>
      <c r="F186" s="313"/>
      <c r="G186" s="256"/>
      <c r="H186" s="313"/>
      <c r="I186" s="456"/>
      <c r="J186" s="271" t="b">
        <f>Age_Sex22[[#This Row],[Total Spending After Applying Truncation at the Member Level]]+Age_Sex22[[#This Row],[Total Dollars Excluded from Spending After Applying Truncation at the Member Level]]=Age_Sex22[[#This Row],[Total Spending before Truncation is Applied]]</f>
        <v>1</v>
      </c>
    </row>
    <row r="187" spans="1:10" x14ac:dyDescent="0.25">
      <c r="A187" s="386"/>
      <c r="B187" s="310"/>
      <c r="C187" s="311"/>
      <c r="D187" s="518"/>
      <c r="E187" s="409"/>
      <c r="F187" s="312"/>
      <c r="G187" s="522"/>
      <c r="H187" s="312"/>
      <c r="I187" s="455"/>
      <c r="J187" s="271" t="b">
        <f>Age_Sex22[[#This Row],[Total Spending After Applying Truncation at the Member Level]]+Age_Sex22[[#This Row],[Total Dollars Excluded from Spending After Applying Truncation at the Member Level]]=Age_Sex22[[#This Row],[Total Spending before Truncation is Applied]]</f>
        <v>1</v>
      </c>
    </row>
    <row r="188" spans="1:10" x14ac:dyDescent="0.25">
      <c r="A188" s="389"/>
      <c r="B188" s="4"/>
      <c r="C188" s="16"/>
      <c r="D188" s="519"/>
      <c r="E188" s="410"/>
      <c r="F188" s="313"/>
      <c r="G188" s="256"/>
      <c r="H188" s="313"/>
      <c r="I188" s="456"/>
      <c r="J188" s="271" t="b">
        <f>Age_Sex22[[#This Row],[Total Spending After Applying Truncation at the Member Level]]+Age_Sex22[[#This Row],[Total Dollars Excluded from Spending After Applying Truncation at the Member Level]]=Age_Sex22[[#This Row],[Total Spending before Truncation is Applied]]</f>
        <v>1</v>
      </c>
    </row>
    <row r="189" spans="1:10" x14ac:dyDescent="0.25">
      <c r="A189" s="386"/>
      <c r="B189" s="310"/>
      <c r="C189" s="311"/>
      <c r="D189" s="518"/>
      <c r="E189" s="409"/>
      <c r="F189" s="312"/>
      <c r="G189" s="522"/>
      <c r="H189" s="312"/>
      <c r="I189" s="455"/>
      <c r="J189" s="271" t="b">
        <f>Age_Sex22[[#This Row],[Total Spending After Applying Truncation at the Member Level]]+Age_Sex22[[#This Row],[Total Dollars Excluded from Spending After Applying Truncation at the Member Level]]=Age_Sex22[[#This Row],[Total Spending before Truncation is Applied]]</f>
        <v>1</v>
      </c>
    </row>
    <row r="190" spans="1:10" x14ac:dyDescent="0.25">
      <c r="A190" s="389"/>
      <c r="B190" s="4"/>
      <c r="C190" s="16"/>
      <c r="D190" s="519"/>
      <c r="E190" s="410"/>
      <c r="F190" s="313"/>
      <c r="G190" s="256"/>
      <c r="H190" s="313"/>
      <c r="I190" s="456"/>
      <c r="J190" s="271" t="b">
        <f>Age_Sex22[[#This Row],[Total Spending After Applying Truncation at the Member Level]]+Age_Sex22[[#This Row],[Total Dollars Excluded from Spending After Applying Truncation at the Member Level]]=Age_Sex22[[#This Row],[Total Spending before Truncation is Applied]]</f>
        <v>1</v>
      </c>
    </row>
    <row r="191" spans="1:10" x14ac:dyDescent="0.25">
      <c r="A191" s="386"/>
      <c r="B191" s="310"/>
      <c r="C191" s="311"/>
      <c r="D191" s="518"/>
      <c r="E191" s="409"/>
      <c r="F191" s="312"/>
      <c r="G191" s="522"/>
      <c r="H191" s="312"/>
      <c r="I191" s="455"/>
      <c r="J191" s="271" t="b">
        <f>Age_Sex22[[#This Row],[Total Spending After Applying Truncation at the Member Level]]+Age_Sex22[[#This Row],[Total Dollars Excluded from Spending After Applying Truncation at the Member Level]]=Age_Sex22[[#This Row],[Total Spending before Truncation is Applied]]</f>
        <v>1</v>
      </c>
    </row>
    <row r="192" spans="1:10" x14ac:dyDescent="0.25">
      <c r="A192" s="389"/>
      <c r="B192" s="4"/>
      <c r="C192" s="16"/>
      <c r="D192" s="519"/>
      <c r="E192" s="410"/>
      <c r="F192" s="313"/>
      <c r="G192" s="256"/>
      <c r="H192" s="313"/>
      <c r="I192" s="456"/>
      <c r="J192" s="271" t="b">
        <f>Age_Sex22[[#This Row],[Total Spending After Applying Truncation at the Member Level]]+Age_Sex22[[#This Row],[Total Dollars Excluded from Spending After Applying Truncation at the Member Level]]=Age_Sex22[[#This Row],[Total Spending before Truncation is Applied]]</f>
        <v>1</v>
      </c>
    </row>
    <row r="193" spans="1:10" x14ac:dyDescent="0.25">
      <c r="A193" s="386"/>
      <c r="B193" s="310"/>
      <c r="C193" s="311"/>
      <c r="D193" s="518"/>
      <c r="E193" s="409"/>
      <c r="F193" s="312"/>
      <c r="G193" s="522"/>
      <c r="H193" s="312"/>
      <c r="I193" s="455"/>
      <c r="J193" s="271" t="b">
        <f>Age_Sex22[[#This Row],[Total Spending After Applying Truncation at the Member Level]]+Age_Sex22[[#This Row],[Total Dollars Excluded from Spending After Applying Truncation at the Member Level]]=Age_Sex22[[#This Row],[Total Spending before Truncation is Applied]]</f>
        <v>1</v>
      </c>
    </row>
    <row r="194" spans="1:10" x14ac:dyDescent="0.25">
      <c r="A194" s="389"/>
      <c r="B194" s="4"/>
      <c r="C194" s="16"/>
      <c r="D194" s="519"/>
      <c r="E194" s="410"/>
      <c r="F194" s="313"/>
      <c r="G194" s="256"/>
      <c r="H194" s="313"/>
      <c r="I194" s="456"/>
      <c r="J194" s="271" t="b">
        <f>Age_Sex22[[#This Row],[Total Spending After Applying Truncation at the Member Level]]+Age_Sex22[[#This Row],[Total Dollars Excluded from Spending After Applying Truncation at the Member Level]]=Age_Sex22[[#This Row],[Total Spending before Truncation is Applied]]</f>
        <v>1</v>
      </c>
    </row>
    <row r="195" spans="1:10" x14ac:dyDescent="0.25">
      <c r="A195" s="386"/>
      <c r="B195" s="310"/>
      <c r="C195" s="311"/>
      <c r="D195" s="518"/>
      <c r="E195" s="409"/>
      <c r="F195" s="312"/>
      <c r="G195" s="522"/>
      <c r="H195" s="312"/>
      <c r="I195" s="455"/>
      <c r="J195" s="271" t="b">
        <f>Age_Sex22[[#This Row],[Total Spending After Applying Truncation at the Member Level]]+Age_Sex22[[#This Row],[Total Dollars Excluded from Spending After Applying Truncation at the Member Level]]=Age_Sex22[[#This Row],[Total Spending before Truncation is Applied]]</f>
        <v>1</v>
      </c>
    </row>
    <row r="196" spans="1:10" x14ac:dyDescent="0.25">
      <c r="A196" s="389"/>
      <c r="B196" s="4"/>
      <c r="C196" s="16"/>
      <c r="D196" s="519"/>
      <c r="E196" s="410"/>
      <c r="F196" s="313"/>
      <c r="G196" s="256"/>
      <c r="H196" s="313"/>
      <c r="I196" s="456"/>
      <c r="J196" s="271" t="b">
        <f>Age_Sex22[[#This Row],[Total Spending After Applying Truncation at the Member Level]]+Age_Sex22[[#This Row],[Total Dollars Excluded from Spending After Applying Truncation at the Member Level]]=Age_Sex22[[#This Row],[Total Spending before Truncation is Applied]]</f>
        <v>1</v>
      </c>
    </row>
    <row r="197" spans="1:10" x14ac:dyDescent="0.25">
      <c r="A197" s="386"/>
      <c r="B197" s="310"/>
      <c r="C197" s="311"/>
      <c r="D197" s="518"/>
      <c r="E197" s="409"/>
      <c r="F197" s="312"/>
      <c r="G197" s="522"/>
      <c r="H197" s="312"/>
      <c r="I197" s="455"/>
      <c r="J197" s="271" t="b">
        <f>Age_Sex22[[#This Row],[Total Spending After Applying Truncation at the Member Level]]+Age_Sex22[[#This Row],[Total Dollars Excluded from Spending After Applying Truncation at the Member Level]]=Age_Sex22[[#This Row],[Total Spending before Truncation is Applied]]</f>
        <v>1</v>
      </c>
    </row>
    <row r="198" spans="1:10" x14ac:dyDescent="0.25">
      <c r="A198" s="389"/>
      <c r="B198" s="4"/>
      <c r="C198" s="16"/>
      <c r="D198" s="519"/>
      <c r="E198" s="410"/>
      <c r="F198" s="313"/>
      <c r="G198" s="256"/>
      <c r="H198" s="313"/>
      <c r="I198" s="456"/>
      <c r="J198" s="271" t="b">
        <f>Age_Sex22[[#This Row],[Total Spending After Applying Truncation at the Member Level]]+Age_Sex22[[#This Row],[Total Dollars Excluded from Spending After Applying Truncation at the Member Level]]=Age_Sex22[[#This Row],[Total Spending before Truncation is Applied]]</f>
        <v>1</v>
      </c>
    </row>
    <row r="199" spans="1:10" x14ac:dyDescent="0.25">
      <c r="A199" s="386"/>
      <c r="B199" s="310"/>
      <c r="C199" s="311"/>
      <c r="D199" s="518"/>
      <c r="E199" s="409"/>
      <c r="F199" s="312"/>
      <c r="G199" s="522"/>
      <c r="H199" s="312"/>
      <c r="I199" s="455"/>
      <c r="J199" s="271" t="b">
        <f>Age_Sex22[[#This Row],[Total Spending After Applying Truncation at the Member Level]]+Age_Sex22[[#This Row],[Total Dollars Excluded from Spending After Applying Truncation at the Member Level]]=Age_Sex22[[#This Row],[Total Spending before Truncation is Applied]]</f>
        <v>1</v>
      </c>
    </row>
    <row r="200" spans="1:10" x14ac:dyDescent="0.25">
      <c r="A200" s="389"/>
      <c r="B200" s="4"/>
      <c r="C200" s="16"/>
      <c r="D200" s="519"/>
      <c r="E200" s="410"/>
      <c r="F200" s="313"/>
      <c r="G200" s="256"/>
      <c r="H200" s="313"/>
      <c r="I200" s="456"/>
      <c r="J200" s="271" t="b">
        <f>Age_Sex22[[#This Row],[Total Spending After Applying Truncation at the Member Level]]+Age_Sex22[[#This Row],[Total Dollars Excluded from Spending After Applying Truncation at the Member Level]]=Age_Sex22[[#This Row],[Total Spending before Truncation is Applied]]</f>
        <v>1</v>
      </c>
    </row>
    <row r="201" spans="1:10" x14ac:dyDescent="0.25">
      <c r="A201" s="386"/>
      <c r="B201" s="310"/>
      <c r="C201" s="311"/>
      <c r="D201" s="518"/>
      <c r="E201" s="409"/>
      <c r="F201" s="312"/>
      <c r="G201" s="522"/>
      <c r="H201" s="312"/>
      <c r="I201" s="455"/>
      <c r="J201" s="271" t="b">
        <f>Age_Sex22[[#This Row],[Total Spending After Applying Truncation at the Member Level]]+Age_Sex22[[#This Row],[Total Dollars Excluded from Spending After Applying Truncation at the Member Level]]=Age_Sex22[[#This Row],[Total Spending before Truncation is Applied]]</f>
        <v>1</v>
      </c>
    </row>
    <row r="202" spans="1:10" x14ac:dyDescent="0.25">
      <c r="A202" s="389"/>
      <c r="B202" s="4"/>
      <c r="C202" s="16"/>
      <c r="D202" s="519"/>
      <c r="E202" s="410"/>
      <c r="F202" s="313"/>
      <c r="G202" s="256"/>
      <c r="H202" s="313"/>
      <c r="I202" s="456"/>
      <c r="J202" s="271" t="b">
        <f>Age_Sex22[[#This Row],[Total Spending After Applying Truncation at the Member Level]]+Age_Sex22[[#This Row],[Total Dollars Excluded from Spending After Applying Truncation at the Member Level]]=Age_Sex22[[#This Row],[Total Spending before Truncation is Applied]]</f>
        <v>1</v>
      </c>
    </row>
    <row r="203" spans="1:10" x14ac:dyDescent="0.25">
      <c r="A203" s="386"/>
      <c r="B203" s="310"/>
      <c r="C203" s="311"/>
      <c r="D203" s="518"/>
      <c r="E203" s="409"/>
      <c r="F203" s="312"/>
      <c r="G203" s="522"/>
      <c r="H203" s="312"/>
      <c r="I203" s="455"/>
      <c r="J203" s="271" t="b">
        <f>Age_Sex22[[#This Row],[Total Spending After Applying Truncation at the Member Level]]+Age_Sex22[[#This Row],[Total Dollars Excluded from Spending After Applying Truncation at the Member Level]]=Age_Sex22[[#This Row],[Total Spending before Truncation is Applied]]</f>
        <v>1</v>
      </c>
    </row>
    <row r="204" spans="1:10" x14ac:dyDescent="0.25">
      <c r="A204" s="389"/>
      <c r="B204" s="4"/>
      <c r="C204" s="16"/>
      <c r="D204" s="519"/>
      <c r="E204" s="410"/>
      <c r="F204" s="313"/>
      <c r="G204" s="256"/>
      <c r="H204" s="313"/>
      <c r="I204" s="456"/>
      <c r="J204" s="271" t="b">
        <f>Age_Sex22[[#This Row],[Total Spending After Applying Truncation at the Member Level]]+Age_Sex22[[#This Row],[Total Dollars Excluded from Spending After Applying Truncation at the Member Level]]=Age_Sex22[[#This Row],[Total Spending before Truncation is Applied]]</f>
        <v>1</v>
      </c>
    </row>
    <row r="205" spans="1:10" x14ac:dyDescent="0.25">
      <c r="A205" s="386"/>
      <c r="B205" s="310"/>
      <c r="C205" s="311"/>
      <c r="D205" s="518"/>
      <c r="E205" s="409"/>
      <c r="F205" s="312"/>
      <c r="G205" s="522"/>
      <c r="H205" s="312"/>
      <c r="I205" s="455"/>
      <c r="J205" s="271" t="b">
        <f>Age_Sex22[[#This Row],[Total Spending After Applying Truncation at the Member Level]]+Age_Sex22[[#This Row],[Total Dollars Excluded from Spending After Applying Truncation at the Member Level]]=Age_Sex22[[#This Row],[Total Spending before Truncation is Applied]]</f>
        <v>1</v>
      </c>
    </row>
    <row r="206" spans="1:10" x14ac:dyDescent="0.25">
      <c r="A206" s="389"/>
      <c r="B206" s="4"/>
      <c r="C206" s="16"/>
      <c r="D206" s="519"/>
      <c r="E206" s="410"/>
      <c r="F206" s="313"/>
      <c r="G206" s="256"/>
      <c r="H206" s="313"/>
      <c r="I206" s="456"/>
      <c r="J206" s="271" t="b">
        <f>Age_Sex22[[#This Row],[Total Spending After Applying Truncation at the Member Level]]+Age_Sex22[[#This Row],[Total Dollars Excluded from Spending After Applying Truncation at the Member Level]]=Age_Sex22[[#This Row],[Total Spending before Truncation is Applied]]</f>
        <v>1</v>
      </c>
    </row>
    <row r="207" spans="1:10" x14ac:dyDescent="0.25">
      <c r="A207" s="386"/>
      <c r="B207" s="310"/>
      <c r="C207" s="311"/>
      <c r="D207" s="518"/>
      <c r="E207" s="409"/>
      <c r="F207" s="312"/>
      <c r="G207" s="522"/>
      <c r="H207" s="312"/>
      <c r="I207" s="455"/>
      <c r="J207" s="271" t="b">
        <f>Age_Sex22[[#This Row],[Total Spending After Applying Truncation at the Member Level]]+Age_Sex22[[#This Row],[Total Dollars Excluded from Spending After Applying Truncation at the Member Level]]=Age_Sex22[[#This Row],[Total Spending before Truncation is Applied]]</f>
        <v>1</v>
      </c>
    </row>
    <row r="208" spans="1:10" x14ac:dyDescent="0.25">
      <c r="A208" s="389"/>
      <c r="B208" s="4"/>
      <c r="C208" s="16"/>
      <c r="D208" s="519"/>
      <c r="E208" s="410"/>
      <c r="F208" s="313"/>
      <c r="G208" s="256"/>
      <c r="H208" s="313"/>
      <c r="I208" s="456"/>
      <c r="J208" s="271" t="b">
        <f>Age_Sex22[[#This Row],[Total Spending After Applying Truncation at the Member Level]]+Age_Sex22[[#This Row],[Total Dollars Excluded from Spending After Applying Truncation at the Member Level]]=Age_Sex22[[#This Row],[Total Spending before Truncation is Applied]]</f>
        <v>1</v>
      </c>
    </row>
    <row r="209" spans="1:10" x14ac:dyDescent="0.25">
      <c r="A209" s="386"/>
      <c r="B209" s="310"/>
      <c r="C209" s="311"/>
      <c r="D209" s="518"/>
      <c r="E209" s="409"/>
      <c r="F209" s="312"/>
      <c r="G209" s="522"/>
      <c r="H209" s="312"/>
      <c r="I209" s="455"/>
      <c r="J209" s="271" t="b">
        <f>Age_Sex22[[#This Row],[Total Spending After Applying Truncation at the Member Level]]+Age_Sex22[[#This Row],[Total Dollars Excluded from Spending After Applying Truncation at the Member Level]]=Age_Sex22[[#This Row],[Total Spending before Truncation is Applied]]</f>
        <v>1</v>
      </c>
    </row>
    <row r="210" spans="1:10" x14ac:dyDescent="0.25">
      <c r="A210" s="389"/>
      <c r="B210" s="4"/>
      <c r="C210" s="16"/>
      <c r="D210" s="519"/>
      <c r="E210" s="410"/>
      <c r="F210" s="313"/>
      <c r="G210" s="256"/>
      <c r="H210" s="313"/>
      <c r="I210" s="456"/>
      <c r="J210" s="271" t="b">
        <f>Age_Sex22[[#This Row],[Total Spending After Applying Truncation at the Member Level]]+Age_Sex22[[#This Row],[Total Dollars Excluded from Spending After Applying Truncation at the Member Level]]=Age_Sex22[[#This Row],[Total Spending before Truncation is Applied]]</f>
        <v>1</v>
      </c>
    </row>
    <row r="211" spans="1:10" x14ac:dyDescent="0.25">
      <c r="A211" s="386"/>
      <c r="B211" s="310"/>
      <c r="C211" s="311"/>
      <c r="D211" s="518"/>
      <c r="E211" s="409"/>
      <c r="F211" s="312"/>
      <c r="G211" s="522"/>
      <c r="H211" s="312"/>
      <c r="I211" s="455"/>
      <c r="J211" s="271" t="b">
        <f>Age_Sex22[[#This Row],[Total Spending After Applying Truncation at the Member Level]]+Age_Sex22[[#This Row],[Total Dollars Excluded from Spending After Applying Truncation at the Member Level]]=Age_Sex22[[#This Row],[Total Spending before Truncation is Applied]]</f>
        <v>1</v>
      </c>
    </row>
    <row r="212" spans="1:10" x14ac:dyDescent="0.25">
      <c r="A212" s="389"/>
      <c r="B212" s="4"/>
      <c r="C212" s="16"/>
      <c r="D212" s="519"/>
      <c r="E212" s="410"/>
      <c r="F212" s="313"/>
      <c r="G212" s="256"/>
      <c r="H212" s="313"/>
      <c r="I212" s="456"/>
      <c r="J212" s="271" t="b">
        <f>Age_Sex22[[#This Row],[Total Spending After Applying Truncation at the Member Level]]+Age_Sex22[[#This Row],[Total Dollars Excluded from Spending After Applying Truncation at the Member Level]]=Age_Sex22[[#This Row],[Total Spending before Truncation is Applied]]</f>
        <v>1</v>
      </c>
    </row>
    <row r="213" spans="1:10" x14ac:dyDescent="0.25">
      <c r="A213" s="386"/>
      <c r="B213" s="310"/>
      <c r="C213" s="311"/>
      <c r="D213" s="518"/>
      <c r="E213" s="409"/>
      <c r="F213" s="312"/>
      <c r="G213" s="522"/>
      <c r="H213" s="312"/>
      <c r="I213" s="455"/>
      <c r="J213" s="271" t="b">
        <f>Age_Sex22[[#This Row],[Total Spending After Applying Truncation at the Member Level]]+Age_Sex22[[#This Row],[Total Dollars Excluded from Spending After Applying Truncation at the Member Level]]=Age_Sex22[[#This Row],[Total Spending before Truncation is Applied]]</f>
        <v>1</v>
      </c>
    </row>
    <row r="214" spans="1:10" x14ac:dyDescent="0.25">
      <c r="A214" s="389"/>
      <c r="B214" s="4"/>
      <c r="C214" s="16"/>
      <c r="D214" s="519"/>
      <c r="E214" s="410"/>
      <c r="F214" s="313"/>
      <c r="G214" s="256"/>
      <c r="H214" s="313"/>
      <c r="I214" s="456"/>
      <c r="J214" s="271" t="b">
        <f>Age_Sex22[[#This Row],[Total Spending After Applying Truncation at the Member Level]]+Age_Sex22[[#This Row],[Total Dollars Excluded from Spending After Applying Truncation at the Member Level]]=Age_Sex22[[#This Row],[Total Spending before Truncation is Applied]]</f>
        <v>1</v>
      </c>
    </row>
    <row r="215" spans="1:10" x14ac:dyDescent="0.25">
      <c r="A215" s="386"/>
      <c r="B215" s="310"/>
      <c r="C215" s="311"/>
      <c r="D215" s="518"/>
      <c r="E215" s="409"/>
      <c r="F215" s="312"/>
      <c r="G215" s="522"/>
      <c r="H215" s="312"/>
      <c r="I215" s="455"/>
      <c r="J215" s="271" t="b">
        <f>Age_Sex22[[#This Row],[Total Spending After Applying Truncation at the Member Level]]+Age_Sex22[[#This Row],[Total Dollars Excluded from Spending After Applying Truncation at the Member Level]]=Age_Sex22[[#This Row],[Total Spending before Truncation is Applied]]</f>
        <v>1</v>
      </c>
    </row>
    <row r="216" spans="1:10" x14ac:dyDescent="0.25">
      <c r="A216" s="389"/>
      <c r="B216" s="4"/>
      <c r="C216" s="16"/>
      <c r="D216" s="519"/>
      <c r="E216" s="410"/>
      <c r="F216" s="313"/>
      <c r="G216" s="256"/>
      <c r="H216" s="313"/>
      <c r="I216" s="456"/>
      <c r="J216" s="271" t="b">
        <f>Age_Sex22[[#This Row],[Total Spending After Applying Truncation at the Member Level]]+Age_Sex22[[#This Row],[Total Dollars Excluded from Spending After Applying Truncation at the Member Level]]=Age_Sex22[[#This Row],[Total Spending before Truncation is Applied]]</f>
        <v>1</v>
      </c>
    </row>
    <row r="217" spans="1:10" x14ac:dyDescent="0.25">
      <c r="A217" s="386"/>
      <c r="B217" s="310"/>
      <c r="C217" s="311"/>
      <c r="D217" s="518"/>
      <c r="E217" s="409"/>
      <c r="F217" s="312"/>
      <c r="G217" s="522"/>
      <c r="H217" s="312"/>
      <c r="I217" s="455"/>
      <c r="J217" s="271" t="b">
        <f>Age_Sex22[[#This Row],[Total Spending After Applying Truncation at the Member Level]]+Age_Sex22[[#This Row],[Total Dollars Excluded from Spending After Applying Truncation at the Member Level]]=Age_Sex22[[#This Row],[Total Spending before Truncation is Applied]]</f>
        <v>1</v>
      </c>
    </row>
    <row r="218" spans="1:10" x14ac:dyDescent="0.25">
      <c r="A218" s="389"/>
      <c r="B218" s="4"/>
      <c r="C218" s="16"/>
      <c r="D218" s="519"/>
      <c r="E218" s="410"/>
      <c r="F218" s="313"/>
      <c r="G218" s="256"/>
      <c r="H218" s="313"/>
      <c r="I218" s="456"/>
      <c r="J218" s="271" t="b">
        <f>Age_Sex22[[#This Row],[Total Spending After Applying Truncation at the Member Level]]+Age_Sex22[[#This Row],[Total Dollars Excluded from Spending After Applying Truncation at the Member Level]]=Age_Sex22[[#This Row],[Total Spending before Truncation is Applied]]</f>
        <v>1</v>
      </c>
    </row>
    <row r="219" spans="1:10" x14ac:dyDescent="0.25">
      <c r="A219" s="386"/>
      <c r="B219" s="310"/>
      <c r="C219" s="311"/>
      <c r="D219" s="518"/>
      <c r="E219" s="409"/>
      <c r="F219" s="312"/>
      <c r="G219" s="522"/>
      <c r="H219" s="312"/>
      <c r="I219" s="455"/>
      <c r="J219" s="271" t="b">
        <f>Age_Sex22[[#This Row],[Total Spending After Applying Truncation at the Member Level]]+Age_Sex22[[#This Row],[Total Dollars Excluded from Spending After Applying Truncation at the Member Level]]=Age_Sex22[[#This Row],[Total Spending before Truncation is Applied]]</f>
        <v>1</v>
      </c>
    </row>
    <row r="220" spans="1:10" x14ac:dyDescent="0.25">
      <c r="A220" s="389"/>
      <c r="B220" s="4"/>
      <c r="C220" s="16"/>
      <c r="D220" s="519"/>
      <c r="E220" s="410"/>
      <c r="F220" s="313"/>
      <c r="G220" s="256"/>
      <c r="H220" s="313"/>
      <c r="I220" s="456"/>
      <c r="J220" s="271" t="b">
        <f>Age_Sex22[[#This Row],[Total Spending After Applying Truncation at the Member Level]]+Age_Sex22[[#This Row],[Total Dollars Excluded from Spending After Applying Truncation at the Member Level]]=Age_Sex22[[#This Row],[Total Spending before Truncation is Applied]]</f>
        <v>1</v>
      </c>
    </row>
    <row r="221" spans="1:10" x14ac:dyDescent="0.25">
      <c r="A221" s="386"/>
      <c r="B221" s="310"/>
      <c r="C221" s="311"/>
      <c r="D221" s="518"/>
      <c r="E221" s="409"/>
      <c r="F221" s="312"/>
      <c r="G221" s="522"/>
      <c r="H221" s="312"/>
      <c r="I221" s="455"/>
      <c r="J221" s="271" t="b">
        <f>Age_Sex22[[#This Row],[Total Spending After Applying Truncation at the Member Level]]+Age_Sex22[[#This Row],[Total Dollars Excluded from Spending After Applying Truncation at the Member Level]]=Age_Sex22[[#This Row],[Total Spending before Truncation is Applied]]</f>
        <v>1</v>
      </c>
    </row>
    <row r="222" spans="1:10" x14ac:dyDescent="0.25">
      <c r="A222" s="389"/>
      <c r="B222" s="4"/>
      <c r="C222" s="16"/>
      <c r="D222" s="519"/>
      <c r="E222" s="410"/>
      <c r="F222" s="313"/>
      <c r="G222" s="256"/>
      <c r="H222" s="313"/>
      <c r="I222" s="456"/>
      <c r="J222" s="271" t="b">
        <f>Age_Sex22[[#This Row],[Total Spending After Applying Truncation at the Member Level]]+Age_Sex22[[#This Row],[Total Dollars Excluded from Spending After Applying Truncation at the Member Level]]=Age_Sex22[[#This Row],[Total Spending before Truncation is Applied]]</f>
        <v>1</v>
      </c>
    </row>
    <row r="223" spans="1:10" x14ac:dyDescent="0.25">
      <c r="A223" s="386"/>
      <c r="B223" s="310"/>
      <c r="C223" s="311"/>
      <c r="D223" s="518"/>
      <c r="E223" s="409"/>
      <c r="F223" s="312"/>
      <c r="G223" s="522"/>
      <c r="H223" s="312"/>
      <c r="I223" s="455"/>
      <c r="J223" s="271" t="b">
        <f>Age_Sex22[[#This Row],[Total Spending After Applying Truncation at the Member Level]]+Age_Sex22[[#This Row],[Total Dollars Excluded from Spending After Applying Truncation at the Member Level]]=Age_Sex22[[#This Row],[Total Spending before Truncation is Applied]]</f>
        <v>1</v>
      </c>
    </row>
    <row r="224" spans="1:10" x14ac:dyDescent="0.25">
      <c r="A224" s="389"/>
      <c r="B224" s="4"/>
      <c r="C224" s="16"/>
      <c r="D224" s="519"/>
      <c r="E224" s="410"/>
      <c r="F224" s="313"/>
      <c r="G224" s="256"/>
      <c r="H224" s="313"/>
      <c r="I224" s="456"/>
      <c r="J224" s="271" t="b">
        <f>Age_Sex22[[#This Row],[Total Spending After Applying Truncation at the Member Level]]+Age_Sex22[[#This Row],[Total Dollars Excluded from Spending After Applying Truncation at the Member Level]]=Age_Sex22[[#This Row],[Total Spending before Truncation is Applied]]</f>
        <v>1</v>
      </c>
    </row>
    <row r="225" spans="1:10" x14ac:dyDescent="0.25">
      <c r="A225" s="386"/>
      <c r="B225" s="310"/>
      <c r="C225" s="311"/>
      <c r="D225" s="518"/>
      <c r="E225" s="409"/>
      <c r="F225" s="312"/>
      <c r="G225" s="522"/>
      <c r="H225" s="312"/>
      <c r="I225" s="455"/>
      <c r="J225" s="271" t="b">
        <f>Age_Sex22[[#This Row],[Total Spending After Applying Truncation at the Member Level]]+Age_Sex22[[#This Row],[Total Dollars Excluded from Spending After Applying Truncation at the Member Level]]=Age_Sex22[[#This Row],[Total Spending before Truncation is Applied]]</f>
        <v>1</v>
      </c>
    </row>
    <row r="226" spans="1:10" x14ac:dyDescent="0.25">
      <c r="A226" s="389"/>
      <c r="B226" s="4"/>
      <c r="C226" s="16"/>
      <c r="D226" s="519"/>
      <c r="E226" s="410"/>
      <c r="F226" s="313"/>
      <c r="G226" s="256"/>
      <c r="H226" s="313"/>
      <c r="I226" s="456"/>
      <c r="J226" s="271" t="b">
        <f>Age_Sex22[[#This Row],[Total Spending After Applying Truncation at the Member Level]]+Age_Sex22[[#This Row],[Total Dollars Excluded from Spending After Applying Truncation at the Member Level]]=Age_Sex22[[#This Row],[Total Spending before Truncation is Applied]]</f>
        <v>1</v>
      </c>
    </row>
    <row r="227" spans="1:10" x14ac:dyDescent="0.25">
      <c r="A227" s="386"/>
      <c r="B227" s="310"/>
      <c r="C227" s="311"/>
      <c r="D227" s="518"/>
      <c r="E227" s="409"/>
      <c r="F227" s="312"/>
      <c r="G227" s="522"/>
      <c r="H227" s="312"/>
      <c r="I227" s="455"/>
      <c r="J227" s="271" t="b">
        <f>Age_Sex22[[#This Row],[Total Spending After Applying Truncation at the Member Level]]+Age_Sex22[[#This Row],[Total Dollars Excluded from Spending After Applying Truncation at the Member Level]]=Age_Sex22[[#This Row],[Total Spending before Truncation is Applied]]</f>
        <v>1</v>
      </c>
    </row>
    <row r="228" spans="1:10" x14ac:dyDescent="0.25">
      <c r="A228" s="389"/>
      <c r="B228" s="4"/>
      <c r="C228" s="16"/>
      <c r="D228" s="519"/>
      <c r="E228" s="410"/>
      <c r="F228" s="313"/>
      <c r="G228" s="256"/>
      <c r="H228" s="313"/>
      <c r="I228" s="456"/>
      <c r="J228" s="271" t="b">
        <f>Age_Sex22[[#This Row],[Total Spending After Applying Truncation at the Member Level]]+Age_Sex22[[#This Row],[Total Dollars Excluded from Spending After Applying Truncation at the Member Level]]=Age_Sex22[[#This Row],[Total Spending before Truncation is Applied]]</f>
        <v>1</v>
      </c>
    </row>
    <row r="229" spans="1:10" x14ac:dyDescent="0.25">
      <c r="A229" s="386"/>
      <c r="B229" s="310"/>
      <c r="C229" s="311"/>
      <c r="D229" s="518"/>
      <c r="E229" s="409"/>
      <c r="F229" s="312"/>
      <c r="G229" s="522"/>
      <c r="H229" s="312"/>
      <c r="I229" s="455"/>
      <c r="J229" s="271" t="b">
        <f>Age_Sex22[[#This Row],[Total Spending After Applying Truncation at the Member Level]]+Age_Sex22[[#This Row],[Total Dollars Excluded from Spending After Applying Truncation at the Member Level]]=Age_Sex22[[#This Row],[Total Spending before Truncation is Applied]]</f>
        <v>1</v>
      </c>
    </row>
    <row r="230" spans="1:10" x14ac:dyDescent="0.25">
      <c r="A230" s="389"/>
      <c r="B230" s="4"/>
      <c r="C230" s="16"/>
      <c r="D230" s="519"/>
      <c r="E230" s="410"/>
      <c r="F230" s="313"/>
      <c r="G230" s="256"/>
      <c r="H230" s="313"/>
      <c r="I230" s="456"/>
      <c r="J230" s="271" t="b">
        <f>Age_Sex22[[#This Row],[Total Spending After Applying Truncation at the Member Level]]+Age_Sex22[[#This Row],[Total Dollars Excluded from Spending After Applying Truncation at the Member Level]]=Age_Sex22[[#This Row],[Total Spending before Truncation is Applied]]</f>
        <v>1</v>
      </c>
    </row>
    <row r="231" spans="1:10" x14ac:dyDescent="0.25">
      <c r="A231" s="386"/>
      <c r="B231" s="310"/>
      <c r="C231" s="311"/>
      <c r="D231" s="518"/>
      <c r="E231" s="409"/>
      <c r="F231" s="312"/>
      <c r="G231" s="522"/>
      <c r="H231" s="312"/>
      <c r="I231" s="455"/>
      <c r="J231" s="271" t="b">
        <f>Age_Sex22[[#This Row],[Total Spending After Applying Truncation at the Member Level]]+Age_Sex22[[#This Row],[Total Dollars Excluded from Spending After Applying Truncation at the Member Level]]=Age_Sex22[[#This Row],[Total Spending before Truncation is Applied]]</f>
        <v>1</v>
      </c>
    </row>
    <row r="232" spans="1:10" x14ac:dyDescent="0.25">
      <c r="A232" s="389"/>
      <c r="B232" s="4"/>
      <c r="C232" s="16"/>
      <c r="D232" s="519"/>
      <c r="E232" s="410"/>
      <c r="F232" s="313"/>
      <c r="G232" s="256"/>
      <c r="H232" s="313"/>
      <c r="I232" s="456"/>
      <c r="J232" s="271" t="b">
        <f>Age_Sex22[[#This Row],[Total Spending After Applying Truncation at the Member Level]]+Age_Sex22[[#This Row],[Total Dollars Excluded from Spending After Applying Truncation at the Member Level]]=Age_Sex22[[#This Row],[Total Spending before Truncation is Applied]]</f>
        <v>1</v>
      </c>
    </row>
    <row r="233" spans="1:10" x14ac:dyDescent="0.25">
      <c r="A233" s="386"/>
      <c r="B233" s="310"/>
      <c r="C233" s="311"/>
      <c r="D233" s="518"/>
      <c r="E233" s="409"/>
      <c r="F233" s="312"/>
      <c r="G233" s="522"/>
      <c r="H233" s="312"/>
      <c r="I233" s="455"/>
      <c r="J233" s="271" t="b">
        <f>Age_Sex22[[#This Row],[Total Spending After Applying Truncation at the Member Level]]+Age_Sex22[[#This Row],[Total Dollars Excluded from Spending After Applying Truncation at the Member Level]]=Age_Sex22[[#This Row],[Total Spending before Truncation is Applied]]</f>
        <v>1</v>
      </c>
    </row>
    <row r="234" spans="1:10" x14ac:dyDescent="0.25">
      <c r="A234" s="389"/>
      <c r="B234" s="4"/>
      <c r="C234" s="16"/>
      <c r="D234" s="519"/>
      <c r="E234" s="410"/>
      <c r="F234" s="313"/>
      <c r="G234" s="256"/>
      <c r="H234" s="313"/>
      <c r="I234" s="456"/>
      <c r="J234" s="271" t="b">
        <f>Age_Sex22[[#This Row],[Total Spending After Applying Truncation at the Member Level]]+Age_Sex22[[#This Row],[Total Dollars Excluded from Spending After Applying Truncation at the Member Level]]=Age_Sex22[[#This Row],[Total Spending before Truncation is Applied]]</f>
        <v>1</v>
      </c>
    </row>
    <row r="235" spans="1:10" x14ac:dyDescent="0.25">
      <c r="A235" s="386"/>
      <c r="B235" s="310"/>
      <c r="C235" s="311"/>
      <c r="D235" s="518"/>
      <c r="E235" s="409"/>
      <c r="F235" s="312"/>
      <c r="G235" s="522"/>
      <c r="H235" s="312"/>
      <c r="I235" s="455"/>
      <c r="J235" s="271" t="b">
        <f>Age_Sex22[[#This Row],[Total Spending After Applying Truncation at the Member Level]]+Age_Sex22[[#This Row],[Total Dollars Excluded from Spending After Applying Truncation at the Member Level]]=Age_Sex22[[#This Row],[Total Spending before Truncation is Applied]]</f>
        <v>1</v>
      </c>
    </row>
    <row r="236" spans="1:10" x14ac:dyDescent="0.25">
      <c r="A236" s="389"/>
      <c r="B236" s="4"/>
      <c r="C236" s="16"/>
      <c r="D236" s="519"/>
      <c r="E236" s="410"/>
      <c r="F236" s="313"/>
      <c r="G236" s="256"/>
      <c r="H236" s="313"/>
      <c r="I236" s="456"/>
      <c r="J236" s="271" t="b">
        <f>Age_Sex22[[#This Row],[Total Spending After Applying Truncation at the Member Level]]+Age_Sex22[[#This Row],[Total Dollars Excluded from Spending After Applying Truncation at the Member Level]]=Age_Sex22[[#This Row],[Total Spending before Truncation is Applied]]</f>
        <v>1</v>
      </c>
    </row>
    <row r="237" spans="1:10" x14ac:dyDescent="0.25">
      <c r="A237" s="386"/>
      <c r="B237" s="310"/>
      <c r="C237" s="311"/>
      <c r="D237" s="518"/>
      <c r="E237" s="409"/>
      <c r="F237" s="312"/>
      <c r="G237" s="522"/>
      <c r="H237" s="312"/>
      <c r="I237" s="455"/>
      <c r="J237" s="271" t="b">
        <f>Age_Sex22[[#This Row],[Total Spending After Applying Truncation at the Member Level]]+Age_Sex22[[#This Row],[Total Dollars Excluded from Spending After Applying Truncation at the Member Level]]=Age_Sex22[[#This Row],[Total Spending before Truncation is Applied]]</f>
        <v>1</v>
      </c>
    </row>
    <row r="238" spans="1:10" x14ac:dyDescent="0.25">
      <c r="A238" s="389"/>
      <c r="B238" s="4"/>
      <c r="C238" s="16"/>
      <c r="D238" s="519"/>
      <c r="E238" s="410"/>
      <c r="F238" s="313"/>
      <c r="G238" s="256"/>
      <c r="H238" s="313"/>
      <c r="I238" s="456"/>
      <c r="J238" s="271" t="b">
        <f>Age_Sex22[[#This Row],[Total Spending After Applying Truncation at the Member Level]]+Age_Sex22[[#This Row],[Total Dollars Excluded from Spending After Applying Truncation at the Member Level]]=Age_Sex22[[#This Row],[Total Spending before Truncation is Applied]]</f>
        <v>1</v>
      </c>
    </row>
    <row r="239" spans="1:10" x14ac:dyDescent="0.25">
      <c r="A239" s="386"/>
      <c r="B239" s="310"/>
      <c r="C239" s="311"/>
      <c r="D239" s="518"/>
      <c r="E239" s="409"/>
      <c r="F239" s="312"/>
      <c r="G239" s="522"/>
      <c r="H239" s="312"/>
      <c r="I239" s="455"/>
      <c r="J239" s="271" t="b">
        <f>Age_Sex22[[#This Row],[Total Spending After Applying Truncation at the Member Level]]+Age_Sex22[[#This Row],[Total Dollars Excluded from Spending After Applying Truncation at the Member Level]]=Age_Sex22[[#This Row],[Total Spending before Truncation is Applied]]</f>
        <v>1</v>
      </c>
    </row>
    <row r="240" spans="1:10" x14ac:dyDescent="0.25">
      <c r="A240" s="389"/>
      <c r="B240" s="4"/>
      <c r="C240" s="16"/>
      <c r="D240" s="519"/>
      <c r="E240" s="410"/>
      <c r="F240" s="313"/>
      <c r="G240" s="256"/>
      <c r="H240" s="313"/>
      <c r="I240" s="456"/>
      <c r="J240" s="271" t="b">
        <f>Age_Sex22[[#This Row],[Total Spending After Applying Truncation at the Member Level]]+Age_Sex22[[#This Row],[Total Dollars Excluded from Spending After Applying Truncation at the Member Level]]=Age_Sex22[[#This Row],[Total Spending before Truncation is Applied]]</f>
        <v>1</v>
      </c>
    </row>
    <row r="241" spans="1:10" x14ac:dyDescent="0.25">
      <c r="A241" s="386"/>
      <c r="B241" s="310"/>
      <c r="C241" s="311"/>
      <c r="D241" s="518"/>
      <c r="E241" s="409"/>
      <c r="F241" s="312"/>
      <c r="G241" s="522"/>
      <c r="H241" s="312"/>
      <c r="I241" s="455"/>
      <c r="J241" s="271" t="b">
        <f>Age_Sex22[[#This Row],[Total Spending After Applying Truncation at the Member Level]]+Age_Sex22[[#This Row],[Total Dollars Excluded from Spending After Applying Truncation at the Member Level]]=Age_Sex22[[#This Row],[Total Spending before Truncation is Applied]]</f>
        <v>1</v>
      </c>
    </row>
    <row r="242" spans="1:10" x14ac:dyDescent="0.25">
      <c r="A242" s="389"/>
      <c r="B242" s="4"/>
      <c r="C242" s="16"/>
      <c r="D242" s="519"/>
      <c r="E242" s="410"/>
      <c r="F242" s="313"/>
      <c r="G242" s="256"/>
      <c r="H242" s="313"/>
      <c r="I242" s="456"/>
      <c r="J242" s="271" t="b">
        <f>Age_Sex22[[#This Row],[Total Spending After Applying Truncation at the Member Level]]+Age_Sex22[[#This Row],[Total Dollars Excluded from Spending After Applying Truncation at the Member Level]]=Age_Sex22[[#This Row],[Total Spending before Truncation is Applied]]</f>
        <v>1</v>
      </c>
    </row>
    <row r="243" spans="1:10" x14ac:dyDescent="0.25">
      <c r="A243" s="386"/>
      <c r="B243" s="310"/>
      <c r="C243" s="311"/>
      <c r="D243" s="518"/>
      <c r="E243" s="409"/>
      <c r="F243" s="312"/>
      <c r="G243" s="522"/>
      <c r="H243" s="312"/>
      <c r="I243" s="455"/>
      <c r="J243" s="271" t="b">
        <f>Age_Sex22[[#This Row],[Total Spending After Applying Truncation at the Member Level]]+Age_Sex22[[#This Row],[Total Dollars Excluded from Spending After Applying Truncation at the Member Level]]=Age_Sex22[[#This Row],[Total Spending before Truncation is Applied]]</f>
        <v>1</v>
      </c>
    </row>
    <row r="244" spans="1:10" x14ac:dyDescent="0.25">
      <c r="A244" s="389"/>
      <c r="B244" s="4"/>
      <c r="C244" s="16"/>
      <c r="D244" s="519"/>
      <c r="E244" s="410"/>
      <c r="F244" s="313"/>
      <c r="G244" s="256"/>
      <c r="H244" s="313"/>
      <c r="I244" s="456"/>
      <c r="J244" s="271" t="b">
        <f>Age_Sex22[[#This Row],[Total Spending After Applying Truncation at the Member Level]]+Age_Sex22[[#This Row],[Total Dollars Excluded from Spending After Applying Truncation at the Member Level]]=Age_Sex22[[#This Row],[Total Spending before Truncation is Applied]]</f>
        <v>1</v>
      </c>
    </row>
    <row r="245" spans="1:10" x14ac:dyDescent="0.25">
      <c r="A245" s="386"/>
      <c r="B245" s="310"/>
      <c r="C245" s="311"/>
      <c r="D245" s="518"/>
      <c r="E245" s="409"/>
      <c r="F245" s="312"/>
      <c r="G245" s="522"/>
      <c r="H245" s="312"/>
      <c r="I245" s="455"/>
      <c r="J245" s="271" t="b">
        <f>Age_Sex22[[#This Row],[Total Spending After Applying Truncation at the Member Level]]+Age_Sex22[[#This Row],[Total Dollars Excluded from Spending After Applying Truncation at the Member Level]]=Age_Sex22[[#This Row],[Total Spending before Truncation is Applied]]</f>
        <v>1</v>
      </c>
    </row>
    <row r="246" spans="1:10" x14ac:dyDescent="0.25">
      <c r="A246" s="389"/>
      <c r="B246" s="4"/>
      <c r="C246" s="16"/>
      <c r="D246" s="519"/>
      <c r="E246" s="410"/>
      <c r="F246" s="313"/>
      <c r="G246" s="256"/>
      <c r="H246" s="313"/>
      <c r="I246" s="456"/>
      <c r="J246" s="271" t="b">
        <f>Age_Sex22[[#This Row],[Total Spending After Applying Truncation at the Member Level]]+Age_Sex22[[#This Row],[Total Dollars Excluded from Spending After Applying Truncation at the Member Level]]=Age_Sex22[[#This Row],[Total Spending before Truncation is Applied]]</f>
        <v>1</v>
      </c>
    </row>
    <row r="247" spans="1:10" x14ac:dyDescent="0.25">
      <c r="A247" s="386"/>
      <c r="B247" s="310"/>
      <c r="C247" s="311"/>
      <c r="D247" s="518"/>
      <c r="E247" s="409"/>
      <c r="F247" s="312"/>
      <c r="G247" s="522"/>
      <c r="H247" s="312"/>
      <c r="I247" s="455"/>
      <c r="J247" s="271" t="b">
        <f>Age_Sex22[[#This Row],[Total Spending After Applying Truncation at the Member Level]]+Age_Sex22[[#This Row],[Total Dollars Excluded from Spending After Applying Truncation at the Member Level]]=Age_Sex22[[#This Row],[Total Spending before Truncation is Applied]]</f>
        <v>1</v>
      </c>
    </row>
    <row r="248" spans="1:10" x14ac:dyDescent="0.25">
      <c r="A248" s="389"/>
      <c r="B248" s="4"/>
      <c r="C248" s="16"/>
      <c r="D248" s="519"/>
      <c r="E248" s="410"/>
      <c r="F248" s="313"/>
      <c r="G248" s="256"/>
      <c r="H248" s="313"/>
      <c r="I248" s="456"/>
      <c r="J248" s="271" t="b">
        <f>Age_Sex22[[#This Row],[Total Spending After Applying Truncation at the Member Level]]+Age_Sex22[[#This Row],[Total Dollars Excluded from Spending After Applying Truncation at the Member Level]]=Age_Sex22[[#This Row],[Total Spending before Truncation is Applied]]</f>
        <v>1</v>
      </c>
    </row>
    <row r="249" spans="1:10" x14ac:dyDescent="0.25">
      <c r="A249" s="386"/>
      <c r="B249" s="310"/>
      <c r="C249" s="311"/>
      <c r="D249" s="518"/>
      <c r="E249" s="409"/>
      <c r="F249" s="312"/>
      <c r="G249" s="522"/>
      <c r="H249" s="312"/>
      <c r="I249" s="455"/>
      <c r="J249" s="271" t="b">
        <f>Age_Sex22[[#This Row],[Total Spending After Applying Truncation at the Member Level]]+Age_Sex22[[#This Row],[Total Dollars Excluded from Spending After Applying Truncation at the Member Level]]=Age_Sex22[[#This Row],[Total Spending before Truncation is Applied]]</f>
        <v>1</v>
      </c>
    </row>
    <row r="250" spans="1:10" x14ac:dyDescent="0.25">
      <c r="A250" s="389"/>
      <c r="B250" s="4"/>
      <c r="C250" s="16"/>
      <c r="D250" s="519"/>
      <c r="E250" s="410"/>
      <c r="F250" s="313"/>
      <c r="G250" s="256"/>
      <c r="H250" s="313"/>
      <c r="I250" s="456"/>
      <c r="J250" s="271" t="b">
        <f>Age_Sex22[[#This Row],[Total Spending After Applying Truncation at the Member Level]]+Age_Sex22[[#This Row],[Total Dollars Excluded from Spending After Applying Truncation at the Member Level]]=Age_Sex22[[#This Row],[Total Spending before Truncation is Applied]]</f>
        <v>1</v>
      </c>
    </row>
    <row r="251" spans="1:10" x14ac:dyDescent="0.25">
      <c r="A251" s="386"/>
      <c r="B251" s="310"/>
      <c r="C251" s="311"/>
      <c r="D251" s="518"/>
      <c r="E251" s="409"/>
      <c r="F251" s="312"/>
      <c r="G251" s="522"/>
      <c r="H251" s="312"/>
      <c r="I251" s="455"/>
      <c r="J251" s="271" t="b">
        <f>Age_Sex22[[#This Row],[Total Spending After Applying Truncation at the Member Level]]+Age_Sex22[[#This Row],[Total Dollars Excluded from Spending After Applying Truncation at the Member Level]]=Age_Sex22[[#This Row],[Total Spending before Truncation is Applied]]</f>
        <v>1</v>
      </c>
    </row>
    <row r="252" spans="1:10" x14ac:dyDescent="0.25">
      <c r="A252" s="389"/>
      <c r="B252" s="4"/>
      <c r="C252" s="16"/>
      <c r="D252" s="519"/>
      <c r="E252" s="410"/>
      <c r="F252" s="313"/>
      <c r="G252" s="256"/>
      <c r="H252" s="313"/>
      <c r="I252" s="456"/>
      <c r="J252" s="271" t="b">
        <f>Age_Sex22[[#This Row],[Total Spending After Applying Truncation at the Member Level]]+Age_Sex22[[#This Row],[Total Dollars Excluded from Spending After Applying Truncation at the Member Level]]=Age_Sex22[[#This Row],[Total Spending before Truncation is Applied]]</f>
        <v>1</v>
      </c>
    </row>
    <row r="253" spans="1:10" x14ac:dyDescent="0.25">
      <c r="A253" s="386"/>
      <c r="B253" s="310"/>
      <c r="C253" s="311"/>
      <c r="D253" s="518"/>
      <c r="E253" s="409"/>
      <c r="F253" s="312"/>
      <c r="G253" s="522"/>
      <c r="H253" s="312"/>
      <c r="I253" s="455"/>
      <c r="J253" s="271" t="b">
        <f>Age_Sex22[[#This Row],[Total Spending After Applying Truncation at the Member Level]]+Age_Sex22[[#This Row],[Total Dollars Excluded from Spending After Applying Truncation at the Member Level]]=Age_Sex22[[#This Row],[Total Spending before Truncation is Applied]]</f>
        <v>1</v>
      </c>
    </row>
    <row r="254" spans="1:10" x14ac:dyDescent="0.25">
      <c r="A254" s="389"/>
      <c r="B254" s="4"/>
      <c r="C254" s="16"/>
      <c r="D254" s="519"/>
      <c r="E254" s="410"/>
      <c r="F254" s="313"/>
      <c r="G254" s="256"/>
      <c r="H254" s="313"/>
      <c r="I254" s="456"/>
      <c r="J254" s="271" t="b">
        <f>Age_Sex22[[#This Row],[Total Spending After Applying Truncation at the Member Level]]+Age_Sex22[[#This Row],[Total Dollars Excluded from Spending After Applying Truncation at the Member Level]]=Age_Sex22[[#This Row],[Total Spending before Truncation is Applied]]</f>
        <v>1</v>
      </c>
    </row>
    <row r="255" spans="1:10" x14ac:dyDescent="0.25">
      <c r="A255" s="386"/>
      <c r="B255" s="310"/>
      <c r="C255" s="311"/>
      <c r="D255" s="518"/>
      <c r="E255" s="409"/>
      <c r="F255" s="312"/>
      <c r="G255" s="522"/>
      <c r="H255" s="312"/>
      <c r="I255" s="455"/>
      <c r="J255" s="271" t="b">
        <f>Age_Sex22[[#This Row],[Total Spending After Applying Truncation at the Member Level]]+Age_Sex22[[#This Row],[Total Dollars Excluded from Spending After Applying Truncation at the Member Level]]=Age_Sex22[[#This Row],[Total Spending before Truncation is Applied]]</f>
        <v>1</v>
      </c>
    </row>
    <row r="256" spans="1:10" x14ac:dyDescent="0.25">
      <c r="A256" s="389"/>
      <c r="B256" s="4"/>
      <c r="C256" s="16"/>
      <c r="D256" s="519"/>
      <c r="E256" s="410"/>
      <c r="F256" s="313"/>
      <c r="G256" s="256"/>
      <c r="H256" s="313"/>
      <c r="I256" s="456"/>
      <c r="J256" s="271" t="b">
        <f>Age_Sex22[[#This Row],[Total Spending After Applying Truncation at the Member Level]]+Age_Sex22[[#This Row],[Total Dollars Excluded from Spending After Applying Truncation at the Member Level]]=Age_Sex22[[#This Row],[Total Spending before Truncation is Applied]]</f>
        <v>1</v>
      </c>
    </row>
    <row r="257" spans="1:10" x14ac:dyDescent="0.25">
      <c r="A257" s="386"/>
      <c r="B257" s="310"/>
      <c r="C257" s="311"/>
      <c r="D257" s="518"/>
      <c r="E257" s="409"/>
      <c r="F257" s="312"/>
      <c r="G257" s="522"/>
      <c r="H257" s="312"/>
      <c r="I257" s="455"/>
      <c r="J257" s="271" t="b">
        <f>Age_Sex22[[#This Row],[Total Spending After Applying Truncation at the Member Level]]+Age_Sex22[[#This Row],[Total Dollars Excluded from Spending After Applying Truncation at the Member Level]]=Age_Sex22[[#This Row],[Total Spending before Truncation is Applied]]</f>
        <v>1</v>
      </c>
    </row>
    <row r="258" spans="1:10" x14ac:dyDescent="0.25">
      <c r="A258" s="389"/>
      <c r="B258" s="4"/>
      <c r="C258" s="16"/>
      <c r="D258" s="519"/>
      <c r="E258" s="410"/>
      <c r="F258" s="313"/>
      <c r="G258" s="256"/>
      <c r="H258" s="313"/>
      <c r="I258" s="456"/>
      <c r="J258" s="271" t="b">
        <f>Age_Sex22[[#This Row],[Total Spending After Applying Truncation at the Member Level]]+Age_Sex22[[#This Row],[Total Dollars Excluded from Spending After Applying Truncation at the Member Level]]=Age_Sex22[[#This Row],[Total Spending before Truncation is Applied]]</f>
        <v>1</v>
      </c>
    </row>
    <row r="259" spans="1:10" x14ac:dyDescent="0.25">
      <c r="A259" s="386"/>
      <c r="B259" s="310"/>
      <c r="C259" s="311"/>
      <c r="D259" s="518"/>
      <c r="E259" s="409"/>
      <c r="F259" s="312"/>
      <c r="G259" s="522"/>
      <c r="H259" s="312"/>
      <c r="I259" s="455"/>
      <c r="J259" s="271" t="b">
        <f>Age_Sex22[[#This Row],[Total Spending After Applying Truncation at the Member Level]]+Age_Sex22[[#This Row],[Total Dollars Excluded from Spending After Applying Truncation at the Member Level]]=Age_Sex22[[#This Row],[Total Spending before Truncation is Applied]]</f>
        <v>1</v>
      </c>
    </row>
    <row r="260" spans="1:10" x14ac:dyDescent="0.25">
      <c r="A260" s="389"/>
      <c r="B260" s="4"/>
      <c r="C260" s="16"/>
      <c r="D260" s="519"/>
      <c r="E260" s="410"/>
      <c r="F260" s="313"/>
      <c r="G260" s="256"/>
      <c r="H260" s="313"/>
      <c r="I260" s="456"/>
      <c r="J260" s="271" t="b">
        <f>Age_Sex22[[#This Row],[Total Spending After Applying Truncation at the Member Level]]+Age_Sex22[[#This Row],[Total Dollars Excluded from Spending After Applying Truncation at the Member Level]]=Age_Sex22[[#This Row],[Total Spending before Truncation is Applied]]</f>
        <v>1</v>
      </c>
    </row>
    <row r="261" spans="1:10" x14ac:dyDescent="0.25">
      <c r="A261" s="386"/>
      <c r="B261" s="310"/>
      <c r="C261" s="311"/>
      <c r="D261" s="518"/>
      <c r="E261" s="409"/>
      <c r="F261" s="312"/>
      <c r="G261" s="522"/>
      <c r="H261" s="312"/>
      <c r="I261" s="455"/>
      <c r="J261" s="271" t="b">
        <f>Age_Sex22[[#This Row],[Total Spending After Applying Truncation at the Member Level]]+Age_Sex22[[#This Row],[Total Dollars Excluded from Spending After Applying Truncation at the Member Level]]=Age_Sex22[[#This Row],[Total Spending before Truncation is Applied]]</f>
        <v>1</v>
      </c>
    </row>
    <row r="262" spans="1:10" x14ac:dyDescent="0.25">
      <c r="A262" s="389"/>
      <c r="B262" s="4"/>
      <c r="C262" s="16"/>
      <c r="D262" s="519"/>
      <c r="E262" s="410"/>
      <c r="F262" s="313"/>
      <c r="G262" s="256"/>
      <c r="H262" s="313"/>
      <c r="I262" s="456"/>
      <c r="J262" s="271" t="b">
        <f>Age_Sex22[[#This Row],[Total Spending After Applying Truncation at the Member Level]]+Age_Sex22[[#This Row],[Total Dollars Excluded from Spending After Applying Truncation at the Member Level]]=Age_Sex22[[#This Row],[Total Spending before Truncation is Applied]]</f>
        <v>1</v>
      </c>
    </row>
    <row r="263" spans="1:10" x14ac:dyDescent="0.25">
      <c r="A263" s="386"/>
      <c r="B263" s="310"/>
      <c r="C263" s="311"/>
      <c r="D263" s="518"/>
      <c r="E263" s="409"/>
      <c r="F263" s="312"/>
      <c r="G263" s="522"/>
      <c r="H263" s="312"/>
      <c r="I263" s="455"/>
      <c r="J263" s="271" t="b">
        <f>Age_Sex22[[#This Row],[Total Spending After Applying Truncation at the Member Level]]+Age_Sex22[[#This Row],[Total Dollars Excluded from Spending After Applying Truncation at the Member Level]]=Age_Sex22[[#This Row],[Total Spending before Truncation is Applied]]</f>
        <v>1</v>
      </c>
    </row>
    <row r="264" spans="1:10" x14ac:dyDescent="0.25">
      <c r="A264" s="389"/>
      <c r="B264" s="4"/>
      <c r="C264" s="16"/>
      <c r="D264" s="519"/>
      <c r="E264" s="410"/>
      <c r="F264" s="313"/>
      <c r="G264" s="256"/>
      <c r="H264" s="313"/>
      <c r="I264" s="456"/>
      <c r="J264" s="271" t="b">
        <f>Age_Sex22[[#This Row],[Total Spending After Applying Truncation at the Member Level]]+Age_Sex22[[#This Row],[Total Dollars Excluded from Spending After Applying Truncation at the Member Level]]=Age_Sex22[[#This Row],[Total Spending before Truncation is Applied]]</f>
        <v>1</v>
      </c>
    </row>
    <row r="265" spans="1:10" x14ac:dyDescent="0.25">
      <c r="A265" s="386"/>
      <c r="B265" s="310"/>
      <c r="C265" s="311"/>
      <c r="D265" s="518"/>
      <c r="E265" s="409"/>
      <c r="F265" s="312"/>
      <c r="G265" s="522"/>
      <c r="H265" s="312"/>
      <c r="I265" s="455"/>
      <c r="J265" s="271" t="b">
        <f>Age_Sex22[[#This Row],[Total Spending After Applying Truncation at the Member Level]]+Age_Sex22[[#This Row],[Total Dollars Excluded from Spending After Applying Truncation at the Member Level]]=Age_Sex22[[#This Row],[Total Spending before Truncation is Applied]]</f>
        <v>1</v>
      </c>
    </row>
    <row r="266" spans="1:10" x14ac:dyDescent="0.25">
      <c r="A266" s="389"/>
      <c r="B266" s="4"/>
      <c r="C266" s="16"/>
      <c r="D266" s="519"/>
      <c r="E266" s="410"/>
      <c r="F266" s="313"/>
      <c r="G266" s="256"/>
      <c r="H266" s="313"/>
      <c r="I266" s="456"/>
      <c r="J266" s="271" t="b">
        <f>Age_Sex22[[#This Row],[Total Spending After Applying Truncation at the Member Level]]+Age_Sex22[[#This Row],[Total Dollars Excluded from Spending After Applying Truncation at the Member Level]]=Age_Sex22[[#This Row],[Total Spending before Truncation is Applied]]</f>
        <v>1</v>
      </c>
    </row>
    <row r="267" spans="1:10" x14ac:dyDescent="0.25">
      <c r="A267" s="386"/>
      <c r="B267" s="310"/>
      <c r="C267" s="311"/>
      <c r="D267" s="518"/>
      <c r="E267" s="409"/>
      <c r="F267" s="312"/>
      <c r="G267" s="522"/>
      <c r="H267" s="312"/>
      <c r="I267" s="455"/>
      <c r="J267" s="271" t="b">
        <f>Age_Sex22[[#This Row],[Total Spending After Applying Truncation at the Member Level]]+Age_Sex22[[#This Row],[Total Dollars Excluded from Spending After Applying Truncation at the Member Level]]=Age_Sex22[[#This Row],[Total Spending before Truncation is Applied]]</f>
        <v>1</v>
      </c>
    </row>
    <row r="268" spans="1:10" x14ac:dyDescent="0.25">
      <c r="A268" s="389"/>
      <c r="B268" s="4"/>
      <c r="C268" s="16"/>
      <c r="D268" s="519"/>
      <c r="E268" s="410"/>
      <c r="F268" s="313"/>
      <c r="G268" s="256"/>
      <c r="H268" s="313"/>
      <c r="I268" s="456"/>
      <c r="J268" s="271" t="b">
        <f>Age_Sex22[[#This Row],[Total Spending After Applying Truncation at the Member Level]]+Age_Sex22[[#This Row],[Total Dollars Excluded from Spending After Applying Truncation at the Member Level]]=Age_Sex22[[#This Row],[Total Spending before Truncation is Applied]]</f>
        <v>1</v>
      </c>
    </row>
    <row r="269" spans="1:10" x14ac:dyDescent="0.25">
      <c r="A269" s="386"/>
      <c r="B269" s="310"/>
      <c r="C269" s="311"/>
      <c r="D269" s="518"/>
      <c r="E269" s="409"/>
      <c r="F269" s="312"/>
      <c r="G269" s="522"/>
      <c r="H269" s="312"/>
      <c r="I269" s="455"/>
      <c r="J269" s="271" t="b">
        <f>Age_Sex22[[#This Row],[Total Spending After Applying Truncation at the Member Level]]+Age_Sex22[[#This Row],[Total Dollars Excluded from Spending After Applying Truncation at the Member Level]]=Age_Sex22[[#This Row],[Total Spending before Truncation is Applied]]</f>
        <v>1</v>
      </c>
    </row>
    <row r="270" spans="1:10" x14ac:dyDescent="0.25">
      <c r="A270" s="389"/>
      <c r="B270" s="4"/>
      <c r="C270" s="16"/>
      <c r="D270" s="519"/>
      <c r="E270" s="410"/>
      <c r="F270" s="313"/>
      <c r="G270" s="256"/>
      <c r="H270" s="313"/>
      <c r="I270" s="456"/>
      <c r="J270" s="271" t="b">
        <f>Age_Sex22[[#This Row],[Total Spending After Applying Truncation at the Member Level]]+Age_Sex22[[#This Row],[Total Dollars Excluded from Spending After Applying Truncation at the Member Level]]=Age_Sex22[[#This Row],[Total Spending before Truncation is Applied]]</f>
        <v>1</v>
      </c>
    </row>
    <row r="271" spans="1:10" x14ac:dyDescent="0.25">
      <c r="A271" s="386"/>
      <c r="B271" s="310"/>
      <c r="C271" s="311"/>
      <c r="D271" s="518"/>
      <c r="E271" s="409"/>
      <c r="F271" s="312"/>
      <c r="G271" s="522"/>
      <c r="H271" s="312"/>
      <c r="I271" s="455"/>
      <c r="J271" s="271" t="b">
        <f>Age_Sex22[[#This Row],[Total Spending After Applying Truncation at the Member Level]]+Age_Sex22[[#This Row],[Total Dollars Excluded from Spending After Applying Truncation at the Member Level]]=Age_Sex22[[#This Row],[Total Spending before Truncation is Applied]]</f>
        <v>1</v>
      </c>
    </row>
    <row r="272" spans="1:10" x14ac:dyDescent="0.25">
      <c r="A272" s="389"/>
      <c r="B272" s="4"/>
      <c r="C272" s="16"/>
      <c r="D272" s="519"/>
      <c r="E272" s="410"/>
      <c r="F272" s="313"/>
      <c r="G272" s="256"/>
      <c r="H272" s="313"/>
      <c r="I272" s="456"/>
      <c r="J272" s="271" t="b">
        <f>Age_Sex22[[#This Row],[Total Spending After Applying Truncation at the Member Level]]+Age_Sex22[[#This Row],[Total Dollars Excluded from Spending After Applying Truncation at the Member Level]]=Age_Sex22[[#This Row],[Total Spending before Truncation is Applied]]</f>
        <v>1</v>
      </c>
    </row>
    <row r="273" spans="1:10" x14ac:dyDescent="0.25">
      <c r="A273" s="386"/>
      <c r="B273" s="310"/>
      <c r="C273" s="311"/>
      <c r="D273" s="518"/>
      <c r="E273" s="409"/>
      <c r="F273" s="312"/>
      <c r="G273" s="522"/>
      <c r="H273" s="312"/>
      <c r="I273" s="455"/>
      <c r="J273" s="271" t="b">
        <f>Age_Sex22[[#This Row],[Total Spending After Applying Truncation at the Member Level]]+Age_Sex22[[#This Row],[Total Dollars Excluded from Spending After Applying Truncation at the Member Level]]=Age_Sex22[[#This Row],[Total Spending before Truncation is Applied]]</f>
        <v>1</v>
      </c>
    </row>
    <row r="274" spans="1:10" x14ac:dyDescent="0.25">
      <c r="A274" s="389"/>
      <c r="B274" s="4"/>
      <c r="C274" s="16"/>
      <c r="D274" s="519"/>
      <c r="E274" s="410"/>
      <c r="F274" s="313"/>
      <c r="G274" s="256"/>
      <c r="H274" s="313"/>
      <c r="I274" s="456"/>
      <c r="J274" s="271" t="b">
        <f>Age_Sex22[[#This Row],[Total Spending After Applying Truncation at the Member Level]]+Age_Sex22[[#This Row],[Total Dollars Excluded from Spending After Applying Truncation at the Member Level]]=Age_Sex22[[#This Row],[Total Spending before Truncation is Applied]]</f>
        <v>1</v>
      </c>
    </row>
    <row r="275" spans="1:10" x14ac:dyDescent="0.25">
      <c r="A275" s="386"/>
      <c r="B275" s="310"/>
      <c r="C275" s="311"/>
      <c r="D275" s="518"/>
      <c r="E275" s="409"/>
      <c r="F275" s="312"/>
      <c r="G275" s="522"/>
      <c r="H275" s="312"/>
      <c r="I275" s="455"/>
      <c r="J275" s="271" t="b">
        <f>Age_Sex22[[#This Row],[Total Spending After Applying Truncation at the Member Level]]+Age_Sex22[[#This Row],[Total Dollars Excluded from Spending After Applying Truncation at the Member Level]]=Age_Sex22[[#This Row],[Total Spending before Truncation is Applied]]</f>
        <v>1</v>
      </c>
    </row>
    <row r="276" spans="1:10" x14ac:dyDescent="0.25">
      <c r="A276" s="389"/>
      <c r="B276" s="4"/>
      <c r="C276" s="16"/>
      <c r="D276" s="519"/>
      <c r="E276" s="410"/>
      <c r="F276" s="313"/>
      <c r="G276" s="256"/>
      <c r="H276" s="313"/>
      <c r="I276" s="456"/>
      <c r="J276" s="271" t="b">
        <f>Age_Sex22[[#This Row],[Total Spending After Applying Truncation at the Member Level]]+Age_Sex22[[#This Row],[Total Dollars Excluded from Spending After Applying Truncation at the Member Level]]=Age_Sex22[[#This Row],[Total Spending before Truncation is Applied]]</f>
        <v>1</v>
      </c>
    </row>
    <row r="277" spans="1:10" x14ac:dyDescent="0.25">
      <c r="A277" s="386"/>
      <c r="B277" s="310"/>
      <c r="C277" s="311"/>
      <c r="D277" s="518"/>
      <c r="E277" s="409"/>
      <c r="F277" s="312"/>
      <c r="G277" s="522"/>
      <c r="H277" s="312"/>
      <c r="I277" s="455"/>
      <c r="J277" s="271" t="b">
        <f>Age_Sex22[[#This Row],[Total Spending After Applying Truncation at the Member Level]]+Age_Sex22[[#This Row],[Total Dollars Excluded from Spending After Applying Truncation at the Member Level]]=Age_Sex22[[#This Row],[Total Spending before Truncation is Applied]]</f>
        <v>1</v>
      </c>
    </row>
    <row r="278" spans="1:10" x14ac:dyDescent="0.25">
      <c r="A278" s="389"/>
      <c r="B278" s="4"/>
      <c r="C278" s="16"/>
      <c r="D278" s="519"/>
      <c r="E278" s="410"/>
      <c r="F278" s="313"/>
      <c r="G278" s="256"/>
      <c r="H278" s="313"/>
      <c r="I278" s="456"/>
      <c r="J278" s="271" t="b">
        <f>Age_Sex22[[#This Row],[Total Spending After Applying Truncation at the Member Level]]+Age_Sex22[[#This Row],[Total Dollars Excluded from Spending After Applying Truncation at the Member Level]]=Age_Sex22[[#This Row],[Total Spending before Truncation is Applied]]</f>
        <v>1</v>
      </c>
    </row>
    <row r="279" spans="1:10" x14ac:dyDescent="0.25">
      <c r="A279" s="386"/>
      <c r="B279" s="310"/>
      <c r="C279" s="311"/>
      <c r="D279" s="518"/>
      <c r="E279" s="409"/>
      <c r="F279" s="312"/>
      <c r="G279" s="522"/>
      <c r="H279" s="312"/>
      <c r="I279" s="455"/>
      <c r="J279" s="271" t="b">
        <f>Age_Sex22[[#This Row],[Total Spending After Applying Truncation at the Member Level]]+Age_Sex22[[#This Row],[Total Dollars Excluded from Spending After Applying Truncation at the Member Level]]=Age_Sex22[[#This Row],[Total Spending before Truncation is Applied]]</f>
        <v>1</v>
      </c>
    </row>
    <row r="280" spans="1:10" x14ac:dyDescent="0.25">
      <c r="A280" s="389"/>
      <c r="B280" s="4"/>
      <c r="C280" s="16"/>
      <c r="D280" s="519"/>
      <c r="E280" s="410"/>
      <c r="F280" s="313"/>
      <c r="G280" s="256"/>
      <c r="H280" s="313"/>
      <c r="I280" s="456"/>
      <c r="J280" s="271" t="b">
        <f>Age_Sex22[[#This Row],[Total Spending After Applying Truncation at the Member Level]]+Age_Sex22[[#This Row],[Total Dollars Excluded from Spending After Applying Truncation at the Member Level]]=Age_Sex22[[#This Row],[Total Spending before Truncation is Applied]]</f>
        <v>1</v>
      </c>
    </row>
    <row r="281" spans="1:10" x14ac:dyDescent="0.25">
      <c r="A281" s="386"/>
      <c r="B281" s="310"/>
      <c r="C281" s="311"/>
      <c r="D281" s="518"/>
      <c r="E281" s="409"/>
      <c r="F281" s="312"/>
      <c r="G281" s="522"/>
      <c r="H281" s="312"/>
      <c r="I281" s="455"/>
      <c r="J281" s="271" t="b">
        <f>Age_Sex22[[#This Row],[Total Spending After Applying Truncation at the Member Level]]+Age_Sex22[[#This Row],[Total Dollars Excluded from Spending After Applying Truncation at the Member Level]]=Age_Sex22[[#This Row],[Total Spending before Truncation is Applied]]</f>
        <v>1</v>
      </c>
    </row>
    <row r="282" spans="1:10" x14ac:dyDescent="0.25">
      <c r="A282" s="389"/>
      <c r="B282" s="4"/>
      <c r="C282" s="16"/>
      <c r="D282" s="519"/>
      <c r="E282" s="410"/>
      <c r="F282" s="313"/>
      <c r="G282" s="256"/>
      <c r="H282" s="313"/>
      <c r="I282" s="456"/>
      <c r="J282" s="271" t="b">
        <f>Age_Sex22[[#This Row],[Total Spending After Applying Truncation at the Member Level]]+Age_Sex22[[#This Row],[Total Dollars Excluded from Spending After Applying Truncation at the Member Level]]=Age_Sex22[[#This Row],[Total Spending before Truncation is Applied]]</f>
        <v>1</v>
      </c>
    </row>
    <row r="283" spans="1:10" x14ac:dyDescent="0.25">
      <c r="A283" s="386"/>
      <c r="B283" s="310"/>
      <c r="C283" s="311"/>
      <c r="D283" s="518"/>
      <c r="E283" s="409"/>
      <c r="F283" s="312"/>
      <c r="G283" s="522"/>
      <c r="H283" s="312"/>
      <c r="I283" s="455"/>
      <c r="J283" s="271" t="b">
        <f>Age_Sex22[[#This Row],[Total Spending After Applying Truncation at the Member Level]]+Age_Sex22[[#This Row],[Total Dollars Excluded from Spending After Applying Truncation at the Member Level]]=Age_Sex22[[#This Row],[Total Spending before Truncation is Applied]]</f>
        <v>1</v>
      </c>
    </row>
    <row r="284" spans="1:10" x14ac:dyDescent="0.25">
      <c r="A284" s="389"/>
      <c r="B284" s="4"/>
      <c r="C284" s="16"/>
      <c r="D284" s="519"/>
      <c r="E284" s="410"/>
      <c r="F284" s="313"/>
      <c r="G284" s="256"/>
      <c r="H284" s="313"/>
      <c r="I284" s="456"/>
      <c r="J284" s="271" t="b">
        <f>Age_Sex22[[#This Row],[Total Spending After Applying Truncation at the Member Level]]+Age_Sex22[[#This Row],[Total Dollars Excluded from Spending After Applying Truncation at the Member Level]]=Age_Sex22[[#This Row],[Total Spending before Truncation is Applied]]</f>
        <v>1</v>
      </c>
    </row>
    <row r="285" spans="1:10" x14ac:dyDescent="0.25">
      <c r="A285" s="386"/>
      <c r="B285" s="310"/>
      <c r="C285" s="311"/>
      <c r="D285" s="518"/>
      <c r="E285" s="409"/>
      <c r="F285" s="312"/>
      <c r="G285" s="522"/>
      <c r="H285" s="312"/>
      <c r="I285" s="455"/>
      <c r="J285" s="271" t="b">
        <f>Age_Sex22[[#This Row],[Total Spending After Applying Truncation at the Member Level]]+Age_Sex22[[#This Row],[Total Dollars Excluded from Spending After Applying Truncation at the Member Level]]=Age_Sex22[[#This Row],[Total Spending before Truncation is Applied]]</f>
        <v>1</v>
      </c>
    </row>
    <row r="286" spans="1:10" x14ac:dyDescent="0.25">
      <c r="A286" s="389"/>
      <c r="B286" s="4"/>
      <c r="C286" s="16"/>
      <c r="D286" s="519"/>
      <c r="E286" s="410"/>
      <c r="F286" s="313"/>
      <c r="G286" s="256"/>
      <c r="H286" s="313"/>
      <c r="I286" s="456"/>
      <c r="J286" s="271" t="b">
        <f>Age_Sex22[[#This Row],[Total Spending After Applying Truncation at the Member Level]]+Age_Sex22[[#This Row],[Total Dollars Excluded from Spending After Applying Truncation at the Member Level]]=Age_Sex22[[#This Row],[Total Spending before Truncation is Applied]]</f>
        <v>1</v>
      </c>
    </row>
    <row r="287" spans="1:10" x14ac:dyDescent="0.25">
      <c r="A287" s="386"/>
      <c r="B287" s="310"/>
      <c r="C287" s="311"/>
      <c r="D287" s="518"/>
      <c r="E287" s="409"/>
      <c r="F287" s="312"/>
      <c r="G287" s="522"/>
      <c r="H287" s="312"/>
      <c r="I287" s="455"/>
      <c r="J287" s="271" t="b">
        <f>Age_Sex22[[#This Row],[Total Spending After Applying Truncation at the Member Level]]+Age_Sex22[[#This Row],[Total Dollars Excluded from Spending After Applying Truncation at the Member Level]]=Age_Sex22[[#This Row],[Total Spending before Truncation is Applied]]</f>
        <v>1</v>
      </c>
    </row>
    <row r="288" spans="1:10" x14ac:dyDescent="0.25">
      <c r="A288" s="389"/>
      <c r="B288" s="4"/>
      <c r="C288" s="16"/>
      <c r="D288" s="519"/>
      <c r="E288" s="410"/>
      <c r="F288" s="313"/>
      <c r="G288" s="256"/>
      <c r="H288" s="313"/>
      <c r="I288" s="456"/>
      <c r="J288" s="271" t="b">
        <f>Age_Sex22[[#This Row],[Total Spending After Applying Truncation at the Member Level]]+Age_Sex22[[#This Row],[Total Dollars Excluded from Spending After Applying Truncation at the Member Level]]=Age_Sex22[[#This Row],[Total Spending before Truncation is Applied]]</f>
        <v>1</v>
      </c>
    </row>
    <row r="289" spans="1:10" x14ac:dyDescent="0.25">
      <c r="A289" s="386"/>
      <c r="B289" s="310"/>
      <c r="C289" s="311"/>
      <c r="D289" s="518"/>
      <c r="E289" s="409"/>
      <c r="F289" s="312"/>
      <c r="G289" s="522"/>
      <c r="H289" s="312"/>
      <c r="I289" s="455"/>
      <c r="J289" s="271" t="b">
        <f>Age_Sex22[[#This Row],[Total Spending After Applying Truncation at the Member Level]]+Age_Sex22[[#This Row],[Total Dollars Excluded from Spending After Applying Truncation at the Member Level]]=Age_Sex22[[#This Row],[Total Spending before Truncation is Applied]]</f>
        <v>1</v>
      </c>
    </row>
    <row r="290" spans="1:10" x14ac:dyDescent="0.25">
      <c r="A290" s="389"/>
      <c r="B290" s="4"/>
      <c r="C290" s="16"/>
      <c r="D290" s="519"/>
      <c r="E290" s="410"/>
      <c r="F290" s="313"/>
      <c r="G290" s="256"/>
      <c r="H290" s="313"/>
      <c r="I290" s="456"/>
      <c r="J290" s="271" t="b">
        <f>Age_Sex22[[#This Row],[Total Spending After Applying Truncation at the Member Level]]+Age_Sex22[[#This Row],[Total Dollars Excluded from Spending After Applying Truncation at the Member Level]]=Age_Sex22[[#This Row],[Total Spending before Truncation is Applied]]</f>
        <v>1</v>
      </c>
    </row>
    <row r="291" spans="1:10" x14ac:dyDescent="0.25">
      <c r="A291" s="386"/>
      <c r="B291" s="310"/>
      <c r="C291" s="311"/>
      <c r="D291" s="518"/>
      <c r="E291" s="409"/>
      <c r="F291" s="312"/>
      <c r="G291" s="522"/>
      <c r="H291" s="312"/>
      <c r="I291" s="455"/>
      <c r="J291" s="271" t="b">
        <f>Age_Sex22[[#This Row],[Total Spending After Applying Truncation at the Member Level]]+Age_Sex22[[#This Row],[Total Dollars Excluded from Spending After Applying Truncation at the Member Level]]=Age_Sex22[[#This Row],[Total Spending before Truncation is Applied]]</f>
        <v>1</v>
      </c>
    </row>
    <row r="292" spans="1:10" x14ac:dyDescent="0.25">
      <c r="A292" s="389"/>
      <c r="B292" s="4"/>
      <c r="C292" s="16"/>
      <c r="D292" s="519"/>
      <c r="E292" s="410"/>
      <c r="F292" s="313"/>
      <c r="G292" s="256"/>
      <c r="H292" s="313"/>
      <c r="I292" s="456"/>
      <c r="J292" s="271" t="b">
        <f>Age_Sex22[[#This Row],[Total Spending After Applying Truncation at the Member Level]]+Age_Sex22[[#This Row],[Total Dollars Excluded from Spending After Applying Truncation at the Member Level]]=Age_Sex22[[#This Row],[Total Spending before Truncation is Applied]]</f>
        <v>1</v>
      </c>
    </row>
    <row r="293" spans="1:10" x14ac:dyDescent="0.25">
      <c r="A293" s="386"/>
      <c r="B293" s="310"/>
      <c r="C293" s="311"/>
      <c r="D293" s="518"/>
      <c r="E293" s="409"/>
      <c r="F293" s="312"/>
      <c r="G293" s="522"/>
      <c r="H293" s="312"/>
      <c r="I293" s="455"/>
      <c r="J293" s="271" t="b">
        <f>Age_Sex22[[#This Row],[Total Spending After Applying Truncation at the Member Level]]+Age_Sex22[[#This Row],[Total Dollars Excluded from Spending After Applying Truncation at the Member Level]]=Age_Sex22[[#This Row],[Total Spending before Truncation is Applied]]</f>
        <v>1</v>
      </c>
    </row>
    <row r="294" spans="1:10" x14ac:dyDescent="0.25">
      <c r="A294" s="389"/>
      <c r="B294" s="4"/>
      <c r="C294" s="16"/>
      <c r="D294" s="519"/>
      <c r="E294" s="410"/>
      <c r="F294" s="313"/>
      <c r="G294" s="256"/>
      <c r="H294" s="313"/>
      <c r="I294" s="456"/>
      <c r="J294" s="271" t="b">
        <f>Age_Sex22[[#This Row],[Total Spending After Applying Truncation at the Member Level]]+Age_Sex22[[#This Row],[Total Dollars Excluded from Spending After Applying Truncation at the Member Level]]=Age_Sex22[[#This Row],[Total Spending before Truncation is Applied]]</f>
        <v>1</v>
      </c>
    </row>
    <row r="295" spans="1:10" x14ac:dyDescent="0.25">
      <c r="A295" s="386"/>
      <c r="B295" s="310"/>
      <c r="C295" s="311"/>
      <c r="D295" s="518"/>
      <c r="E295" s="409"/>
      <c r="F295" s="312"/>
      <c r="G295" s="522"/>
      <c r="H295" s="312"/>
      <c r="I295" s="455"/>
      <c r="J295" s="271" t="b">
        <f>Age_Sex22[[#This Row],[Total Spending After Applying Truncation at the Member Level]]+Age_Sex22[[#This Row],[Total Dollars Excluded from Spending After Applying Truncation at the Member Level]]=Age_Sex22[[#This Row],[Total Spending before Truncation is Applied]]</f>
        <v>1</v>
      </c>
    </row>
    <row r="296" spans="1:10" x14ac:dyDescent="0.25">
      <c r="A296" s="389"/>
      <c r="B296" s="4"/>
      <c r="C296" s="16"/>
      <c r="D296" s="519"/>
      <c r="E296" s="410"/>
      <c r="F296" s="313"/>
      <c r="G296" s="256"/>
      <c r="H296" s="313"/>
      <c r="I296" s="456"/>
      <c r="J296" s="271" t="b">
        <f>Age_Sex22[[#This Row],[Total Spending After Applying Truncation at the Member Level]]+Age_Sex22[[#This Row],[Total Dollars Excluded from Spending After Applying Truncation at the Member Level]]=Age_Sex22[[#This Row],[Total Spending before Truncation is Applied]]</f>
        <v>1</v>
      </c>
    </row>
    <row r="297" spans="1:10" x14ac:dyDescent="0.25">
      <c r="A297" s="386"/>
      <c r="B297" s="310"/>
      <c r="C297" s="311"/>
      <c r="D297" s="518"/>
      <c r="E297" s="409"/>
      <c r="F297" s="312"/>
      <c r="G297" s="522"/>
      <c r="H297" s="312"/>
      <c r="I297" s="455"/>
      <c r="J297" s="271" t="b">
        <f>Age_Sex22[[#This Row],[Total Spending After Applying Truncation at the Member Level]]+Age_Sex22[[#This Row],[Total Dollars Excluded from Spending After Applying Truncation at the Member Level]]=Age_Sex22[[#This Row],[Total Spending before Truncation is Applied]]</f>
        <v>1</v>
      </c>
    </row>
    <row r="298" spans="1:10" x14ac:dyDescent="0.25">
      <c r="A298" s="389"/>
      <c r="B298" s="4"/>
      <c r="C298" s="16"/>
      <c r="D298" s="519"/>
      <c r="E298" s="410"/>
      <c r="F298" s="313"/>
      <c r="G298" s="256"/>
      <c r="H298" s="313"/>
      <c r="I298" s="456"/>
      <c r="J298" s="271" t="b">
        <f>Age_Sex22[[#This Row],[Total Spending After Applying Truncation at the Member Level]]+Age_Sex22[[#This Row],[Total Dollars Excluded from Spending After Applying Truncation at the Member Level]]=Age_Sex22[[#This Row],[Total Spending before Truncation is Applied]]</f>
        <v>1</v>
      </c>
    </row>
    <row r="299" spans="1:10" x14ac:dyDescent="0.25">
      <c r="A299" s="386"/>
      <c r="B299" s="310"/>
      <c r="C299" s="311"/>
      <c r="D299" s="518"/>
      <c r="E299" s="409"/>
      <c r="F299" s="312"/>
      <c r="G299" s="522"/>
      <c r="H299" s="312"/>
      <c r="I299" s="455"/>
      <c r="J299" s="271" t="b">
        <f>Age_Sex22[[#This Row],[Total Spending After Applying Truncation at the Member Level]]+Age_Sex22[[#This Row],[Total Dollars Excluded from Spending After Applying Truncation at the Member Level]]=Age_Sex22[[#This Row],[Total Spending before Truncation is Applied]]</f>
        <v>1</v>
      </c>
    </row>
    <row r="300" spans="1:10" x14ac:dyDescent="0.25">
      <c r="A300" s="389"/>
      <c r="B300" s="4"/>
      <c r="C300" s="16"/>
      <c r="D300" s="519"/>
      <c r="E300" s="410"/>
      <c r="F300" s="313"/>
      <c r="G300" s="256"/>
      <c r="H300" s="313"/>
      <c r="I300" s="456"/>
      <c r="J300" s="271" t="b">
        <f>Age_Sex22[[#This Row],[Total Spending After Applying Truncation at the Member Level]]+Age_Sex22[[#This Row],[Total Dollars Excluded from Spending After Applying Truncation at the Member Level]]=Age_Sex22[[#This Row],[Total Spending before Truncation is Applied]]</f>
        <v>1</v>
      </c>
    </row>
    <row r="301" spans="1:10" x14ac:dyDescent="0.25">
      <c r="A301" s="386"/>
      <c r="B301" s="310"/>
      <c r="C301" s="311"/>
      <c r="D301" s="518"/>
      <c r="E301" s="409"/>
      <c r="F301" s="312"/>
      <c r="G301" s="522"/>
      <c r="H301" s="312"/>
      <c r="I301" s="455"/>
      <c r="J301" s="271" t="b">
        <f>Age_Sex22[[#This Row],[Total Spending After Applying Truncation at the Member Level]]+Age_Sex22[[#This Row],[Total Dollars Excluded from Spending After Applying Truncation at the Member Level]]=Age_Sex22[[#This Row],[Total Spending before Truncation is Applied]]</f>
        <v>1</v>
      </c>
    </row>
    <row r="302" spans="1:10" x14ac:dyDescent="0.25">
      <c r="A302" s="389"/>
      <c r="B302" s="4"/>
      <c r="C302" s="16"/>
      <c r="D302" s="519"/>
      <c r="E302" s="410"/>
      <c r="F302" s="313"/>
      <c r="G302" s="256"/>
      <c r="H302" s="313"/>
      <c r="I302" s="456"/>
      <c r="J302" s="271" t="b">
        <f>Age_Sex22[[#This Row],[Total Spending After Applying Truncation at the Member Level]]+Age_Sex22[[#This Row],[Total Dollars Excluded from Spending After Applying Truncation at the Member Level]]=Age_Sex22[[#This Row],[Total Spending before Truncation is Applied]]</f>
        <v>1</v>
      </c>
    </row>
    <row r="303" spans="1:10" x14ac:dyDescent="0.25">
      <c r="A303" s="386"/>
      <c r="B303" s="310"/>
      <c r="C303" s="311"/>
      <c r="D303" s="518"/>
      <c r="E303" s="409"/>
      <c r="F303" s="312"/>
      <c r="G303" s="522"/>
      <c r="H303" s="312"/>
      <c r="I303" s="455"/>
      <c r="J303" s="271" t="b">
        <f>Age_Sex22[[#This Row],[Total Spending After Applying Truncation at the Member Level]]+Age_Sex22[[#This Row],[Total Dollars Excluded from Spending After Applying Truncation at the Member Level]]=Age_Sex22[[#This Row],[Total Spending before Truncation is Applied]]</f>
        <v>1</v>
      </c>
    </row>
    <row r="304" spans="1:10" x14ac:dyDescent="0.25">
      <c r="A304" s="389"/>
      <c r="B304" s="4"/>
      <c r="C304" s="16"/>
      <c r="D304" s="519"/>
      <c r="E304" s="410"/>
      <c r="F304" s="313"/>
      <c r="G304" s="256"/>
      <c r="H304" s="313"/>
      <c r="I304" s="456"/>
      <c r="J304" s="271" t="b">
        <f>Age_Sex22[[#This Row],[Total Spending After Applying Truncation at the Member Level]]+Age_Sex22[[#This Row],[Total Dollars Excluded from Spending After Applying Truncation at the Member Level]]=Age_Sex22[[#This Row],[Total Spending before Truncation is Applied]]</f>
        <v>1</v>
      </c>
    </row>
    <row r="305" spans="1:10" x14ac:dyDescent="0.25">
      <c r="A305" s="386"/>
      <c r="B305" s="310"/>
      <c r="C305" s="311"/>
      <c r="D305" s="518"/>
      <c r="E305" s="409"/>
      <c r="F305" s="312"/>
      <c r="G305" s="522"/>
      <c r="H305" s="312"/>
      <c r="I305" s="455"/>
      <c r="J305" s="271" t="b">
        <f>Age_Sex22[[#This Row],[Total Spending After Applying Truncation at the Member Level]]+Age_Sex22[[#This Row],[Total Dollars Excluded from Spending After Applying Truncation at the Member Level]]=Age_Sex22[[#This Row],[Total Spending before Truncation is Applied]]</f>
        <v>1</v>
      </c>
    </row>
    <row r="306" spans="1:10" x14ac:dyDescent="0.25">
      <c r="A306" s="389"/>
      <c r="B306" s="4"/>
      <c r="C306" s="16"/>
      <c r="D306" s="519"/>
      <c r="E306" s="410"/>
      <c r="F306" s="313"/>
      <c r="G306" s="256"/>
      <c r="H306" s="313"/>
      <c r="I306" s="456"/>
      <c r="J306" s="271" t="b">
        <f>Age_Sex22[[#This Row],[Total Spending After Applying Truncation at the Member Level]]+Age_Sex22[[#This Row],[Total Dollars Excluded from Spending After Applying Truncation at the Member Level]]=Age_Sex22[[#This Row],[Total Spending before Truncation is Applied]]</f>
        <v>1</v>
      </c>
    </row>
    <row r="307" spans="1:10" x14ac:dyDescent="0.25">
      <c r="A307" s="386"/>
      <c r="B307" s="310"/>
      <c r="C307" s="311"/>
      <c r="D307" s="518"/>
      <c r="E307" s="409"/>
      <c r="F307" s="312"/>
      <c r="G307" s="522"/>
      <c r="H307" s="312"/>
      <c r="I307" s="455"/>
      <c r="J307" s="271" t="b">
        <f>Age_Sex22[[#This Row],[Total Spending After Applying Truncation at the Member Level]]+Age_Sex22[[#This Row],[Total Dollars Excluded from Spending After Applying Truncation at the Member Level]]=Age_Sex22[[#This Row],[Total Spending before Truncation is Applied]]</f>
        <v>1</v>
      </c>
    </row>
    <row r="308" spans="1:10" x14ac:dyDescent="0.25">
      <c r="A308" s="389"/>
      <c r="B308" s="4"/>
      <c r="C308" s="16"/>
      <c r="D308" s="519"/>
      <c r="E308" s="410"/>
      <c r="F308" s="313"/>
      <c r="G308" s="256"/>
      <c r="H308" s="313"/>
      <c r="I308" s="456"/>
      <c r="J308" s="271" t="b">
        <f>Age_Sex22[[#This Row],[Total Spending After Applying Truncation at the Member Level]]+Age_Sex22[[#This Row],[Total Dollars Excluded from Spending After Applying Truncation at the Member Level]]=Age_Sex22[[#This Row],[Total Spending before Truncation is Applied]]</f>
        <v>1</v>
      </c>
    </row>
    <row r="309" spans="1:10" x14ac:dyDescent="0.25">
      <c r="A309" s="386"/>
      <c r="B309" s="310"/>
      <c r="C309" s="311"/>
      <c r="D309" s="518"/>
      <c r="E309" s="409"/>
      <c r="F309" s="312"/>
      <c r="G309" s="522"/>
      <c r="H309" s="312"/>
      <c r="I309" s="455"/>
      <c r="J309" s="271" t="b">
        <f>Age_Sex22[[#This Row],[Total Spending After Applying Truncation at the Member Level]]+Age_Sex22[[#This Row],[Total Dollars Excluded from Spending After Applying Truncation at the Member Level]]=Age_Sex22[[#This Row],[Total Spending before Truncation is Applied]]</f>
        <v>1</v>
      </c>
    </row>
    <row r="310" spans="1:10" x14ac:dyDescent="0.25">
      <c r="A310" s="389"/>
      <c r="B310" s="4"/>
      <c r="C310" s="16"/>
      <c r="D310" s="519"/>
      <c r="E310" s="410"/>
      <c r="F310" s="313"/>
      <c r="G310" s="256"/>
      <c r="H310" s="313"/>
      <c r="I310" s="456"/>
      <c r="J310" s="271" t="b">
        <f>Age_Sex22[[#This Row],[Total Spending After Applying Truncation at the Member Level]]+Age_Sex22[[#This Row],[Total Dollars Excluded from Spending After Applying Truncation at the Member Level]]=Age_Sex22[[#This Row],[Total Spending before Truncation is Applied]]</f>
        <v>1</v>
      </c>
    </row>
    <row r="311" spans="1:10" x14ac:dyDescent="0.25">
      <c r="A311" s="386"/>
      <c r="B311" s="310"/>
      <c r="C311" s="311"/>
      <c r="D311" s="518"/>
      <c r="E311" s="409"/>
      <c r="F311" s="312"/>
      <c r="G311" s="522"/>
      <c r="H311" s="312"/>
      <c r="I311" s="455"/>
      <c r="J311" s="271" t="b">
        <f>Age_Sex22[[#This Row],[Total Spending After Applying Truncation at the Member Level]]+Age_Sex22[[#This Row],[Total Dollars Excluded from Spending After Applying Truncation at the Member Level]]=Age_Sex22[[#This Row],[Total Spending before Truncation is Applied]]</f>
        <v>1</v>
      </c>
    </row>
    <row r="312" spans="1:10" x14ac:dyDescent="0.25">
      <c r="A312" s="389"/>
      <c r="B312" s="4"/>
      <c r="C312" s="16"/>
      <c r="D312" s="519"/>
      <c r="E312" s="410"/>
      <c r="F312" s="313"/>
      <c r="G312" s="256"/>
      <c r="H312" s="313"/>
      <c r="I312" s="456"/>
      <c r="J312" s="271" t="b">
        <f>Age_Sex22[[#This Row],[Total Spending After Applying Truncation at the Member Level]]+Age_Sex22[[#This Row],[Total Dollars Excluded from Spending After Applying Truncation at the Member Level]]=Age_Sex22[[#This Row],[Total Spending before Truncation is Applied]]</f>
        <v>1</v>
      </c>
    </row>
    <row r="313" spans="1:10" x14ac:dyDescent="0.25">
      <c r="A313" s="386"/>
      <c r="B313" s="310"/>
      <c r="C313" s="311"/>
      <c r="D313" s="518"/>
      <c r="E313" s="409"/>
      <c r="F313" s="312"/>
      <c r="G313" s="522"/>
      <c r="H313" s="312"/>
      <c r="I313" s="455"/>
      <c r="J313" s="271" t="b">
        <f>Age_Sex22[[#This Row],[Total Spending After Applying Truncation at the Member Level]]+Age_Sex22[[#This Row],[Total Dollars Excluded from Spending After Applying Truncation at the Member Level]]=Age_Sex22[[#This Row],[Total Spending before Truncation is Applied]]</f>
        <v>1</v>
      </c>
    </row>
    <row r="314" spans="1:10" x14ac:dyDescent="0.25">
      <c r="A314" s="389"/>
      <c r="B314" s="4"/>
      <c r="C314" s="16"/>
      <c r="D314" s="519"/>
      <c r="E314" s="410"/>
      <c r="F314" s="313"/>
      <c r="G314" s="256"/>
      <c r="H314" s="313"/>
      <c r="I314" s="456"/>
      <c r="J314" s="271" t="b">
        <f>Age_Sex22[[#This Row],[Total Spending After Applying Truncation at the Member Level]]+Age_Sex22[[#This Row],[Total Dollars Excluded from Spending After Applying Truncation at the Member Level]]=Age_Sex22[[#This Row],[Total Spending before Truncation is Applied]]</f>
        <v>1</v>
      </c>
    </row>
    <row r="315" spans="1:10" x14ac:dyDescent="0.25">
      <c r="A315" s="386"/>
      <c r="B315" s="310"/>
      <c r="C315" s="311"/>
      <c r="D315" s="518"/>
      <c r="E315" s="409"/>
      <c r="F315" s="312"/>
      <c r="G315" s="522"/>
      <c r="H315" s="312"/>
      <c r="I315" s="455"/>
      <c r="J315" s="271" t="b">
        <f>Age_Sex22[[#This Row],[Total Spending After Applying Truncation at the Member Level]]+Age_Sex22[[#This Row],[Total Dollars Excluded from Spending After Applying Truncation at the Member Level]]=Age_Sex22[[#This Row],[Total Spending before Truncation is Applied]]</f>
        <v>1</v>
      </c>
    </row>
    <row r="316" spans="1:10" x14ac:dyDescent="0.25">
      <c r="A316" s="389"/>
      <c r="B316" s="4"/>
      <c r="C316" s="16"/>
      <c r="D316" s="519"/>
      <c r="E316" s="410"/>
      <c r="F316" s="313"/>
      <c r="G316" s="256"/>
      <c r="H316" s="313"/>
      <c r="I316" s="456"/>
      <c r="J316" s="271" t="b">
        <f>Age_Sex22[[#This Row],[Total Spending After Applying Truncation at the Member Level]]+Age_Sex22[[#This Row],[Total Dollars Excluded from Spending After Applying Truncation at the Member Level]]=Age_Sex22[[#This Row],[Total Spending before Truncation is Applied]]</f>
        <v>1</v>
      </c>
    </row>
    <row r="317" spans="1:10" x14ac:dyDescent="0.25">
      <c r="A317" s="386"/>
      <c r="B317" s="310"/>
      <c r="C317" s="311"/>
      <c r="D317" s="518"/>
      <c r="E317" s="409"/>
      <c r="F317" s="312"/>
      <c r="G317" s="522"/>
      <c r="H317" s="312"/>
      <c r="I317" s="455"/>
      <c r="J317" s="271" t="b">
        <f>Age_Sex22[[#This Row],[Total Spending After Applying Truncation at the Member Level]]+Age_Sex22[[#This Row],[Total Dollars Excluded from Spending After Applying Truncation at the Member Level]]=Age_Sex22[[#This Row],[Total Spending before Truncation is Applied]]</f>
        <v>1</v>
      </c>
    </row>
    <row r="318" spans="1:10" x14ac:dyDescent="0.25">
      <c r="A318" s="389"/>
      <c r="B318" s="4"/>
      <c r="C318" s="16"/>
      <c r="D318" s="519"/>
      <c r="E318" s="410"/>
      <c r="F318" s="313"/>
      <c r="G318" s="256"/>
      <c r="H318" s="313"/>
      <c r="I318" s="456"/>
      <c r="J318" s="271" t="b">
        <f>Age_Sex22[[#This Row],[Total Spending After Applying Truncation at the Member Level]]+Age_Sex22[[#This Row],[Total Dollars Excluded from Spending After Applying Truncation at the Member Level]]=Age_Sex22[[#This Row],[Total Spending before Truncation is Applied]]</f>
        <v>1</v>
      </c>
    </row>
    <row r="319" spans="1:10" x14ac:dyDescent="0.25">
      <c r="A319" s="386"/>
      <c r="B319" s="310"/>
      <c r="C319" s="311"/>
      <c r="D319" s="518"/>
      <c r="E319" s="409"/>
      <c r="F319" s="312"/>
      <c r="G319" s="522"/>
      <c r="H319" s="312"/>
      <c r="I319" s="455"/>
      <c r="J319" s="271" t="b">
        <f>Age_Sex22[[#This Row],[Total Spending After Applying Truncation at the Member Level]]+Age_Sex22[[#This Row],[Total Dollars Excluded from Spending After Applying Truncation at the Member Level]]=Age_Sex22[[#This Row],[Total Spending before Truncation is Applied]]</f>
        <v>1</v>
      </c>
    </row>
    <row r="320" spans="1:10" x14ac:dyDescent="0.25">
      <c r="A320" s="389"/>
      <c r="B320" s="4"/>
      <c r="C320" s="16"/>
      <c r="D320" s="519"/>
      <c r="E320" s="410"/>
      <c r="F320" s="313"/>
      <c r="G320" s="256"/>
      <c r="H320" s="313"/>
      <c r="I320" s="456"/>
      <c r="J320" s="271" t="b">
        <f>Age_Sex22[[#This Row],[Total Spending After Applying Truncation at the Member Level]]+Age_Sex22[[#This Row],[Total Dollars Excluded from Spending After Applying Truncation at the Member Level]]=Age_Sex22[[#This Row],[Total Spending before Truncation is Applied]]</f>
        <v>1</v>
      </c>
    </row>
    <row r="321" spans="1:10" x14ac:dyDescent="0.25">
      <c r="A321" s="386"/>
      <c r="B321" s="310"/>
      <c r="C321" s="311"/>
      <c r="D321" s="518"/>
      <c r="E321" s="409"/>
      <c r="F321" s="312"/>
      <c r="G321" s="522"/>
      <c r="H321" s="312"/>
      <c r="I321" s="455"/>
      <c r="J321" s="271" t="b">
        <f>Age_Sex22[[#This Row],[Total Spending After Applying Truncation at the Member Level]]+Age_Sex22[[#This Row],[Total Dollars Excluded from Spending After Applying Truncation at the Member Level]]=Age_Sex22[[#This Row],[Total Spending before Truncation is Applied]]</f>
        <v>1</v>
      </c>
    </row>
    <row r="322" spans="1:10" x14ac:dyDescent="0.25">
      <c r="A322" s="389"/>
      <c r="B322" s="4"/>
      <c r="C322" s="16"/>
      <c r="D322" s="519"/>
      <c r="E322" s="410"/>
      <c r="F322" s="313"/>
      <c r="G322" s="256"/>
      <c r="H322" s="313"/>
      <c r="I322" s="456"/>
      <c r="J322" s="271" t="b">
        <f>Age_Sex22[[#This Row],[Total Spending After Applying Truncation at the Member Level]]+Age_Sex22[[#This Row],[Total Dollars Excluded from Spending After Applying Truncation at the Member Level]]=Age_Sex22[[#This Row],[Total Spending before Truncation is Applied]]</f>
        <v>1</v>
      </c>
    </row>
    <row r="323" spans="1:10" x14ac:dyDescent="0.25">
      <c r="A323" s="386"/>
      <c r="B323" s="310"/>
      <c r="C323" s="311"/>
      <c r="D323" s="518"/>
      <c r="E323" s="409"/>
      <c r="F323" s="312"/>
      <c r="G323" s="522"/>
      <c r="H323" s="312"/>
      <c r="I323" s="455"/>
      <c r="J323" s="271" t="b">
        <f>Age_Sex22[[#This Row],[Total Spending After Applying Truncation at the Member Level]]+Age_Sex22[[#This Row],[Total Dollars Excluded from Spending After Applying Truncation at the Member Level]]=Age_Sex22[[#This Row],[Total Spending before Truncation is Applied]]</f>
        <v>1</v>
      </c>
    </row>
    <row r="324" spans="1:10" x14ac:dyDescent="0.25">
      <c r="A324" s="389"/>
      <c r="B324" s="4"/>
      <c r="C324" s="16"/>
      <c r="D324" s="519"/>
      <c r="E324" s="410"/>
      <c r="F324" s="313"/>
      <c r="G324" s="256"/>
      <c r="H324" s="313"/>
      <c r="I324" s="456"/>
      <c r="J324" s="271" t="b">
        <f>Age_Sex22[[#This Row],[Total Spending After Applying Truncation at the Member Level]]+Age_Sex22[[#This Row],[Total Dollars Excluded from Spending After Applying Truncation at the Member Level]]=Age_Sex22[[#This Row],[Total Spending before Truncation is Applied]]</f>
        <v>1</v>
      </c>
    </row>
    <row r="325" spans="1:10" x14ac:dyDescent="0.25">
      <c r="A325" s="386"/>
      <c r="B325" s="310"/>
      <c r="C325" s="311"/>
      <c r="D325" s="518"/>
      <c r="E325" s="409"/>
      <c r="F325" s="312"/>
      <c r="G325" s="522"/>
      <c r="H325" s="312"/>
      <c r="I325" s="455"/>
      <c r="J325" s="271" t="b">
        <f>Age_Sex22[[#This Row],[Total Spending After Applying Truncation at the Member Level]]+Age_Sex22[[#This Row],[Total Dollars Excluded from Spending After Applying Truncation at the Member Level]]=Age_Sex22[[#This Row],[Total Spending before Truncation is Applied]]</f>
        <v>1</v>
      </c>
    </row>
    <row r="326" spans="1:10" x14ac:dyDescent="0.25">
      <c r="A326" s="389"/>
      <c r="B326" s="4"/>
      <c r="C326" s="16"/>
      <c r="D326" s="519"/>
      <c r="E326" s="410"/>
      <c r="F326" s="313"/>
      <c r="G326" s="256"/>
      <c r="H326" s="313"/>
      <c r="I326" s="456"/>
      <c r="J326" s="271" t="b">
        <f>Age_Sex22[[#This Row],[Total Spending After Applying Truncation at the Member Level]]+Age_Sex22[[#This Row],[Total Dollars Excluded from Spending After Applying Truncation at the Member Level]]=Age_Sex22[[#This Row],[Total Spending before Truncation is Applied]]</f>
        <v>1</v>
      </c>
    </row>
    <row r="327" spans="1:10" x14ac:dyDescent="0.25">
      <c r="A327" s="386"/>
      <c r="B327" s="310"/>
      <c r="C327" s="311"/>
      <c r="D327" s="518"/>
      <c r="E327" s="409"/>
      <c r="F327" s="312"/>
      <c r="G327" s="522"/>
      <c r="H327" s="312"/>
      <c r="I327" s="455"/>
      <c r="J327" s="271" t="b">
        <f>Age_Sex22[[#This Row],[Total Spending After Applying Truncation at the Member Level]]+Age_Sex22[[#This Row],[Total Dollars Excluded from Spending After Applying Truncation at the Member Level]]=Age_Sex22[[#This Row],[Total Spending before Truncation is Applied]]</f>
        <v>1</v>
      </c>
    </row>
    <row r="328" spans="1:10" x14ac:dyDescent="0.25">
      <c r="A328" s="389"/>
      <c r="B328" s="4"/>
      <c r="C328" s="16"/>
      <c r="D328" s="519"/>
      <c r="E328" s="410"/>
      <c r="F328" s="313"/>
      <c r="G328" s="256"/>
      <c r="H328" s="313"/>
      <c r="I328" s="456"/>
      <c r="J328" s="271" t="b">
        <f>Age_Sex22[[#This Row],[Total Spending After Applying Truncation at the Member Level]]+Age_Sex22[[#This Row],[Total Dollars Excluded from Spending After Applying Truncation at the Member Level]]=Age_Sex22[[#This Row],[Total Spending before Truncation is Applied]]</f>
        <v>1</v>
      </c>
    </row>
    <row r="329" spans="1:10" x14ac:dyDescent="0.25">
      <c r="A329" s="386"/>
      <c r="B329" s="310"/>
      <c r="C329" s="311"/>
      <c r="D329" s="518"/>
      <c r="E329" s="409"/>
      <c r="F329" s="312"/>
      <c r="G329" s="522"/>
      <c r="H329" s="312"/>
      <c r="I329" s="455"/>
      <c r="J329" s="271" t="b">
        <f>Age_Sex22[[#This Row],[Total Spending After Applying Truncation at the Member Level]]+Age_Sex22[[#This Row],[Total Dollars Excluded from Spending After Applying Truncation at the Member Level]]=Age_Sex22[[#This Row],[Total Spending before Truncation is Applied]]</f>
        <v>1</v>
      </c>
    </row>
    <row r="330" spans="1:10" x14ac:dyDescent="0.25">
      <c r="A330" s="389"/>
      <c r="B330" s="4"/>
      <c r="C330" s="16"/>
      <c r="D330" s="519"/>
      <c r="E330" s="410"/>
      <c r="F330" s="313"/>
      <c r="G330" s="256"/>
      <c r="H330" s="313"/>
      <c r="I330" s="456"/>
      <c r="J330" s="271" t="b">
        <f>Age_Sex22[[#This Row],[Total Spending After Applying Truncation at the Member Level]]+Age_Sex22[[#This Row],[Total Dollars Excluded from Spending After Applying Truncation at the Member Level]]=Age_Sex22[[#This Row],[Total Spending before Truncation is Applied]]</f>
        <v>1</v>
      </c>
    </row>
    <row r="331" spans="1:10" x14ac:dyDescent="0.25">
      <c r="A331" s="386"/>
      <c r="B331" s="310"/>
      <c r="C331" s="311"/>
      <c r="D331" s="518"/>
      <c r="E331" s="409"/>
      <c r="F331" s="312"/>
      <c r="G331" s="522"/>
      <c r="H331" s="312"/>
      <c r="I331" s="455"/>
      <c r="J331" s="271" t="b">
        <f>Age_Sex22[[#This Row],[Total Spending After Applying Truncation at the Member Level]]+Age_Sex22[[#This Row],[Total Dollars Excluded from Spending After Applying Truncation at the Member Level]]=Age_Sex22[[#This Row],[Total Spending before Truncation is Applied]]</f>
        <v>1</v>
      </c>
    </row>
    <row r="332" spans="1:10" x14ac:dyDescent="0.25">
      <c r="A332" s="389"/>
      <c r="B332" s="4"/>
      <c r="C332" s="16"/>
      <c r="D332" s="519"/>
      <c r="E332" s="410"/>
      <c r="F332" s="313"/>
      <c r="G332" s="256"/>
      <c r="H332" s="313"/>
      <c r="I332" s="456"/>
      <c r="J332" s="271" t="b">
        <f>Age_Sex22[[#This Row],[Total Spending After Applying Truncation at the Member Level]]+Age_Sex22[[#This Row],[Total Dollars Excluded from Spending After Applying Truncation at the Member Level]]=Age_Sex22[[#This Row],[Total Spending before Truncation is Applied]]</f>
        <v>1</v>
      </c>
    </row>
    <row r="333" spans="1:10" x14ac:dyDescent="0.25">
      <c r="A333" s="386"/>
      <c r="B333" s="310"/>
      <c r="C333" s="311"/>
      <c r="D333" s="518"/>
      <c r="E333" s="409"/>
      <c r="F333" s="312"/>
      <c r="G333" s="522"/>
      <c r="H333" s="312"/>
      <c r="I333" s="455"/>
      <c r="J333" s="271" t="b">
        <f>Age_Sex22[[#This Row],[Total Spending After Applying Truncation at the Member Level]]+Age_Sex22[[#This Row],[Total Dollars Excluded from Spending After Applying Truncation at the Member Level]]=Age_Sex22[[#This Row],[Total Spending before Truncation is Applied]]</f>
        <v>1</v>
      </c>
    </row>
    <row r="334" spans="1:10" x14ac:dyDescent="0.25">
      <c r="A334" s="389"/>
      <c r="B334" s="4"/>
      <c r="C334" s="16"/>
      <c r="D334" s="519"/>
      <c r="E334" s="410"/>
      <c r="F334" s="313"/>
      <c r="G334" s="256"/>
      <c r="H334" s="313"/>
      <c r="I334" s="456"/>
      <c r="J334" s="271" t="b">
        <f>Age_Sex22[[#This Row],[Total Spending After Applying Truncation at the Member Level]]+Age_Sex22[[#This Row],[Total Dollars Excluded from Spending After Applying Truncation at the Member Level]]=Age_Sex22[[#This Row],[Total Spending before Truncation is Applied]]</f>
        <v>1</v>
      </c>
    </row>
    <row r="335" spans="1:10" x14ac:dyDescent="0.25">
      <c r="A335" s="386"/>
      <c r="B335" s="310"/>
      <c r="C335" s="311"/>
      <c r="D335" s="518"/>
      <c r="E335" s="409"/>
      <c r="F335" s="312"/>
      <c r="G335" s="522"/>
      <c r="H335" s="312"/>
      <c r="I335" s="455"/>
      <c r="J335" s="271" t="b">
        <f>Age_Sex22[[#This Row],[Total Spending After Applying Truncation at the Member Level]]+Age_Sex22[[#This Row],[Total Dollars Excluded from Spending After Applying Truncation at the Member Level]]=Age_Sex22[[#This Row],[Total Spending before Truncation is Applied]]</f>
        <v>1</v>
      </c>
    </row>
    <row r="336" spans="1:10" x14ac:dyDescent="0.25">
      <c r="A336" s="389"/>
      <c r="B336" s="4"/>
      <c r="C336" s="16"/>
      <c r="D336" s="519"/>
      <c r="E336" s="410"/>
      <c r="F336" s="313"/>
      <c r="G336" s="256"/>
      <c r="H336" s="313"/>
      <c r="I336" s="456"/>
      <c r="J336" s="271" t="b">
        <f>Age_Sex22[[#This Row],[Total Spending After Applying Truncation at the Member Level]]+Age_Sex22[[#This Row],[Total Dollars Excluded from Spending After Applying Truncation at the Member Level]]=Age_Sex22[[#This Row],[Total Spending before Truncation is Applied]]</f>
        <v>1</v>
      </c>
    </row>
    <row r="337" spans="1:10" x14ac:dyDescent="0.25">
      <c r="A337" s="386"/>
      <c r="B337" s="310"/>
      <c r="C337" s="311"/>
      <c r="D337" s="518"/>
      <c r="E337" s="409"/>
      <c r="F337" s="312"/>
      <c r="G337" s="522"/>
      <c r="H337" s="312"/>
      <c r="I337" s="455"/>
      <c r="J337" s="271" t="b">
        <f>Age_Sex22[[#This Row],[Total Spending After Applying Truncation at the Member Level]]+Age_Sex22[[#This Row],[Total Dollars Excluded from Spending After Applying Truncation at the Member Level]]=Age_Sex22[[#This Row],[Total Spending before Truncation is Applied]]</f>
        <v>1</v>
      </c>
    </row>
    <row r="338" spans="1:10" x14ac:dyDescent="0.25">
      <c r="A338" s="389"/>
      <c r="B338" s="4"/>
      <c r="C338" s="16"/>
      <c r="D338" s="519"/>
      <c r="E338" s="410"/>
      <c r="F338" s="313"/>
      <c r="G338" s="256"/>
      <c r="H338" s="313"/>
      <c r="I338" s="456"/>
      <c r="J338" s="271" t="b">
        <f>Age_Sex22[[#This Row],[Total Spending After Applying Truncation at the Member Level]]+Age_Sex22[[#This Row],[Total Dollars Excluded from Spending After Applying Truncation at the Member Level]]=Age_Sex22[[#This Row],[Total Spending before Truncation is Applied]]</f>
        <v>1</v>
      </c>
    </row>
    <row r="339" spans="1:10" x14ac:dyDescent="0.25">
      <c r="A339" s="386"/>
      <c r="B339" s="310"/>
      <c r="C339" s="311"/>
      <c r="D339" s="518"/>
      <c r="E339" s="409"/>
      <c r="F339" s="312"/>
      <c r="G339" s="522"/>
      <c r="H339" s="312"/>
      <c r="I339" s="455"/>
      <c r="J339" s="271" t="b">
        <f>Age_Sex22[[#This Row],[Total Spending After Applying Truncation at the Member Level]]+Age_Sex22[[#This Row],[Total Dollars Excluded from Spending After Applying Truncation at the Member Level]]=Age_Sex22[[#This Row],[Total Spending before Truncation is Applied]]</f>
        <v>1</v>
      </c>
    </row>
    <row r="340" spans="1:10" x14ac:dyDescent="0.25">
      <c r="A340" s="389"/>
      <c r="B340" s="4"/>
      <c r="C340" s="16"/>
      <c r="D340" s="519"/>
      <c r="E340" s="410"/>
      <c r="F340" s="313"/>
      <c r="G340" s="256"/>
      <c r="H340" s="313"/>
      <c r="I340" s="456"/>
      <c r="J340" s="271" t="b">
        <f>Age_Sex22[[#This Row],[Total Spending After Applying Truncation at the Member Level]]+Age_Sex22[[#This Row],[Total Dollars Excluded from Spending After Applying Truncation at the Member Level]]=Age_Sex22[[#This Row],[Total Spending before Truncation is Applied]]</f>
        <v>1</v>
      </c>
    </row>
    <row r="341" spans="1:10" x14ac:dyDescent="0.25">
      <c r="A341" s="386"/>
      <c r="B341" s="310"/>
      <c r="C341" s="311"/>
      <c r="D341" s="518"/>
      <c r="E341" s="409"/>
      <c r="F341" s="312"/>
      <c r="G341" s="522"/>
      <c r="H341" s="312"/>
      <c r="I341" s="455"/>
      <c r="J341" s="271" t="b">
        <f>Age_Sex22[[#This Row],[Total Spending After Applying Truncation at the Member Level]]+Age_Sex22[[#This Row],[Total Dollars Excluded from Spending After Applying Truncation at the Member Level]]=Age_Sex22[[#This Row],[Total Spending before Truncation is Applied]]</f>
        <v>1</v>
      </c>
    </row>
    <row r="342" spans="1:10" x14ac:dyDescent="0.25">
      <c r="A342" s="389"/>
      <c r="B342" s="4"/>
      <c r="C342" s="16"/>
      <c r="D342" s="519"/>
      <c r="E342" s="410"/>
      <c r="F342" s="313"/>
      <c r="G342" s="256"/>
      <c r="H342" s="313"/>
      <c r="I342" s="456"/>
      <c r="J342" s="271" t="b">
        <f>Age_Sex22[[#This Row],[Total Spending After Applying Truncation at the Member Level]]+Age_Sex22[[#This Row],[Total Dollars Excluded from Spending After Applying Truncation at the Member Level]]=Age_Sex22[[#This Row],[Total Spending before Truncation is Applied]]</f>
        <v>1</v>
      </c>
    </row>
    <row r="343" spans="1:10" x14ac:dyDescent="0.25">
      <c r="A343" s="386"/>
      <c r="B343" s="310"/>
      <c r="C343" s="311"/>
      <c r="D343" s="518"/>
      <c r="E343" s="409"/>
      <c r="F343" s="312"/>
      <c r="G343" s="522"/>
      <c r="H343" s="312"/>
      <c r="I343" s="455"/>
      <c r="J343" s="271" t="b">
        <f>Age_Sex22[[#This Row],[Total Spending After Applying Truncation at the Member Level]]+Age_Sex22[[#This Row],[Total Dollars Excluded from Spending After Applying Truncation at the Member Level]]=Age_Sex22[[#This Row],[Total Spending before Truncation is Applied]]</f>
        <v>1</v>
      </c>
    </row>
    <row r="344" spans="1:10" x14ac:dyDescent="0.25">
      <c r="A344" s="389"/>
      <c r="B344" s="4"/>
      <c r="C344" s="16"/>
      <c r="D344" s="519"/>
      <c r="E344" s="410"/>
      <c r="F344" s="313"/>
      <c r="G344" s="256"/>
      <c r="H344" s="313"/>
      <c r="I344" s="456"/>
      <c r="J344" s="271" t="b">
        <f>Age_Sex22[[#This Row],[Total Spending After Applying Truncation at the Member Level]]+Age_Sex22[[#This Row],[Total Dollars Excluded from Spending After Applying Truncation at the Member Level]]=Age_Sex22[[#This Row],[Total Spending before Truncation is Applied]]</f>
        <v>1</v>
      </c>
    </row>
    <row r="345" spans="1:10" x14ac:dyDescent="0.25">
      <c r="A345" s="386"/>
      <c r="B345" s="310"/>
      <c r="C345" s="311"/>
      <c r="D345" s="518"/>
      <c r="E345" s="409"/>
      <c r="F345" s="312"/>
      <c r="G345" s="522"/>
      <c r="H345" s="312"/>
      <c r="I345" s="455"/>
      <c r="J345" s="271" t="b">
        <f>Age_Sex22[[#This Row],[Total Spending After Applying Truncation at the Member Level]]+Age_Sex22[[#This Row],[Total Dollars Excluded from Spending After Applying Truncation at the Member Level]]=Age_Sex22[[#This Row],[Total Spending before Truncation is Applied]]</f>
        <v>1</v>
      </c>
    </row>
    <row r="346" spans="1:10" x14ac:dyDescent="0.25">
      <c r="A346" s="389"/>
      <c r="B346" s="4"/>
      <c r="C346" s="16"/>
      <c r="D346" s="519"/>
      <c r="E346" s="410"/>
      <c r="F346" s="313"/>
      <c r="G346" s="256"/>
      <c r="H346" s="313"/>
      <c r="I346" s="456"/>
      <c r="J346" s="271" t="b">
        <f>Age_Sex22[[#This Row],[Total Spending After Applying Truncation at the Member Level]]+Age_Sex22[[#This Row],[Total Dollars Excluded from Spending After Applying Truncation at the Member Level]]=Age_Sex22[[#This Row],[Total Spending before Truncation is Applied]]</f>
        <v>1</v>
      </c>
    </row>
    <row r="347" spans="1:10" x14ac:dyDescent="0.25">
      <c r="A347" s="386"/>
      <c r="B347" s="310"/>
      <c r="C347" s="311"/>
      <c r="D347" s="518"/>
      <c r="E347" s="409"/>
      <c r="F347" s="312"/>
      <c r="G347" s="522"/>
      <c r="H347" s="312"/>
      <c r="I347" s="455"/>
      <c r="J347" s="271" t="b">
        <f>Age_Sex22[[#This Row],[Total Spending After Applying Truncation at the Member Level]]+Age_Sex22[[#This Row],[Total Dollars Excluded from Spending After Applying Truncation at the Member Level]]=Age_Sex22[[#This Row],[Total Spending before Truncation is Applied]]</f>
        <v>1</v>
      </c>
    </row>
    <row r="348" spans="1:10" x14ac:dyDescent="0.25">
      <c r="A348" s="389"/>
      <c r="B348" s="4"/>
      <c r="C348" s="16"/>
      <c r="D348" s="519"/>
      <c r="E348" s="410"/>
      <c r="F348" s="313"/>
      <c r="G348" s="256"/>
      <c r="H348" s="313"/>
      <c r="I348" s="456"/>
      <c r="J348" s="271" t="b">
        <f>Age_Sex22[[#This Row],[Total Spending After Applying Truncation at the Member Level]]+Age_Sex22[[#This Row],[Total Dollars Excluded from Spending After Applying Truncation at the Member Level]]=Age_Sex22[[#This Row],[Total Spending before Truncation is Applied]]</f>
        <v>1</v>
      </c>
    </row>
    <row r="349" spans="1:10" x14ac:dyDescent="0.25">
      <c r="A349" s="386"/>
      <c r="B349" s="310"/>
      <c r="C349" s="311"/>
      <c r="D349" s="518"/>
      <c r="E349" s="409"/>
      <c r="F349" s="312"/>
      <c r="G349" s="522"/>
      <c r="H349" s="312"/>
      <c r="I349" s="455"/>
      <c r="J349" s="271" t="b">
        <f>Age_Sex22[[#This Row],[Total Spending After Applying Truncation at the Member Level]]+Age_Sex22[[#This Row],[Total Dollars Excluded from Spending After Applying Truncation at the Member Level]]=Age_Sex22[[#This Row],[Total Spending before Truncation is Applied]]</f>
        <v>1</v>
      </c>
    </row>
    <row r="350" spans="1:10" x14ac:dyDescent="0.25">
      <c r="A350" s="389"/>
      <c r="B350" s="4"/>
      <c r="C350" s="16"/>
      <c r="D350" s="519"/>
      <c r="E350" s="410"/>
      <c r="F350" s="313"/>
      <c r="G350" s="256"/>
      <c r="H350" s="313"/>
      <c r="I350" s="456"/>
      <c r="J350" s="271" t="b">
        <f>Age_Sex22[[#This Row],[Total Spending After Applying Truncation at the Member Level]]+Age_Sex22[[#This Row],[Total Dollars Excluded from Spending After Applying Truncation at the Member Level]]=Age_Sex22[[#This Row],[Total Spending before Truncation is Applied]]</f>
        <v>1</v>
      </c>
    </row>
    <row r="351" spans="1:10" x14ac:dyDescent="0.25">
      <c r="A351" s="386"/>
      <c r="B351" s="310"/>
      <c r="C351" s="311"/>
      <c r="D351" s="518"/>
      <c r="E351" s="409"/>
      <c r="F351" s="312"/>
      <c r="G351" s="522"/>
      <c r="H351" s="312"/>
      <c r="I351" s="455"/>
      <c r="J351" s="271" t="b">
        <f>Age_Sex22[[#This Row],[Total Spending After Applying Truncation at the Member Level]]+Age_Sex22[[#This Row],[Total Dollars Excluded from Spending After Applying Truncation at the Member Level]]=Age_Sex22[[#This Row],[Total Spending before Truncation is Applied]]</f>
        <v>1</v>
      </c>
    </row>
    <row r="352" spans="1:10" x14ac:dyDescent="0.25">
      <c r="A352" s="389"/>
      <c r="B352" s="4"/>
      <c r="C352" s="16"/>
      <c r="D352" s="519"/>
      <c r="E352" s="410"/>
      <c r="F352" s="313"/>
      <c r="G352" s="256"/>
      <c r="H352" s="313"/>
      <c r="I352" s="456"/>
      <c r="J352" s="271" t="b">
        <f>Age_Sex22[[#This Row],[Total Spending After Applying Truncation at the Member Level]]+Age_Sex22[[#This Row],[Total Dollars Excluded from Spending After Applying Truncation at the Member Level]]=Age_Sex22[[#This Row],[Total Spending before Truncation is Applied]]</f>
        <v>1</v>
      </c>
    </row>
    <row r="353" spans="1:10" x14ac:dyDescent="0.25">
      <c r="A353" s="386"/>
      <c r="B353" s="310"/>
      <c r="C353" s="311"/>
      <c r="D353" s="518"/>
      <c r="E353" s="409"/>
      <c r="F353" s="312"/>
      <c r="G353" s="522"/>
      <c r="H353" s="312"/>
      <c r="I353" s="455"/>
      <c r="J353" s="271" t="b">
        <f>Age_Sex22[[#This Row],[Total Spending After Applying Truncation at the Member Level]]+Age_Sex22[[#This Row],[Total Dollars Excluded from Spending After Applying Truncation at the Member Level]]=Age_Sex22[[#This Row],[Total Spending before Truncation is Applied]]</f>
        <v>1</v>
      </c>
    </row>
    <row r="354" spans="1:10" x14ac:dyDescent="0.25">
      <c r="A354" s="389"/>
      <c r="B354" s="4"/>
      <c r="C354" s="16"/>
      <c r="D354" s="519"/>
      <c r="E354" s="410"/>
      <c r="F354" s="313"/>
      <c r="G354" s="256"/>
      <c r="H354" s="313"/>
      <c r="I354" s="456"/>
      <c r="J354" s="271" t="b">
        <f>Age_Sex22[[#This Row],[Total Spending After Applying Truncation at the Member Level]]+Age_Sex22[[#This Row],[Total Dollars Excluded from Spending After Applying Truncation at the Member Level]]=Age_Sex22[[#This Row],[Total Spending before Truncation is Applied]]</f>
        <v>1</v>
      </c>
    </row>
    <row r="355" spans="1:10" x14ac:dyDescent="0.25">
      <c r="A355" s="386"/>
      <c r="B355" s="310"/>
      <c r="C355" s="311"/>
      <c r="D355" s="518"/>
      <c r="E355" s="409"/>
      <c r="F355" s="312"/>
      <c r="G355" s="522"/>
      <c r="H355" s="312"/>
      <c r="I355" s="455"/>
      <c r="J355" s="271" t="b">
        <f>Age_Sex22[[#This Row],[Total Spending After Applying Truncation at the Member Level]]+Age_Sex22[[#This Row],[Total Dollars Excluded from Spending After Applying Truncation at the Member Level]]=Age_Sex22[[#This Row],[Total Spending before Truncation is Applied]]</f>
        <v>1</v>
      </c>
    </row>
    <row r="356" spans="1:10" x14ac:dyDescent="0.25">
      <c r="A356" s="389"/>
      <c r="B356" s="4"/>
      <c r="C356" s="16"/>
      <c r="D356" s="519"/>
      <c r="E356" s="410"/>
      <c r="F356" s="313"/>
      <c r="G356" s="256"/>
      <c r="H356" s="313"/>
      <c r="I356" s="456"/>
      <c r="J356" s="271" t="b">
        <f>Age_Sex22[[#This Row],[Total Spending After Applying Truncation at the Member Level]]+Age_Sex22[[#This Row],[Total Dollars Excluded from Spending After Applying Truncation at the Member Level]]=Age_Sex22[[#This Row],[Total Spending before Truncation is Applied]]</f>
        <v>1</v>
      </c>
    </row>
    <row r="357" spans="1:10" x14ac:dyDescent="0.25">
      <c r="A357" s="386"/>
      <c r="B357" s="310"/>
      <c r="C357" s="311"/>
      <c r="D357" s="518"/>
      <c r="E357" s="409"/>
      <c r="F357" s="312"/>
      <c r="G357" s="522"/>
      <c r="H357" s="312"/>
      <c r="I357" s="455"/>
      <c r="J357" s="271" t="b">
        <f>Age_Sex22[[#This Row],[Total Spending After Applying Truncation at the Member Level]]+Age_Sex22[[#This Row],[Total Dollars Excluded from Spending After Applying Truncation at the Member Level]]=Age_Sex22[[#This Row],[Total Spending before Truncation is Applied]]</f>
        <v>1</v>
      </c>
    </row>
    <row r="358" spans="1:10" x14ac:dyDescent="0.25">
      <c r="A358" s="389"/>
      <c r="B358" s="4"/>
      <c r="C358" s="16"/>
      <c r="D358" s="519"/>
      <c r="E358" s="410"/>
      <c r="F358" s="313"/>
      <c r="G358" s="256"/>
      <c r="H358" s="313"/>
      <c r="I358" s="456"/>
      <c r="J358" s="271" t="b">
        <f>Age_Sex22[[#This Row],[Total Spending After Applying Truncation at the Member Level]]+Age_Sex22[[#This Row],[Total Dollars Excluded from Spending After Applying Truncation at the Member Level]]=Age_Sex22[[#This Row],[Total Spending before Truncation is Applied]]</f>
        <v>1</v>
      </c>
    </row>
    <row r="359" spans="1:10" x14ac:dyDescent="0.25">
      <c r="A359" s="386"/>
      <c r="B359" s="310"/>
      <c r="C359" s="311"/>
      <c r="D359" s="518"/>
      <c r="E359" s="409"/>
      <c r="F359" s="312"/>
      <c r="G359" s="522"/>
      <c r="H359" s="312"/>
      <c r="I359" s="455"/>
      <c r="J359" s="271" t="b">
        <f>Age_Sex22[[#This Row],[Total Spending After Applying Truncation at the Member Level]]+Age_Sex22[[#This Row],[Total Dollars Excluded from Spending After Applying Truncation at the Member Level]]=Age_Sex22[[#This Row],[Total Spending before Truncation is Applied]]</f>
        <v>1</v>
      </c>
    </row>
    <row r="360" spans="1:10" x14ac:dyDescent="0.25">
      <c r="A360" s="389"/>
      <c r="B360" s="4"/>
      <c r="C360" s="16"/>
      <c r="D360" s="519"/>
      <c r="E360" s="410"/>
      <c r="F360" s="313"/>
      <c r="G360" s="256"/>
      <c r="H360" s="313"/>
      <c r="I360" s="456"/>
      <c r="J360" s="271" t="b">
        <f>Age_Sex22[[#This Row],[Total Spending After Applying Truncation at the Member Level]]+Age_Sex22[[#This Row],[Total Dollars Excluded from Spending After Applying Truncation at the Member Level]]=Age_Sex22[[#This Row],[Total Spending before Truncation is Applied]]</f>
        <v>1</v>
      </c>
    </row>
    <row r="361" spans="1:10" x14ac:dyDescent="0.25">
      <c r="A361" s="386"/>
      <c r="B361" s="310"/>
      <c r="C361" s="311"/>
      <c r="D361" s="518"/>
      <c r="E361" s="409"/>
      <c r="F361" s="312"/>
      <c r="G361" s="522"/>
      <c r="H361" s="312"/>
      <c r="I361" s="455"/>
      <c r="J361" s="271" t="b">
        <f>Age_Sex22[[#This Row],[Total Spending After Applying Truncation at the Member Level]]+Age_Sex22[[#This Row],[Total Dollars Excluded from Spending After Applying Truncation at the Member Level]]=Age_Sex22[[#This Row],[Total Spending before Truncation is Applied]]</f>
        <v>1</v>
      </c>
    </row>
    <row r="362" spans="1:10" x14ac:dyDescent="0.25">
      <c r="A362" s="389"/>
      <c r="B362" s="4"/>
      <c r="C362" s="16"/>
      <c r="D362" s="519"/>
      <c r="E362" s="410"/>
      <c r="F362" s="313"/>
      <c r="G362" s="256"/>
      <c r="H362" s="313"/>
      <c r="I362" s="456"/>
      <c r="J362" s="271" t="b">
        <f>Age_Sex22[[#This Row],[Total Spending After Applying Truncation at the Member Level]]+Age_Sex22[[#This Row],[Total Dollars Excluded from Spending After Applying Truncation at the Member Level]]=Age_Sex22[[#This Row],[Total Spending before Truncation is Applied]]</f>
        <v>1</v>
      </c>
    </row>
    <row r="363" spans="1:10" x14ac:dyDescent="0.25">
      <c r="A363" s="386"/>
      <c r="B363" s="310"/>
      <c r="C363" s="311"/>
      <c r="D363" s="518"/>
      <c r="E363" s="409"/>
      <c r="F363" s="312"/>
      <c r="G363" s="522"/>
      <c r="H363" s="312"/>
      <c r="I363" s="455"/>
      <c r="J363" s="271" t="b">
        <f>Age_Sex22[[#This Row],[Total Spending After Applying Truncation at the Member Level]]+Age_Sex22[[#This Row],[Total Dollars Excluded from Spending After Applying Truncation at the Member Level]]=Age_Sex22[[#This Row],[Total Spending before Truncation is Applied]]</f>
        <v>1</v>
      </c>
    </row>
    <row r="364" spans="1:10" x14ac:dyDescent="0.25">
      <c r="A364" s="389"/>
      <c r="B364" s="4"/>
      <c r="C364" s="16"/>
      <c r="D364" s="519"/>
      <c r="E364" s="410"/>
      <c r="F364" s="313"/>
      <c r="G364" s="256"/>
      <c r="H364" s="313"/>
      <c r="I364" s="456"/>
      <c r="J364" s="271" t="b">
        <f>Age_Sex22[[#This Row],[Total Spending After Applying Truncation at the Member Level]]+Age_Sex22[[#This Row],[Total Dollars Excluded from Spending After Applying Truncation at the Member Level]]=Age_Sex22[[#This Row],[Total Spending before Truncation is Applied]]</f>
        <v>1</v>
      </c>
    </row>
    <row r="365" spans="1:10" x14ac:dyDescent="0.25">
      <c r="A365" s="386"/>
      <c r="B365" s="310"/>
      <c r="C365" s="311"/>
      <c r="D365" s="518"/>
      <c r="E365" s="409"/>
      <c r="F365" s="312"/>
      <c r="G365" s="522"/>
      <c r="H365" s="312"/>
      <c r="I365" s="455"/>
      <c r="J365" s="271" t="b">
        <f>Age_Sex22[[#This Row],[Total Spending After Applying Truncation at the Member Level]]+Age_Sex22[[#This Row],[Total Dollars Excluded from Spending After Applying Truncation at the Member Level]]=Age_Sex22[[#This Row],[Total Spending before Truncation is Applied]]</f>
        <v>1</v>
      </c>
    </row>
    <row r="366" spans="1:10" x14ac:dyDescent="0.25">
      <c r="A366" s="389"/>
      <c r="B366" s="4"/>
      <c r="C366" s="16"/>
      <c r="D366" s="519"/>
      <c r="E366" s="410"/>
      <c r="F366" s="313"/>
      <c r="G366" s="256"/>
      <c r="H366" s="313"/>
      <c r="I366" s="456"/>
      <c r="J366" s="271" t="b">
        <f>Age_Sex22[[#This Row],[Total Spending After Applying Truncation at the Member Level]]+Age_Sex22[[#This Row],[Total Dollars Excluded from Spending After Applying Truncation at the Member Level]]=Age_Sex22[[#This Row],[Total Spending before Truncation is Applied]]</f>
        <v>1</v>
      </c>
    </row>
    <row r="367" spans="1:10" x14ac:dyDescent="0.25">
      <c r="A367" s="386"/>
      <c r="B367" s="310"/>
      <c r="C367" s="311"/>
      <c r="D367" s="518"/>
      <c r="E367" s="409"/>
      <c r="F367" s="312"/>
      <c r="G367" s="522"/>
      <c r="H367" s="312"/>
      <c r="I367" s="455"/>
      <c r="J367" s="271" t="b">
        <f>Age_Sex22[[#This Row],[Total Spending After Applying Truncation at the Member Level]]+Age_Sex22[[#This Row],[Total Dollars Excluded from Spending After Applying Truncation at the Member Level]]=Age_Sex22[[#This Row],[Total Spending before Truncation is Applied]]</f>
        <v>1</v>
      </c>
    </row>
    <row r="368" spans="1:10" x14ac:dyDescent="0.25">
      <c r="A368" s="389"/>
      <c r="B368" s="4"/>
      <c r="C368" s="16"/>
      <c r="D368" s="519"/>
      <c r="E368" s="410"/>
      <c r="F368" s="313"/>
      <c r="G368" s="256"/>
      <c r="H368" s="313"/>
      <c r="I368" s="456"/>
      <c r="J368" s="271" t="b">
        <f>Age_Sex22[[#This Row],[Total Spending After Applying Truncation at the Member Level]]+Age_Sex22[[#This Row],[Total Dollars Excluded from Spending After Applying Truncation at the Member Level]]=Age_Sex22[[#This Row],[Total Spending before Truncation is Applied]]</f>
        <v>1</v>
      </c>
    </row>
    <row r="369" spans="1:10" x14ac:dyDescent="0.25">
      <c r="A369" s="386"/>
      <c r="B369" s="310"/>
      <c r="C369" s="311"/>
      <c r="D369" s="518"/>
      <c r="E369" s="409"/>
      <c r="F369" s="312"/>
      <c r="G369" s="522"/>
      <c r="H369" s="312"/>
      <c r="I369" s="455"/>
      <c r="J369" s="271" t="b">
        <f>Age_Sex22[[#This Row],[Total Spending After Applying Truncation at the Member Level]]+Age_Sex22[[#This Row],[Total Dollars Excluded from Spending After Applying Truncation at the Member Level]]=Age_Sex22[[#This Row],[Total Spending before Truncation is Applied]]</f>
        <v>1</v>
      </c>
    </row>
    <row r="370" spans="1:10" x14ac:dyDescent="0.25">
      <c r="A370" s="389"/>
      <c r="B370" s="4"/>
      <c r="C370" s="16"/>
      <c r="D370" s="519"/>
      <c r="E370" s="410"/>
      <c r="F370" s="313"/>
      <c r="G370" s="256"/>
      <c r="H370" s="313"/>
      <c r="I370" s="456"/>
      <c r="J370" s="271" t="b">
        <f>Age_Sex22[[#This Row],[Total Spending After Applying Truncation at the Member Level]]+Age_Sex22[[#This Row],[Total Dollars Excluded from Spending After Applying Truncation at the Member Level]]=Age_Sex22[[#This Row],[Total Spending before Truncation is Applied]]</f>
        <v>1</v>
      </c>
    </row>
    <row r="371" spans="1:10" x14ac:dyDescent="0.25">
      <c r="A371" s="386"/>
      <c r="B371" s="310"/>
      <c r="C371" s="311"/>
      <c r="D371" s="518"/>
      <c r="E371" s="409"/>
      <c r="F371" s="312"/>
      <c r="G371" s="522"/>
      <c r="H371" s="312"/>
      <c r="I371" s="455"/>
      <c r="J371" s="271" t="b">
        <f>Age_Sex22[[#This Row],[Total Spending After Applying Truncation at the Member Level]]+Age_Sex22[[#This Row],[Total Dollars Excluded from Spending After Applying Truncation at the Member Level]]=Age_Sex22[[#This Row],[Total Spending before Truncation is Applied]]</f>
        <v>1</v>
      </c>
    </row>
    <row r="372" spans="1:10" x14ac:dyDescent="0.25">
      <c r="A372" s="389"/>
      <c r="B372" s="4"/>
      <c r="C372" s="16"/>
      <c r="D372" s="519"/>
      <c r="E372" s="410"/>
      <c r="F372" s="313"/>
      <c r="G372" s="256"/>
      <c r="H372" s="313"/>
      <c r="I372" s="456"/>
      <c r="J372" s="271" t="b">
        <f>Age_Sex22[[#This Row],[Total Spending After Applying Truncation at the Member Level]]+Age_Sex22[[#This Row],[Total Dollars Excluded from Spending After Applying Truncation at the Member Level]]=Age_Sex22[[#This Row],[Total Spending before Truncation is Applied]]</f>
        <v>1</v>
      </c>
    </row>
    <row r="373" spans="1:10" x14ac:dyDescent="0.25">
      <c r="A373" s="386"/>
      <c r="B373" s="310"/>
      <c r="C373" s="311"/>
      <c r="D373" s="518"/>
      <c r="E373" s="409"/>
      <c r="F373" s="312"/>
      <c r="G373" s="522"/>
      <c r="H373" s="312"/>
      <c r="I373" s="455"/>
      <c r="J373" s="271" t="b">
        <f>Age_Sex22[[#This Row],[Total Spending After Applying Truncation at the Member Level]]+Age_Sex22[[#This Row],[Total Dollars Excluded from Spending After Applying Truncation at the Member Level]]=Age_Sex22[[#This Row],[Total Spending before Truncation is Applied]]</f>
        <v>1</v>
      </c>
    </row>
    <row r="374" spans="1:10" x14ac:dyDescent="0.25">
      <c r="A374" s="389"/>
      <c r="B374" s="4"/>
      <c r="C374" s="16"/>
      <c r="D374" s="519"/>
      <c r="E374" s="410"/>
      <c r="F374" s="313"/>
      <c r="G374" s="256"/>
      <c r="H374" s="313"/>
      <c r="I374" s="456"/>
      <c r="J374" s="271" t="b">
        <f>Age_Sex22[[#This Row],[Total Spending After Applying Truncation at the Member Level]]+Age_Sex22[[#This Row],[Total Dollars Excluded from Spending After Applying Truncation at the Member Level]]=Age_Sex22[[#This Row],[Total Spending before Truncation is Applied]]</f>
        <v>1</v>
      </c>
    </row>
    <row r="375" spans="1:10" x14ac:dyDescent="0.25">
      <c r="A375" s="386"/>
      <c r="B375" s="310"/>
      <c r="C375" s="311"/>
      <c r="D375" s="518"/>
      <c r="E375" s="409"/>
      <c r="F375" s="312"/>
      <c r="G375" s="522"/>
      <c r="H375" s="312"/>
      <c r="I375" s="455"/>
      <c r="J375" s="271" t="b">
        <f>Age_Sex22[[#This Row],[Total Spending After Applying Truncation at the Member Level]]+Age_Sex22[[#This Row],[Total Dollars Excluded from Spending After Applying Truncation at the Member Level]]=Age_Sex22[[#This Row],[Total Spending before Truncation is Applied]]</f>
        <v>1</v>
      </c>
    </row>
    <row r="376" spans="1:10" x14ac:dyDescent="0.25">
      <c r="A376" s="389"/>
      <c r="B376" s="4"/>
      <c r="C376" s="16"/>
      <c r="D376" s="519"/>
      <c r="E376" s="410"/>
      <c r="F376" s="313"/>
      <c r="G376" s="256"/>
      <c r="H376" s="313"/>
      <c r="I376" s="456"/>
      <c r="J376" s="271" t="b">
        <f>Age_Sex22[[#This Row],[Total Spending After Applying Truncation at the Member Level]]+Age_Sex22[[#This Row],[Total Dollars Excluded from Spending After Applying Truncation at the Member Level]]=Age_Sex22[[#This Row],[Total Spending before Truncation is Applied]]</f>
        <v>1</v>
      </c>
    </row>
    <row r="377" spans="1:10" x14ac:dyDescent="0.25">
      <c r="A377" s="386"/>
      <c r="B377" s="310"/>
      <c r="C377" s="311"/>
      <c r="D377" s="518"/>
      <c r="E377" s="409"/>
      <c r="F377" s="312"/>
      <c r="G377" s="522"/>
      <c r="H377" s="312"/>
      <c r="I377" s="455"/>
      <c r="J377" s="271" t="b">
        <f>Age_Sex22[[#This Row],[Total Spending After Applying Truncation at the Member Level]]+Age_Sex22[[#This Row],[Total Dollars Excluded from Spending After Applying Truncation at the Member Level]]=Age_Sex22[[#This Row],[Total Spending before Truncation is Applied]]</f>
        <v>1</v>
      </c>
    </row>
    <row r="378" spans="1:10" x14ac:dyDescent="0.25">
      <c r="A378" s="389"/>
      <c r="B378" s="4"/>
      <c r="C378" s="16"/>
      <c r="D378" s="519"/>
      <c r="E378" s="410"/>
      <c r="F378" s="313"/>
      <c r="G378" s="256"/>
      <c r="H378" s="313"/>
      <c r="I378" s="456"/>
      <c r="J378" s="271" t="b">
        <f>Age_Sex22[[#This Row],[Total Spending After Applying Truncation at the Member Level]]+Age_Sex22[[#This Row],[Total Dollars Excluded from Spending After Applying Truncation at the Member Level]]=Age_Sex22[[#This Row],[Total Spending before Truncation is Applied]]</f>
        <v>1</v>
      </c>
    </row>
    <row r="379" spans="1:10" x14ac:dyDescent="0.25">
      <c r="A379" s="386"/>
      <c r="B379" s="310"/>
      <c r="C379" s="311"/>
      <c r="D379" s="518"/>
      <c r="E379" s="409"/>
      <c r="F379" s="312"/>
      <c r="G379" s="522"/>
      <c r="H379" s="312"/>
      <c r="I379" s="455"/>
      <c r="J379" s="271" t="b">
        <f>Age_Sex22[[#This Row],[Total Spending After Applying Truncation at the Member Level]]+Age_Sex22[[#This Row],[Total Dollars Excluded from Spending After Applying Truncation at the Member Level]]=Age_Sex22[[#This Row],[Total Spending before Truncation is Applied]]</f>
        <v>1</v>
      </c>
    </row>
    <row r="380" spans="1:10" x14ac:dyDescent="0.25">
      <c r="A380" s="389"/>
      <c r="B380" s="4"/>
      <c r="C380" s="16"/>
      <c r="D380" s="519"/>
      <c r="E380" s="410"/>
      <c r="F380" s="313"/>
      <c r="G380" s="256"/>
      <c r="H380" s="313"/>
      <c r="I380" s="456"/>
      <c r="J380" s="271" t="b">
        <f>Age_Sex22[[#This Row],[Total Spending After Applying Truncation at the Member Level]]+Age_Sex22[[#This Row],[Total Dollars Excluded from Spending After Applying Truncation at the Member Level]]=Age_Sex22[[#This Row],[Total Spending before Truncation is Applied]]</f>
        <v>1</v>
      </c>
    </row>
    <row r="381" spans="1:10" x14ac:dyDescent="0.25">
      <c r="A381" s="386"/>
      <c r="B381" s="310"/>
      <c r="C381" s="311"/>
      <c r="D381" s="518"/>
      <c r="E381" s="409"/>
      <c r="F381" s="312"/>
      <c r="G381" s="522"/>
      <c r="H381" s="312"/>
      <c r="I381" s="455"/>
      <c r="J381" s="271" t="b">
        <f>Age_Sex22[[#This Row],[Total Spending After Applying Truncation at the Member Level]]+Age_Sex22[[#This Row],[Total Dollars Excluded from Spending After Applying Truncation at the Member Level]]=Age_Sex22[[#This Row],[Total Spending before Truncation is Applied]]</f>
        <v>1</v>
      </c>
    </row>
    <row r="382" spans="1:10" x14ac:dyDescent="0.25">
      <c r="A382" s="389"/>
      <c r="B382" s="4"/>
      <c r="C382" s="16"/>
      <c r="D382" s="519"/>
      <c r="E382" s="410"/>
      <c r="F382" s="313"/>
      <c r="G382" s="256"/>
      <c r="H382" s="313"/>
      <c r="I382" s="456"/>
      <c r="J382" s="271" t="b">
        <f>Age_Sex22[[#This Row],[Total Spending After Applying Truncation at the Member Level]]+Age_Sex22[[#This Row],[Total Dollars Excluded from Spending After Applying Truncation at the Member Level]]=Age_Sex22[[#This Row],[Total Spending before Truncation is Applied]]</f>
        <v>1</v>
      </c>
    </row>
    <row r="383" spans="1:10" x14ac:dyDescent="0.25">
      <c r="A383" s="386"/>
      <c r="B383" s="310"/>
      <c r="C383" s="311"/>
      <c r="D383" s="518"/>
      <c r="E383" s="409"/>
      <c r="F383" s="312"/>
      <c r="G383" s="522"/>
      <c r="H383" s="312"/>
      <c r="I383" s="455"/>
      <c r="J383" s="271" t="b">
        <f>Age_Sex22[[#This Row],[Total Spending After Applying Truncation at the Member Level]]+Age_Sex22[[#This Row],[Total Dollars Excluded from Spending After Applying Truncation at the Member Level]]=Age_Sex22[[#This Row],[Total Spending before Truncation is Applied]]</f>
        <v>1</v>
      </c>
    </row>
    <row r="384" spans="1:10" x14ac:dyDescent="0.25">
      <c r="A384" s="389"/>
      <c r="B384" s="4"/>
      <c r="C384" s="16"/>
      <c r="D384" s="519"/>
      <c r="E384" s="410"/>
      <c r="F384" s="313"/>
      <c r="G384" s="256"/>
      <c r="H384" s="313"/>
      <c r="I384" s="456"/>
      <c r="J384" s="271" t="b">
        <f>Age_Sex22[[#This Row],[Total Spending After Applying Truncation at the Member Level]]+Age_Sex22[[#This Row],[Total Dollars Excluded from Spending After Applying Truncation at the Member Level]]=Age_Sex22[[#This Row],[Total Spending before Truncation is Applied]]</f>
        <v>1</v>
      </c>
    </row>
    <row r="385" spans="1:10" x14ac:dyDescent="0.25">
      <c r="A385" s="386"/>
      <c r="B385" s="310"/>
      <c r="C385" s="311"/>
      <c r="D385" s="518"/>
      <c r="E385" s="409"/>
      <c r="F385" s="312"/>
      <c r="G385" s="522"/>
      <c r="H385" s="312"/>
      <c r="I385" s="455"/>
      <c r="J385" s="271" t="b">
        <f>Age_Sex22[[#This Row],[Total Spending After Applying Truncation at the Member Level]]+Age_Sex22[[#This Row],[Total Dollars Excluded from Spending After Applying Truncation at the Member Level]]=Age_Sex22[[#This Row],[Total Spending before Truncation is Applied]]</f>
        <v>1</v>
      </c>
    </row>
    <row r="386" spans="1:10" x14ac:dyDescent="0.25">
      <c r="A386" s="389"/>
      <c r="B386" s="4"/>
      <c r="C386" s="16"/>
      <c r="D386" s="519"/>
      <c r="E386" s="410"/>
      <c r="F386" s="313"/>
      <c r="G386" s="256"/>
      <c r="H386" s="313"/>
      <c r="I386" s="456"/>
      <c r="J386" s="271" t="b">
        <f>Age_Sex22[[#This Row],[Total Spending After Applying Truncation at the Member Level]]+Age_Sex22[[#This Row],[Total Dollars Excluded from Spending After Applying Truncation at the Member Level]]=Age_Sex22[[#This Row],[Total Spending before Truncation is Applied]]</f>
        <v>1</v>
      </c>
    </row>
    <row r="387" spans="1:10" x14ac:dyDescent="0.25">
      <c r="A387" s="386"/>
      <c r="B387" s="310"/>
      <c r="C387" s="311"/>
      <c r="D387" s="518"/>
      <c r="E387" s="409"/>
      <c r="F387" s="312"/>
      <c r="G387" s="522"/>
      <c r="H387" s="312"/>
      <c r="I387" s="455"/>
      <c r="J387" s="271" t="b">
        <f>Age_Sex22[[#This Row],[Total Spending After Applying Truncation at the Member Level]]+Age_Sex22[[#This Row],[Total Dollars Excluded from Spending After Applying Truncation at the Member Level]]=Age_Sex22[[#This Row],[Total Spending before Truncation is Applied]]</f>
        <v>1</v>
      </c>
    </row>
    <row r="388" spans="1:10" x14ac:dyDescent="0.25">
      <c r="A388" s="389"/>
      <c r="B388" s="4"/>
      <c r="C388" s="16"/>
      <c r="D388" s="519"/>
      <c r="E388" s="410"/>
      <c r="F388" s="313"/>
      <c r="G388" s="256"/>
      <c r="H388" s="313"/>
      <c r="I388" s="456"/>
      <c r="J388" s="271" t="b">
        <f>Age_Sex22[[#This Row],[Total Spending After Applying Truncation at the Member Level]]+Age_Sex22[[#This Row],[Total Dollars Excluded from Spending After Applying Truncation at the Member Level]]=Age_Sex22[[#This Row],[Total Spending before Truncation is Applied]]</f>
        <v>1</v>
      </c>
    </row>
    <row r="389" spans="1:10" x14ac:dyDescent="0.25">
      <c r="A389" s="386"/>
      <c r="B389" s="310"/>
      <c r="C389" s="311"/>
      <c r="D389" s="518"/>
      <c r="E389" s="409"/>
      <c r="F389" s="312"/>
      <c r="G389" s="522"/>
      <c r="H389" s="312"/>
      <c r="I389" s="455"/>
      <c r="J389" s="271" t="b">
        <f>Age_Sex22[[#This Row],[Total Spending After Applying Truncation at the Member Level]]+Age_Sex22[[#This Row],[Total Dollars Excluded from Spending After Applying Truncation at the Member Level]]=Age_Sex22[[#This Row],[Total Spending before Truncation is Applied]]</f>
        <v>1</v>
      </c>
    </row>
    <row r="390" spans="1:10" x14ac:dyDescent="0.25">
      <c r="A390" s="389"/>
      <c r="B390" s="4"/>
      <c r="C390" s="16"/>
      <c r="D390" s="519"/>
      <c r="E390" s="410"/>
      <c r="F390" s="313"/>
      <c r="G390" s="256"/>
      <c r="H390" s="313"/>
      <c r="I390" s="456"/>
      <c r="J390" s="271" t="b">
        <f>Age_Sex22[[#This Row],[Total Spending After Applying Truncation at the Member Level]]+Age_Sex22[[#This Row],[Total Dollars Excluded from Spending After Applying Truncation at the Member Level]]=Age_Sex22[[#This Row],[Total Spending before Truncation is Applied]]</f>
        <v>1</v>
      </c>
    </row>
    <row r="391" spans="1:10" x14ac:dyDescent="0.25">
      <c r="A391" s="386"/>
      <c r="B391" s="310"/>
      <c r="C391" s="311"/>
      <c r="D391" s="518"/>
      <c r="E391" s="409"/>
      <c r="F391" s="312"/>
      <c r="G391" s="522"/>
      <c r="H391" s="312"/>
      <c r="I391" s="455"/>
      <c r="J391" s="271" t="b">
        <f>Age_Sex22[[#This Row],[Total Spending After Applying Truncation at the Member Level]]+Age_Sex22[[#This Row],[Total Dollars Excluded from Spending After Applying Truncation at the Member Level]]=Age_Sex22[[#This Row],[Total Spending before Truncation is Applied]]</f>
        <v>1</v>
      </c>
    </row>
    <row r="392" spans="1:10" x14ac:dyDescent="0.25">
      <c r="A392" s="389"/>
      <c r="B392" s="4"/>
      <c r="C392" s="16"/>
      <c r="D392" s="519"/>
      <c r="E392" s="410"/>
      <c r="F392" s="313"/>
      <c r="G392" s="256"/>
      <c r="H392" s="313"/>
      <c r="I392" s="456"/>
      <c r="J392" s="271" t="b">
        <f>Age_Sex22[[#This Row],[Total Spending After Applying Truncation at the Member Level]]+Age_Sex22[[#This Row],[Total Dollars Excluded from Spending After Applying Truncation at the Member Level]]=Age_Sex22[[#This Row],[Total Spending before Truncation is Applied]]</f>
        <v>1</v>
      </c>
    </row>
    <row r="393" spans="1:10" x14ac:dyDescent="0.25">
      <c r="A393" s="386"/>
      <c r="B393" s="310"/>
      <c r="C393" s="311"/>
      <c r="D393" s="518"/>
      <c r="E393" s="409"/>
      <c r="F393" s="312"/>
      <c r="G393" s="522"/>
      <c r="H393" s="312"/>
      <c r="I393" s="455"/>
      <c r="J393" s="271" t="b">
        <f>Age_Sex22[[#This Row],[Total Spending After Applying Truncation at the Member Level]]+Age_Sex22[[#This Row],[Total Dollars Excluded from Spending After Applying Truncation at the Member Level]]=Age_Sex22[[#This Row],[Total Spending before Truncation is Applied]]</f>
        <v>1</v>
      </c>
    </row>
    <row r="394" spans="1:10" x14ac:dyDescent="0.25">
      <c r="A394" s="389"/>
      <c r="B394" s="4"/>
      <c r="C394" s="16"/>
      <c r="D394" s="519"/>
      <c r="E394" s="410"/>
      <c r="F394" s="313"/>
      <c r="G394" s="256"/>
      <c r="H394" s="313"/>
      <c r="I394" s="456"/>
      <c r="J394" s="271" t="b">
        <f>Age_Sex22[[#This Row],[Total Spending After Applying Truncation at the Member Level]]+Age_Sex22[[#This Row],[Total Dollars Excluded from Spending After Applying Truncation at the Member Level]]=Age_Sex22[[#This Row],[Total Spending before Truncation is Applied]]</f>
        <v>1</v>
      </c>
    </row>
    <row r="395" spans="1:10" x14ac:dyDescent="0.25">
      <c r="A395" s="386"/>
      <c r="B395" s="310"/>
      <c r="C395" s="311"/>
      <c r="D395" s="518"/>
      <c r="E395" s="409"/>
      <c r="F395" s="312"/>
      <c r="G395" s="522"/>
      <c r="H395" s="312"/>
      <c r="I395" s="455"/>
      <c r="J395" s="271" t="b">
        <f>Age_Sex22[[#This Row],[Total Spending After Applying Truncation at the Member Level]]+Age_Sex22[[#This Row],[Total Dollars Excluded from Spending After Applying Truncation at the Member Level]]=Age_Sex22[[#This Row],[Total Spending before Truncation is Applied]]</f>
        <v>1</v>
      </c>
    </row>
    <row r="396" spans="1:10" x14ac:dyDescent="0.25">
      <c r="A396" s="389"/>
      <c r="B396" s="4"/>
      <c r="C396" s="16"/>
      <c r="D396" s="519"/>
      <c r="E396" s="410"/>
      <c r="F396" s="313"/>
      <c r="G396" s="256"/>
      <c r="H396" s="313"/>
      <c r="I396" s="456"/>
      <c r="J396" s="271" t="b">
        <f>Age_Sex22[[#This Row],[Total Spending After Applying Truncation at the Member Level]]+Age_Sex22[[#This Row],[Total Dollars Excluded from Spending After Applying Truncation at the Member Level]]=Age_Sex22[[#This Row],[Total Spending before Truncation is Applied]]</f>
        <v>1</v>
      </c>
    </row>
    <row r="397" spans="1:10" x14ac:dyDescent="0.25">
      <c r="A397" s="386"/>
      <c r="B397" s="310"/>
      <c r="C397" s="311"/>
      <c r="D397" s="518"/>
      <c r="E397" s="409"/>
      <c r="F397" s="312"/>
      <c r="G397" s="522"/>
      <c r="H397" s="312"/>
      <c r="I397" s="455"/>
      <c r="J397" s="271" t="b">
        <f>Age_Sex22[[#This Row],[Total Spending After Applying Truncation at the Member Level]]+Age_Sex22[[#This Row],[Total Dollars Excluded from Spending After Applying Truncation at the Member Level]]=Age_Sex22[[#This Row],[Total Spending before Truncation is Applied]]</f>
        <v>1</v>
      </c>
    </row>
    <row r="398" spans="1:10" x14ac:dyDescent="0.25">
      <c r="A398" s="389"/>
      <c r="B398" s="4"/>
      <c r="C398" s="16"/>
      <c r="D398" s="519"/>
      <c r="E398" s="410"/>
      <c r="F398" s="313"/>
      <c r="G398" s="256"/>
      <c r="H398" s="313"/>
      <c r="I398" s="456"/>
      <c r="J398" s="271" t="b">
        <f>Age_Sex22[[#This Row],[Total Spending After Applying Truncation at the Member Level]]+Age_Sex22[[#This Row],[Total Dollars Excluded from Spending After Applying Truncation at the Member Level]]=Age_Sex22[[#This Row],[Total Spending before Truncation is Applied]]</f>
        <v>1</v>
      </c>
    </row>
    <row r="399" spans="1:10" x14ac:dyDescent="0.25">
      <c r="A399" s="386"/>
      <c r="B399" s="310"/>
      <c r="C399" s="311"/>
      <c r="D399" s="518"/>
      <c r="E399" s="409"/>
      <c r="F399" s="312"/>
      <c r="G399" s="522"/>
      <c r="H399" s="312"/>
      <c r="I399" s="455"/>
      <c r="J399" s="271" t="b">
        <f>Age_Sex22[[#This Row],[Total Spending After Applying Truncation at the Member Level]]+Age_Sex22[[#This Row],[Total Dollars Excluded from Spending After Applying Truncation at the Member Level]]=Age_Sex22[[#This Row],[Total Spending before Truncation is Applied]]</f>
        <v>1</v>
      </c>
    </row>
    <row r="400" spans="1:10" x14ac:dyDescent="0.25">
      <c r="A400" s="389"/>
      <c r="B400" s="4"/>
      <c r="C400" s="16"/>
      <c r="D400" s="519"/>
      <c r="E400" s="410"/>
      <c r="F400" s="313"/>
      <c r="G400" s="256"/>
      <c r="H400" s="313"/>
      <c r="I400" s="456"/>
      <c r="J400" s="271" t="b">
        <f>Age_Sex22[[#This Row],[Total Spending After Applying Truncation at the Member Level]]+Age_Sex22[[#This Row],[Total Dollars Excluded from Spending After Applying Truncation at the Member Level]]=Age_Sex22[[#This Row],[Total Spending before Truncation is Applied]]</f>
        <v>1</v>
      </c>
    </row>
    <row r="401" spans="1:10" x14ac:dyDescent="0.25">
      <c r="A401" s="386"/>
      <c r="B401" s="310"/>
      <c r="C401" s="311"/>
      <c r="D401" s="518"/>
      <c r="E401" s="409"/>
      <c r="F401" s="312"/>
      <c r="G401" s="522"/>
      <c r="H401" s="312"/>
      <c r="I401" s="455"/>
      <c r="J401" s="271" t="b">
        <f>Age_Sex22[[#This Row],[Total Spending After Applying Truncation at the Member Level]]+Age_Sex22[[#This Row],[Total Dollars Excluded from Spending After Applying Truncation at the Member Level]]=Age_Sex22[[#This Row],[Total Spending before Truncation is Applied]]</f>
        <v>1</v>
      </c>
    </row>
    <row r="402" spans="1:10" x14ac:dyDescent="0.25">
      <c r="A402" s="389"/>
      <c r="B402" s="4"/>
      <c r="C402" s="16"/>
      <c r="D402" s="519"/>
      <c r="E402" s="410"/>
      <c r="F402" s="313"/>
      <c r="G402" s="256"/>
      <c r="H402" s="313"/>
      <c r="I402" s="456"/>
      <c r="J402" s="271" t="b">
        <f>Age_Sex22[[#This Row],[Total Spending After Applying Truncation at the Member Level]]+Age_Sex22[[#This Row],[Total Dollars Excluded from Spending After Applying Truncation at the Member Level]]=Age_Sex22[[#This Row],[Total Spending before Truncation is Applied]]</f>
        <v>1</v>
      </c>
    </row>
    <row r="403" spans="1:10" x14ac:dyDescent="0.25">
      <c r="A403" s="386"/>
      <c r="B403" s="310"/>
      <c r="C403" s="311"/>
      <c r="D403" s="518"/>
      <c r="E403" s="409"/>
      <c r="F403" s="312"/>
      <c r="G403" s="522"/>
      <c r="H403" s="312"/>
      <c r="I403" s="455"/>
      <c r="J403" s="271" t="b">
        <f>Age_Sex22[[#This Row],[Total Spending After Applying Truncation at the Member Level]]+Age_Sex22[[#This Row],[Total Dollars Excluded from Spending After Applying Truncation at the Member Level]]=Age_Sex22[[#This Row],[Total Spending before Truncation is Applied]]</f>
        <v>1</v>
      </c>
    </row>
    <row r="404" spans="1:10" x14ac:dyDescent="0.25">
      <c r="A404" s="389"/>
      <c r="B404" s="4"/>
      <c r="C404" s="16"/>
      <c r="D404" s="519"/>
      <c r="E404" s="410"/>
      <c r="F404" s="313"/>
      <c r="G404" s="256"/>
      <c r="H404" s="313"/>
      <c r="I404" s="456"/>
      <c r="J404" s="271" t="b">
        <f>Age_Sex22[[#This Row],[Total Spending After Applying Truncation at the Member Level]]+Age_Sex22[[#This Row],[Total Dollars Excluded from Spending After Applying Truncation at the Member Level]]=Age_Sex22[[#This Row],[Total Spending before Truncation is Applied]]</f>
        <v>1</v>
      </c>
    </row>
    <row r="405" spans="1:10" x14ac:dyDescent="0.25">
      <c r="A405" s="386"/>
      <c r="B405" s="310"/>
      <c r="C405" s="311"/>
      <c r="D405" s="518"/>
      <c r="E405" s="409"/>
      <c r="F405" s="312"/>
      <c r="G405" s="522"/>
      <c r="H405" s="312"/>
      <c r="I405" s="455"/>
      <c r="J405" s="271" t="b">
        <f>Age_Sex22[[#This Row],[Total Spending After Applying Truncation at the Member Level]]+Age_Sex22[[#This Row],[Total Dollars Excluded from Spending After Applying Truncation at the Member Level]]=Age_Sex22[[#This Row],[Total Spending before Truncation is Applied]]</f>
        <v>1</v>
      </c>
    </row>
    <row r="406" spans="1:10" x14ac:dyDescent="0.25">
      <c r="A406" s="389"/>
      <c r="B406" s="4"/>
      <c r="C406" s="16"/>
      <c r="D406" s="519"/>
      <c r="E406" s="410"/>
      <c r="F406" s="313"/>
      <c r="G406" s="256"/>
      <c r="H406" s="313"/>
      <c r="I406" s="456"/>
      <c r="J406" s="271" t="b">
        <f>Age_Sex22[[#This Row],[Total Spending After Applying Truncation at the Member Level]]+Age_Sex22[[#This Row],[Total Dollars Excluded from Spending After Applying Truncation at the Member Level]]=Age_Sex22[[#This Row],[Total Spending before Truncation is Applied]]</f>
        <v>1</v>
      </c>
    </row>
    <row r="407" spans="1:10" x14ac:dyDescent="0.25">
      <c r="A407" s="386"/>
      <c r="B407" s="310"/>
      <c r="C407" s="311"/>
      <c r="D407" s="518"/>
      <c r="E407" s="409"/>
      <c r="F407" s="312"/>
      <c r="G407" s="522"/>
      <c r="H407" s="312"/>
      <c r="I407" s="455"/>
      <c r="J407" s="271" t="b">
        <f>Age_Sex22[[#This Row],[Total Spending After Applying Truncation at the Member Level]]+Age_Sex22[[#This Row],[Total Dollars Excluded from Spending After Applying Truncation at the Member Level]]=Age_Sex22[[#This Row],[Total Spending before Truncation is Applied]]</f>
        <v>1</v>
      </c>
    </row>
    <row r="408" spans="1:10" x14ac:dyDescent="0.25">
      <c r="A408" s="389"/>
      <c r="B408" s="4"/>
      <c r="C408" s="16"/>
      <c r="D408" s="519"/>
      <c r="E408" s="410"/>
      <c r="F408" s="313"/>
      <c r="G408" s="256"/>
      <c r="H408" s="313"/>
      <c r="I408" s="456"/>
      <c r="J408" s="271" t="b">
        <f>Age_Sex22[[#This Row],[Total Spending After Applying Truncation at the Member Level]]+Age_Sex22[[#This Row],[Total Dollars Excluded from Spending After Applying Truncation at the Member Level]]=Age_Sex22[[#This Row],[Total Spending before Truncation is Applied]]</f>
        <v>1</v>
      </c>
    </row>
    <row r="409" spans="1:10" x14ac:dyDescent="0.25">
      <c r="A409" s="386"/>
      <c r="B409" s="310"/>
      <c r="C409" s="311"/>
      <c r="D409" s="518"/>
      <c r="E409" s="409"/>
      <c r="F409" s="312"/>
      <c r="G409" s="522"/>
      <c r="H409" s="312"/>
      <c r="I409" s="455"/>
      <c r="J409" s="271" t="b">
        <f>Age_Sex22[[#This Row],[Total Spending After Applying Truncation at the Member Level]]+Age_Sex22[[#This Row],[Total Dollars Excluded from Spending After Applying Truncation at the Member Level]]=Age_Sex22[[#This Row],[Total Spending before Truncation is Applied]]</f>
        <v>1</v>
      </c>
    </row>
    <row r="410" spans="1:10" x14ac:dyDescent="0.25">
      <c r="A410" s="389"/>
      <c r="B410" s="4"/>
      <c r="C410" s="16"/>
      <c r="D410" s="519"/>
      <c r="E410" s="410"/>
      <c r="F410" s="313"/>
      <c r="G410" s="256"/>
      <c r="H410" s="313"/>
      <c r="I410" s="456"/>
      <c r="J410" s="271" t="b">
        <f>Age_Sex22[[#This Row],[Total Spending After Applying Truncation at the Member Level]]+Age_Sex22[[#This Row],[Total Dollars Excluded from Spending After Applying Truncation at the Member Level]]=Age_Sex22[[#This Row],[Total Spending before Truncation is Applied]]</f>
        <v>1</v>
      </c>
    </row>
    <row r="411" spans="1:10" x14ac:dyDescent="0.25">
      <c r="A411" s="386"/>
      <c r="B411" s="310"/>
      <c r="C411" s="311"/>
      <c r="D411" s="518"/>
      <c r="E411" s="409"/>
      <c r="F411" s="312"/>
      <c r="G411" s="522"/>
      <c r="H411" s="312"/>
      <c r="I411" s="455"/>
      <c r="J411" s="271" t="b">
        <f>Age_Sex22[[#This Row],[Total Spending After Applying Truncation at the Member Level]]+Age_Sex22[[#This Row],[Total Dollars Excluded from Spending After Applying Truncation at the Member Level]]=Age_Sex22[[#This Row],[Total Spending before Truncation is Applied]]</f>
        <v>1</v>
      </c>
    </row>
    <row r="412" spans="1:10" x14ac:dyDescent="0.25">
      <c r="A412" s="389"/>
      <c r="B412" s="4"/>
      <c r="C412" s="16"/>
      <c r="D412" s="519"/>
      <c r="E412" s="410"/>
      <c r="F412" s="313"/>
      <c r="G412" s="256"/>
      <c r="H412" s="313"/>
      <c r="I412" s="456"/>
      <c r="J412" s="271" t="b">
        <f>Age_Sex22[[#This Row],[Total Spending After Applying Truncation at the Member Level]]+Age_Sex22[[#This Row],[Total Dollars Excluded from Spending After Applying Truncation at the Member Level]]=Age_Sex22[[#This Row],[Total Spending before Truncation is Applied]]</f>
        <v>1</v>
      </c>
    </row>
    <row r="413" spans="1:10" x14ac:dyDescent="0.25">
      <c r="A413" s="386"/>
      <c r="B413" s="310"/>
      <c r="C413" s="311"/>
      <c r="D413" s="518"/>
      <c r="E413" s="409"/>
      <c r="F413" s="312"/>
      <c r="G413" s="522"/>
      <c r="H413" s="312"/>
      <c r="I413" s="455"/>
      <c r="J413" s="271" t="b">
        <f>Age_Sex22[[#This Row],[Total Spending After Applying Truncation at the Member Level]]+Age_Sex22[[#This Row],[Total Dollars Excluded from Spending After Applying Truncation at the Member Level]]=Age_Sex22[[#This Row],[Total Spending before Truncation is Applied]]</f>
        <v>1</v>
      </c>
    </row>
    <row r="414" spans="1:10" x14ac:dyDescent="0.25">
      <c r="A414" s="389"/>
      <c r="B414" s="4"/>
      <c r="C414" s="16"/>
      <c r="D414" s="519"/>
      <c r="E414" s="410"/>
      <c r="F414" s="313"/>
      <c r="G414" s="256"/>
      <c r="H414" s="313"/>
      <c r="I414" s="456"/>
      <c r="J414" s="271" t="b">
        <f>Age_Sex22[[#This Row],[Total Spending After Applying Truncation at the Member Level]]+Age_Sex22[[#This Row],[Total Dollars Excluded from Spending After Applying Truncation at the Member Level]]=Age_Sex22[[#This Row],[Total Spending before Truncation is Applied]]</f>
        <v>1</v>
      </c>
    </row>
    <row r="415" spans="1:10" x14ac:dyDescent="0.25">
      <c r="A415" s="386"/>
      <c r="B415" s="310"/>
      <c r="C415" s="311"/>
      <c r="D415" s="518"/>
      <c r="E415" s="409"/>
      <c r="F415" s="312"/>
      <c r="G415" s="522"/>
      <c r="H415" s="312"/>
      <c r="I415" s="455"/>
      <c r="J415" s="271" t="b">
        <f>Age_Sex22[[#This Row],[Total Spending After Applying Truncation at the Member Level]]+Age_Sex22[[#This Row],[Total Dollars Excluded from Spending After Applying Truncation at the Member Level]]=Age_Sex22[[#This Row],[Total Spending before Truncation is Applied]]</f>
        <v>1</v>
      </c>
    </row>
    <row r="416" spans="1:10" x14ac:dyDescent="0.25">
      <c r="A416" s="389"/>
      <c r="B416" s="4"/>
      <c r="C416" s="16"/>
      <c r="D416" s="519"/>
      <c r="E416" s="410"/>
      <c r="F416" s="313"/>
      <c r="G416" s="256"/>
      <c r="H416" s="313"/>
      <c r="I416" s="456"/>
      <c r="J416" s="271" t="b">
        <f>Age_Sex22[[#This Row],[Total Spending After Applying Truncation at the Member Level]]+Age_Sex22[[#This Row],[Total Dollars Excluded from Spending After Applying Truncation at the Member Level]]=Age_Sex22[[#This Row],[Total Spending before Truncation is Applied]]</f>
        <v>1</v>
      </c>
    </row>
    <row r="417" spans="1:10" x14ac:dyDescent="0.25">
      <c r="A417" s="386"/>
      <c r="B417" s="310"/>
      <c r="C417" s="311"/>
      <c r="D417" s="518"/>
      <c r="E417" s="409"/>
      <c r="F417" s="312"/>
      <c r="G417" s="522"/>
      <c r="H417" s="312"/>
      <c r="I417" s="455"/>
      <c r="J417" s="271" t="b">
        <f>Age_Sex22[[#This Row],[Total Spending After Applying Truncation at the Member Level]]+Age_Sex22[[#This Row],[Total Dollars Excluded from Spending After Applying Truncation at the Member Level]]=Age_Sex22[[#This Row],[Total Spending before Truncation is Applied]]</f>
        <v>1</v>
      </c>
    </row>
    <row r="418" spans="1:10" x14ac:dyDescent="0.25">
      <c r="A418" s="389"/>
      <c r="B418" s="4"/>
      <c r="C418" s="16"/>
      <c r="D418" s="519"/>
      <c r="E418" s="410"/>
      <c r="F418" s="313"/>
      <c r="G418" s="256"/>
      <c r="H418" s="313"/>
      <c r="I418" s="456"/>
      <c r="J418" s="271" t="b">
        <f>Age_Sex22[[#This Row],[Total Spending After Applying Truncation at the Member Level]]+Age_Sex22[[#This Row],[Total Dollars Excluded from Spending After Applying Truncation at the Member Level]]=Age_Sex22[[#This Row],[Total Spending before Truncation is Applied]]</f>
        <v>1</v>
      </c>
    </row>
    <row r="419" spans="1:10" x14ac:dyDescent="0.25">
      <c r="A419" s="386"/>
      <c r="B419" s="310"/>
      <c r="C419" s="311"/>
      <c r="D419" s="518"/>
      <c r="E419" s="409"/>
      <c r="F419" s="312"/>
      <c r="G419" s="522"/>
      <c r="H419" s="312"/>
      <c r="I419" s="455"/>
      <c r="J419" s="271" t="b">
        <f>Age_Sex22[[#This Row],[Total Spending After Applying Truncation at the Member Level]]+Age_Sex22[[#This Row],[Total Dollars Excluded from Spending After Applying Truncation at the Member Level]]=Age_Sex22[[#This Row],[Total Spending before Truncation is Applied]]</f>
        <v>1</v>
      </c>
    </row>
    <row r="420" spans="1:10" x14ac:dyDescent="0.25">
      <c r="A420" s="389"/>
      <c r="B420" s="4"/>
      <c r="C420" s="16"/>
      <c r="D420" s="519"/>
      <c r="E420" s="410"/>
      <c r="F420" s="313"/>
      <c r="G420" s="256"/>
      <c r="H420" s="313"/>
      <c r="I420" s="456"/>
      <c r="J420" s="271" t="b">
        <f>Age_Sex22[[#This Row],[Total Spending After Applying Truncation at the Member Level]]+Age_Sex22[[#This Row],[Total Dollars Excluded from Spending After Applying Truncation at the Member Level]]=Age_Sex22[[#This Row],[Total Spending before Truncation is Applied]]</f>
        <v>1</v>
      </c>
    </row>
    <row r="421" spans="1:10" x14ac:dyDescent="0.25">
      <c r="A421" s="386"/>
      <c r="B421" s="310"/>
      <c r="C421" s="311"/>
      <c r="D421" s="518"/>
      <c r="E421" s="409"/>
      <c r="F421" s="312"/>
      <c r="G421" s="522"/>
      <c r="H421" s="312"/>
      <c r="I421" s="455"/>
      <c r="J421" s="271" t="b">
        <f>Age_Sex22[[#This Row],[Total Spending After Applying Truncation at the Member Level]]+Age_Sex22[[#This Row],[Total Dollars Excluded from Spending After Applying Truncation at the Member Level]]=Age_Sex22[[#This Row],[Total Spending before Truncation is Applied]]</f>
        <v>1</v>
      </c>
    </row>
    <row r="422" spans="1:10" x14ac:dyDescent="0.25">
      <c r="A422" s="389"/>
      <c r="B422" s="4"/>
      <c r="C422" s="16"/>
      <c r="D422" s="519"/>
      <c r="E422" s="410"/>
      <c r="F422" s="313"/>
      <c r="G422" s="256"/>
      <c r="H422" s="313"/>
      <c r="I422" s="456"/>
      <c r="J422" s="271" t="b">
        <f>Age_Sex22[[#This Row],[Total Spending After Applying Truncation at the Member Level]]+Age_Sex22[[#This Row],[Total Dollars Excluded from Spending After Applying Truncation at the Member Level]]=Age_Sex22[[#This Row],[Total Spending before Truncation is Applied]]</f>
        <v>1</v>
      </c>
    </row>
    <row r="423" spans="1:10" x14ac:dyDescent="0.25">
      <c r="A423" s="386"/>
      <c r="B423" s="310"/>
      <c r="C423" s="311"/>
      <c r="D423" s="518"/>
      <c r="E423" s="409"/>
      <c r="F423" s="312"/>
      <c r="G423" s="522"/>
      <c r="H423" s="312"/>
      <c r="I423" s="455"/>
      <c r="J423" s="271" t="b">
        <f>Age_Sex22[[#This Row],[Total Spending After Applying Truncation at the Member Level]]+Age_Sex22[[#This Row],[Total Dollars Excluded from Spending After Applying Truncation at the Member Level]]=Age_Sex22[[#This Row],[Total Spending before Truncation is Applied]]</f>
        <v>1</v>
      </c>
    </row>
    <row r="424" spans="1:10" x14ac:dyDescent="0.25">
      <c r="A424" s="389"/>
      <c r="B424" s="4"/>
      <c r="C424" s="16"/>
      <c r="D424" s="519"/>
      <c r="E424" s="410"/>
      <c r="F424" s="313"/>
      <c r="G424" s="256"/>
      <c r="H424" s="313"/>
      <c r="I424" s="456"/>
      <c r="J424" s="271" t="b">
        <f>Age_Sex22[[#This Row],[Total Spending After Applying Truncation at the Member Level]]+Age_Sex22[[#This Row],[Total Dollars Excluded from Spending After Applying Truncation at the Member Level]]=Age_Sex22[[#This Row],[Total Spending before Truncation is Applied]]</f>
        <v>1</v>
      </c>
    </row>
    <row r="425" spans="1:10" x14ac:dyDescent="0.25">
      <c r="A425" s="386"/>
      <c r="B425" s="310"/>
      <c r="C425" s="311"/>
      <c r="D425" s="518"/>
      <c r="E425" s="409"/>
      <c r="F425" s="312"/>
      <c r="G425" s="522"/>
      <c r="H425" s="312"/>
      <c r="I425" s="455"/>
      <c r="J425" s="271" t="b">
        <f>Age_Sex22[[#This Row],[Total Spending After Applying Truncation at the Member Level]]+Age_Sex22[[#This Row],[Total Dollars Excluded from Spending After Applying Truncation at the Member Level]]=Age_Sex22[[#This Row],[Total Spending before Truncation is Applied]]</f>
        <v>1</v>
      </c>
    </row>
    <row r="426" spans="1:10" x14ac:dyDescent="0.25">
      <c r="A426" s="389"/>
      <c r="B426" s="4"/>
      <c r="C426" s="16"/>
      <c r="D426" s="519"/>
      <c r="E426" s="410"/>
      <c r="F426" s="313"/>
      <c r="G426" s="256"/>
      <c r="H426" s="313"/>
      <c r="I426" s="456"/>
      <c r="J426" s="271" t="b">
        <f>Age_Sex22[[#This Row],[Total Spending After Applying Truncation at the Member Level]]+Age_Sex22[[#This Row],[Total Dollars Excluded from Spending After Applying Truncation at the Member Level]]=Age_Sex22[[#This Row],[Total Spending before Truncation is Applied]]</f>
        <v>1</v>
      </c>
    </row>
    <row r="427" spans="1:10" x14ac:dyDescent="0.25">
      <c r="A427" s="386"/>
      <c r="B427" s="310"/>
      <c r="C427" s="311"/>
      <c r="D427" s="518"/>
      <c r="E427" s="409"/>
      <c r="F427" s="312"/>
      <c r="G427" s="522"/>
      <c r="H427" s="312"/>
      <c r="I427" s="455"/>
      <c r="J427" s="271" t="b">
        <f>Age_Sex22[[#This Row],[Total Spending After Applying Truncation at the Member Level]]+Age_Sex22[[#This Row],[Total Dollars Excluded from Spending After Applying Truncation at the Member Level]]=Age_Sex22[[#This Row],[Total Spending before Truncation is Applied]]</f>
        <v>1</v>
      </c>
    </row>
    <row r="428" spans="1:10" x14ac:dyDescent="0.25">
      <c r="A428" s="389"/>
      <c r="B428" s="4"/>
      <c r="C428" s="16"/>
      <c r="D428" s="519"/>
      <c r="E428" s="410"/>
      <c r="F428" s="313"/>
      <c r="G428" s="256"/>
      <c r="H428" s="313"/>
      <c r="I428" s="456"/>
      <c r="J428" s="271" t="b">
        <f>Age_Sex22[[#This Row],[Total Spending After Applying Truncation at the Member Level]]+Age_Sex22[[#This Row],[Total Dollars Excluded from Spending After Applying Truncation at the Member Level]]=Age_Sex22[[#This Row],[Total Spending before Truncation is Applied]]</f>
        <v>1</v>
      </c>
    </row>
    <row r="429" spans="1:10" x14ac:dyDescent="0.25">
      <c r="A429" s="386"/>
      <c r="B429" s="310"/>
      <c r="C429" s="311"/>
      <c r="D429" s="518"/>
      <c r="E429" s="409"/>
      <c r="F429" s="312"/>
      <c r="G429" s="522"/>
      <c r="H429" s="312"/>
      <c r="I429" s="455"/>
      <c r="J429" s="271" t="b">
        <f>Age_Sex22[[#This Row],[Total Spending After Applying Truncation at the Member Level]]+Age_Sex22[[#This Row],[Total Dollars Excluded from Spending After Applying Truncation at the Member Level]]=Age_Sex22[[#This Row],[Total Spending before Truncation is Applied]]</f>
        <v>1</v>
      </c>
    </row>
    <row r="430" spans="1:10" x14ac:dyDescent="0.25">
      <c r="A430" s="389"/>
      <c r="B430" s="4"/>
      <c r="C430" s="16"/>
      <c r="D430" s="519"/>
      <c r="E430" s="410"/>
      <c r="F430" s="313"/>
      <c r="G430" s="256"/>
      <c r="H430" s="313"/>
      <c r="I430" s="456"/>
      <c r="J430" s="271" t="b">
        <f>Age_Sex22[[#This Row],[Total Spending After Applying Truncation at the Member Level]]+Age_Sex22[[#This Row],[Total Dollars Excluded from Spending After Applying Truncation at the Member Level]]=Age_Sex22[[#This Row],[Total Spending before Truncation is Applied]]</f>
        <v>1</v>
      </c>
    </row>
    <row r="431" spans="1:10" x14ac:dyDescent="0.25">
      <c r="A431" s="386"/>
      <c r="B431" s="310"/>
      <c r="C431" s="311"/>
      <c r="D431" s="518"/>
      <c r="E431" s="409"/>
      <c r="F431" s="312"/>
      <c r="G431" s="522"/>
      <c r="H431" s="312"/>
      <c r="I431" s="455"/>
      <c r="J431" s="271" t="b">
        <f>Age_Sex22[[#This Row],[Total Spending After Applying Truncation at the Member Level]]+Age_Sex22[[#This Row],[Total Dollars Excluded from Spending After Applying Truncation at the Member Level]]=Age_Sex22[[#This Row],[Total Spending before Truncation is Applied]]</f>
        <v>1</v>
      </c>
    </row>
    <row r="432" spans="1:10" x14ac:dyDescent="0.25">
      <c r="A432" s="389"/>
      <c r="B432" s="4"/>
      <c r="C432" s="16"/>
      <c r="D432" s="519"/>
      <c r="E432" s="410"/>
      <c r="F432" s="313"/>
      <c r="G432" s="256"/>
      <c r="H432" s="313"/>
      <c r="I432" s="456"/>
      <c r="J432" s="271" t="b">
        <f>Age_Sex22[[#This Row],[Total Spending After Applying Truncation at the Member Level]]+Age_Sex22[[#This Row],[Total Dollars Excluded from Spending After Applying Truncation at the Member Level]]=Age_Sex22[[#This Row],[Total Spending before Truncation is Applied]]</f>
        <v>1</v>
      </c>
    </row>
    <row r="433" spans="1:10" x14ac:dyDescent="0.25">
      <c r="A433" s="386"/>
      <c r="B433" s="310"/>
      <c r="C433" s="311"/>
      <c r="D433" s="518"/>
      <c r="E433" s="409"/>
      <c r="F433" s="312"/>
      <c r="G433" s="522"/>
      <c r="H433" s="312"/>
      <c r="I433" s="455"/>
      <c r="J433" s="271" t="b">
        <f>Age_Sex22[[#This Row],[Total Spending After Applying Truncation at the Member Level]]+Age_Sex22[[#This Row],[Total Dollars Excluded from Spending After Applying Truncation at the Member Level]]=Age_Sex22[[#This Row],[Total Spending before Truncation is Applied]]</f>
        <v>1</v>
      </c>
    </row>
    <row r="434" spans="1:10" x14ac:dyDescent="0.25">
      <c r="A434" s="389"/>
      <c r="B434" s="4"/>
      <c r="C434" s="16"/>
      <c r="D434" s="519"/>
      <c r="E434" s="410"/>
      <c r="F434" s="313"/>
      <c r="G434" s="256"/>
      <c r="H434" s="313"/>
      <c r="I434" s="456"/>
      <c r="J434" s="271" t="b">
        <f>Age_Sex22[[#This Row],[Total Spending After Applying Truncation at the Member Level]]+Age_Sex22[[#This Row],[Total Dollars Excluded from Spending After Applying Truncation at the Member Level]]=Age_Sex22[[#This Row],[Total Spending before Truncation is Applied]]</f>
        <v>1</v>
      </c>
    </row>
    <row r="435" spans="1:10" x14ac:dyDescent="0.25">
      <c r="A435" s="386"/>
      <c r="B435" s="310"/>
      <c r="C435" s="311"/>
      <c r="D435" s="518"/>
      <c r="E435" s="409"/>
      <c r="F435" s="312"/>
      <c r="G435" s="522"/>
      <c r="H435" s="312"/>
      <c r="I435" s="455"/>
      <c r="J435" s="271" t="b">
        <f>Age_Sex22[[#This Row],[Total Spending After Applying Truncation at the Member Level]]+Age_Sex22[[#This Row],[Total Dollars Excluded from Spending After Applying Truncation at the Member Level]]=Age_Sex22[[#This Row],[Total Spending before Truncation is Applied]]</f>
        <v>1</v>
      </c>
    </row>
    <row r="436" spans="1:10" x14ac:dyDescent="0.25">
      <c r="A436" s="389"/>
      <c r="B436" s="4"/>
      <c r="C436" s="16"/>
      <c r="D436" s="519"/>
      <c r="E436" s="410"/>
      <c r="F436" s="313"/>
      <c r="G436" s="256"/>
      <c r="H436" s="313"/>
      <c r="I436" s="456"/>
      <c r="J436" s="271" t="b">
        <f>Age_Sex22[[#This Row],[Total Spending After Applying Truncation at the Member Level]]+Age_Sex22[[#This Row],[Total Dollars Excluded from Spending After Applying Truncation at the Member Level]]=Age_Sex22[[#This Row],[Total Spending before Truncation is Applied]]</f>
        <v>1</v>
      </c>
    </row>
    <row r="437" spans="1:10" x14ac:dyDescent="0.25">
      <c r="A437" s="386"/>
      <c r="B437" s="310"/>
      <c r="C437" s="311"/>
      <c r="D437" s="518"/>
      <c r="E437" s="409"/>
      <c r="F437" s="312"/>
      <c r="G437" s="522"/>
      <c r="H437" s="312"/>
      <c r="I437" s="455"/>
      <c r="J437" s="271" t="b">
        <f>Age_Sex22[[#This Row],[Total Spending After Applying Truncation at the Member Level]]+Age_Sex22[[#This Row],[Total Dollars Excluded from Spending After Applying Truncation at the Member Level]]=Age_Sex22[[#This Row],[Total Spending before Truncation is Applied]]</f>
        <v>1</v>
      </c>
    </row>
    <row r="438" spans="1:10" x14ac:dyDescent="0.25">
      <c r="A438" s="389"/>
      <c r="B438" s="4"/>
      <c r="C438" s="16"/>
      <c r="D438" s="519"/>
      <c r="E438" s="410"/>
      <c r="F438" s="313"/>
      <c r="G438" s="256"/>
      <c r="H438" s="313"/>
      <c r="I438" s="456"/>
      <c r="J438" s="271" t="b">
        <f>Age_Sex22[[#This Row],[Total Spending After Applying Truncation at the Member Level]]+Age_Sex22[[#This Row],[Total Dollars Excluded from Spending After Applying Truncation at the Member Level]]=Age_Sex22[[#This Row],[Total Spending before Truncation is Applied]]</f>
        <v>1</v>
      </c>
    </row>
    <row r="439" spans="1:10" x14ac:dyDescent="0.25">
      <c r="A439" s="386"/>
      <c r="B439" s="310"/>
      <c r="C439" s="311"/>
      <c r="D439" s="518"/>
      <c r="E439" s="409"/>
      <c r="F439" s="312"/>
      <c r="G439" s="522"/>
      <c r="H439" s="312"/>
      <c r="I439" s="455"/>
      <c r="J439" s="271" t="b">
        <f>Age_Sex22[[#This Row],[Total Spending After Applying Truncation at the Member Level]]+Age_Sex22[[#This Row],[Total Dollars Excluded from Spending After Applying Truncation at the Member Level]]=Age_Sex22[[#This Row],[Total Spending before Truncation is Applied]]</f>
        <v>1</v>
      </c>
    </row>
    <row r="440" spans="1:10" x14ac:dyDescent="0.25">
      <c r="A440" s="389"/>
      <c r="B440" s="4"/>
      <c r="C440" s="16"/>
      <c r="D440" s="519"/>
      <c r="E440" s="410"/>
      <c r="F440" s="313"/>
      <c r="G440" s="256"/>
      <c r="H440" s="313"/>
      <c r="I440" s="456"/>
      <c r="J440" s="271" t="b">
        <f>Age_Sex22[[#This Row],[Total Spending After Applying Truncation at the Member Level]]+Age_Sex22[[#This Row],[Total Dollars Excluded from Spending After Applying Truncation at the Member Level]]=Age_Sex22[[#This Row],[Total Spending before Truncation is Applied]]</f>
        <v>1</v>
      </c>
    </row>
    <row r="441" spans="1:10" x14ac:dyDescent="0.25">
      <c r="A441" s="386"/>
      <c r="B441" s="310"/>
      <c r="C441" s="311"/>
      <c r="D441" s="518"/>
      <c r="E441" s="409"/>
      <c r="F441" s="312"/>
      <c r="G441" s="522"/>
      <c r="H441" s="312"/>
      <c r="I441" s="455"/>
      <c r="J441" s="271" t="b">
        <f>Age_Sex22[[#This Row],[Total Spending After Applying Truncation at the Member Level]]+Age_Sex22[[#This Row],[Total Dollars Excluded from Spending After Applying Truncation at the Member Level]]=Age_Sex22[[#This Row],[Total Spending before Truncation is Applied]]</f>
        <v>1</v>
      </c>
    </row>
    <row r="442" spans="1:10" x14ac:dyDescent="0.25">
      <c r="A442" s="389"/>
      <c r="B442" s="4"/>
      <c r="C442" s="16"/>
      <c r="D442" s="519"/>
      <c r="E442" s="410"/>
      <c r="F442" s="313"/>
      <c r="G442" s="256"/>
      <c r="H442" s="313"/>
      <c r="I442" s="456"/>
      <c r="J442" s="271" t="b">
        <f>Age_Sex22[[#This Row],[Total Spending After Applying Truncation at the Member Level]]+Age_Sex22[[#This Row],[Total Dollars Excluded from Spending After Applying Truncation at the Member Level]]=Age_Sex22[[#This Row],[Total Spending before Truncation is Applied]]</f>
        <v>1</v>
      </c>
    </row>
    <row r="443" spans="1:10" x14ac:dyDescent="0.25">
      <c r="A443" s="386"/>
      <c r="B443" s="310"/>
      <c r="C443" s="311"/>
      <c r="D443" s="518"/>
      <c r="E443" s="409"/>
      <c r="F443" s="312"/>
      <c r="G443" s="522"/>
      <c r="H443" s="312"/>
      <c r="I443" s="455"/>
      <c r="J443" s="271" t="b">
        <f>Age_Sex22[[#This Row],[Total Spending After Applying Truncation at the Member Level]]+Age_Sex22[[#This Row],[Total Dollars Excluded from Spending After Applying Truncation at the Member Level]]=Age_Sex22[[#This Row],[Total Spending before Truncation is Applied]]</f>
        <v>1</v>
      </c>
    </row>
    <row r="444" spans="1:10" x14ac:dyDescent="0.25">
      <c r="A444" s="389"/>
      <c r="B444" s="4"/>
      <c r="C444" s="16"/>
      <c r="D444" s="519"/>
      <c r="E444" s="410"/>
      <c r="F444" s="313"/>
      <c r="G444" s="256"/>
      <c r="H444" s="313"/>
      <c r="I444" s="456"/>
      <c r="J444" s="271" t="b">
        <f>Age_Sex22[[#This Row],[Total Spending After Applying Truncation at the Member Level]]+Age_Sex22[[#This Row],[Total Dollars Excluded from Spending After Applying Truncation at the Member Level]]=Age_Sex22[[#This Row],[Total Spending before Truncation is Applied]]</f>
        <v>1</v>
      </c>
    </row>
    <row r="445" spans="1:10" x14ac:dyDescent="0.25">
      <c r="A445" s="386"/>
      <c r="B445" s="310"/>
      <c r="C445" s="311"/>
      <c r="D445" s="518"/>
      <c r="E445" s="409"/>
      <c r="F445" s="312"/>
      <c r="G445" s="522"/>
      <c r="H445" s="312"/>
      <c r="I445" s="455"/>
      <c r="J445" s="271" t="b">
        <f>Age_Sex22[[#This Row],[Total Spending After Applying Truncation at the Member Level]]+Age_Sex22[[#This Row],[Total Dollars Excluded from Spending After Applying Truncation at the Member Level]]=Age_Sex22[[#This Row],[Total Spending before Truncation is Applied]]</f>
        <v>1</v>
      </c>
    </row>
    <row r="446" spans="1:10" x14ac:dyDescent="0.25">
      <c r="A446" s="389"/>
      <c r="B446" s="4"/>
      <c r="C446" s="16"/>
      <c r="D446" s="519"/>
      <c r="E446" s="410"/>
      <c r="F446" s="313"/>
      <c r="G446" s="256"/>
      <c r="H446" s="313"/>
      <c r="I446" s="456"/>
      <c r="J446" s="271" t="b">
        <f>Age_Sex22[[#This Row],[Total Spending After Applying Truncation at the Member Level]]+Age_Sex22[[#This Row],[Total Dollars Excluded from Spending After Applying Truncation at the Member Level]]=Age_Sex22[[#This Row],[Total Spending before Truncation is Applied]]</f>
        <v>1</v>
      </c>
    </row>
    <row r="447" spans="1:10" x14ac:dyDescent="0.25">
      <c r="A447" s="386"/>
      <c r="B447" s="310"/>
      <c r="C447" s="311"/>
      <c r="D447" s="518"/>
      <c r="E447" s="409"/>
      <c r="F447" s="312"/>
      <c r="G447" s="522"/>
      <c r="H447" s="312"/>
      <c r="I447" s="455"/>
      <c r="J447" s="271" t="b">
        <f>Age_Sex22[[#This Row],[Total Spending After Applying Truncation at the Member Level]]+Age_Sex22[[#This Row],[Total Dollars Excluded from Spending After Applying Truncation at the Member Level]]=Age_Sex22[[#This Row],[Total Spending before Truncation is Applied]]</f>
        <v>1</v>
      </c>
    </row>
    <row r="448" spans="1:10" x14ac:dyDescent="0.25">
      <c r="A448" s="389"/>
      <c r="B448" s="4"/>
      <c r="C448" s="16"/>
      <c r="D448" s="519"/>
      <c r="E448" s="410"/>
      <c r="F448" s="313"/>
      <c r="G448" s="256"/>
      <c r="H448" s="313"/>
      <c r="I448" s="456"/>
      <c r="J448" s="271" t="b">
        <f>Age_Sex22[[#This Row],[Total Spending After Applying Truncation at the Member Level]]+Age_Sex22[[#This Row],[Total Dollars Excluded from Spending After Applying Truncation at the Member Level]]=Age_Sex22[[#This Row],[Total Spending before Truncation is Applied]]</f>
        <v>1</v>
      </c>
    </row>
    <row r="449" spans="1:10" x14ac:dyDescent="0.25">
      <c r="A449" s="386"/>
      <c r="B449" s="310"/>
      <c r="C449" s="311"/>
      <c r="D449" s="518"/>
      <c r="E449" s="409"/>
      <c r="F449" s="312"/>
      <c r="G449" s="522"/>
      <c r="H449" s="312"/>
      <c r="I449" s="455"/>
      <c r="J449" s="271" t="b">
        <f>Age_Sex22[[#This Row],[Total Spending After Applying Truncation at the Member Level]]+Age_Sex22[[#This Row],[Total Dollars Excluded from Spending After Applying Truncation at the Member Level]]=Age_Sex22[[#This Row],[Total Spending before Truncation is Applied]]</f>
        <v>1</v>
      </c>
    </row>
    <row r="450" spans="1:10" x14ac:dyDescent="0.25">
      <c r="A450" s="389"/>
      <c r="B450" s="4"/>
      <c r="C450" s="16"/>
      <c r="D450" s="519"/>
      <c r="E450" s="410"/>
      <c r="F450" s="313"/>
      <c r="G450" s="256"/>
      <c r="H450" s="313"/>
      <c r="I450" s="456"/>
      <c r="J450" s="271" t="b">
        <f>Age_Sex22[[#This Row],[Total Spending After Applying Truncation at the Member Level]]+Age_Sex22[[#This Row],[Total Dollars Excluded from Spending After Applying Truncation at the Member Level]]=Age_Sex22[[#This Row],[Total Spending before Truncation is Applied]]</f>
        <v>1</v>
      </c>
    </row>
    <row r="451" spans="1:10" x14ac:dyDescent="0.25">
      <c r="A451" s="386"/>
      <c r="B451" s="310"/>
      <c r="C451" s="311"/>
      <c r="D451" s="518"/>
      <c r="E451" s="409"/>
      <c r="F451" s="312"/>
      <c r="G451" s="522"/>
      <c r="H451" s="312"/>
      <c r="I451" s="455"/>
      <c r="J451" s="271" t="b">
        <f>Age_Sex22[[#This Row],[Total Spending After Applying Truncation at the Member Level]]+Age_Sex22[[#This Row],[Total Dollars Excluded from Spending After Applying Truncation at the Member Level]]=Age_Sex22[[#This Row],[Total Spending before Truncation is Applied]]</f>
        <v>1</v>
      </c>
    </row>
    <row r="452" spans="1:10" x14ac:dyDescent="0.25">
      <c r="A452" s="389"/>
      <c r="B452" s="4"/>
      <c r="C452" s="16"/>
      <c r="D452" s="519"/>
      <c r="E452" s="410"/>
      <c r="F452" s="313"/>
      <c r="G452" s="256"/>
      <c r="H452" s="313"/>
      <c r="I452" s="456"/>
      <c r="J452" s="271" t="b">
        <f>Age_Sex22[[#This Row],[Total Spending After Applying Truncation at the Member Level]]+Age_Sex22[[#This Row],[Total Dollars Excluded from Spending After Applying Truncation at the Member Level]]=Age_Sex22[[#This Row],[Total Spending before Truncation is Applied]]</f>
        <v>1</v>
      </c>
    </row>
    <row r="453" spans="1:10" x14ac:dyDescent="0.25">
      <c r="A453" s="386"/>
      <c r="B453" s="310"/>
      <c r="C453" s="311"/>
      <c r="D453" s="518"/>
      <c r="E453" s="409"/>
      <c r="F453" s="312"/>
      <c r="G453" s="522"/>
      <c r="H453" s="312"/>
      <c r="I453" s="455"/>
      <c r="J453" s="271" t="b">
        <f>Age_Sex22[[#This Row],[Total Spending After Applying Truncation at the Member Level]]+Age_Sex22[[#This Row],[Total Dollars Excluded from Spending After Applying Truncation at the Member Level]]=Age_Sex22[[#This Row],[Total Spending before Truncation is Applied]]</f>
        <v>1</v>
      </c>
    </row>
    <row r="454" spans="1:10" x14ac:dyDescent="0.25">
      <c r="A454" s="389"/>
      <c r="B454" s="4"/>
      <c r="C454" s="16"/>
      <c r="D454" s="519"/>
      <c r="E454" s="410"/>
      <c r="F454" s="313"/>
      <c r="G454" s="256"/>
      <c r="H454" s="313"/>
      <c r="I454" s="456"/>
      <c r="J454" s="271" t="b">
        <f>Age_Sex22[[#This Row],[Total Spending After Applying Truncation at the Member Level]]+Age_Sex22[[#This Row],[Total Dollars Excluded from Spending After Applying Truncation at the Member Level]]=Age_Sex22[[#This Row],[Total Spending before Truncation is Applied]]</f>
        <v>1</v>
      </c>
    </row>
    <row r="455" spans="1:10" x14ac:dyDescent="0.25">
      <c r="A455" s="386"/>
      <c r="B455" s="310"/>
      <c r="C455" s="311"/>
      <c r="D455" s="518"/>
      <c r="E455" s="409"/>
      <c r="F455" s="312"/>
      <c r="G455" s="522"/>
      <c r="H455" s="312"/>
      <c r="I455" s="455"/>
      <c r="J455" s="271" t="b">
        <f>Age_Sex22[[#This Row],[Total Spending After Applying Truncation at the Member Level]]+Age_Sex22[[#This Row],[Total Dollars Excluded from Spending After Applying Truncation at the Member Level]]=Age_Sex22[[#This Row],[Total Spending before Truncation is Applied]]</f>
        <v>1</v>
      </c>
    </row>
    <row r="456" spans="1:10" x14ac:dyDescent="0.25">
      <c r="A456" s="389"/>
      <c r="B456" s="4"/>
      <c r="C456" s="16"/>
      <c r="D456" s="519"/>
      <c r="E456" s="410"/>
      <c r="F456" s="313"/>
      <c r="G456" s="256"/>
      <c r="H456" s="313"/>
      <c r="I456" s="456"/>
      <c r="J456" s="271" t="b">
        <f>Age_Sex22[[#This Row],[Total Spending After Applying Truncation at the Member Level]]+Age_Sex22[[#This Row],[Total Dollars Excluded from Spending After Applying Truncation at the Member Level]]=Age_Sex22[[#This Row],[Total Spending before Truncation is Applied]]</f>
        <v>1</v>
      </c>
    </row>
    <row r="457" spans="1:10" x14ac:dyDescent="0.25">
      <c r="A457" s="386"/>
      <c r="B457" s="310"/>
      <c r="C457" s="311"/>
      <c r="D457" s="518"/>
      <c r="E457" s="409"/>
      <c r="F457" s="312"/>
      <c r="G457" s="522"/>
      <c r="H457" s="312"/>
      <c r="I457" s="455"/>
      <c r="J457" s="271" t="b">
        <f>Age_Sex22[[#This Row],[Total Spending After Applying Truncation at the Member Level]]+Age_Sex22[[#This Row],[Total Dollars Excluded from Spending After Applying Truncation at the Member Level]]=Age_Sex22[[#This Row],[Total Spending before Truncation is Applied]]</f>
        <v>1</v>
      </c>
    </row>
    <row r="458" spans="1:10" x14ac:dyDescent="0.25">
      <c r="A458" s="389"/>
      <c r="B458" s="4"/>
      <c r="C458" s="16"/>
      <c r="D458" s="519"/>
      <c r="E458" s="410"/>
      <c r="F458" s="313"/>
      <c r="G458" s="256"/>
      <c r="H458" s="313"/>
      <c r="I458" s="456"/>
      <c r="J458" s="271" t="b">
        <f>Age_Sex22[[#This Row],[Total Spending After Applying Truncation at the Member Level]]+Age_Sex22[[#This Row],[Total Dollars Excluded from Spending After Applying Truncation at the Member Level]]=Age_Sex22[[#This Row],[Total Spending before Truncation is Applied]]</f>
        <v>1</v>
      </c>
    </row>
    <row r="459" spans="1:10" x14ac:dyDescent="0.25">
      <c r="A459" s="386"/>
      <c r="B459" s="310"/>
      <c r="C459" s="311"/>
      <c r="D459" s="518"/>
      <c r="E459" s="409"/>
      <c r="F459" s="312"/>
      <c r="G459" s="522"/>
      <c r="H459" s="312"/>
      <c r="I459" s="455"/>
      <c r="J459" s="271" t="b">
        <f>Age_Sex22[[#This Row],[Total Spending After Applying Truncation at the Member Level]]+Age_Sex22[[#This Row],[Total Dollars Excluded from Spending After Applying Truncation at the Member Level]]=Age_Sex22[[#This Row],[Total Spending before Truncation is Applied]]</f>
        <v>1</v>
      </c>
    </row>
    <row r="460" spans="1:10" x14ac:dyDescent="0.25">
      <c r="A460" s="389"/>
      <c r="B460" s="4"/>
      <c r="C460" s="16"/>
      <c r="D460" s="519"/>
      <c r="E460" s="410"/>
      <c r="F460" s="313"/>
      <c r="G460" s="256"/>
      <c r="H460" s="313"/>
      <c r="I460" s="456"/>
      <c r="J460" s="271" t="b">
        <f>Age_Sex22[[#This Row],[Total Spending After Applying Truncation at the Member Level]]+Age_Sex22[[#This Row],[Total Dollars Excluded from Spending After Applying Truncation at the Member Level]]=Age_Sex22[[#This Row],[Total Spending before Truncation is Applied]]</f>
        <v>1</v>
      </c>
    </row>
    <row r="461" spans="1:10" x14ac:dyDescent="0.25">
      <c r="A461" s="386"/>
      <c r="B461" s="310"/>
      <c r="C461" s="311"/>
      <c r="D461" s="518"/>
      <c r="E461" s="409"/>
      <c r="F461" s="312"/>
      <c r="G461" s="522"/>
      <c r="H461" s="312"/>
      <c r="I461" s="455"/>
      <c r="J461" s="271" t="b">
        <f>Age_Sex22[[#This Row],[Total Spending After Applying Truncation at the Member Level]]+Age_Sex22[[#This Row],[Total Dollars Excluded from Spending After Applying Truncation at the Member Level]]=Age_Sex22[[#This Row],[Total Spending before Truncation is Applied]]</f>
        <v>1</v>
      </c>
    </row>
    <row r="462" spans="1:10" x14ac:dyDescent="0.25">
      <c r="A462" s="389"/>
      <c r="B462" s="4"/>
      <c r="C462" s="16"/>
      <c r="D462" s="519"/>
      <c r="E462" s="410"/>
      <c r="F462" s="313"/>
      <c r="G462" s="256"/>
      <c r="H462" s="313"/>
      <c r="I462" s="456"/>
      <c r="J462" s="271" t="b">
        <f>Age_Sex22[[#This Row],[Total Spending After Applying Truncation at the Member Level]]+Age_Sex22[[#This Row],[Total Dollars Excluded from Spending After Applying Truncation at the Member Level]]=Age_Sex22[[#This Row],[Total Spending before Truncation is Applied]]</f>
        <v>1</v>
      </c>
    </row>
    <row r="463" spans="1:10" x14ac:dyDescent="0.25">
      <c r="A463" s="386"/>
      <c r="B463" s="310"/>
      <c r="C463" s="311"/>
      <c r="D463" s="518"/>
      <c r="E463" s="409"/>
      <c r="F463" s="312"/>
      <c r="G463" s="522"/>
      <c r="H463" s="312"/>
      <c r="I463" s="455"/>
      <c r="J463" s="271" t="b">
        <f>Age_Sex22[[#This Row],[Total Spending After Applying Truncation at the Member Level]]+Age_Sex22[[#This Row],[Total Dollars Excluded from Spending After Applying Truncation at the Member Level]]=Age_Sex22[[#This Row],[Total Spending before Truncation is Applied]]</f>
        <v>1</v>
      </c>
    </row>
    <row r="464" spans="1:10" x14ac:dyDescent="0.25">
      <c r="A464" s="389"/>
      <c r="B464" s="4"/>
      <c r="C464" s="16"/>
      <c r="D464" s="519"/>
      <c r="E464" s="410"/>
      <c r="F464" s="313"/>
      <c r="G464" s="256"/>
      <c r="H464" s="313"/>
      <c r="I464" s="456"/>
      <c r="J464" s="271" t="b">
        <f>Age_Sex22[[#This Row],[Total Spending After Applying Truncation at the Member Level]]+Age_Sex22[[#This Row],[Total Dollars Excluded from Spending After Applying Truncation at the Member Level]]=Age_Sex22[[#This Row],[Total Spending before Truncation is Applied]]</f>
        <v>1</v>
      </c>
    </row>
    <row r="465" spans="1:10" x14ac:dyDescent="0.25">
      <c r="A465" s="386"/>
      <c r="B465" s="310"/>
      <c r="C465" s="311"/>
      <c r="D465" s="518"/>
      <c r="E465" s="409"/>
      <c r="F465" s="312"/>
      <c r="G465" s="522"/>
      <c r="H465" s="312"/>
      <c r="I465" s="455"/>
      <c r="J465" s="271" t="b">
        <f>Age_Sex22[[#This Row],[Total Spending After Applying Truncation at the Member Level]]+Age_Sex22[[#This Row],[Total Dollars Excluded from Spending After Applying Truncation at the Member Level]]=Age_Sex22[[#This Row],[Total Spending before Truncation is Applied]]</f>
        <v>1</v>
      </c>
    </row>
    <row r="466" spans="1:10" x14ac:dyDescent="0.25">
      <c r="A466" s="389"/>
      <c r="B466" s="4"/>
      <c r="C466" s="16"/>
      <c r="D466" s="519"/>
      <c r="E466" s="410"/>
      <c r="F466" s="313"/>
      <c r="G466" s="256"/>
      <c r="H466" s="313"/>
      <c r="I466" s="456"/>
      <c r="J466" s="271" t="b">
        <f>Age_Sex22[[#This Row],[Total Spending After Applying Truncation at the Member Level]]+Age_Sex22[[#This Row],[Total Dollars Excluded from Spending After Applying Truncation at the Member Level]]=Age_Sex22[[#This Row],[Total Spending before Truncation is Applied]]</f>
        <v>1</v>
      </c>
    </row>
    <row r="467" spans="1:10" x14ac:dyDescent="0.25">
      <c r="A467" s="386"/>
      <c r="B467" s="310"/>
      <c r="C467" s="311"/>
      <c r="D467" s="518"/>
      <c r="E467" s="409"/>
      <c r="F467" s="312"/>
      <c r="G467" s="522"/>
      <c r="H467" s="312"/>
      <c r="I467" s="455"/>
      <c r="J467" s="271" t="b">
        <f>Age_Sex22[[#This Row],[Total Spending After Applying Truncation at the Member Level]]+Age_Sex22[[#This Row],[Total Dollars Excluded from Spending After Applying Truncation at the Member Level]]=Age_Sex22[[#This Row],[Total Spending before Truncation is Applied]]</f>
        <v>1</v>
      </c>
    </row>
    <row r="468" spans="1:10" x14ac:dyDescent="0.25">
      <c r="A468" s="389"/>
      <c r="B468" s="4"/>
      <c r="C468" s="16"/>
      <c r="D468" s="519"/>
      <c r="E468" s="410"/>
      <c r="F468" s="313"/>
      <c r="G468" s="256"/>
      <c r="H468" s="313"/>
      <c r="I468" s="456"/>
      <c r="J468" s="271" t="b">
        <f>Age_Sex22[[#This Row],[Total Spending After Applying Truncation at the Member Level]]+Age_Sex22[[#This Row],[Total Dollars Excluded from Spending After Applying Truncation at the Member Level]]=Age_Sex22[[#This Row],[Total Spending before Truncation is Applied]]</f>
        <v>1</v>
      </c>
    </row>
    <row r="469" spans="1:10" x14ac:dyDescent="0.25">
      <c r="A469" s="386"/>
      <c r="B469" s="310"/>
      <c r="C469" s="311"/>
      <c r="D469" s="518"/>
      <c r="E469" s="409"/>
      <c r="F469" s="312"/>
      <c r="G469" s="522"/>
      <c r="H469" s="312"/>
      <c r="I469" s="455"/>
      <c r="J469" s="271" t="b">
        <f>Age_Sex22[[#This Row],[Total Spending After Applying Truncation at the Member Level]]+Age_Sex22[[#This Row],[Total Dollars Excluded from Spending After Applying Truncation at the Member Level]]=Age_Sex22[[#This Row],[Total Spending before Truncation is Applied]]</f>
        <v>1</v>
      </c>
    </row>
    <row r="470" spans="1:10" x14ac:dyDescent="0.25">
      <c r="A470" s="389"/>
      <c r="B470" s="4"/>
      <c r="C470" s="16"/>
      <c r="D470" s="519"/>
      <c r="E470" s="410"/>
      <c r="F470" s="313"/>
      <c r="G470" s="256"/>
      <c r="H470" s="313"/>
      <c r="I470" s="456"/>
      <c r="J470" s="271" t="b">
        <f>Age_Sex22[[#This Row],[Total Spending After Applying Truncation at the Member Level]]+Age_Sex22[[#This Row],[Total Dollars Excluded from Spending After Applying Truncation at the Member Level]]=Age_Sex22[[#This Row],[Total Spending before Truncation is Applied]]</f>
        <v>1</v>
      </c>
    </row>
    <row r="471" spans="1:10" x14ac:dyDescent="0.25">
      <c r="A471" s="386"/>
      <c r="B471" s="310"/>
      <c r="C471" s="311"/>
      <c r="D471" s="518"/>
      <c r="E471" s="409"/>
      <c r="F471" s="312"/>
      <c r="G471" s="522"/>
      <c r="H471" s="312"/>
      <c r="I471" s="455"/>
      <c r="J471" s="271" t="b">
        <f>Age_Sex22[[#This Row],[Total Spending After Applying Truncation at the Member Level]]+Age_Sex22[[#This Row],[Total Dollars Excluded from Spending After Applying Truncation at the Member Level]]=Age_Sex22[[#This Row],[Total Spending before Truncation is Applied]]</f>
        <v>1</v>
      </c>
    </row>
    <row r="472" spans="1:10" x14ac:dyDescent="0.25">
      <c r="A472" s="389"/>
      <c r="B472" s="4"/>
      <c r="C472" s="16"/>
      <c r="D472" s="519"/>
      <c r="E472" s="410"/>
      <c r="F472" s="313"/>
      <c r="G472" s="256"/>
      <c r="H472" s="313"/>
      <c r="I472" s="456"/>
      <c r="J472" s="271" t="b">
        <f>Age_Sex22[[#This Row],[Total Spending After Applying Truncation at the Member Level]]+Age_Sex22[[#This Row],[Total Dollars Excluded from Spending After Applying Truncation at the Member Level]]=Age_Sex22[[#This Row],[Total Spending before Truncation is Applied]]</f>
        <v>1</v>
      </c>
    </row>
    <row r="473" spans="1:10" x14ac:dyDescent="0.25">
      <c r="A473" s="386"/>
      <c r="B473" s="310"/>
      <c r="C473" s="311"/>
      <c r="D473" s="518"/>
      <c r="E473" s="409"/>
      <c r="F473" s="312"/>
      <c r="G473" s="522"/>
      <c r="H473" s="312"/>
      <c r="I473" s="455"/>
      <c r="J473" s="271" t="b">
        <f>Age_Sex22[[#This Row],[Total Spending After Applying Truncation at the Member Level]]+Age_Sex22[[#This Row],[Total Dollars Excluded from Spending After Applying Truncation at the Member Level]]=Age_Sex22[[#This Row],[Total Spending before Truncation is Applied]]</f>
        <v>1</v>
      </c>
    </row>
    <row r="474" spans="1:10" x14ac:dyDescent="0.25">
      <c r="A474" s="389"/>
      <c r="B474" s="4"/>
      <c r="C474" s="16"/>
      <c r="D474" s="519"/>
      <c r="E474" s="410"/>
      <c r="F474" s="313"/>
      <c r="G474" s="256"/>
      <c r="H474" s="313"/>
      <c r="I474" s="456"/>
      <c r="J474" s="271" t="b">
        <f>Age_Sex22[[#This Row],[Total Spending After Applying Truncation at the Member Level]]+Age_Sex22[[#This Row],[Total Dollars Excluded from Spending After Applying Truncation at the Member Level]]=Age_Sex22[[#This Row],[Total Spending before Truncation is Applied]]</f>
        <v>1</v>
      </c>
    </row>
    <row r="475" spans="1:10" x14ac:dyDescent="0.25">
      <c r="A475" s="386"/>
      <c r="B475" s="310"/>
      <c r="C475" s="311"/>
      <c r="D475" s="518"/>
      <c r="E475" s="409"/>
      <c r="F475" s="312"/>
      <c r="G475" s="522"/>
      <c r="H475" s="312"/>
      <c r="I475" s="455"/>
      <c r="J475" s="271" t="b">
        <f>Age_Sex22[[#This Row],[Total Spending After Applying Truncation at the Member Level]]+Age_Sex22[[#This Row],[Total Dollars Excluded from Spending After Applying Truncation at the Member Level]]=Age_Sex22[[#This Row],[Total Spending before Truncation is Applied]]</f>
        <v>1</v>
      </c>
    </row>
    <row r="476" spans="1:10" x14ac:dyDescent="0.25">
      <c r="A476" s="389"/>
      <c r="B476" s="4"/>
      <c r="C476" s="16"/>
      <c r="D476" s="519"/>
      <c r="E476" s="410"/>
      <c r="F476" s="313"/>
      <c r="G476" s="256"/>
      <c r="H476" s="313"/>
      <c r="I476" s="456"/>
      <c r="J476" s="271" t="b">
        <f>Age_Sex22[[#This Row],[Total Spending After Applying Truncation at the Member Level]]+Age_Sex22[[#This Row],[Total Dollars Excluded from Spending After Applying Truncation at the Member Level]]=Age_Sex22[[#This Row],[Total Spending before Truncation is Applied]]</f>
        <v>1</v>
      </c>
    </row>
    <row r="477" spans="1:10" x14ac:dyDescent="0.25">
      <c r="A477" s="386"/>
      <c r="B477" s="310"/>
      <c r="C477" s="311"/>
      <c r="D477" s="518"/>
      <c r="E477" s="409"/>
      <c r="F477" s="312"/>
      <c r="G477" s="522"/>
      <c r="H477" s="312"/>
      <c r="I477" s="455"/>
      <c r="J477" s="271" t="b">
        <f>Age_Sex22[[#This Row],[Total Spending After Applying Truncation at the Member Level]]+Age_Sex22[[#This Row],[Total Dollars Excluded from Spending After Applying Truncation at the Member Level]]=Age_Sex22[[#This Row],[Total Spending before Truncation is Applied]]</f>
        <v>1</v>
      </c>
    </row>
    <row r="478" spans="1:10" x14ac:dyDescent="0.25">
      <c r="A478" s="389"/>
      <c r="B478" s="4"/>
      <c r="C478" s="16"/>
      <c r="D478" s="519"/>
      <c r="E478" s="410"/>
      <c r="F478" s="313"/>
      <c r="G478" s="256"/>
      <c r="H478" s="313"/>
      <c r="I478" s="456"/>
      <c r="J478" s="271" t="b">
        <f>Age_Sex22[[#This Row],[Total Spending After Applying Truncation at the Member Level]]+Age_Sex22[[#This Row],[Total Dollars Excluded from Spending After Applying Truncation at the Member Level]]=Age_Sex22[[#This Row],[Total Spending before Truncation is Applied]]</f>
        <v>1</v>
      </c>
    </row>
    <row r="479" spans="1:10" x14ac:dyDescent="0.25">
      <c r="A479" s="386"/>
      <c r="B479" s="310"/>
      <c r="C479" s="311"/>
      <c r="D479" s="518"/>
      <c r="E479" s="409"/>
      <c r="F479" s="312"/>
      <c r="G479" s="522"/>
      <c r="H479" s="312"/>
      <c r="I479" s="455"/>
      <c r="J479" s="271" t="b">
        <f>Age_Sex22[[#This Row],[Total Spending After Applying Truncation at the Member Level]]+Age_Sex22[[#This Row],[Total Dollars Excluded from Spending After Applying Truncation at the Member Level]]=Age_Sex22[[#This Row],[Total Spending before Truncation is Applied]]</f>
        <v>1</v>
      </c>
    </row>
    <row r="480" spans="1:10" x14ac:dyDescent="0.25">
      <c r="A480" s="389"/>
      <c r="B480" s="4"/>
      <c r="C480" s="16"/>
      <c r="D480" s="519"/>
      <c r="E480" s="410"/>
      <c r="F480" s="313"/>
      <c r="G480" s="256"/>
      <c r="H480" s="313"/>
      <c r="I480" s="456"/>
      <c r="J480" s="271" t="b">
        <f>Age_Sex22[[#This Row],[Total Spending After Applying Truncation at the Member Level]]+Age_Sex22[[#This Row],[Total Dollars Excluded from Spending After Applying Truncation at the Member Level]]=Age_Sex22[[#This Row],[Total Spending before Truncation is Applied]]</f>
        <v>1</v>
      </c>
    </row>
    <row r="481" spans="1:10" x14ac:dyDescent="0.25">
      <c r="A481" s="386"/>
      <c r="B481" s="310"/>
      <c r="C481" s="311"/>
      <c r="D481" s="518"/>
      <c r="E481" s="409"/>
      <c r="F481" s="312"/>
      <c r="G481" s="522"/>
      <c r="H481" s="312"/>
      <c r="I481" s="455"/>
      <c r="J481" s="271" t="b">
        <f>Age_Sex22[[#This Row],[Total Spending After Applying Truncation at the Member Level]]+Age_Sex22[[#This Row],[Total Dollars Excluded from Spending After Applying Truncation at the Member Level]]=Age_Sex22[[#This Row],[Total Spending before Truncation is Applied]]</f>
        <v>1</v>
      </c>
    </row>
    <row r="482" spans="1:10" x14ac:dyDescent="0.25">
      <c r="A482" s="389"/>
      <c r="B482" s="4"/>
      <c r="C482" s="16"/>
      <c r="D482" s="519"/>
      <c r="E482" s="410"/>
      <c r="F482" s="313"/>
      <c r="G482" s="256"/>
      <c r="H482" s="313"/>
      <c r="I482" s="456"/>
      <c r="J482" s="271" t="b">
        <f>Age_Sex22[[#This Row],[Total Spending After Applying Truncation at the Member Level]]+Age_Sex22[[#This Row],[Total Dollars Excluded from Spending After Applying Truncation at the Member Level]]=Age_Sex22[[#This Row],[Total Spending before Truncation is Applied]]</f>
        <v>1</v>
      </c>
    </row>
    <row r="483" spans="1:10" x14ac:dyDescent="0.25">
      <c r="A483" s="386"/>
      <c r="B483" s="310"/>
      <c r="C483" s="311"/>
      <c r="D483" s="518"/>
      <c r="E483" s="409"/>
      <c r="F483" s="312"/>
      <c r="G483" s="522"/>
      <c r="H483" s="312"/>
      <c r="I483" s="455"/>
      <c r="J483" s="271" t="b">
        <f>Age_Sex22[[#This Row],[Total Spending After Applying Truncation at the Member Level]]+Age_Sex22[[#This Row],[Total Dollars Excluded from Spending After Applying Truncation at the Member Level]]=Age_Sex22[[#This Row],[Total Spending before Truncation is Applied]]</f>
        <v>1</v>
      </c>
    </row>
    <row r="484" spans="1:10" x14ac:dyDescent="0.25">
      <c r="A484" s="389"/>
      <c r="B484" s="4"/>
      <c r="C484" s="16"/>
      <c r="D484" s="519"/>
      <c r="E484" s="410"/>
      <c r="F484" s="313"/>
      <c r="G484" s="256"/>
      <c r="H484" s="313"/>
      <c r="I484" s="456"/>
      <c r="J484" s="271" t="b">
        <f>Age_Sex22[[#This Row],[Total Spending After Applying Truncation at the Member Level]]+Age_Sex22[[#This Row],[Total Dollars Excluded from Spending After Applying Truncation at the Member Level]]=Age_Sex22[[#This Row],[Total Spending before Truncation is Applied]]</f>
        <v>1</v>
      </c>
    </row>
    <row r="485" spans="1:10" x14ac:dyDescent="0.25">
      <c r="A485" s="386"/>
      <c r="B485" s="310"/>
      <c r="C485" s="311"/>
      <c r="D485" s="518"/>
      <c r="E485" s="409"/>
      <c r="F485" s="312"/>
      <c r="G485" s="522"/>
      <c r="H485" s="312"/>
      <c r="I485" s="455"/>
      <c r="J485" s="271" t="b">
        <f>Age_Sex22[[#This Row],[Total Spending After Applying Truncation at the Member Level]]+Age_Sex22[[#This Row],[Total Dollars Excluded from Spending After Applying Truncation at the Member Level]]=Age_Sex22[[#This Row],[Total Spending before Truncation is Applied]]</f>
        <v>1</v>
      </c>
    </row>
    <row r="486" spans="1:10" x14ac:dyDescent="0.25">
      <c r="A486" s="389"/>
      <c r="B486" s="4"/>
      <c r="C486" s="16"/>
      <c r="D486" s="519"/>
      <c r="E486" s="410"/>
      <c r="F486" s="313"/>
      <c r="G486" s="256"/>
      <c r="H486" s="313"/>
      <c r="I486" s="456"/>
      <c r="J486" s="271" t="b">
        <f>Age_Sex22[[#This Row],[Total Spending After Applying Truncation at the Member Level]]+Age_Sex22[[#This Row],[Total Dollars Excluded from Spending After Applying Truncation at the Member Level]]=Age_Sex22[[#This Row],[Total Spending before Truncation is Applied]]</f>
        <v>1</v>
      </c>
    </row>
    <row r="487" spans="1:10" x14ac:dyDescent="0.25">
      <c r="A487" s="386"/>
      <c r="B487" s="310"/>
      <c r="C487" s="311"/>
      <c r="D487" s="518"/>
      <c r="E487" s="409"/>
      <c r="F487" s="312"/>
      <c r="G487" s="522"/>
      <c r="H487" s="312"/>
      <c r="I487" s="455"/>
      <c r="J487" s="271" t="b">
        <f>Age_Sex22[[#This Row],[Total Spending After Applying Truncation at the Member Level]]+Age_Sex22[[#This Row],[Total Dollars Excluded from Spending After Applying Truncation at the Member Level]]=Age_Sex22[[#This Row],[Total Spending before Truncation is Applied]]</f>
        <v>1</v>
      </c>
    </row>
    <row r="488" spans="1:10" x14ac:dyDescent="0.25">
      <c r="A488" s="389"/>
      <c r="B488" s="4"/>
      <c r="C488" s="16"/>
      <c r="D488" s="519"/>
      <c r="E488" s="410"/>
      <c r="F488" s="313"/>
      <c r="G488" s="256"/>
      <c r="H488" s="313"/>
      <c r="I488" s="456"/>
      <c r="J488" s="271" t="b">
        <f>Age_Sex22[[#This Row],[Total Spending After Applying Truncation at the Member Level]]+Age_Sex22[[#This Row],[Total Dollars Excluded from Spending After Applying Truncation at the Member Level]]=Age_Sex22[[#This Row],[Total Spending before Truncation is Applied]]</f>
        <v>1</v>
      </c>
    </row>
    <row r="489" spans="1:10" x14ac:dyDescent="0.25">
      <c r="A489" s="386"/>
      <c r="B489" s="310"/>
      <c r="C489" s="311"/>
      <c r="D489" s="518"/>
      <c r="E489" s="409"/>
      <c r="F489" s="312"/>
      <c r="G489" s="522"/>
      <c r="H489" s="312"/>
      <c r="I489" s="455"/>
      <c r="J489" s="271" t="b">
        <f>Age_Sex22[[#This Row],[Total Spending After Applying Truncation at the Member Level]]+Age_Sex22[[#This Row],[Total Dollars Excluded from Spending After Applying Truncation at the Member Level]]=Age_Sex22[[#This Row],[Total Spending before Truncation is Applied]]</f>
        <v>1</v>
      </c>
    </row>
    <row r="490" spans="1:10" x14ac:dyDescent="0.25">
      <c r="A490" s="389"/>
      <c r="B490" s="4"/>
      <c r="C490" s="16"/>
      <c r="D490" s="519"/>
      <c r="E490" s="410"/>
      <c r="F490" s="313"/>
      <c r="G490" s="256"/>
      <c r="H490" s="313"/>
      <c r="I490" s="456"/>
      <c r="J490" s="271" t="b">
        <f>Age_Sex22[[#This Row],[Total Spending After Applying Truncation at the Member Level]]+Age_Sex22[[#This Row],[Total Dollars Excluded from Spending After Applying Truncation at the Member Level]]=Age_Sex22[[#This Row],[Total Spending before Truncation is Applied]]</f>
        <v>1</v>
      </c>
    </row>
    <row r="491" spans="1:10" x14ac:dyDescent="0.25">
      <c r="A491" s="386"/>
      <c r="B491" s="310"/>
      <c r="C491" s="311"/>
      <c r="D491" s="518"/>
      <c r="E491" s="409"/>
      <c r="F491" s="312"/>
      <c r="G491" s="522"/>
      <c r="H491" s="312"/>
      <c r="I491" s="455"/>
      <c r="J491" s="271" t="b">
        <f>Age_Sex22[[#This Row],[Total Spending After Applying Truncation at the Member Level]]+Age_Sex22[[#This Row],[Total Dollars Excluded from Spending After Applying Truncation at the Member Level]]=Age_Sex22[[#This Row],[Total Spending before Truncation is Applied]]</f>
        <v>1</v>
      </c>
    </row>
    <row r="492" spans="1:10" x14ac:dyDescent="0.25">
      <c r="A492" s="389"/>
      <c r="B492" s="4"/>
      <c r="C492" s="16"/>
      <c r="D492" s="519"/>
      <c r="E492" s="410"/>
      <c r="F492" s="313"/>
      <c r="G492" s="256"/>
      <c r="H492" s="313"/>
      <c r="I492" s="456"/>
      <c r="J492" s="271" t="b">
        <f>Age_Sex22[[#This Row],[Total Spending After Applying Truncation at the Member Level]]+Age_Sex22[[#This Row],[Total Dollars Excluded from Spending After Applying Truncation at the Member Level]]=Age_Sex22[[#This Row],[Total Spending before Truncation is Applied]]</f>
        <v>1</v>
      </c>
    </row>
    <row r="493" spans="1:10" x14ac:dyDescent="0.25">
      <c r="A493" s="386"/>
      <c r="B493" s="310"/>
      <c r="C493" s="311"/>
      <c r="D493" s="518"/>
      <c r="E493" s="409"/>
      <c r="F493" s="312"/>
      <c r="G493" s="522"/>
      <c r="H493" s="312"/>
      <c r="I493" s="455"/>
      <c r="J493" s="271" t="b">
        <f>Age_Sex22[[#This Row],[Total Spending After Applying Truncation at the Member Level]]+Age_Sex22[[#This Row],[Total Dollars Excluded from Spending After Applying Truncation at the Member Level]]=Age_Sex22[[#This Row],[Total Spending before Truncation is Applied]]</f>
        <v>1</v>
      </c>
    </row>
    <row r="494" spans="1:10" x14ac:dyDescent="0.25">
      <c r="A494" s="389"/>
      <c r="B494" s="4"/>
      <c r="C494" s="16"/>
      <c r="D494" s="519"/>
      <c r="E494" s="410"/>
      <c r="F494" s="313"/>
      <c r="G494" s="256"/>
      <c r="H494" s="313"/>
      <c r="I494" s="456"/>
      <c r="J494" s="271" t="b">
        <f>Age_Sex22[[#This Row],[Total Spending After Applying Truncation at the Member Level]]+Age_Sex22[[#This Row],[Total Dollars Excluded from Spending After Applying Truncation at the Member Level]]=Age_Sex22[[#This Row],[Total Spending before Truncation is Applied]]</f>
        <v>1</v>
      </c>
    </row>
    <row r="495" spans="1:10" x14ac:dyDescent="0.25">
      <c r="A495" s="386"/>
      <c r="B495" s="310"/>
      <c r="C495" s="311"/>
      <c r="D495" s="518"/>
      <c r="E495" s="409"/>
      <c r="F495" s="312"/>
      <c r="G495" s="522"/>
      <c r="H495" s="312"/>
      <c r="I495" s="455"/>
      <c r="J495" s="271" t="b">
        <f>Age_Sex22[[#This Row],[Total Spending After Applying Truncation at the Member Level]]+Age_Sex22[[#This Row],[Total Dollars Excluded from Spending After Applying Truncation at the Member Level]]=Age_Sex22[[#This Row],[Total Spending before Truncation is Applied]]</f>
        <v>1</v>
      </c>
    </row>
    <row r="496" spans="1:10" x14ac:dyDescent="0.25">
      <c r="A496" s="389"/>
      <c r="B496" s="4"/>
      <c r="C496" s="16"/>
      <c r="D496" s="519"/>
      <c r="E496" s="410"/>
      <c r="F496" s="313"/>
      <c r="G496" s="256"/>
      <c r="H496" s="313"/>
      <c r="I496" s="456"/>
      <c r="J496" s="271" t="b">
        <f>Age_Sex22[[#This Row],[Total Spending After Applying Truncation at the Member Level]]+Age_Sex22[[#This Row],[Total Dollars Excluded from Spending After Applying Truncation at the Member Level]]=Age_Sex22[[#This Row],[Total Spending before Truncation is Applied]]</f>
        <v>1</v>
      </c>
    </row>
    <row r="497" spans="1:10" x14ac:dyDescent="0.25">
      <c r="A497" s="386"/>
      <c r="B497" s="310"/>
      <c r="C497" s="311"/>
      <c r="D497" s="518"/>
      <c r="E497" s="409"/>
      <c r="F497" s="312"/>
      <c r="G497" s="522"/>
      <c r="H497" s="312"/>
      <c r="I497" s="455"/>
      <c r="J497" s="271" t="b">
        <f>Age_Sex22[[#This Row],[Total Spending After Applying Truncation at the Member Level]]+Age_Sex22[[#This Row],[Total Dollars Excluded from Spending After Applying Truncation at the Member Level]]=Age_Sex22[[#This Row],[Total Spending before Truncation is Applied]]</f>
        <v>1</v>
      </c>
    </row>
    <row r="498" spans="1:10" x14ac:dyDescent="0.25">
      <c r="A498" s="389"/>
      <c r="B498" s="4"/>
      <c r="C498" s="16"/>
      <c r="D498" s="519"/>
      <c r="E498" s="410"/>
      <c r="F498" s="313"/>
      <c r="G498" s="256"/>
      <c r="H498" s="313"/>
      <c r="I498" s="456"/>
      <c r="J498" s="271" t="b">
        <f>Age_Sex22[[#This Row],[Total Spending After Applying Truncation at the Member Level]]+Age_Sex22[[#This Row],[Total Dollars Excluded from Spending After Applying Truncation at the Member Level]]=Age_Sex22[[#This Row],[Total Spending before Truncation is Applied]]</f>
        <v>1</v>
      </c>
    </row>
    <row r="499" spans="1:10" x14ac:dyDescent="0.25">
      <c r="A499" s="386"/>
      <c r="B499" s="310"/>
      <c r="C499" s="311"/>
      <c r="D499" s="518"/>
      <c r="E499" s="409"/>
      <c r="F499" s="312"/>
      <c r="G499" s="522"/>
      <c r="H499" s="312"/>
      <c r="I499" s="455"/>
      <c r="J499" s="271" t="b">
        <f>Age_Sex22[[#This Row],[Total Spending After Applying Truncation at the Member Level]]+Age_Sex22[[#This Row],[Total Dollars Excluded from Spending After Applying Truncation at the Member Level]]=Age_Sex22[[#This Row],[Total Spending before Truncation is Applied]]</f>
        <v>1</v>
      </c>
    </row>
    <row r="500" spans="1:10" x14ac:dyDescent="0.25">
      <c r="A500" s="389"/>
      <c r="B500" s="4"/>
      <c r="C500" s="16"/>
      <c r="D500" s="519"/>
      <c r="E500" s="410"/>
      <c r="F500" s="313"/>
      <c r="G500" s="256"/>
      <c r="H500" s="313"/>
      <c r="I500" s="456"/>
      <c r="J500" s="271" t="b">
        <f>Age_Sex22[[#This Row],[Total Spending After Applying Truncation at the Member Level]]+Age_Sex22[[#This Row],[Total Dollars Excluded from Spending After Applying Truncation at the Member Level]]=Age_Sex22[[#This Row],[Total Spending before Truncation is Applied]]</f>
        <v>1</v>
      </c>
    </row>
    <row r="501" spans="1:10" x14ac:dyDescent="0.25">
      <c r="A501" s="386"/>
      <c r="B501" s="310"/>
      <c r="C501" s="311"/>
      <c r="D501" s="518"/>
      <c r="E501" s="409"/>
      <c r="F501" s="312"/>
      <c r="G501" s="522"/>
      <c r="H501" s="312"/>
      <c r="I501" s="455"/>
      <c r="J501" s="271" t="b">
        <f>Age_Sex22[[#This Row],[Total Spending After Applying Truncation at the Member Level]]+Age_Sex22[[#This Row],[Total Dollars Excluded from Spending After Applying Truncation at the Member Level]]=Age_Sex22[[#This Row],[Total Spending before Truncation is Applied]]</f>
        <v>1</v>
      </c>
    </row>
    <row r="502" spans="1:10" x14ac:dyDescent="0.25">
      <c r="A502" s="389"/>
      <c r="B502" s="4"/>
      <c r="C502" s="16"/>
      <c r="D502" s="519"/>
      <c r="E502" s="410"/>
      <c r="F502" s="313"/>
      <c r="G502" s="256"/>
      <c r="H502" s="313"/>
      <c r="I502" s="456"/>
      <c r="J502" s="271" t="b">
        <f>Age_Sex22[[#This Row],[Total Spending After Applying Truncation at the Member Level]]+Age_Sex22[[#This Row],[Total Dollars Excluded from Spending After Applying Truncation at the Member Level]]=Age_Sex22[[#This Row],[Total Spending before Truncation is Applied]]</f>
        <v>1</v>
      </c>
    </row>
    <row r="503" spans="1:10" x14ac:dyDescent="0.25">
      <c r="A503" s="386"/>
      <c r="B503" s="310"/>
      <c r="C503" s="311"/>
      <c r="D503" s="518"/>
      <c r="E503" s="409"/>
      <c r="F503" s="312"/>
      <c r="G503" s="522"/>
      <c r="H503" s="312"/>
      <c r="I503" s="455"/>
      <c r="J503" s="271" t="b">
        <f>Age_Sex22[[#This Row],[Total Spending After Applying Truncation at the Member Level]]+Age_Sex22[[#This Row],[Total Dollars Excluded from Spending After Applying Truncation at the Member Level]]=Age_Sex22[[#This Row],[Total Spending before Truncation is Applied]]</f>
        <v>1</v>
      </c>
    </row>
    <row r="504" spans="1:10" x14ac:dyDescent="0.25">
      <c r="A504" s="389"/>
      <c r="B504" s="4"/>
      <c r="C504" s="16"/>
      <c r="D504" s="519"/>
      <c r="E504" s="410"/>
      <c r="F504" s="313"/>
      <c r="G504" s="256"/>
      <c r="H504" s="313"/>
      <c r="I504" s="456"/>
      <c r="J504" s="271" t="b">
        <f>Age_Sex22[[#This Row],[Total Spending After Applying Truncation at the Member Level]]+Age_Sex22[[#This Row],[Total Dollars Excluded from Spending After Applying Truncation at the Member Level]]=Age_Sex22[[#This Row],[Total Spending before Truncation is Applied]]</f>
        <v>1</v>
      </c>
    </row>
    <row r="505" spans="1:10" x14ac:dyDescent="0.25">
      <c r="A505" s="386"/>
      <c r="B505" s="310"/>
      <c r="C505" s="311"/>
      <c r="D505" s="518"/>
      <c r="E505" s="409"/>
      <c r="F505" s="312"/>
      <c r="G505" s="522"/>
      <c r="H505" s="312"/>
      <c r="I505" s="455"/>
      <c r="J505" s="271" t="b">
        <f>Age_Sex22[[#This Row],[Total Spending After Applying Truncation at the Member Level]]+Age_Sex22[[#This Row],[Total Dollars Excluded from Spending After Applying Truncation at the Member Level]]=Age_Sex22[[#This Row],[Total Spending before Truncation is Applied]]</f>
        <v>1</v>
      </c>
    </row>
    <row r="506" spans="1:10" x14ac:dyDescent="0.25">
      <c r="A506" s="389"/>
      <c r="B506" s="4"/>
      <c r="C506" s="16"/>
      <c r="D506" s="519"/>
      <c r="E506" s="410"/>
      <c r="F506" s="313"/>
      <c r="G506" s="256"/>
      <c r="H506" s="313"/>
      <c r="I506" s="456"/>
      <c r="J506" s="271" t="b">
        <f>Age_Sex22[[#This Row],[Total Spending After Applying Truncation at the Member Level]]+Age_Sex22[[#This Row],[Total Dollars Excluded from Spending After Applying Truncation at the Member Level]]=Age_Sex22[[#This Row],[Total Spending before Truncation is Applied]]</f>
        <v>1</v>
      </c>
    </row>
    <row r="507" spans="1:10" x14ac:dyDescent="0.25">
      <c r="A507" s="386"/>
      <c r="B507" s="310"/>
      <c r="C507" s="311"/>
      <c r="D507" s="518"/>
      <c r="E507" s="409"/>
      <c r="F507" s="312"/>
      <c r="G507" s="522"/>
      <c r="H507" s="312"/>
      <c r="I507" s="455"/>
      <c r="J507" s="271" t="b">
        <f>Age_Sex22[[#This Row],[Total Spending After Applying Truncation at the Member Level]]+Age_Sex22[[#This Row],[Total Dollars Excluded from Spending After Applying Truncation at the Member Level]]=Age_Sex22[[#This Row],[Total Spending before Truncation is Applied]]</f>
        <v>1</v>
      </c>
    </row>
    <row r="508" spans="1:10" x14ac:dyDescent="0.25">
      <c r="A508" s="389"/>
      <c r="B508" s="4"/>
      <c r="C508" s="16"/>
      <c r="D508" s="519"/>
      <c r="E508" s="410"/>
      <c r="F508" s="313"/>
      <c r="G508" s="256"/>
      <c r="H508" s="313"/>
      <c r="I508" s="456"/>
      <c r="J508" s="271" t="b">
        <f>Age_Sex22[[#This Row],[Total Spending After Applying Truncation at the Member Level]]+Age_Sex22[[#This Row],[Total Dollars Excluded from Spending After Applying Truncation at the Member Level]]=Age_Sex22[[#This Row],[Total Spending before Truncation is Applied]]</f>
        <v>1</v>
      </c>
    </row>
    <row r="509" spans="1:10" x14ac:dyDescent="0.25">
      <c r="A509" s="386"/>
      <c r="B509" s="310"/>
      <c r="C509" s="311"/>
      <c r="D509" s="518"/>
      <c r="E509" s="409"/>
      <c r="F509" s="312"/>
      <c r="G509" s="522"/>
      <c r="H509" s="312"/>
      <c r="I509" s="455"/>
      <c r="J509" s="271" t="b">
        <f>Age_Sex22[[#This Row],[Total Spending After Applying Truncation at the Member Level]]+Age_Sex22[[#This Row],[Total Dollars Excluded from Spending After Applying Truncation at the Member Level]]=Age_Sex22[[#This Row],[Total Spending before Truncation is Applied]]</f>
        <v>1</v>
      </c>
    </row>
    <row r="510" spans="1:10" x14ac:dyDescent="0.25">
      <c r="A510" s="389"/>
      <c r="B510" s="4"/>
      <c r="C510" s="16"/>
      <c r="D510" s="519"/>
      <c r="E510" s="410"/>
      <c r="F510" s="313"/>
      <c r="G510" s="256"/>
      <c r="H510" s="313"/>
      <c r="I510" s="456"/>
      <c r="J510" s="271" t="b">
        <f>Age_Sex22[[#This Row],[Total Spending After Applying Truncation at the Member Level]]+Age_Sex22[[#This Row],[Total Dollars Excluded from Spending After Applying Truncation at the Member Level]]=Age_Sex22[[#This Row],[Total Spending before Truncation is Applied]]</f>
        <v>1</v>
      </c>
    </row>
    <row r="511" spans="1:10" x14ac:dyDescent="0.25">
      <c r="A511" s="386"/>
      <c r="B511" s="310"/>
      <c r="C511" s="311"/>
      <c r="D511" s="518"/>
      <c r="E511" s="409"/>
      <c r="F511" s="312"/>
      <c r="G511" s="522"/>
      <c r="H511" s="312"/>
      <c r="I511" s="455"/>
      <c r="J511" s="271" t="b">
        <f>Age_Sex22[[#This Row],[Total Spending After Applying Truncation at the Member Level]]+Age_Sex22[[#This Row],[Total Dollars Excluded from Spending After Applying Truncation at the Member Level]]=Age_Sex22[[#This Row],[Total Spending before Truncation is Applied]]</f>
        <v>1</v>
      </c>
    </row>
    <row r="512" spans="1:10" x14ac:dyDescent="0.25">
      <c r="A512" s="389"/>
      <c r="B512" s="4"/>
      <c r="C512" s="16"/>
      <c r="D512" s="519"/>
      <c r="E512" s="410"/>
      <c r="F512" s="313"/>
      <c r="G512" s="256"/>
      <c r="H512" s="313"/>
      <c r="I512" s="456"/>
      <c r="J512" s="271" t="b">
        <f>Age_Sex22[[#This Row],[Total Spending After Applying Truncation at the Member Level]]+Age_Sex22[[#This Row],[Total Dollars Excluded from Spending After Applying Truncation at the Member Level]]=Age_Sex22[[#This Row],[Total Spending before Truncation is Applied]]</f>
        <v>1</v>
      </c>
    </row>
    <row r="513" spans="1:10" x14ac:dyDescent="0.25">
      <c r="A513" s="386"/>
      <c r="B513" s="310"/>
      <c r="C513" s="311"/>
      <c r="D513" s="518"/>
      <c r="E513" s="409"/>
      <c r="F513" s="312"/>
      <c r="G513" s="522"/>
      <c r="H513" s="312"/>
      <c r="I513" s="455"/>
      <c r="J513" s="271" t="b">
        <f>Age_Sex22[[#This Row],[Total Spending After Applying Truncation at the Member Level]]+Age_Sex22[[#This Row],[Total Dollars Excluded from Spending After Applying Truncation at the Member Level]]=Age_Sex22[[#This Row],[Total Spending before Truncation is Applied]]</f>
        <v>1</v>
      </c>
    </row>
    <row r="514" spans="1:10" x14ac:dyDescent="0.25">
      <c r="A514" s="389"/>
      <c r="B514" s="4"/>
      <c r="C514" s="16"/>
      <c r="D514" s="519"/>
      <c r="E514" s="410"/>
      <c r="F514" s="313"/>
      <c r="G514" s="256"/>
      <c r="H514" s="313"/>
      <c r="I514" s="456"/>
      <c r="J514" s="271" t="b">
        <f>Age_Sex22[[#This Row],[Total Spending After Applying Truncation at the Member Level]]+Age_Sex22[[#This Row],[Total Dollars Excluded from Spending After Applying Truncation at the Member Level]]=Age_Sex22[[#This Row],[Total Spending before Truncation is Applied]]</f>
        <v>1</v>
      </c>
    </row>
    <row r="515" spans="1:10" x14ac:dyDescent="0.25">
      <c r="A515" s="386"/>
      <c r="B515" s="310"/>
      <c r="C515" s="311"/>
      <c r="D515" s="518"/>
      <c r="E515" s="409"/>
      <c r="F515" s="312"/>
      <c r="G515" s="522"/>
      <c r="H515" s="312"/>
      <c r="I515" s="455"/>
      <c r="J515" s="271" t="b">
        <f>Age_Sex22[[#This Row],[Total Spending After Applying Truncation at the Member Level]]+Age_Sex22[[#This Row],[Total Dollars Excluded from Spending After Applying Truncation at the Member Level]]=Age_Sex22[[#This Row],[Total Spending before Truncation is Applied]]</f>
        <v>1</v>
      </c>
    </row>
    <row r="516" spans="1:10" x14ac:dyDescent="0.25">
      <c r="A516" s="389"/>
      <c r="B516" s="4"/>
      <c r="C516" s="16"/>
      <c r="D516" s="519"/>
      <c r="E516" s="410"/>
      <c r="F516" s="313"/>
      <c r="G516" s="256"/>
      <c r="H516" s="313"/>
      <c r="I516" s="456"/>
      <c r="J516" s="271" t="b">
        <f>Age_Sex22[[#This Row],[Total Spending After Applying Truncation at the Member Level]]+Age_Sex22[[#This Row],[Total Dollars Excluded from Spending After Applying Truncation at the Member Level]]=Age_Sex22[[#This Row],[Total Spending before Truncation is Applied]]</f>
        <v>1</v>
      </c>
    </row>
    <row r="517" spans="1:10" x14ac:dyDescent="0.25">
      <c r="A517" s="386"/>
      <c r="B517" s="310"/>
      <c r="C517" s="311"/>
      <c r="D517" s="518"/>
      <c r="E517" s="409"/>
      <c r="F517" s="312"/>
      <c r="G517" s="522"/>
      <c r="H517" s="312"/>
      <c r="I517" s="455"/>
      <c r="J517" s="271" t="b">
        <f>Age_Sex22[[#This Row],[Total Spending After Applying Truncation at the Member Level]]+Age_Sex22[[#This Row],[Total Dollars Excluded from Spending After Applying Truncation at the Member Level]]=Age_Sex22[[#This Row],[Total Spending before Truncation is Applied]]</f>
        <v>1</v>
      </c>
    </row>
    <row r="518" spans="1:10" x14ac:dyDescent="0.25">
      <c r="A518" s="389"/>
      <c r="B518" s="4"/>
      <c r="C518" s="16"/>
      <c r="D518" s="519"/>
      <c r="E518" s="410"/>
      <c r="F518" s="313"/>
      <c r="G518" s="256"/>
      <c r="H518" s="313"/>
      <c r="I518" s="456"/>
      <c r="J518" s="271" t="b">
        <f>Age_Sex22[[#This Row],[Total Spending After Applying Truncation at the Member Level]]+Age_Sex22[[#This Row],[Total Dollars Excluded from Spending After Applying Truncation at the Member Level]]=Age_Sex22[[#This Row],[Total Spending before Truncation is Applied]]</f>
        <v>1</v>
      </c>
    </row>
    <row r="519" spans="1:10" x14ac:dyDescent="0.25">
      <c r="A519" s="386"/>
      <c r="B519" s="310"/>
      <c r="C519" s="311"/>
      <c r="D519" s="518"/>
      <c r="E519" s="409"/>
      <c r="F519" s="312"/>
      <c r="G519" s="522"/>
      <c r="H519" s="312"/>
      <c r="I519" s="455"/>
      <c r="J519" s="271" t="b">
        <f>Age_Sex22[[#This Row],[Total Spending After Applying Truncation at the Member Level]]+Age_Sex22[[#This Row],[Total Dollars Excluded from Spending After Applying Truncation at the Member Level]]=Age_Sex22[[#This Row],[Total Spending before Truncation is Applied]]</f>
        <v>1</v>
      </c>
    </row>
    <row r="520" spans="1:10" x14ac:dyDescent="0.25">
      <c r="A520" s="389"/>
      <c r="B520" s="4"/>
      <c r="C520" s="16"/>
      <c r="D520" s="519"/>
      <c r="E520" s="410"/>
      <c r="F520" s="313"/>
      <c r="G520" s="256"/>
      <c r="H520" s="313"/>
      <c r="I520" s="456"/>
      <c r="J520" s="271" t="b">
        <f>Age_Sex22[[#This Row],[Total Spending After Applying Truncation at the Member Level]]+Age_Sex22[[#This Row],[Total Dollars Excluded from Spending After Applying Truncation at the Member Level]]=Age_Sex22[[#This Row],[Total Spending before Truncation is Applied]]</f>
        <v>1</v>
      </c>
    </row>
    <row r="521" spans="1:10" x14ac:dyDescent="0.25">
      <c r="A521" s="386"/>
      <c r="B521" s="310"/>
      <c r="C521" s="311"/>
      <c r="D521" s="518"/>
      <c r="E521" s="409"/>
      <c r="F521" s="312"/>
      <c r="G521" s="522"/>
      <c r="H521" s="312"/>
      <c r="I521" s="455"/>
      <c r="J521" s="271" t="b">
        <f>Age_Sex22[[#This Row],[Total Spending After Applying Truncation at the Member Level]]+Age_Sex22[[#This Row],[Total Dollars Excluded from Spending After Applying Truncation at the Member Level]]=Age_Sex22[[#This Row],[Total Spending before Truncation is Applied]]</f>
        <v>1</v>
      </c>
    </row>
    <row r="522" spans="1:10" x14ac:dyDescent="0.25">
      <c r="A522" s="389"/>
      <c r="B522" s="4"/>
      <c r="C522" s="16"/>
      <c r="D522" s="519"/>
      <c r="E522" s="410"/>
      <c r="F522" s="313"/>
      <c r="G522" s="256"/>
      <c r="H522" s="313"/>
      <c r="I522" s="456"/>
      <c r="J522" s="271" t="b">
        <f>Age_Sex22[[#This Row],[Total Spending After Applying Truncation at the Member Level]]+Age_Sex22[[#This Row],[Total Dollars Excluded from Spending After Applying Truncation at the Member Level]]=Age_Sex22[[#This Row],[Total Spending before Truncation is Applied]]</f>
        <v>1</v>
      </c>
    </row>
    <row r="523" spans="1:10" x14ac:dyDescent="0.25">
      <c r="A523" s="386"/>
      <c r="B523" s="310"/>
      <c r="C523" s="311"/>
      <c r="D523" s="518"/>
      <c r="E523" s="409"/>
      <c r="F523" s="312"/>
      <c r="G523" s="522"/>
      <c r="H523" s="312"/>
      <c r="I523" s="455"/>
      <c r="J523" s="271" t="b">
        <f>Age_Sex22[[#This Row],[Total Spending After Applying Truncation at the Member Level]]+Age_Sex22[[#This Row],[Total Dollars Excluded from Spending After Applying Truncation at the Member Level]]=Age_Sex22[[#This Row],[Total Spending before Truncation is Applied]]</f>
        <v>1</v>
      </c>
    </row>
    <row r="524" spans="1:10" x14ac:dyDescent="0.25">
      <c r="A524" s="389"/>
      <c r="B524" s="4"/>
      <c r="C524" s="16"/>
      <c r="D524" s="519"/>
      <c r="E524" s="410"/>
      <c r="F524" s="313"/>
      <c r="G524" s="256"/>
      <c r="H524" s="313"/>
      <c r="I524" s="456"/>
      <c r="J524" s="271" t="b">
        <f>Age_Sex22[[#This Row],[Total Spending After Applying Truncation at the Member Level]]+Age_Sex22[[#This Row],[Total Dollars Excluded from Spending After Applying Truncation at the Member Level]]=Age_Sex22[[#This Row],[Total Spending before Truncation is Applied]]</f>
        <v>1</v>
      </c>
    </row>
    <row r="525" spans="1:10" x14ac:dyDescent="0.25">
      <c r="A525" s="386"/>
      <c r="B525" s="310"/>
      <c r="C525" s="311"/>
      <c r="D525" s="518"/>
      <c r="E525" s="409"/>
      <c r="F525" s="312"/>
      <c r="G525" s="522"/>
      <c r="H525" s="312"/>
      <c r="I525" s="455"/>
      <c r="J525" s="271" t="b">
        <f>Age_Sex22[[#This Row],[Total Spending After Applying Truncation at the Member Level]]+Age_Sex22[[#This Row],[Total Dollars Excluded from Spending After Applying Truncation at the Member Level]]=Age_Sex22[[#This Row],[Total Spending before Truncation is Applied]]</f>
        <v>1</v>
      </c>
    </row>
    <row r="526" spans="1:10" x14ac:dyDescent="0.25">
      <c r="A526" s="389"/>
      <c r="B526" s="4"/>
      <c r="C526" s="16"/>
      <c r="D526" s="519"/>
      <c r="E526" s="410"/>
      <c r="F526" s="313"/>
      <c r="G526" s="256"/>
      <c r="H526" s="313"/>
      <c r="I526" s="456"/>
      <c r="J526" s="271" t="b">
        <f>Age_Sex22[[#This Row],[Total Spending After Applying Truncation at the Member Level]]+Age_Sex22[[#This Row],[Total Dollars Excluded from Spending After Applying Truncation at the Member Level]]=Age_Sex22[[#This Row],[Total Spending before Truncation is Applied]]</f>
        <v>1</v>
      </c>
    </row>
    <row r="527" spans="1:10" x14ac:dyDescent="0.25">
      <c r="A527" s="386"/>
      <c r="B527" s="310"/>
      <c r="C527" s="311"/>
      <c r="D527" s="518"/>
      <c r="E527" s="409"/>
      <c r="F527" s="312"/>
      <c r="G527" s="522"/>
      <c r="H527" s="312"/>
      <c r="I527" s="455"/>
      <c r="J527" s="271" t="b">
        <f>Age_Sex22[[#This Row],[Total Spending After Applying Truncation at the Member Level]]+Age_Sex22[[#This Row],[Total Dollars Excluded from Spending After Applying Truncation at the Member Level]]=Age_Sex22[[#This Row],[Total Spending before Truncation is Applied]]</f>
        <v>1</v>
      </c>
    </row>
    <row r="528" spans="1:10" x14ac:dyDescent="0.25">
      <c r="A528" s="389"/>
      <c r="B528" s="4"/>
      <c r="C528" s="16"/>
      <c r="D528" s="519"/>
      <c r="E528" s="410"/>
      <c r="F528" s="313"/>
      <c r="G528" s="256"/>
      <c r="H528" s="313"/>
      <c r="I528" s="456"/>
      <c r="J528" s="271" t="b">
        <f>Age_Sex22[[#This Row],[Total Spending After Applying Truncation at the Member Level]]+Age_Sex22[[#This Row],[Total Dollars Excluded from Spending After Applying Truncation at the Member Level]]=Age_Sex22[[#This Row],[Total Spending before Truncation is Applied]]</f>
        <v>1</v>
      </c>
    </row>
    <row r="529" spans="1:10" x14ac:dyDescent="0.25">
      <c r="A529" s="386"/>
      <c r="B529" s="310"/>
      <c r="C529" s="311"/>
      <c r="D529" s="518"/>
      <c r="E529" s="409"/>
      <c r="F529" s="312"/>
      <c r="G529" s="522"/>
      <c r="H529" s="312"/>
      <c r="I529" s="455"/>
      <c r="J529" s="271" t="b">
        <f>Age_Sex22[[#This Row],[Total Spending After Applying Truncation at the Member Level]]+Age_Sex22[[#This Row],[Total Dollars Excluded from Spending After Applying Truncation at the Member Level]]=Age_Sex22[[#This Row],[Total Spending before Truncation is Applied]]</f>
        <v>1</v>
      </c>
    </row>
    <row r="530" spans="1:10" x14ac:dyDescent="0.25">
      <c r="A530" s="389"/>
      <c r="B530" s="4"/>
      <c r="C530" s="16"/>
      <c r="D530" s="519"/>
      <c r="E530" s="410"/>
      <c r="F530" s="313"/>
      <c r="G530" s="256"/>
      <c r="H530" s="313"/>
      <c r="I530" s="456"/>
      <c r="J530" s="271" t="b">
        <f>Age_Sex22[[#This Row],[Total Spending After Applying Truncation at the Member Level]]+Age_Sex22[[#This Row],[Total Dollars Excluded from Spending After Applying Truncation at the Member Level]]=Age_Sex22[[#This Row],[Total Spending before Truncation is Applied]]</f>
        <v>1</v>
      </c>
    </row>
    <row r="531" spans="1:10" x14ac:dyDescent="0.25">
      <c r="A531" s="386"/>
      <c r="B531" s="310"/>
      <c r="C531" s="311"/>
      <c r="D531" s="518"/>
      <c r="E531" s="409"/>
      <c r="F531" s="312"/>
      <c r="G531" s="522"/>
      <c r="H531" s="312"/>
      <c r="I531" s="455"/>
      <c r="J531" s="271" t="b">
        <f>Age_Sex22[[#This Row],[Total Spending After Applying Truncation at the Member Level]]+Age_Sex22[[#This Row],[Total Dollars Excluded from Spending After Applying Truncation at the Member Level]]=Age_Sex22[[#This Row],[Total Spending before Truncation is Applied]]</f>
        <v>1</v>
      </c>
    </row>
    <row r="532" spans="1:10" x14ac:dyDescent="0.25">
      <c r="A532" s="389"/>
      <c r="B532" s="4"/>
      <c r="C532" s="16"/>
      <c r="D532" s="519"/>
      <c r="E532" s="410"/>
      <c r="F532" s="313"/>
      <c r="G532" s="256"/>
      <c r="H532" s="313"/>
      <c r="I532" s="456"/>
      <c r="J532" s="271" t="b">
        <f>Age_Sex22[[#This Row],[Total Spending After Applying Truncation at the Member Level]]+Age_Sex22[[#This Row],[Total Dollars Excluded from Spending After Applying Truncation at the Member Level]]=Age_Sex22[[#This Row],[Total Spending before Truncation is Applied]]</f>
        <v>1</v>
      </c>
    </row>
    <row r="533" spans="1:10" x14ac:dyDescent="0.25">
      <c r="A533" s="386"/>
      <c r="B533" s="310"/>
      <c r="C533" s="311"/>
      <c r="D533" s="518"/>
      <c r="E533" s="409"/>
      <c r="F533" s="312"/>
      <c r="G533" s="522"/>
      <c r="H533" s="312"/>
      <c r="I533" s="455"/>
      <c r="J533" s="271" t="b">
        <f>Age_Sex22[[#This Row],[Total Spending After Applying Truncation at the Member Level]]+Age_Sex22[[#This Row],[Total Dollars Excluded from Spending After Applying Truncation at the Member Level]]=Age_Sex22[[#This Row],[Total Spending before Truncation is Applied]]</f>
        <v>1</v>
      </c>
    </row>
    <row r="534" spans="1:10" x14ac:dyDescent="0.25">
      <c r="A534" s="389"/>
      <c r="B534" s="4"/>
      <c r="C534" s="16"/>
      <c r="D534" s="519"/>
      <c r="E534" s="410"/>
      <c r="F534" s="313"/>
      <c r="G534" s="256"/>
      <c r="H534" s="313"/>
      <c r="I534" s="456"/>
      <c r="J534" s="271" t="b">
        <f>Age_Sex22[[#This Row],[Total Spending After Applying Truncation at the Member Level]]+Age_Sex22[[#This Row],[Total Dollars Excluded from Spending After Applying Truncation at the Member Level]]=Age_Sex22[[#This Row],[Total Spending before Truncation is Applied]]</f>
        <v>1</v>
      </c>
    </row>
    <row r="535" spans="1:10" x14ac:dyDescent="0.25">
      <c r="A535" s="386"/>
      <c r="B535" s="310"/>
      <c r="C535" s="311"/>
      <c r="D535" s="518"/>
      <c r="E535" s="409"/>
      <c r="F535" s="312"/>
      <c r="G535" s="522"/>
      <c r="H535" s="312"/>
      <c r="I535" s="455"/>
      <c r="J535" s="271" t="b">
        <f>Age_Sex22[[#This Row],[Total Spending After Applying Truncation at the Member Level]]+Age_Sex22[[#This Row],[Total Dollars Excluded from Spending After Applying Truncation at the Member Level]]=Age_Sex22[[#This Row],[Total Spending before Truncation is Applied]]</f>
        <v>1</v>
      </c>
    </row>
    <row r="536" spans="1:10" x14ac:dyDescent="0.25">
      <c r="A536" s="389"/>
      <c r="B536" s="4"/>
      <c r="C536" s="16"/>
      <c r="D536" s="519"/>
      <c r="E536" s="410"/>
      <c r="F536" s="313"/>
      <c r="G536" s="256"/>
      <c r="H536" s="313"/>
      <c r="I536" s="456"/>
      <c r="J536" s="271" t="b">
        <f>Age_Sex22[[#This Row],[Total Spending After Applying Truncation at the Member Level]]+Age_Sex22[[#This Row],[Total Dollars Excluded from Spending After Applying Truncation at the Member Level]]=Age_Sex22[[#This Row],[Total Spending before Truncation is Applied]]</f>
        <v>1</v>
      </c>
    </row>
    <row r="537" spans="1:10" x14ac:dyDescent="0.25">
      <c r="A537" s="386"/>
      <c r="B537" s="310"/>
      <c r="C537" s="311"/>
      <c r="D537" s="518"/>
      <c r="E537" s="409"/>
      <c r="F537" s="312"/>
      <c r="G537" s="522"/>
      <c r="H537" s="312"/>
      <c r="I537" s="455"/>
      <c r="J537" s="271" t="b">
        <f>Age_Sex22[[#This Row],[Total Spending After Applying Truncation at the Member Level]]+Age_Sex22[[#This Row],[Total Dollars Excluded from Spending After Applying Truncation at the Member Level]]=Age_Sex22[[#This Row],[Total Spending before Truncation is Applied]]</f>
        <v>1</v>
      </c>
    </row>
    <row r="538" spans="1:10" x14ac:dyDescent="0.25">
      <c r="A538" s="389"/>
      <c r="B538" s="4"/>
      <c r="C538" s="16"/>
      <c r="D538" s="519"/>
      <c r="E538" s="410"/>
      <c r="F538" s="313"/>
      <c r="G538" s="256"/>
      <c r="H538" s="313"/>
      <c r="I538" s="456"/>
      <c r="J538" s="271" t="b">
        <f>Age_Sex22[[#This Row],[Total Spending After Applying Truncation at the Member Level]]+Age_Sex22[[#This Row],[Total Dollars Excluded from Spending After Applying Truncation at the Member Level]]=Age_Sex22[[#This Row],[Total Spending before Truncation is Applied]]</f>
        <v>1</v>
      </c>
    </row>
    <row r="539" spans="1:10" x14ac:dyDescent="0.25">
      <c r="A539" s="386"/>
      <c r="B539" s="310"/>
      <c r="C539" s="311"/>
      <c r="D539" s="518"/>
      <c r="E539" s="409"/>
      <c r="F539" s="312"/>
      <c r="G539" s="522"/>
      <c r="H539" s="312"/>
      <c r="I539" s="455"/>
      <c r="J539" s="271" t="b">
        <f>Age_Sex22[[#This Row],[Total Spending After Applying Truncation at the Member Level]]+Age_Sex22[[#This Row],[Total Dollars Excluded from Spending After Applying Truncation at the Member Level]]=Age_Sex22[[#This Row],[Total Spending before Truncation is Applied]]</f>
        <v>1</v>
      </c>
    </row>
    <row r="540" spans="1:10" x14ac:dyDescent="0.25">
      <c r="A540" s="389"/>
      <c r="B540" s="4"/>
      <c r="C540" s="16"/>
      <c r="D540" s="519"/>
      <c r="E540" s="410"/>
      <c r="F540" s="313"/>
      <c r="G540" s="256"/>
      <c r="H540" s="313"/>
      <c r="I540" s="456"/>
      <c r="J540" s="271" t="b">
        <f>Age_Sex22[[#This Row],[Total Spending After Applying Truncation at the Member Level]]+Age_Sex22[[#This Row],[Total Dollars Excluded from Spending After Applying Truncation at the Member Level]]=Age_Sex22[[#This Row],[Total Spending before Truncation is Applied]]</f>
        <v>1</v>
      </c>
    </row>
    <row r="541" spans="1:10" x14ac:dyDescent="0.25">
      <c r="A541" s="386"/>
      <c r="B541" s="310"/>
      <c r="C541" s="311"/>
      <c r="D541" s="518"/>
      <c r="E541" s="409"/>
      <c r="F541" s="312"/>
      <c r="G541" s="522"/>
      <c r="H541" s="312"/>
      <c r="I541" s="455"/>
      <c r="J541" s="271" t="b">
        <f>Age_Sex22[[#This Row],[Total Spending After Applying Truncation at the Member Level]]+Age_Sex22[[#This Row],[Total Dollars Excluded from Spending After Applying Truncation at the Member Level]]=Age_Sex22[[#This Row],[Total Spending before Truncation is Applied]]</f>
        <v>1</v>
      </c>
    </row>
    <row r="542" spans="1:10" x14ac:dyDescent="0.25">
      <c r="A542" s="389"/>
      <c r="B542" s="4"/>
      <c r="C542" s="16"/>
      <c r="D542" s="519"/>
      <c r="E542" s="410"/>
      <c r="F542" s="313"/>
      <c r="G542" s="256"/>
      <c r="H542" s="313"/>
      <c r="I542" s="456"/>
      <c r="J542" s="271" t="b">
        <f>Age_Sex22[[#This Row],[Total Spending After Applying Truncation at the Member Level]]+Age_Sex22[[#This Row],[Total Dollars Excluded from Spending After Applying Truncation at the Member Level]]=Age_Sex22[[#This Row],[Total Spending before Truncation is Applied]]</f>
        <v>1</v>
      </c>
    </row>
    <row r="543" spans="1:10" x14ac:dyDescent="0.25">
      <c r="A543" s="386"/>
      <c r="B543" s="310"/>
      <c r="C543" s="311"/>
      <c r="D543" s="518"/>
      <c r="E543" s="409"/>
      <c r="F543" s="312"/>
      <c r="G543" s="522"/>
      <c r="H543" s="312"/>
      <c r="I543" s="455"/>
      <c r="J543" s="271" t="b">
        <f>Age_Sex22[[#This Row],[Total Spending After Applying Truncation at the Member Level]]+Age_Sex22[[#This Row],[Total Dollars Excluded from Spending After Applying Truncation at the Member Level]]=Age_Sex22[[#This Row],[Total Spending before Truncation is Applied]]</f>
        <v>1</v>
      </c>
    </row>
    <row r="544" spans="1:10" x14ac:dyDescent="0.25">
      <c r="A544" s="389"/>
      <c r="B544" s="4"/>
      <c r="C544" s="16"/>
      <c r="D544" s="519"/>
      <c r="E544" s="410"/>
      <c r="F544" s="313"/>
      <c r="G544" s="256"/>
      <c r="H544" s="313"/>
      <c r="I544" s="456"/>
      <c r="J544" s="271" t="b">
        <f>Age_Sex22[[#This Row],[Total Spending After Applying Truncation at the Member Level]]+Age_Sex22[[#This Row],[Total Dollars Excluded from Spending After Applying Truncation at the Member Level]]=Age_Sex22[[#This Row],[Total Spending before Truncation is Applied]]</f>
        <v>1</v>
      </c>
    </row>
    <row r="545" spans="1:10" x14ac:dyDescent="0.25">
      <c r="A545" s="386"/>
      <c r="B545" s="310"/>
      <c r="C545" s="311"/>
      <c r="D545" s="518"/>
      <c r="E545" s="409"/>
      <c r="F545" s="312"/>
      <c r="G545" s="522"/>
      <c r="H545" s="312"/>
      <c r="I545" s="455"/>
      <c r="J545" s="271" t="b">
        <f>Age_Sex22[[#This Row],[Total Spending After Applying Truncation at the Member Level]]+Age_Sex22[[#This Row],[Total Dollars Excluded from Spending After Applying Truncation at the Member Level]]=Age_Sex22[[#This Row],[Total Spending before Truncation is Applied]]</f>
        <v>1</v>
      </c>
    </row>
    <row r="546" spans="1:10" x14ac:dyDescent="0.25">
      <c r="A546" s="389"/>
      <c r="B546" s="4"/>
      <c r="C546" s="16"/>
      <c r="D546" s="519"/>
      <c r="E546" s="410"/>
      <c r="F546" s="313"/>
      <c r="G546" s="256"/>
      <c r="H546" s="313"/>
      <c r="I546" s="456"/>
      <c r="J546" s="271" t="b">
        <f>Age_Sex22[[#This Row],[Total Spending After Applying Truncation at the Member Level]]+Age_Sex22[[#This Row],[Total Dollars Excluded from Spending After Applying Truncation at the Member Level]]=Age_Sex22[[#This Row],[Total Spending before Truncation is Applied]]</f>
        <v>1</v>
      </c>
    </row>
    <row r="547" spans="1:10" x14ac:dyDescent="0.25">
      <c r="A547" s="386"/>
      <c r="B547" s="310"/>
      <c r="C547" s="311"/>
      <c r="D547" s="518"/>
      <c r="E547" s="409"/>
      <c r="F547" s="312"/>
      <c r="G547" s="522"/>
      <c r="H547" s="312"/>
      <c r="I547" s="455"/>
      <c r="J547" s="271" t="b">
        <f>Age_Sex22[[#This Row],[Total Spending After Applying Truncation at the Member Level]]+Age_Sex22[[#This Row],[Total Dollars Excluded from Spending After Applying Truncation at the Member Level]]=Age_Sex22[[#This Row],[Total Spending before Truncation is Applied]]</f>
        <v>1</v>
      </c>
    </row>
    <row r="548" spans="1:10" x14ac:dyDescent="0.25">
      <c r="A548" s="389"/>
      <c r="B548" s="4"/>
      <c r="C548" s="16"/>
      <c r="D548" s="519"/>
      <c r="E548" s="410"/>
      <c r="F548" s="313"/>
      <c r="G548" s="256"/>
      <c r="H548" s="313"/>
      <c r="I548" s="456"/>
      <c r="J548" s="271" t="b">
        <f>Age_Sex22[[#This Row],[Total Spending After Applying Truncation at the Member Level]]+Age_Sex22[[#This Row],[Total Dollars Excluded from Spending After Applying Truncation at the Member Level]]=Age_Sex22[[#This Row],[Total Spending before Truncation is Applied]]</f>
        <v>1</v>
      </c>
    </row>
    <row r="549" spans="1:10" x14ac:dyDescent="0.25">
      <c r="A549" s="386"/>
      <c r="B549" s="310"/>
      <c r="C549" s="311"/>
      <c r="D549" s="518"/>
      <c r="E549" s="409"/>
      <c r="F549" s="312"/>
      <c r="G549" s="522"/>
      <c r="H549" s="312"/>
      <c r="I549" s="455"/>
      <c r="J549" s="271" t="b">
        <f>Age_Sex22[[#This Row],[Total Spending After Applying Truncation at the Member Level]]+Age_Sex22[[#This Row],[Total Dollars Excluded from Spending After Applying Truncation at the Member Level]]=Age_Sex22[[#This Row],[Total Spending before Truncation is Applied]]</f>
        <v>1</v>
      </c>
    </row>
    <row r="550" spans="1:10" x14ac:dyDescent="0.25">
      <c r="A550" s="389"/>
      <c r="B550" s="4"/>
      <c r="C550" s="16"/>
      <c r="D550" s="519"/>
      <c r="E550" s="410"/>
      <c r="F550" s="313"/>
      <c r="G550" s="256"/>
      <c r="H550" s="313"/>
      <c r="I550" s="456"/>
      <c r="J550" s="271" t="b">
        <f>Age_Sex22[[#This Row],[Total Spending After Applying Truncation at the Member Level]]+Age_Sex22[[#This Row],[Total Dollars Excluded from Spending After Applying Truncation at the Member Level]]=Age_Sex22[[#This Row],[Total Spending before Truncation is Applied]]</f>
        <v>1</v>
      </c>
    </row>
    <row r="551" spans="1:10" x14ac:dyDescent="0.25">
      <c r="A551" s="386"/>
      <c r="B551" s="310"/>
      <c r="C551" s="311"/>
      <c r="D551" s="518"/>
      <c r="E551" s="409"/>
      <c r="F551" s="312"/>
      <c r="G551" s="522"/>
      <c r="H551" s="312"/>
      <c r="I551" s="455"/>
      <c r="J551" s="271" t="b">
        <f>Age_Sex22[[#This Row],[Total Spending After Applying Truncation at the Member Level]]+Age_Sex22[[#This Row],[Total Dollars Excluded from Spending After Applying Truncation at the Member Level]]=Age_Sex22[[#This Row],[Total Spending before Truncation is Applied]]</f>
        <v>1</v>
      </c>
    </row>
    <row r="552" spans="1:10" x14ac:dyDescent="0.25">
      <c r="A552" s="389"/>
      <c r="B552" s="4"/>
      <c r="C552" s="16"/>
      <c r="D552" s="519"/>
      <c r="E552" s="410"/>
      <c r="F552" s="313"/>
      <c r="G552" s="256"/>
      <c r="H552" s="313"/>
      <c r="I552" s="456"/>
      <c r="J552" s="271" t="b">
        <f>Age_Sex22[[#This Row],[Total Spending After Applying Truncation at the Member Level]]+Age_Sex22[[#This Row],[Total Dollars Excluded from Spending After Applying Truncation at the Member Level]]=Age_Sex22[[#This Row],[Total Spending before Truncation is Applied]]</f>
        <v>1</v>
      </c>
    </row>
    <row r="553" spans="1:10" x14ac:dyDescent="0.25">
      <c r="A553" s="386"/>
      <c r="B553" s="310"/>
      <c r="C553" s="311"/>
      <c r="D553" s="518"/>
      <c r="E553" s="409"/>
      <c r="F553" s="312"/>
      <c r="G553" s="522"/>
      <c r="H553" s="312"/>
      <c r="I553" s="455"/>
      <c r="J553" s="271" t="b">
        <f>Age_Sex22[[#This Row],[Total Spending After Applying Truncation at the Member Level]]+Age_Sex22[[#This Row],[Total Dollars Excluded from Spending After Applying Truncation at the Member Level]]=Age_Sex22[[#This Row],[Total Spending before Truncation is Applied]]</f>
        <v>1</v>
      </c>
    </row>
    <row r="554" spans="1:10" x14ac:dyDescent="0.25">
      <c r="A554" s="389"/>
      <c r="B554" s="4"/>
      <c r="C554" s="16"/>
      <c r="D554" s="519"/>
      <c r="E554" s="410"/>
      <c r="F554" s="313"/>
      <c r="G554" s="256"/>
      <c r="H554" s="313"/>
      <c r="I554" s="456"/>
      <c r="J554" s="271" t="b">
        <f>Age_Sex22[[#This Row],[Total Spending After Applying Truncation at the Member Level]]+Age_Sex22[[#This Row],[Total Dollars Excluded from Spending After Applying Truncation at the Member Level]]=Age_Sex22[[#This Row],[Total Spending before Truncation is Applied]]</f>
        <v>1</v>
      </c>
    </row>
    <row r="555" spans="1:10" x14ac:dyDescent="0.25">
      <c r="A555" s="386"/>
      <c r="B555" s="310"/>
      <c r="C555" s="311"/>
      <c r="D555" s="518"/>
      <c r="E555" s="409"/>
      <c r="F555" s="312"/>
      <c r="G555" s="522"/>
      <c r="H555" s="312"/>
      <c r="I555" s="455"/>
      <c r="J555" s="271" t="b">
        <f>Age_Sex22[[#This Row],[Total Spending After Applying Truncation at the Member Level]]+Age_Sex22[[#This Row],[Total Dollars Excluded from Spending After Applying Truncation at the Member Level]]=Age_Sex22[[#This Row],[Total Spending before Truncation is Applied]]</f>
        <v>1</v>
      </c>
    </row>
    <row r="556" spans="1:10" x14ac:dyDescent="0.25">
      <c r="A556" s="389"/>
      <c r="B556" s="4"/>
      <c r="C556" s="16"/>
      <c r="D556" s="519"/>
      <c r="E556" s="410"/>
      <c r="F556" s="313"/>
      <c r="G556" s="256"/>
      <c r="H556" s="313"/>
      <c r="I556" s="456"/>
      <c r="J556" s="271" t="b">
        <f>Age_Sex22[[#This Row],[Total Spending After Applying Truncation at the Member Level]]+Age_Sex22[[#This Row],[Total Dollars Excluded from Spending After Applying Truncation at the Member Level]]=Age_Sex22[[#This Row],[Total Spending before Truncation is Applied]]</f>
        <v>1</v>
      </c>
    </row>
    <row r="557" spans="1:10" x14ac:dyDescent="0.25">
      <c r="A557" s="386"/>
      <c r="B557" s="310"/>
      <c r="C557" s="311"/>
      <c r="D557" s="518"/>
      <c r="E557" s="409"/>
      <c r="F557" s="312"/>
      <c r="G557" s="522"/>
      <c r="H557" s="312"/>
      <c r="I557" s="455"/>
      <c r="J557" s="271" t="b">
        <f>Age_Sex22[[#This Row],[Total Spending After Applying Truncation at the Member Level]]+Age_Sex22[[#This Row],[Total Dollars Excluded from Spending After Applying Truncation at the Member Level]]=Age_Sex22[[#This Row],[Total Spending before Truncation is Applied]]</f>
        <v>1</v>
      </c>
    </row>
    <row r="558" spans="1:10" x14ac:dyDescent="0.25">
      <c r="A558" s="389"/>
      <c r="B558" s="4"/>
      <c r="C558" s="16"/>
      <c r="D558" s="519"/>
      <c r="E558" s="410"/>
      <c r="F558" s="313"/>
      <c r="G558" s="256"/>
      <c r="H558" s="313"/>
      <c r="I558" s="456"/>
      <c r="J558" s="271" t="b">
        <f>Age_Sex22[[#This Row],[Total Spending After Applying Truncation at the Member Level]]+Age_Sex22[[#This Row],[Total Dollars Excluded from Spending After Applying Truncation at the Member Level]]=Age_Sex22[[#This Row],[Total Spending before Truncation is Applied]]</f>
        <v>1</v>
      </c>
    </row>
    <row r="559" spans="1:10" x14ac:dyDescent="0.25">
      <c r="A559" s="386"/>
      <c r="B559" s="310"/>
      <c r="C559" s="311"/>
      <c r="D559" s="518"/>
      <c r="E559" s="409"/>
      <c r="F559" s="312"/>
      <c r="G559" s="522"/>
      <c r="H559" s="312"/>
      <c r="I559" s="455"/>
      <c r="J559" s="271" t="b">
        <f>Age_Sex22[[#This Row],[Total Spending After Applying Truncation at the Member Level]]+Age_Sex22[[#This Row],[Total Dollars Excluded from Spending After Applying Truncation at the Member Level]]=Age_Sex22[[#This Row],[Total Spending before Truncation is Applied]]</f>
        <v>1</v>
      </c>
    </row>
    <row r="560" spans="1:10" x14ac:dyDescent="0.25">
      <c r="A560" s="389"/>
      <c r="B560" s="4"/>
      <c r="C560" s="16"/>
      <c r="D560" s="519"/>
      <c r="E560" s="410"/>
      <c r="F560" s="313"/>
      <c r="G560" s="256"/>
      <c r="H560" s="313"/>
      <c r="I560" s="456"/>
      <c r="J560" s="271" t="b">
        <f>Age_Sex22[[#This Row],[Total Spending After Applying Truncation at the Member Level]]+Age_Sex22[[#This Row],[Total Dollars Excluded from Spending After Applying Truncation at the Member Level]]=Age_Sex22[[#This Row],[Total Spending before Truncation is Applied]]</f>
        <v>1</v>
      </c>
    </row>
    <row r="561" spans="1:10" x14ac:dyDescent="0.25">
      <c r="A561" s="386"/>
      <c r="B561" s="310"/>
      <c r="C561" s="311"/>
      <c r="D561" s="518"/>
      <c r="E561" s="409"/>
      <c r="F561" s="312"/>
      <c r="G561" s="522"/>
      <c r="H561" s="312"/>
      <c r="I561" s="455"/>
      <c r="J561" s="271" t="b">
        <f>Age_Sex22[[#This Row],[Total Spending After Applying Truncation at the Member Level]]+Age_Sex22[[#This Row],[Total Dollars Excluded from Spending After Applying Truncation at the Member Level]]=Age_Sex22[[#This Row],[Total Spending before Truncation is Applied]]</f>
        <v>1</v>
      </c>
    </row>
    <row r="562" spans="1:10" x14ac:dyDescent="0.25">
      <c r="A562" s="389"/>
      <c r="B562" s="4"/>
      <c r="C562" s="16"/>
      <c r="D562" s="519"/>
      <c r="E562" s="410"/>
      <c r="F562" s="313"/>
      <c r="G562" s="256"/>
      <c r="H562" s="313"/>
      <c r="I562" s="456"/>
      <c r="J562" s="271" t="b">
        <f>Age_Sex22[[#This Row],[Total Spending After Applying Truncation at the Member Level]]+Age_Sex22[[#This Row],[Total Dollars Excluded from Spending After Applying Truncation at the Member Level]]=Age_Sex22[[#This Row],[Total Spending before Truncation is Applied]]</f>
        <v>1</v>
      </c>
    </row>
    <row r="563" spans="1:10" x14ac:dyDescent="0.25">
      <c r="A563" s="386"/>
      <c r="B563" s="310"/>
      <c r="C563" s="311"/>
      <c r="D563" s="518"/>
      <c r="E563" s="409"/>
      <c r="F563" s="312"/>
      <c r="G563" s="522"/>
      <c r="H563" s="312"/>
      <c r="I563" s="455"/>
      <c r="J563" s="271" t="b">
        <f>Age_Sex22[[#This Row],[Total Spending After Applying Truncation at the Member Level]]+Age_Sex22[[#This Row],[Total Dollars Excluded from Spending After Applying Truncation at the Member Level]]=Age_Sex22[[#This Row],[Total Spending before Truncation is Applied]]</f>
        <v>1</v>
      </c>
    </row>
    <row r="564" spans="1:10" x14ac:dyDescent="0.25">
      <c r="A564" s="389"/>
      <c r="B564" s="4"/>
      <c r="C564" s="16"/>
      <c r="D564" s="519"/>
      <c r="E564" s="410"/>
      <c r="F564" s="313"/>
      <c r="G564" s="256"/>
      <c r="H564" s="313"/>
      <c r="I564" s="456"/>
      <c r="J564" s="271" t="b">
        <f>Age_Sex22[[#This Row],[Total Spending After Applying Truncation at the Member Level]]+Age_Sex22[[#This Row],[Total Dollars Excluded from Spending After Applying Truncation at the Member Level]]=Age_Sex22[[#This Row],[Total Spending before Truncation is Applied]]</f>
        <v>1</v>
      </c>
    </row>
    <row r="565" spans="1:10" x14ac:dyDescent="0.25">
      <c r="A565" s="386"/>
      <c r="B565" s="310"/>
      <c r="C565" s="311"/>
      <c r="D565" s="518"/>
      <c r="E565" s="409"/>
      <c r="F565" s="312"/>
      <c r="G565" s="522"/>
      <c r="H565" s="312"/>
      <c r="I565" s="455"/>
      <c r="J565" s="271" t="b">
        <f>Age_Sex22[[#This Row],[Total Spending After Applying Truncation at the Member Level]]+Age_Sex22[[#This Row],[Total Dollars Excluded from Spending After Applying Truncation at the Member Level]]=Age_Sex22[[#This Row],[Total Spending before Truncation is Applied]]</f>
        <v>1</v>
      </c>
    </row>
    <row r="566" spans="1:10" x14ac:dyDescent="0.25">
      <c r="A566" s="389"/>
      <c r="B566" s="4"/>
      <c r="C566" s="16"/>
      <c r="D566" s="519"/>
      <c r="E566" s="410"/>
      <c r="F566" s="313"/>
      <c r="G566" s="256"/>
      <c r="H566" s="313"/>
      <c r="I566" s="456"/>
      <c r="J566" s="271" t="b">
        <f>Age_Sex22[[#This Row],[Total Spending After Applying Truncation at the Member Level]]+Age_Sex22[[#This Row],[Total Dollars Excluded from Spending After Applying Truncation at the Member Level]]=Age_Sex22[[#This Row],[Total Spending before Truncation is Applied]]</f>
        <v>1</v>
      </c>
    </row>
    <row r="567" spans="1:10" x14ac:dyDescent="0.25">
      <c r="A567" s="386"/>
      <c r="B567" s="310"/>
      <c r="C567" s="311"/>
      <c r="D567" s="518"/>
      <c r="E567" s="409"/>
      <c r="F567" s="312"/>
      <c r="G567" s="522"/>
      <c r="H567" s="312"/>
      <c r="I567" s="455"/>
      <c r="J567" s="271" t="b">
        <f>Age_Sex22[[#This Row],[Total Spending After Applying Truncation at the Member Level]]+Age_Sex22[[#This Row],[Total Dollars Excluded from Spending After Applying Truncation at the Member Level]]=Age_Sex22[[#This Row],[Total Spending before Truncation is Applied]]</f>
        <v>1</v>
      </c>
    </row>
    <row r="568" spans="1:10" x14ac:dyDescent="0.25">
      <c r="A568" s="389"/>
      <c r="B568" s="4"/>
      <c r="C568" s="16"/>
      <c r="D568" s="519"/>
      <c r="E568" s="410"/>
      <c r="F568" s="313"/>
      <c r="G568" s="256"/>
      <c r="H568" s="313"/>
      <c r="I568" s="456"/>
      <c r="J568" s="271" t="b">
        <f>Age_Sex22[[#This Row],[Total Spending After Applying Truncation at the Member Level]]+Age_Sex22[[#This Row],[Total Dollars Excluded from Spending After Applying Truncation at the Member Level]]=Age_Sex22[[#This Row],[Total Spending before Truncation is Applied]]</f>
        <v>1</v>
      </c>
    </row>
    <row r="569" spans="1:10" x14ac:dyDescent="0.25">
      <c r="A569" s="386"/>
      <c r="B569" s="310"/>
      <c r="C569" s="311"/>
      <c r="D569" s="518"/>
      <c r="E569" s="409"/>
      <c r="F569" s="312"/>
      <c r="G569" s="522"/>
      <c r="H569" s="312"/>
      <c r="I569" s="455"/>
      <c r="J569" s="271" t="b">
        <f>Age_Sex22[[#This Row],[Total Spending After Applying Truncation at the Member Level]]+Age_Sex22[[#This Row],[Total Dollars Excluded from Spending After Applying Truncation at the Member Level]]=Age_Sex22[[#This Row],[Total Spending before Truncation is Applied]]</f>
        <v>1</v>
      </c>
    </row>
    <row r="570" spans="1:10" x14ac:dyDescent="0.25">
      <c r="A570" s="389"/>
      <c r="B570" s="4"/>
      <c r="C570" s="16"/>
      <c r="D570" s="519"/>
      <c r="E570" s="410"/>
      <c r="F570" s="313"/>
      <c r="G570" s="256"/>
      <c r="H570" s="313"/>
      <c r="I570" s="456"/>
      <c r="J570" s="271" t="b">
        <f>Age_Sex22[[#This Row],[Total Spending After Applying Truncation at the Member Level]]+Age_Sex22[[#This Row],[Total Dollars Excluded from Spending After Applying Truncation at the Member Level]]=Age_Sex22[[#This Row],[Total Spending before Truncation is Applied]]</f>
        <v>1</v>
      </c>
    </row>
    <row r="571" spans="1:10" x14ac:dyDescent="0.25">
      <c r="A571" s="386"/>
      <c r="B571" s="310"/>
      <c r="C571" s="311"/>
      <c r="D571" s="518"/>
      <c r="E571" s="409"/>
      <c r="F571" s="312"/>
      <c r="G571" s="522"/>
      <c r="H571" s="312"/>
      <c r="I571" s="455"/>
      <c r="J571" s="271" t="b">
        <f>Age_Sex22[[#This Row],[Total Spending After Applying Truncation at the Member Level]]+Age_Sex22[[#This Row],[Total Dollars Excluded from Spending After Applying Truncation at the Member Level]]=Age_Sex22[[#This Row],[Total Spending before Truncation is Applied]]</f>
        <v>1</v>
      </c>
    </row>
    <row r="572" spans="1:10" x14ac:dyDescent="0.25">
      <c r="A572" s="389"/>
      <c r="B572" s="4"/>
      <c r="C572" s="16"/>
      <c r="D572" s="519"/>
      <c r="E572" s="410"/>
      <c r="F572" s="313"/>
      <c r="G572" s="256"/>
      <c r="H572" s="313"/>
      <c r="I572" s="456"/>
      <c r="J572" s="271" t="b">
        <f>Age_Sex22[[#This Row],[Total Spending After Applying Truncation at the Member Level]]+Age_Sex22[[#This Row],[Total Dollars Excluded from Spending After Applying Truncation at the Member Level]]=Age_Sex22[[#This Row],[Total Spending before Truncation is Applied]]</f>
        <v>1</v>
      </c>
    </row>
    <row r="573" spans="1:10" x14ac:dyDescent="0.25">
      <c r="A573" s="386"/>
      <c r="B573" s="310"/>
      <c r="C573" s="311"/>
      <c r="D573" s="518"/>
      <c r="E573" s="409"/>
      <c r="F573" s="312"/>
      <c r="G573" s="522"/>
      <c r="H573" s="312"/>
      <c r="I573" s="455"/>
      <c r="J573" s="271" t="b">
        <f>Age_Sex22[[#This Row],[Total Spending After Applying Truncation at the Member Level]]+Age_Sex22[[#This Row],[Total Dollars Excluded from Spending After Applying Truncation at the Member Level]]=Age_Sex22[[#This Row],[Total Spending before Truncation is Applied]]</f>
        <v>1</v>
      </c>
    </row>
    <row r="574" spans="1:10" x14ac:dyDescent="0.25">
      <c r="A574" s="389"/>
      <c r="B574" s="4"/>
      <c r="C574" s="16"/>
      <c r="D574" s="519"/>
      <c r="E574" s="410"/>
      <c r="F574" s="313"/>
      <c r="G574" s="256"/>
      <c r="H574" s="313"/>
      <c r="I574" s="456"/>
      <c r="J574" s="271" t="b">
        <f>Age_Sex22[[#This Row],[Total Spending After Applying Truncation at the Member Level]]+Age_Sex22[[#This Row],[Total Dollars Excluded from Spending After Applying Truncation at the Member Level]]=Age_Sex22[[#This Row],[Total Spending before Truncation is Applied]]</f>
        <v>1</v>
      </c>
    </row>
    <row r="575" spans="1:10" x14ac:dyDescent="0.25">
      <c r="A575" s="386"/>
      <c r="B575" s="310"/>
      <c r="C575" s="311"/>
      <c r="D575" s="518"/>
      <c r="E575" s="409"/>
      <c r="F575" s="312"/>
      <c r="G575" s="522"/>
      <c r="H575" s="312"/>
      <c r="I575" s="455"/>
      <c r="J575" s="271" t="b">
        <f>Age_Sex22[[#This Row],[Total Spending After Applying Truncation at the Member Level]]+Age_Sex22[[#This Row],[Total Dollars Excluded from Spending After Applying Truncation at the Member Level]]=Age_Sex22[[#This Row],[Total Spending before Truncation is Applied]]</f>
        <v>1</v>
      </c>
    </row>
    <row r="576" spans="1:10" x14ac:dyDescent="0.25">
      <c r="A576" s="389"/>
      <c r="B576" s="4"/>
      <c r="C576" s="16"/>
      <c r="D576" s="519"/>
      <c r="E576" s="410"/>
      <c r="F576" s="313"/>
      <c r="G576" s="256"/>
      <c r="H576" s="313"/>
      <c r="I576" s="456"/>
      <c r="J576" s="271" t="b">
        <f>Age_Sex22[[#This Row],[Total Spending After Applying Truncation at the Member Level]]+Age_Sex22[[#This Row],[Total Dollars Excluded from Spending After Applying Truncation at the Member Level]]=Age_Sex22[[#This Row],[Total Spending before Truncation is Applied]]</f>
        <v>1</v>
      </c>
    </row>
    <row r="577" spans="1:10" x14ac:dyDescent="0.25">
      <c r="A577" s="386"/>
      <c r="B577" s="310"/>
      <c r="C577" s="311"/>
      <c r="D577" s="518"/>
      <c r="E577" s="409"/>
      <c r="F577" s="312"/>
      <c r="G577" s="522"/>
      <c r="H577" s="312"/>
      <c r="I577" s="455"/>
      <c r="J577" s="271" t="b">
        <f>Age_Sex22[[#This Row],[Total Spending After Applying Truncation at the Member Level]]+Age_Sex22[[#This Row],[Total Dollars Excluded from Spending After Applying Truncation at the Member Level]]=Age_Sex22[[#This Row],[Total Spending before Truncation is Applied]]</f>
        <v>1</v>
      </c>
    </row>
    <row r="578" spans="1:10" x14ac:dyDescent="0.25">
      <c r="A578" s="389"/>
      <c r="B578" s="4"/>
      <c r="C578" s="16"/>
      <c r="D578" s="519"/>
      <c r="E578" s="410"/>
      <c r="F578" s="313"/>
      <c r="G578" s="256"/>
      <c r="H578" s="313"/>
      <c r="I578" s="456"/>
      <c r="J578" s="271" t="b">
        <f>Age_Sex22[[#This Row],[Total Spending After Applying Truncation at the Member Level]]+Age_Sex22[[#This Row],[Total Dollars Excluded from Spending After Applying Truncation at the Member Level]]=Age_Sex22[[#This Row],[Total Spending before Truncation is Applied]]</f>
        <v>1</v>
      </c>
    </row>
    <row r="579" spans="1:10" x14ac:dyDescent="0.25">
      <c r="A579" s="386"/>
      <c r="B579" s="310"/>
      <c r="C579" s="311"/>
      <c r="D579" s="518"/>
      <c r="E579" s="409"/>
      <c r="F579" s="312"/>
      <c r="G579" s="522"/>
      <c r="H579" s="312"/>
      <c r="I579" s="455"/>
      <c r="J579" s="271" t="b">
        <f>Age_Sex22[[#This Row],[Total Spending After Applying Truncation at the Member Level]]+Age_Sex22[[#This Row],[Total Dollars Excluded from Spending After Applying Truncation at the Member Level]]=Age_Sex22[[#This Row],[Total Spending before Truncation is Applied]]</f>
        <v>1</v>
      </c>
    </row>
    <row r="580" spans="1:10" x14ac:dyDescent="0.25">
      <c r="A580" s="389"/>
      <c r="B580" s="4"/>
      <c r="C580" s="16"/>
      <c r="D580" s="519"/>
      <c r="E580" s="410"/>
      <c r="F580" s="313"/>
      <c r="G580" s="256"/>
      <c r="H580" s="313"/>
      <c r="I580" s="456"/>
      <c r="J580" s="271" t="b">
        <f>Age_Sex22[[#This Row],[Total Spending After Applying Truncation at the Member Level]]+Age_Sex22[[#This Row],[Total Dollars Excluded from Spending After Applying Truncation at the Member Level]]=Age_Sex22[[#This Row],[Total Spending before Truncation is Applied]]</f>
        <v>1</v>
      </c>
    </row>
    <row r="581" spans="1:10" x14ac:dyDescent="0.25">
      <c r="A581" s="386"/>
      <c r="B581" s="310"/>
      <c r="C581" s="311"/>
      <c r="D581" s="518"/>
      <c r="E581" s="409"/>
      <c r="F581" s="312"/>
      <c r="G581" s="522"/>
      <c r="H581" s="312"/>
      <c r="I581" s="455"/>
      <c r="J581" s="271" t="b">
        <f>Age_Sex22[[#This Row],[Total Spending After Applying Truncation at the Member Level]]+Age_Sex22[[#This Row],[Total Dollars Excluded from Spending After Applying Truncation at the Member Level]]=Age_Sex22[[#This Row],[Total Spending before Truncation is Applied]]</f>
        <v>1</v>
      </c>
    </row>
    <row r="582" spans="1:10" x14ac:dyDescent="0.25">
      <c r="A582" s="389"/>
      <c r="B582" s="4"/>
      <c r="C582" s="16"/>
      <c r="D582" s="519"/>
      <c r="E582" s="410"/>
      <c r="F582" s="313"/>
      <c r="G582" s="256"/>
      <c r="H582" s="313"/>
      <c r="I582" s="456"/>
      <c r="J582" s="271" t="b">
        <f>Age_Sex22[[#This Row],[Total Spending After Applying Truncation at the Member Level]]+Age_Sex22[[#This Row],[Total Dollars Excluded from Spending After Applying Truncation at the Member Level]]=Age_Sex22[[#This Row],[Total Spending before Truncation is Applied]]</f>
        <v>1</v>
      </c>
    </row>
    <row r="583" spans="1:10" x14ac:dyDescent="0.25">
      <c r="A583" s="386"/>
      <c r="B583" s="310"/>
      <c r="C583" s="311"/>
      <c r="D583" s="518"/>
      <c r="E583" s="409"/>
      <c r="F583" s="312"/>
      <c r="G583" s="522"/>
      <c r="H583" s="312"/>
      <c r="I583" s="455"/>
      <c r="J583" s="271" t="b">
        <f>Age_Sex22[[#This Row],[Total Spending After Applying Truncation at the Member Level]]+Age_Sex22[[#This Row],[Total Dollars Excluded from Spending After Applying Truncation at the Member Level]]=Age_Sex22[[#This Row],[Total Spending before Truncation is Applied]]</f>
        <v>1</v>
      </c>
    </row>
    <row r="584" spans="1:10" x14ac:dyDescent="0.25">
      <c r="A584" s="389"/>
      <c r="B584" s="4"/>
      <c r="C584" s="16"/>
      <c r="D584" s="519"/>
      <c r="E584" s="410"/>
      <c r="F584" s="313"/>
      <c r="G584" s="256"/>
      <c r="H584" s="313"/>
      <c r="I584" s="456"/>
      <c r="J584" s="271" t="b">
        <f>Age_Sex22[[#This Row],[Total Spending After Applying Truncation at the Member Level]]+Age_Sex22[[#This Row],[Total Dollars Excluded from Spending After Applying Truncation at the Member Level]]=Age_Sex22[[#This Row],[Total Spending before Truncation is Applied]]</f>
        <v>1</v>
      </c>
    </row>
    <row r="585" spans="1:10" x14ac:dyDescent="0.25">
      <c r="A585" s="386"/>
      <c r="B585" s="310"/>
      <c r="C585" s="311"/>
      <c r="D585" s="518"/>
      <c r="E585" s="409"/>
      <c r="F585" s="312"/>
      <c r="G585" s="522"/>
      <c r="H585" s="312"/>
      <c r="I585" s="455"/>
      <c r="J585" s="271" t="b">
        <f>Age_Sex22[[#This Row],[Total Spending After Applying Truncation at the Member Level]]+Age_Sex22[[#This Row],[Total Dollars Excluded from Spending After Applying Truncation at the Member Level]]=Age_Sex22[[#This Row],[Total Spending before Truncation is Applied]]</f>
        <v>1</v>
      </c>
    </row>
    <row r="586" spans="1:10" x14ac:dyDescent="0.25">
      <c r="A586" s="389"/>
      <c r="B586" s="4"/>
      <c r="C586" s="16"/>
      <c r="D586" s="519"/>
      <c r="E586" s="410"/>
      <c r="F586" s="313"/>
      <c r="G586" s="256"/>
      <c r="H586" s="313"/>
      <c r="I586" s="456"/>
      <c r="J586" s="271" t="b">
        <f>Age_Sex22[[#This Row],[Total Spending After Applying Truncation at the Member Level]]+Age_Sex22[[#This Row],[Total Dollars Excluded from Spending After Applying Truncation at the Member Level]]=Age_Sex22[[#This Row],[Total Spending before Truncation is Applied]]</f>
        <v>1</v>
      </c>
    </row>
    <row r="587" spans="1:10" x14ac:dyDescent="0.25">
      <c r="A587" s="386"/>
      <c r="B587" s="310"/>
      <c r="C587" s="311"/>
      <c r="D587" s="518"/>
      <c r="E587" s="409"/>
      <c r="F587" s="312"/>
      <c r="G587" s="522"/>
      <c r="H587" s="312"/>
      <c r="I587" s="455"/>
      <c r="J587" s="271" t="b">
        <f>Age_Sex22[[#This Row],[Total Spending After Applying Truncation at the Member Level]]+Age_Sex22[[#This Row],[Total Dollars Excluded from Spending After Applying Truncation at the Member Level]]=Age_Sex22[[#This Row],[Total Spending before Truncation is Applied]]</f>
        <v>1</v>
      </c>
    </row>
    <row r="588" spans="1:10" x14ac:dyDescent="0.25">
      <c r="A588" s="389"/>
      <c r="B588" s="4"/>
      <c r="C588" s="16"/>
      <c r="D588" s="519"/>
      <c r="E588" s="410"/>
      <c r="F588" s="313"/>
      <c r="G588" s="256"/>
      <c r="H588" s="313"/>
      <c r="I588" s="456"/>
      <c r="J588" s="271" t="b">
        <f>Age_Sex22[[#This Row],[Total Spending After Applying Truncation at the Member Level]]+Age_Sex22[[#This Row],[Total Dollars Excluded from Spending After Applying Truncation at the Member Level]]=Age_Sex22[[#This Row],[Total Spending before Truncation is Applied]]</f>
        <v>1</v>
      </c>
    </row>
    <row r="589" spans="1:10" x14ac:dyDescent="0.25">
      <c r="A589" s="386"/>
      <c r="B589" s="310"/>
      <c r="C589" s="311"/>
      <c r="D589" s="518"/>
      <c r="E589" s="409"/>
      <c r="F589" s="312"/>
      <c r="G589" s="522"/>
      <c r="H589" s="312"/>
      <c r="I589" s="455"/>
      <c r="J589" s="271" t="b">
        <f>Age_Sex22[[#This Row],[Total Spending After Applying Truncation at the Member Level]]+Age_Sex22[[#This Row],[Total Dollars Excluded from Spending After Applying Truncation at the Member Level]]=Age_Sex22[[#This Row],[Total Spending before Truncation is Applied]]</f>
        <v>1</v>
      </c>
    </row>
    <row r="590" spans="1:10" x14ac:dyDescent="0.25">
      <c r="A590" s="389"/>
      <c r="B590" s="4"/>
      <c r="C590" s="16"/>
      <c r="D590" s="519"/>
      <c r="E590" s="410"/>
      <c r="F590" s="313"/>
      <c r="G590" s="256"/>
      <c r="H590" s="313"/>
      <c r="I590" s="456"/>
      <c r="J590" s="271" t="b">
        <f>Age_Sex22[[#This Row],[Total Spending After Applying Truncation at the Member Level]]+Age_Sex22[[#This Row],[Total Dollars Excluded from Spending After Applying Truncation at the Member Level]]=Age_Sex22[[#This Row],[Total Spending before Truncation is Applied]]</f>
        <v>1</v>
      </c>
    </row>
    <row r="591" spans="1:10" x14ac:dyDescent="0.25">
      <c r="A591" s="386"/>
      <c r="B591" s="310"/>
      <c r="C591" s="311"/>
      <c r="D591" s="518"/>
      <c r="E591" s="409"/>
      <c r="F591" s="312"/>
      <c r="G591" s="522"/>
      <c r="H591" s="312"/>
      <c r="I591" s="455"/>
      <c r="J591" s="271" t="b">
        <f>Age_Sex22[[#This Row],[Total Spending After Applying Truncation at the Member Level]]+Age_Sex22[[#This Row],[Total Dollars Excluded from Spending After Applying Truncation at the Member Level]]=Age_Sex22[[#This Row],[Total Spending before Truncation is Applied]]</f>
        <v>1</v>
      </c>
    </row>
    <row r="592" spans="1:10" x14ac:dyDescent="0.25">
      <c r="A592" s="389"/>
      <c r="B592" s="4"/>
      <c r="C592" s="16"/>
      <c r="D592" s="519"/>
      <c r="E592" s="410"/>
      <c r="F592" s="313"/>
      <c r="G592" s="256"/>
      <c r="H592" s="313"/>
      <c r="I592" s="456"/>
      <c r="J592" s="271" t="b">
        <f>Age_Sex22[[#This Row],[Total Spending After Applying Truncation at the Member Level]]+Age_Sex22[[#This Row],[Total Dollars Excluded from Spending After Applying Truncation at the Member Level]]=Age_Sex22[[#This Row],[Total Spending before Truncation is Applied]]</f>
        <v>1</v>
      </c>
    </row>
    <row r="593" spans="1:10" x14ac:dyDescent="0.25">
      <c r="A593" s="386"/>
      <c r="B593" s="310"/>
      <c r="C593" s="311"/>
      <c r="D593" s="518"/>
      <c r="E593" s="409"/>
      <c r="F593" s="312"/>
      <c r="G593" s="522"/>
      <c r="H593" s="312"/>
      <c r="I593" s="455"/>
      <c r="J593" s="271" t="b">
        <f>Age_Sex22[[#This Row],[Total Spending After Applying Truncation at the Member Level]]+Age_Sex22[[#This Row],[Total Dollars Excluded from Spending After Applying Truncation at the Member Level]]=Age_Sex22[[#This Row],[Total Spending before Truncation is Applied]]</f>
        <v>1</v>
      </c>
    </row>
    <row r="594" spans="1:10" x14ac:dyDescent="0.25">
      <c r="A594" s="389"/>
      <c r="B594" s="4"/>
      <c r="C594" s="16"/>
      <c r="D594" s="519"/>
      <c r="E594" s="410"/>
      <c r="F594" s="313"/>
      <c r="G594" s="256"/>
      <c r="H594" s="313"/>
      <c r="I594" s="456"/>
      <c r="J594" s="271" t="b">
        <f>Age_Sex22[[#This Row],[Total Spending After Applying Truncation at the Member Level]]+Age_Sex22[[#This Row],[Total Dollars Excluded from Spending After Applying Truncation at the Member Level]]=Age_Sex22[[#This Row],[Total Spending before Truncation is Applied]]</f>
        <v>1</v>
      </c>
    </row>
    <row r="595" spans="1:10" x14ac:dyDescent="0.25">
      <c r="A595" s="386"/>
      <c r="B595" s="310"/>
      <c r="C595" s="311"/>
      <c r="D595" s="518"/>
      <c r="E595" s="409"/>
      <c r="F595" s="312"/>
      <c r="G595" s="522"/>
      <c r="H595" s="312"/>
      <c r="I595" s="455"/>
      <c r="J595" s="271" t="b">
        <f>Age_Sex22[[#This Row],[Total Spending After Applying Truncation at the Member Level]]+Age_Sex22[[#This Row],[Total Dollars Excluded from Spending After Applying Truncation at the Member Level]]=Age_Sex22[[#This Row],[Total Spending before Truncation is Applied]]</f>
        <v>1</v>
      </c>
    </row>
    <row r="596" spans="1:10" x14ac:dyDescent="0.25">
      <c r="A596" s="389"/>
      <c r="B596" s="4"/>
      <c r="C596" s="16"/>
      <c r="D596" s="519"/>
      <c r="E596" s="410"/>
      <c r="F596" s="313"/>
      <c r="G596" s="256"/>
      <c r="H596" s="313"/>
      <c r="I596" s="456"/>
      <c r="J596" s="271" t="b">
        <f>Age_Sex22[[#This Row],[Total Spending After Applying Truncation at the Member Level]]+Age_Sex22[[#This Row],[Total Dollars Excluded from Spending After Applying Truncation at the Member Level]]=Age_Sex22[[#This Row],[Total Spending before Truncation is Applied]]</f>
        <v>1</v>
      </c>
    </row>
    <row r="597" spans="1:10" x14ac:dyDescent="0.25">
      <c r="A597" s="386"/>
      <c r="B597" s="310"/>
      <c r="C597" s="311"/>
      <c r="D597" s="518"/>
      <c r="E597" s="409"/>
      <c r="F597" s="312"/>
      <c r="G597" s="522"/>
      <c r="H597" s="312"/>
      <c r="I597" s="455"/>
      <c r="J597" s="271" t="b">
        <f>Age_Sex22[[#This Row],[Total Spending After Applying Truncation at the Member Level]]+Age_Sex22[[#This Row],[Total Dollars Excluded from Spending After Applying Truncation at the Member Level]]=Age_Sex22[[#This Row],[Total Spending before Truncation is Applied]]</f>
        <v>1</v>
      </c>
    </row>
    <row r="598" spans="1:10" x14ac:dyDescent="0.25">
      <c r="A598" s="389"/>
      <c r="B598" s="4"/>
      <c r="C598" s="16"/>
      <c r="D598" s="519"/>
      <c r="E598" s="410"/>
      <c r="F598" s="313"/>
      <c r="G598" s="256"/>
      <c r="H598" s="313"/>
      <c r="I598" s="456"/>
      <c r="J598" s="271" t="b">
        <f>Age_Sex22[[#This Row],[Total Spending After Applying Truncation at the Member Level]]+Age_Sex22[[#This Row],[Total Dollars Excluded from Spending After Applying Truncation at the Member Level]]=Age_Sex22[[#This Row],[Total Spending before Truncation is Applied]]</f>
        <v>1</v>
      </c>
    </row>
    <row r="599" spans="1:10" x14ac:dyDescent="0.25">
      <c r="A599" s="386"/>
      <c r="B599" s="310"/>
      <c r="C599" s="311"/>
      <c r="D599" s="518"/>
      <c r="E599" s="409"/>
      <c r="F599" s="312"/>
      <c r="G599" s="522"/>
      <c r="H599" s="312"/>
      <c r="I599" s="455"/>
      <c r="J599" s="271" t="b">
        <f>Age_Sex22[[#This Row],[Total Spending After Applying Truncation at the Member Level]]+Age_Sex22[[#This Row],[Total Dollars Excluded from Spending After Applying Truncation at the Member Level]]=Age_Sex22[[#This Row],[Total Spending before Truncation is Applied]]</f>
        <v>1</v>
      </c>
    </row>
    <row r="600" spans="1:10" x14ac:dyDescent="0.25">
      <c r="A600" s="389"/>
      <c r="B600" s="4"/>
      <c r="C600" s="16"/>
      <c r="D600" s="519"/>
      <c r="E600" s="410"/>
      <c r="F600" s="313"/>
      <c r="G600" s="256"/>
      <c r="H600" s="313"/>
      <c r="I600" s="456"/>
      <c r="J600" s="271" t="b">
        <f>Age_Sex22[[#This Row],[Total Spending After Applying Truncation at the Member Level]]+Age_Sex22[[#This Row],[Total Dollars Excluded from Spending After Applying Truncation at the Member Level]]=Age_Sex22[[#This Row],[Total Spending before Truncation is Applied]]</f>
        <v>1</v>
      </c>
    </row>
    <row r="601" spans="1:10" x14ac:dyDescent="0.25">
      <c r="A601" s="386"/>
      <c r="B601" s="310"/>
      <c r="C601" s="311"/>
      <c r="D601" s="518"/>
      <c r="E601" s="409"/>
      <c r="F601" s="312"/>
      <c r="G601" s="522"/>
      <c r="H601" s="312"/>
      <c r="I601" s="455"/>
      <c r="J601" s="271" t="b">
        <f>Age_Sex22[[#This Row],[Total Spending After Applying Truncation at the Member Level]]+Age_Sex22[[#This Row],[Total Dollars Excluded from Spending After Applying Truncation at the Member Level]]=Age_Sex22[[#This Row],[Total Spending before Truncation is Applied]]</f>
        <v>1</v>
      </c>
    </row>
    <row r="602" spans="1:10" x14ac:dyDescent="0.25">
      <c r="A602" s="389"/>
      <c r="B602" s="4"/>
      <c r="C602" s="16"/>
      <c r="D602" s="519"/>
      <c r="E602" s="410"/>
      <c r="F602" s="313"/>
      <c r="G602" s="256"/>
      <c r="H602" s="313"/>
      <c r="I602" s="456"/>
      <c r="J602" s="271" t="b">
        <f>Age_Sex22[[#This Row],[Total Spending After Applying Truncation at the Member Level]]+Age_Sex22[[#This Row],[Total Dollars Excluded from Spending After Applying Truncation at the Member Level]]=Age_Sex22[[#This Row],[Total Spending before Truncation is Applied]]</f>
        <v>1</v>
      </c>
    </row>
    <row r="603" spans="1:10" x14ac:dyDescent="0.25">
      <c r="A603" s="386"/>
      <c r="B603" s="310"/>
      <c r="C603" s="311"/>
      <c r="D603" s="518"/>
      <c r="E603" s="409"/>
      <c r="F603" s="312"/>
      <c r="G603" s="522"/>
      <c r="H603" s="312"/>
      <c r="I603" s="455"/>
      <c r="J603" s="271" t="b">
        <f>Age_Sex22[[#This Row],[Total Spending After Applying Truncation at the Member Level]]+Age_Sex22[[#This Row],[Total Dollars Excluded from Spending After Applying Truncation at the Member Level]]=Age_Sex22[[#This Row],[Total Spending before Truncation is Applied]]</f>
        <v>1</v>
      </c>
    </row>
    <row r="604" spans="1:10" x14ac:dyDescent="0.25">
      <c r="A604" s="389"/>
      <c r="B604" s="4"/>
      <c r="C604" s="16"/>
      <c r="D604" s="519"/>
      <c r="E604" s="410"/>
      <c r="F604" s="313"/>
      <c r="G604" s="256"/>
      <c r="H604" s="313"/>
      <c r="I604" s="456"/>
      <c r="J604" s="271" t="b">
        <f>Age_Sex22[[#This Row],[Total Spending After Applying Truncation at the Member Level]]+Age_Sex22[[#This Row],[Total Dollars Excluded from Spending After Applying Truncation at the Member Level]]=Age_Sex22[[#This Row],[Total Spending before Truncation is Applied]]</f>
        <v>1</v>
      </c>
    </row>
    <row r="605" spans="1:10" x14ac:dyDescent="0.25">
      <c r="A605" s="386"/>
      <c r="B605" s="310"/>
      <c r="C605" s="311"/>
      <c r="D605" s="518"/>
      <c r="E605" s="409"/>
      <c r="F605" s="312"/>
      <c r="G605" s="522"/>
      <c r="H605" s="312"/>
      <c r="I605" s="455"/>
      <c r="J605" s="271" t="b">
        <f>Age_Sex22[[#This Row],[Total Spending After Applying Truncation at the Member Level]]+Age_Sex22[[#This Row],[Total Dollars Excluded from Spending After Applying Truncation at the Member Level]]=Age_Sex22[[#This Row],[Total Spending before Truncation is Applied]]</f>
        <v>1</v>
      </c>
    </row>
    <row r="606" spans="1:10" x14ac:dyDescent="0.25">
      <c r="A606" s="389"/>
      <c r="B606" s="4"/>
      <c r="C606" s="16"/>
      <c r="D606" s="519"/>
      <c r="E606" s="410"/>
      <c r="F606" s="313"/>
      <c r="G606" s="256"/>
      <c r="H606" s="313"/>
      <c r="I606" s="456"/>
      <c r="J606" s="271" t="b">
        <f>Age_Sex22[[#This Row],[Total Spending After Applying Truncation at the Member Level]]+Age_Sex22[[#This Row],[Total Dollars Excluded from Spending After Applying Truncation at the Member Level]]=Age_Sex22[[#This Row],[Total Spending before Truncation is Applied]]</f>
        <v>1</v>
      </c>
    </row>
    <row r="607" spans="1:10" x14ac:dyDescent="0.25">
      <c r="A607" s="386"/>
      <c r="B607" s="310"/>
      <c r="C607" s="311"/>
      <c r="D607" s="518"/>
      <c r="E607" s="409"/>
      <c r="F607" s="312"/>
      <c r="G607" s="522"/>
      <c r="H607" s="312"/>
      <c r="I607" s="455"/>
      <c r="J607" s="271" t="b">
        <f>Age_Sex22[[#This Row],[Total Spending After Applying Truncation at the Member Level]]+Age_Sex22[[#This Row],[Total Dollars Excluded from Spending After Applying Truncation at the Member Level]]=Age_Sex22[[#This Row],[Total Spending before Truncation is Applied]]</f>
        <v>1</v>
      </c>
    </row>
    <row r="608" spans="1:10" x14ac:dyDescent="0.25">
      <c r="A608" s="389"/>
      <c r="B608" s="4"/>
      <c r="C608" s="16"/>
      <c r="D608" s="519"/>
      <c r="E608" s="410"/>
      <c r="F608" s="313"/>
      <c r="G608" s="256"/>
      <c r="H608" s="313"/>
      <c r="I608" s="456"/>
      <c r="J608" s="271" t="b">
        <f>Age_Sex22[[#This Row],[Total Spending After Applying Truncation at the Member Level]]+Age_Sex22[[#This Row],[Total Dollars Excluded from Spending After Applying Truncation at the Member Level]]=Age_Sex22[[#This Row],[Total Spending before Truncation is Applied]]</f>
        <v>1</v>
      </c>
    </row>
    <row r="609" spans="1:10" x14ac:dyDescent="0.25">
      <c r="A609" s="386"/>
      <c r="B609" s="310"/>
      <c r="C609" s="311"/>
      <c r="D609" s="518"/>
      <c r="E609" s="409"/>
      <c r="F609" s="312"/>
      <c r="G609" s="522"/>
      <c r="H609" s="312"/>
      <c r="I609" s="455"/>
      <c r="J609" s="271" t="b">
        <f>Age_Sex22[[#This Row],[Total Spending After Applying Truncation at the Member Level]]+Age_Sex22[[#This Row],[Total Dollars Excluded from Spending After Applying Truncation at the Member Level]]=Age_Sex22[[#This Row],[Total Spending before Truncation is Applied]]</f>
        <v>1</v>
      </c>
    </row>
    <row r="610" spans="1:10" x14ac:dyDescent="0.25">
      <c r="A610" s="389"/>
      <c r="B610" s="4"/>
      <c r="C610" s="16"/>
      <c r="D610" s="519"/>
      <c r="E610" s="410"/>
      <c r="F610" s="313"/>
      <c r="G610" s="256"/>
      <c r="H610" s="313"/>
      <c r="I610" s="456"/>
      <c r="J610" s="271" t="b">
        <f>Age_Sex22[[#This Row],[Total Spending After Applying Truncation at the Member Level]]+Age_Sex22[[#This Row],[Total Dollars Excluded from Spending After Applying Truncation at the Member Level]]=Age_Sex22[[#This Row],[Total Spending before Truncation is Applied]]</f>
        <v>1</v>
      </c>
    </row>
    <row r="611" spans="1:10" x14ac:dyDescent="0.25">
      <c r="A611" s="386"/>
      <c r="B611" s="310"/>
      <c r="C611" s="311"/>
      <c r="D611" s="518"/>
      <c r="E611" s="409"/>
      <c r="F611" s="312"/>
      <c r="G611" s="522"/>
      <c r="H611" s="312"/>
      <c r="I611" s="455"/>
      <c r="J611" s="271" t="b">
        <f>Age_Sex22[[#This Row],[Total Spending After Applying Truncation at the Member Level]]+Age_Sex22[[#This Row],[Total Dollars Excluded from Spending After Applying Truncation at the Member Level]]=Age_Sex22[[#This Row],[Total Spending before Truncation is Applied]]</f>
        <v>1</v>
      </c>
    </row>
    <row r="612" spans="1:10" x14ac:dyDescent="0.25">
      <c r="A612" s="389"/>
      <c r="B612" s="4"/>
      <c r="C612" s="16"/>
      <c r="D612" s="519"/>
      <c r="E612" s="410"/>
      <c r="F612" s="313"/>
      <c r="G612" s="256"/>
      <c r="H612" s="313"/>
      <c r="I612" s="456"/>
      <c r="J612" s="271" t="b">
        <f>Age_Sex22[[#This Row],[Total Spending After Applying Truncation at the Member Level]]+Age_Sex22[[#This Row],[Total Dollars Excluded from Spending After Applying Truncation at the Member Level]]=Age_Sex22[[#This Row],[Total Spending before Truncation is Applied]]</f>
        <v>1</v>
      </c>
    </row>
    <row r="613" spans="1:10" x14ac:dyDescent="0.25">
      <c r="A613" s="386"/>
      <c r="B613" s="310"/>
      <c r="C613" s="311"/>
      <c r="D613" s="518"/>
      <c r="E613" s="409"/>
      <c r="F613" s="312"/>
      <c r="G613" s="522"/>
      <c r="H613" s="312"/>
      <c r="I613" s="455"/>
      <c r="J613" s="271" t="b">
        <f>Age_Sex22[[#This Row],[Total Spending After Applying Truncation at the Member Level]]+Age_Sex22[[#This Row],[Total Dollars Excluded from Spending After Applying Truncation at the Member Level]]=Age_Sex22[[#This Row],[Total Spending before Truncation is Applied]]</f>
        <v>1</v>
      </c>
    </row>
    <row r="614" spans="1:10" x14ac:dyDescent="0.25">
      <c r="A614" s="389"/>
      <c r="B614" s="4"/>
      <c r="C614" s="16"/>
      <c r="D614" s="519"/>
      <c r="E614" s="410"/>
      <c r="F614" s="313"/>
      <c r="G614" s="256"/>
      <c r="H614" s="313"/>
      <c r="I614" s="456"/>
      <c r="J614" s="271" t="b">
        <f>Age_Sex22[[#This Row],[Total Spending After Applying Truncation at the Member Level]]+Age_Sex22[[#This Row],[Total Dollars Excluded from Spending After Applying Truncation at the Member Level]]=Age_Sex22[[#This Row],[Total Spending before Truncation is Applied]]</f>
        <v>1</v>
      </c>
    </row>
    <row r="615" spans="1:10" x14ac:dyDescent="0.25">
      <c r="A615" s="386"/>
      <c r="B615" s="310"/>
      <c r="C615" s="311"/>
      <c r="D615" s="518"/>
      <c r="E615" s="409"/>
      <c r="F615" s="312"/>
      <c r="G615" s="522"/>
      <c r="H615" s="312"/>
      <c r="I615" s="455"/>
      <c r="J615" s="271" t="b">
        <f>Age_Sex22[[#This Row],[Total Spending After Applying Truncation at the Member Level]]+Age_Sex22[[#This Row],[Total Dollars Excluded from Spending After Applying Truncation at the Member Level]]=Age_Sex22[[#This Row],[Total Spending before Truncation is Applied]]</f>
        <v>1</v>
      </c>
    </row>
    <row r="616" spans="1:10" x14ac:dyDescent="0.25">
      <c r="A616" s="389"/>
      <c r="B616" s="4"/>
      <c r="C616" s="16"/>
      <c r="D616" s="519"/>
      <c r="E616" s="410"/>
      <c r="F616" s="313"/>
      <c r="G616" s="256"/>
      <c r="H616" s="313"/>
      <c r="I616" s="456"/>
      <c r="J616" s="271" t="b">
        <f>Age_Sex22[[#This Row],[Total Spending After Applying Truncation at the Member Level]]+Age_Sex22[[#This Row],[Total Dollars Excluded from Spending After Applying Truncation at the Member Level]]=Age_Sex22[[#This Row],[Total Spending before Truncation is Applied]]</f>
        <v>1</v>
      </c>
    </row>
    <row r="617" spans="1:10" x14ac:dyDescent="0.25">
      <c r="A617" s="386"/>
      <c r="B617" s="310"/>
      <c r="C617" s="311"/>
      <c r="D617" s="518"/>
      <c r="E617" s="409"/>
      <c r="F617" s="312"/>
      <c r="G617" s="522"/>
      <c r="H617" s="312"/>
      <c r="I617" s="455"/>
      <c r="J617" s="271" t="b">
        <f>Age_Sex22[[#This Row],[Total Spending After Applying Truncation at the Member Level]]+Age_Sex22[[#This Row],[Total Dollars Excluded from Spending After Applying Truncation at the Member Level]]=Age_Sex22[[#This Row],[Total Spending before Truncation is Applied]]</f>
        <v>1</v>
      </c>
    </row>
    <row r="618" spans="1:10" x14ac:dyDescent="0.25">
      <c r="A618" s="389"/>
      <c r="B618" s="4"/>
      <c r="C618" s="16"/>
      <c r="D618" s="519"/>
      <c r="E618" s="410"/>
      <c r="F618" s="313"/>
      <c r="G618" s="256"/>
      <c r="H618" s="313"/>
      <c r="I618" s="456"/>
      <c r="J618" s="271" t="b">
        <f>Age_Sex22[[#This Row],[Total Spending After Applying Truncation at the Member Level]]+Age_Sex22[[#This Row],[Total Dollars Excluded from Spending After Applying Truncation at the Member Level]]=Age_Sex22[[#This Row],[Total Spending before Truncation is Applied]]</f>
        <v>1</v>
      </c>
    </row>
    <row r="619" spans="1:10" x14ac:dyDescent="0.25">
      <c r="A619" s="386"/>
      <c r="B619" s="310"/>
      <c r="C619" s="311"/>
      <c r="D619" s="518"/>
      <c r="E619" s="409"/>
      <c r="F619" s="312"/>
      <c r="G619" s="522"/>
      <c r="H619" s="312"/>
      <c r="I619" s="455"/>
      <c r="J619" s="271" t="b">
        <f>Age_Sex22[[#This Row],[Total Spending After Applying Truncation at the Member Level]]+Age_Sex22[[#This Row],[Total Dollars Excluded from Spending After Applying Truncation at the Member Level]]=Age_Sex22[[#This Row],[Total Spending before Truncation is Applied]]</f>
        <v>1</v>
      </c>
    </row>
    <row r="620" spans="1:10" x14ac:dyDescent="0.25">
      <c r="A620" s="389"/>
      <c r="B620" s="4"/>
      <c r="C620" s="16"/>
      <c r="D620" s="519"/>
      <c r="E620" s="410"/>
      <c r="F620" s="313"/>
      <c r="G620" s="256"/>
      <c r="H620" s="313"/>
      <c r="I620" s="456"/>
      <c r="J620" s="271" t="b">
        <f>Age_Sex22[[#This Row],[Total Spending After Applying Truncation at the Member Level]]+Age_Sex22[[#This Row],[Total Dollars Excluded from Spending After Applying Truncation at the Member Level]]=Age_Sex22[[#This Row],[Total Spending before Truncation is Applied]]</f>
        <v>1</v>
      </c>
    </row>
    <row r="621" spans="1:10" x14ac:dyDescent="0.25">
      <c r="A621" s="386"/>
      <c r="B621" s="310"/>
      <c r="C621" s="311"/>
      <c r="D621" s="518"/>
      <c r="E621" s="409"/>
      <c r="F621" s="312"/>
      <c r="G621" s="522"/>
      <c r="H621" s="312"/>
      <c r="I621" s="455"/>
      <c r="J621" s="271" t="b">
        <f>Age_Sex22[[#This Row],[Total Spending After Applying Truncation at the Member Level]]+Age_Sex22[[#This Row],[Total Dollars Excluded from Spending After Applying Truncation at the Member Level]]=Age_Sex22[[#This Row],[Total Spending before Truncation is Applied]]</f>
        <v>1</v>
      </c>
    </row>
    <row r="622" spans="1:10" x14ac:dyDescent="0.25">
      <c r="A622" s="389"/>
      <c r="B622" s="4"/>
      <c r="C622" s="16"/>
      <c r="D622" s="519"/>
      <c r="E622" s="410"/>
      <c r="F622" s="313"/>
      <c r="G622" s="256"/>
      <c r="H622" s="313"/>
      <c r="I622" s="456"/>
      <c r="J622" s="271" t="b">
        <f>Age_Sex22[[#This Row],[Total Spending After Applying Truncation at the Member Level]]+Age_Sex22[[#This Row],[Total Dollars Excluded from Spending After Applying Truncation at the Member Level]]=Age_Sex22[[#This Row],[Total Spending before Truncation is Applied]]</f>
        <v>1</v>
      </c>
    </row>
    <row r="623" spans="1:10" x14ac:dyDescent="0.25">
      <c r="A623" s="386"/>
      <c r="B623" s="310"/>
      <c r="C623" s="311"/>
      <c r="D623" s="518"/>
      <c r="E623" s="409"/>
      <c r="F623" s="312"/>
      <c r="G623" s="522"/>
      <c r="H623" s="312"/>
      <c r="I623" s="455"/>
      <c r="J623" s="271" t="b">
        <f>Age_Sex22[[#This Row],[Total Spending After Applying Truncation at the Member Level]]+Age_Sex22[[#This Row],[Total Dollars Excluded from Spending After Applying Truncation at the Member Level]]=Age_Sex22[[#This Row],[Total Spending before Truncation is Applied]]</f>
        <v>1</v>
      </c>
    </row>
    <row r="624" spans="1:10" x14ac:dyDescent="0.25">
      <c r="A624" s="389"/>
      <c r="B624" s="4"/>
      <c r="C624" s="16"/>
      <c r="D624" s="519"/>
      <c r="E624" s="410"/>
      <c r="F624" s="313"/>
      <c r="G624" s="256"/>
      <c r="H624" s="313"/>
      <c r="I624" s="456"/>
      <c r="J624" s="271" t="b">
        <f>Age_Sex22[[#This Row],[Total Spending After Applying Truncation at the Member Level]]+Age_Sex22[[#This Row],[Total Dollars Excluded from Spending After Applying Truncation at the Member Level]]=Age_Sex22[[#This Row],[Total Spending before Truncation is Applied]]</f>
        <v>1</v>
      </c>
    </row>
    <row r="625" spans="1:10" x14ac:dyDescent="0.25">
      <c r="A625" s="386"/>
      <c r="B625" s="310"/>
      <c r="C625" s="311"/>
      <c r="D625" s="518"/>
      <c r="E625" s="409"/>
      <c r="F625" s="312"/>
      <c r="G625" s="522"/>
      <c r="H625" s="312"/>
      <c r="I625" s="455"/>
      <c r="J625" s="271" t="b">
        <f>Age_Sex22[[#This Row],[Total Spending After Applying Truncation at the Member Level]]+Age_Sex22[[#This Row],[Total Dollars Excluded from Spending After Applying Truncation at the Member Level]]=Age_Sex22[[#This Row],[Total Spending before Truncation is Applied]]</f>
        <v>1</v>
      </c>
    </row>
    <row r="626" spans="1:10" x14ac:dyDescent="0.25">
      <c r="A626" s="389"/>
      <c r="B626" s="4"/>
      <c r="C626" s="16"/>
      <c r="D626" s="519"/>
      <c r="E626" s="410"/>
      <c r="F626" s="313"/>
      <c r="G626" s="256"/>
      <c r="H626" s="313"/>
      <c r="I626" s="456"/>
      <c r="J626" s="271" t="b">
        <f>Age_Sex22[[#This Row],[Total Spending After Applying Truncation at the Member Level]]+Age_Sex22[[#This Row],[Total Dollars Excluded from Spending After Applying Truncation at the Member Level]]=Age_Sex22[[#This Row],[Total Spending before Truncation is Applied]]</f>
        <v>1</v>
      </c>
    </row>
    <row r="627" spans="1:10" x14ac:dyDescent="0.25">
      <c r="A627" s="386"/>
      <c r="B627" s="310"/>
      <c r="C627" s="311"/>
      <c r="D627" s="518"/>
      <c r="E627" s="409"/>
      <c r="F627" s="312"/>
      <c r="G627" s="522"/>
      <c r="H627" s="312"/>
      <c r="I627" s="455"/>
      <c r="J627" s="271" t="b">
        <f>Age_Sex22[[#This Row],[Total Spending After Applying Truncation at the Member Level]]+Age_Sex22[[#This Row],[Total Dollars Excluded from Spending After Applying Truncation at the Member Level]]=Age_Sex22[[#This Row],[Total Spending before Truncation is Applied]]</f>
        <v>1</v>
      </c>
    </row>
    <row r="628" spans="1:10" x14ac:dyDescent="0.25">
      <c r="A628" s="389"/>
      <c r="B628" s="4"/>
      <c r="C628" s="16"/>
      <c r="D628" s="519"/>
      <c r="E628" s="410"/>
      <c r="F628" s="313"/>
      <c r="G628" s="256"/>
      <c r="H628" s="313"/>
      <c r="I628" s="456"/>
      <c r="J628" s="271" t="b">
        <f>Age_Sex22[[#This Row],[Total Spending After Applying Truncation at the Member Level]]+Age_Sex22[[#This Row],[Total Dollars Excluded from Spending After Applying Truncation at the Member Level]]=Age_Sex22[[#This Row],[Total Spending before Truncation is Applied]]</f>
        <v>1</v>
      </c>
    </row>
    <row r="629" spans="1:10" x14ac:dyDescent="0.25">
      <c r="A629" s="386"/>
      <c r="B629" s="310"/>
      <c r="C629" s="311"/>
      <c r="D629" s="518"/>
      <c r="E629" s="409"/>
      <c r="F629" s="312"/>
      <c r="G629" s="522"/>
      <c r="H629" s="312"/>
      <c r="I629" s="455"/>
      <c r="J629" s="271" t="b">
        <f>Age_Sex22[[#This Row],[Total Spending After Applying Truncation at the Member Level]]+Age_Sex22[[#This Row],[Total Dollars Excluded from Spending After Applying Truncation at the Member Level]]=Age_Sex22[[#This Row],[Total Spending before Truncation is Applied]]</f>
        <v>1</v>
      </c>
    </row>
    <row r="630" spans="1:10" x14ac:dyDescent="0.25">
      <c r="A630" s="389"/>
      <c r="B630" s="4"/>
      <c r="C630" s="16"/>
      <c r="D630" s="519"/>
      <c r="E630" s="410"/>
      <c r="F630" s="313"/>
      <c r="G630" s="256"/>
      <c r="H630" s="313"/>
      <c r="I630" s="456"/>
      <c r="J630" s="271" t="b">
        <f>Age_Sex22[[#This Row],[Total Spending After Applying Truncation at the Member Level]]+Age_Sex22[[#This Row],[Total Dollars Excluded from Spending After Applying Truncation at the Member Level]]=Age_Sex22[[#This Row],[Total Spending before Truncation is Applied]]</f>
        <v>1</v>
      </c>
    </row>
    <row r="631" spans="1:10" x14ac:dyDescent="0.25">
      <c r="A631" s="386"/>
      <c r="B631" s="310"/>
      <c r="C631" s="311"/>
      <c r="D631" s="518"/>
      <c r="E631" s="409"/>
      <c r="F631" s="312"/>
      <c r="G631" s="522"/>
      <c r="H631" s="312"/>
      <c r="I631" s="455"/>
      <c r="J631" s="271" t="b">
        <f>Age_Sex22[[#This Row],[Total Spending After Applying Truncation at the Member Level]]+Age_Sex22[[#This Row],[Total Dollars Excluded from Spending After Applying Truncation at the Member Level]]=Age_Sex22[[#This Row],[Total Spending before Truncation is Applied]]</f>
        <v>1</v>
      </c>
    </row>
    <row r="632" spans="1:10" x14ac:dyDescent="0.25">
      <c r="A632" s="389"/>
      <c r="B632" s="4"/>
      <c r="C632" s="16"/>
      <c r="D632" s="519"/>
      <c r="E632" s="410"/>
      <c r="F632" s="313"/>
      <c r="G632" s="256"/>
      <c r="H632" s="313"/>
      <c r="I632" s="456"/>
      <c r="J632" s="271" t="b">
        <f>Age_Sex22[[#This Row],[Total Spending After Applying Truncation at the Member Level]]+Age_Sex22[[#This Row],[Total Dollars Excluded from Spending After Applying Truncation at the Member Level]]=Age_Sex22[[#This Row],[Total Spending before Truncation is Applied]]</f>
        <v>1</v>
      </c>
    </row>
    <row r="633" spans="1:10" x14ac:dyDescent="0.25">
      <c r="A633" s="386"/>
      <c r="B633" s="310"/>
      <c r="C633" s="311"/>
      <c r="D633" s="518"/>
      <c r="E633" s="409"/>
      <c r="F633" s="312"/>
      <c r="G633" s="522"/>
      <c r="H633" s="312"/>
      <c r="I633" s="455"/>
      <c r="J633" s="271" t="b">
        <f>Age_Sex22[[#This Row],[Total Spending After Applying Truncation at the Member Level]]+Age_Sex22[[#This Row],[Total Dollars Excluded from Spending After Applying Truncation at the Member Level]]=Age_Sex22[[#This Row],[Total Spending before Truncation is Applied]]</f>
        <v>1</v>
      </c>
    </row>
    <row r="634" spans="1:10" x14ac:dyDescent="0.25">
      <c r="A634" s="389"/>
      <c r="B634" s="4"/>
      <c r="C634" s="16"/>
      <c r="D634" s="519"/>
      <c r="E634" s="410"/>
      <c r="F634" s="313"/>
      <c r="G634" s="256"/>
      <c r="H634" s="313"/>
      <c r="I634" s="456"/>
      <c r="J634" s="271" t="b">
        <f>Age_Sex22[[#This Row],[Total Spending After Applying Truncation at the Member Level]]+Age_Sex22[[#This Row],[Total Dollars Excluded from Spending After Applying Truncation at the Member Level]]=Age_Sex22[[#This Row],[Total Spending before Truncation is Applied]]</f>
        <v>1</v>
      </c>
    </row>
    <row r="635" spans="1:10" x14ac:dyDescent="0.25">
      <c r="A635" s="386"/>
      <c r="B635" s="310"/>
      <c r="C635" s="311"/>
      <c r="D635" s="518"/>
      <c r="E635" s="409"/>
      <c r="F635" s="312"/>
      <c r="G635" s="522"/>
      <c r="H635" s="312"/>
      <c r="I635" s="455"/>
      <c r="J635" s="271" t="b">
        <f>Age_Sex22[[#This Row],[Total Spending After Applying Truncation at the Member Level]]+Age_Sex22[[#This Row],[Total Dollars Excluded from Spending After Applying Truncation at the Member Level]]=Age_Sex22[[#This Row],[Total Spending before Truncation is Applied]]</f>
        <v>1</v>
      </c>
    </row>
    <row r="636" spans="1:10" x14ac:dyDescent="0.25">
      <c r="A636" s="389"/>
      <c r="B636" s="4"/>
      <c r="C636" s="16"/>
      <c r="D636" s="519"/>
      <c r="E636" s="410"/>
      <c r="F636" s="313"/>
      <c r="G636" s="256"/>
      <c r="H636" s="313"/>
      <c r="I636" s="456"/>
      <c r="J636" s="271" t="b">
        <f>Age_Sex22[[#This Row],[Total Spending After Applying Truncation at the Member Level]]+Age_Sex22[[#This Row],[Total Dollars Excluded from Spending After Applying Truncation at the Member Level]]=Age_Sex22[[#This Row],[Total Spending before Truncation is Applied]]</f>
        <v>1</v>
      </c>
    </row>
    <row r="637" spans="1:10" x14ac:dyDescent="0.25">
      <c r="A637" s="386"/>
      <c r="B637" s="310"/>
      <c r="C637" s="311"/>
      <c r="D637" s="518"/>
      <c r="E637" s="409"/>
      <c r="F637" s="312"/>
      <c r="G637" s="522"/>
      <c r="H637" s="312"/>
      <c r="I637" s="455"/>
      <c r="J637" s="271" t="b">
        <f>Age_Sex22[[#This Row],[Total Spending After Applying Truncation at the Member Level]]+Age_Sex22[[#This Row],[Total Dollars Excluded from Spending After Applying Truncation at the Member Level]]=Age_Sex22[[#This Row],[Total Spending before Truncation is Applied]]</f>
        <v>1</v>
      </c>
    </row>
    <row r="638" spans="1:10" x14ac:dyDescent="0.25">
      <c r="A638" s="389"/>
      <c r="B638" s="4"/>
      <c r="C638" s="16"/>
      <c r="D638" s="519"/>
      <c r="E638" s="410"/>
      <c r="F638" s="313"/>
      <c r="G638" s="256"/>
      <c r="H638" s="313"/>
      <c r="I638" s="456"/>
      <c r="J638" s="271" t="b">
        <f>Age_Sex22[[#This Row],[Total Spending After Applying Truncation at the Member Level]]+Age_Sex22[[#This Row],[Total Dollars Excluded from Spending After Applying Truncation at the Member Level]]=Age_Sex22[[#This Row],[Total Spending before Truncation is Applied]]</f>
        <v>1</v>
      </c>
    </row>
    <row r="639" spans="1:10" x14ac:dyDescent="0.25">
      <c r="A639" s="386"/>
      <c r="B639" s="310"/>
      <c r="C639" s="311"/>
      <c r="D639" s="518"/>
      <c r="E639" s="409"/>
      <c r="F639" s="312"/>
      <c r="G639" s="522"/>
      <c r="H639" s="312"/>
      <c r="I639" s="455"/>
      <c r="J639" s="271" t="b">
        <f>Age_Sex22[[#This Row],[Total Spending After Applying Truncation at the Member Level]]+Age_Sex22[[#This Row],[Total Dollars Excluded from Spending After Applying Truncation at the Member Level]]=Age_Sex22[[#This Row],[Total Spending before Truncation is Applied]]</f>
        <v>1</v>
      </c>
    </row>
    <row r="640" spans="1:10" x14ac:dyDescent="0.25">
      <c r="A640" s="389"/>
      <c r="B640" s="4"/>
      <c r="C640" s="16"/>
      <c r="D640" s="519"/>
      <c r="E640" s="410"/>
      <c r="F640" s="313"/>
      <c r="G640" s="256"/>
      <c r="H640" s="313"/>
      <c r="I640" s="456"/>
      <c r="J640" s="271" t="b">
        <f>Age_Sex22[[#This Row],[Total Spending After Applying Truncation at the Member Level]]+Age_Sex22[[#This Row],[Total Dollars Excluded from Spending After Applying Truncation at the Member Level]]=Age_Sex22[[#This Row],[Total Spending before Truncation is Applied]]</f>
        <v>1</v>
      </c>
    </row>
    <row r="641" spans="1:10" x14ac:dyDescent="0.25">
      <c r="A641" s="386"/>
      <c r="B641" s="310"/>
      <c r="C641" s="311"/>
      <c r="D641" s="518"/>
      <c r="E641" s="409"/>
      <c r="F641" s="312"/>
      <c r="G641" s="522"/>
      <c r="H641" s="312"/>
      <c r="I641" s="455"/>
      <c r="J641" s="271" t="b">
        <f>Age_Sex22[[#This Row],[Total Spending After Applying Truncation at the Member Level]]+Age_Sex22[[#This Row],[Total Dollars Excluded from Spending After Applying Truncation at the Member Level]]=Age_Sex22[[#This Row],[Total Spending before Truncation is Applied]]</f>
        <v>1</v>
      </c>
    </row>
    <row r="642" spans="1:10" x14ac:dyDescent="0.25">
      <c r="A642" s="389"/>
      <c r="B642" s="4"/>
      <c r="C642" s="16"/>
      <c r="D642" s="519"/>
      <c r="E642" s="410"/>
      <c r="F642" s="313"/>
      <c r="G642" s="256"/>
      <c r="H642" s="313"/>
      <c r="I642" s="456"/>
      <c r="J642" s="271" t="b">
        <f>Age_Sex22[[#This Row],[Total Spending After Applying Truncation at the Member Level]]+Age_Sex22[[#This Row],[Total Dollars Excluded from Spending After Applying Truncation at the Member Level]]=Age_Sex22[[#This Row],[Total Spending before Truncation is Applied]]</f>
        <v>1</v>
      </c>
    </row>
    <row r="643" spans="1:10" x14ac:dyDescent="0.25">
      <c r="A643" s="386"/>
      <c r="B643" s="310"/>
      <c r="C643" s="311"/>
      <c r="D643" s="518"/>
      <c r="E643" s="409"/>
      <c r="F643" s="312"/>
      <c r="G643" s="522"/>
      <c r="H643" s="312"/>
      <c r="I643" s="455"/>
      <c r="J643" s="271" t="b">
        <f>Age_Sex22[[#This Row],[Total Spending After Applying Truncation at the Member Level]]+Age_Sex22[[#This Row],[Total Dollars Excluded from Spending After Applying Truncation at the Member Level]]=Age_Sex22[[#This Row],[Total Spending before Truncation is Applied]]</f>
        <v>1</v>
      </c>
    </row>
    <row r="644" spans="1:10" x14ac:dyDescent="0.25">
      <c r="A644" s="389"/>
      <c r="B644" s="4"/>
      <c r="C644" s="16"/>
      <c r="D644" s="519"/>
      <c r="E644" s="410"/>
      <c r="F644" s="313"/>
      <c r="G644" s="256"/>
      <c r="H644" s="313"/>
      <c r="I644" s="456"/>
      <c r="J644" s="271" t="b">
        <f>Age_Sex22[[#This Row],[Total Spending After Applying Truncation at the Member Level]]+Age_Sex22[[#This Row],[Total Dollars Excluded from Spending After Applying Truncation at the Member Level]]=Age_Sex22[[#This Row],[Total Spending before Truncation is Applied]]</f>
        <v>1</v>
      </c>
    </row>
    <row r="645" spans="1:10" x14ac:dyDescent="0.25">
      <c r="A645" s="386"/>
      <c r="B645" s="310"/>
      <c r="C645" s="311"/>
      <c r="D645" s="518"/>
      <c r="E645" s="409"/>
      <c r="F645" s="312"/>
      <c r="G645" s="522"/>
      <c r="H645" s="312"/>
      <c r="I645" s="455"/>
      <c r="J645" s="271" t="b">
        <f>Age_Sex22[[#This Row],[Total Spending After Applying Truncation at the Member Level]]+Age_Sex22[[#This Row],[Total Dollars Excluded from Spending After Applying Truncation at the Member Level]]=Age_Sex22[[#This Row],[Total Spending before Truncation is Applied]]</f>
        <v>1</v>
      </c>
    </row>
    <row r="646" spans="1:10" x14ac:dyDescent="0.25">
      <c r="A646" s="389"/>
      <c r="B646" s="4"/>
      <c r="C646" s="16"/>
      <c r="D646" s="519"/>
      <c r="E646" s="410"/>
      <c r="F646" s="313"/>
      <c r="G646" s="256"/>
      <c r="H646" s="313"/>
      <c r="I646" s="456"/>
      <c r="J646" s="271" t="b">
        <f>Age_Sex22[[#This Row],[Total Spending After Applying Truncation at the Member Level]]+Age_Sex22[[#This Row],[Total Dollars Excluded from Spending After Applying Truncation at the Member Level]]=Age_Sex22[[#This Row],[Total Spending before Truncation is Applied]]</f>
        <v>1</v>
      </c>
    </row>
    <row r="647" spans="1:10" x14ac:dyDescent="0.25">
      <c r="A647" s="386"/>
      <c r="B647" s="310"/>
      <c r="C647" s="311"/>
      <c r="D647" s="518"/>
      <c r="E647" s="409"/>
      <c r="F647" s="312"/>
      <c r="G647" s="522"/>
      <c r="H647" s="312"/>
      <c r="I647" s="455"/>
      <c r="J647" s="271" t="b">
        <f>Age_Sex22[[#This Row],[Total Spending After Applying Truncation at the Member Level]]+Age_Sex22[[#This Row],[Total Dollars Excluded from Spending After Applying Truncation at the Member Level]]=Age_Sex22[[#This Row],[Total Spending before Truncation is Applied]]</f>
        <v>1</v>
      </c>
    </row>
    <row r="648" spans="1:10" x14ac:dyDescent="0.25">
      <c r="A648" s="389"/>
      <c r="B648" s="4"/>
      <c r="C648" s="16"/>
      <c r="D648" s="519"/>
      <c r="E648" s="410"/>
      <c r="F648" s="313"/>
      <c r="G648" s="256"/>
      <c r="H648" s="313"/>
      <c r="I648" s="456"/>
      <c r="J648" s="271" t="b">
        <f>Age_Sex22[[#This Row],[Total Spending After Applying Truncation at the Member Level]]+Age_Sex22[[#This Row],[Total Dollars Excluded from Spending After Applying Truncation at the Member Level]]=Age_Sex22[[#This Row],[Total Spending before Truncation is Applied]]</f>
        <v>1</v>
      </c>
    </row>
    <row r="649" spans="1:10" x14ac:dyDescent="0.25">
      <c r="A649" s="386"/>
      <c r="B649" s="310"/>
      <c r="C649" s="311"/>
      <c r="D649" s="518"/>
      <c r="E649" s="409"/>
      <c r="F649" s="312"/>
      <c r="G649" s="522"/>
      <c r="H649" s="312"/>
      <c r="I649" s="455"/>
      <c r="J649" s="271" t="b">
        <f>Age_Sex22[[#This Row],[Total Spending After Applying Truncation at the Member Level]]+Age_Sex22[[#This Row],[Total Dollars Excluded from Spending After Applying Truncation at the Member Level]]=Age_Sex22[[#This Row],[Total Spending before Truncation is Applied]]</f>
        <v>1</v>
      </c>
    </row>
    <row r="650" spans="1:10" x14ac:dyDescent="0.25">
      <c r="A650" s="389"/>
      <c r="B650" s="4"/>
      <c r="C650" s="16"/>
      <c r="D650" s="519"/>
      <c r="E650" s="410"/>
      <c r="F650" s="313"/>
      <c r="G650" s="256"/>
      <c r="H650" s="313"/>
      <c r="I650" s="456"/>
      <c r="J650" s="271" t="b">
        <f>Age_Sex22[[#This Row],[Total Spending After Applying Truncation at the Member Level]]+Age_Sex22[[#This Row],[Total Dollars Excluded from Spending After Applying Truncation at the Member Level]]=Age_Sex22[[#This Row],[Total Spending before Truncation is Applied]]</f>
        <v>1</v>
      </c>
    </row>
    <row r="651" spans="1:10" x14ac:dyDescent="0.25">
      <c r="A651" s="386"/>
      <c r="B651" s="310"/>
      <c r="C651" s="311"/>
      <c r="D651" s="518"/>
      <c r="E651" s="409"/>
      <c r="F651" s="312"/>
      <c r="G651" s="522"/>
      <c r="H651" s="312"/>
      <c r="I651" s="455"/>
      <c r="J651" s="271" t="b">
        <f>Age_Sex22[[#This Row],[Total Spending After Applying Truncation at the Member Level]]+Age_Sex22[[#This Row],[Total Dollars Excluded from Spending After Applying Truncation at the Member Level]]=Age_Sex22[[#This Row],[Total Spending before Truncation is Applied]]</f>
        <v>1</v>
      </c>
    </row>
    <row r="652" spans="1:10" x14ac:dyDescent="0.25">
      <c r="A652" s="389"/>
      <c r="B652" s="4"/>
      <c r="C652" s="16"/>
      <c r="D652" s="519"/>
      <c r="E652" s="410"/>
      <c r="F652" s="313"/>
      <c r="G652" s="256"/>
      <c r="H652" s="313"/>
      <c r="I652" s="456"/>
      <c r="J652" s="271" t="b">
        <f>Age_Sex22[[#This Row],[Total Spending After Applying Truncation at the Member Level]]+Age_Sex22[[#This Row],[Total Dollars Excluded from Spending After Applying Truncation at the Member Level]]=Age_Sex22[[#This Row],[Total Spending before Truncation is Applied]]</f>
        <v>1</v>
      </c>
    </row>
    <row r="653" spans="1:10" x14ac:dyDescent="0.25">
      <c r="A653" s="386"/>
      <c r="B653" s="310"/>
      <c r="C653" s="311"/>
      <c r="D653" s="518"/>
      <c r="E653" s="409"/>
      <c r="F653" s="312"/>
      <c r="G653" s="522"/>
      <c r="H653" s="312"/>
      <c r="I653" s="455"/>
      <c r="J653" s="271" t="b">
        <f>Age_Sex22[[#This Row],[Total Spending After Applying Truncation at the Member Level]]+Age_Sex22[[#This Row],[Total Dollars Excluded from Spending After Applying Truncation at the Member Level]]=Age_Sex22[[#This Row],[Total Spending before Truncation is Applied]]</f>
        <v>1</v>
      </c>
    </row>
    <row r="654" spans="1:10" x14ac:dyDescent="0.25">
      <c r="A654" s="389"/>
      <c r="B654" s="4"/>
      <c r="C654" s="16"/>
      <c r="D654" s="519"/>
      <c r="E654" s="410"/>
      <c r="F654" s="313"/>
      <c r="G654" s="256"/>
      <c r="H654" s="313"/>
      <c r="I654" s="456"/>
      <c r="J654" s="271" t="b">
        <f>Age_Sex22[[#This Row],[Total Spending After Applying Truncation at the Member Level]]+Age_Sex22[[#This Row],[Total Dollars Excluded from Spending After Applying Truncation at the Member Level]]=Age_Sex22[[#This Row],[Total Spending before Truncation is Applied]]</f>
        <v>1</v>
      </c>
    </row>
    <row r="655" spans="1:10" x14ac:dyDescent="0.25">
      <c r="A655" s="386"/>
      <c r="B655" s="310"/>
      <c r="C655" s="311"/>
      <c r="D655" s="518"/>
      <c r="E655" s="409"/>
      <c r="F655" s="312"/>
      <c r="G655" s="522"/>
      <c r="H655" s="312"/>
      <c r="I655" s="455"/>
      <c r="J655" s="271" t="b">
        <f>Age_Sex22[[#This Row],[Total Spending After Applying Truncation at the Member Level]]+Age_Sex22[[#This Row],[Total Dollars Excluded from Spending After Applying Truncation at the Member Level]]=Age_Sex22[[#This Row],[Total Spending before Truncation is Applied]]</f>
        <v>1</v>
      </c>
    </row>
    <row r="656" spans="1:10" x14ac:dyDescent="0.25">
      <c r="A656" s="389"/>
      <c r="B656" s="4"/>
      <c r="C656" s="16"/>
      <c r="D656" s="519"/>
      <c r="E656" s="410"/>
      <c r="F656" s="313"/>
      <c r="G656" s="256"/>
      <c r="H656" s="313"/>
      <c r="I656" s="456"/>
      <c r="J656" s="271" t="b">
        <f>Age_Sex22[[#This Row],[Total Spending After Applying Truncation at the Member Level]]+Age_Sex22[[#This Row],[Total Dollars Excluded from Spending After Applying Truncation at the Member Level]]=Age_Sex22[[#This Row],[Total Spending before Truncation is Applied]]</f>
        <v>1</v>
      </c>
    </row>
    <row r="657" spans="1:10" x14ac:dyDescent="0.25">
      <c r="A657" s="386"/>
      <c r="B657" s="310"/>
      <c r="C657" s="311"/>
      <c r="D657" s="518"/>
      <c r="E657" s="409"/>
      <c r="F657" s="312"/>
      <c r="G657" s="522"/>
      <c r="H657" s="312"/>
      <c r="I657" s="455"/>
      <c r="J657" s="271" t="b">
        <f>Age_Sex22[[#This Row],[Total Spending After Applying Truncation at the Member Level]]+Age_Sex22[[#This Row],[Total Dollars Excluded from Spending After Applying Truncation at the Member Level]]=Age_Sex22[[#This Row],[Total Spending before Truncation is Applied]]</f>
        <v>1</v>
      </c>
    </row>
    <row r="658" spans="1:10" x14ac:dyDescent="0.25">
      <c r="A658" s="389"/>
      <c r="B658" s="4"/>
      <c r="C658" s="16"/>
      <c r="D658" s="519"/>
      <c r="E658" s="410"/>
      <c r="F658" s="313"/>
      <c r="G658" s="256"/>
      <c r="H658" s="313"/>
      <c r="I658" s="456"/>
      <c r="J658" s="271" t="b">
        <f>Age_Sex22[[#This Row],[Total Spending After Applying Truncation at the Member Level]]+Age_Sex22[[#This Row],[Total Dollars Excluded from Spending After Applying Truncation at the Member Level]]=Age_Sex22[[#This Row],[Total Spending before Truncation is Applied]]</f>
        <v>1</v>
      </c>
    </row>
    <row r="659" spans="1:10" x14ac:dyDescent="0.25">
      <c r="A659" s="386"/>
      <c r="B659" s="310"/>
      <c r="C659" s="311"/>
      <c r="D659" s="518"/>
      <c r="E659" s="409"/>
      <c r="F659" s="312"/>
      <c r="G659" s="522"/>
      <c r="H659" s="312"/>
      <c r="I659" s="455"/>
      <c r="J659" s="271" t="b">
        <f>Age_Sex22[[#This Row],[Total Spending After Applying Truncation at the Member Level]]+Age_Sex22[[#This Row],[Total Dollars Excluded from Spending After Applying Truncation at the Member Level]]=Age_Sex22[[#This Row],[Total Spending before Truncation is Applied]]</f>
        <v>1</v>
      </c>
    </row>
    <row r="660" spans="1:10" x14ac:dyDescent="0.25">
      <c r="A660" s="389"/>
      <c r="B660" s="4"/>
      <c r="C660" s="16"/>
      <c r="D660" s="519"/>
      <c r="E660" s="410"/>
      <c r="F660" s="313"/>
      <c r="G660" s="256"/>
      <c r="H660" s="313"/>
      <c r="I660" s="456"/>
      <c r="J660" s="271" t="b">
        <f>Age_Sex22[[#This Row],[Total Spending After Applying Truncation at the Member Level]]+Age_Sex22[[#This Row],[Total Dollars Excluded from Spending After Applying Truncation at the Member Level]]=Age_Sex22[[#This Row],[Total Spending before Truncation is Applied]]</f>
        <v>1</v>
      </c>
    </row>
    <row r="661" spans="1:10" x14ac:dyDescent="0.25">
      <c r="A661" s="386"/>
      <c r="B661" s="310"/>
      <c r="C661" s="311"/>
      <c r="D661" s="518"/>
      <c r="E661" s="409"/>
      <c r="F661" s="312"/>
      <c r="G661" s="522"/>
      <c r="H661" s="312"/>
      <c r="I661" s="455"/>
      <c r="J661" s="271" t="b">
        <f>Age_Sex22[[#This Row],[Total Spending After Applying Truncation at the Member Level]]+Age_Sex22[[#This Row],[Total Dollars Excluded from Spending After Applying Truncation at the Member Level]]=Age_Sex22[[#This Row],[Total Spending before Truncation is Applied]]</f>
        <v>1</v>
      </c>
    </row>
    <row r="662" spans="1:10" x14ac:dyDescent="0.25">
      <c r="A662" s="389"/>
      <c r="B662" s="4"/>
      <c r="C662" s="16"/>
      <c r="D662" s="519"/>
      <c r="E662" s="410"/>
      <c r="F662" s="313"/>
      <c r="G662" s="256"/>
      <c r="H662" s="313"/>
      <c r="I662" s="456"/>
      <c r="J662" s="271" t="b">
        <f>Age_Sex22[[#This Row],[Total Spending After Applying Truncation at the Member Level]]+Age_Sex22[[#This Row],[Total Dollars Excluded from Spending After Applying Truncation at the Member Level]]=Age_Sex22[[#This Row],[Total Spending before Truncation is Applied]]</f>
        <v>1</v>
      </c>
    </row>
    <row r="663" spans="1:10" x14ac:dyDescent="0.25">
      <c r="A663" s="386"/>
      <c r="B663" s="310"/>
      <c r="C663" s="311"/>
      <c r="D663" s="518"/>
      <c r="E663" s="409"/>
      <c r="F663" s="312"/>
      <c r="G663" s="522"/>
      <c r="H663" s="312"/>
      <c r="I663" s="455"/>
      <c r="J663" s="271" t="b">
        <f>Age_Sex22[[#This Row],[Total Spending After Applying Truncation at the Member Level]]+Age_Sex22[[#This Row],[Total Dollars Excluded from Spending After Applying Truncation at the Member Level]]=Age_Sex22[[#This Row],[Total Spending before Truncation is Applied]]</f>
        <v>1</v>
      </c>
    </row>
    <row r="664" spans="1:10" x14ac:dyDescent="0.25">
      <c r="A664" s="389"/>
      <c r="B664" s="4"/>
      <c r="C664" s="16"/>
      <c r="D664" s="519"/>
      <c r="E664" s="410"/>
      <c r="F664" s="313"/>
      <c r="G664" s="256"/>
      <c r="H664" s="313"/>
      <c r="I664" s="456"/>
      <c r="J664" s="271" t="b">
        <f>Age_Sex22[[#This Row],[Total Spending After Applying Truncation at the Member Level]]+Age_Sex22[[#This Row],[Total Dollars Excluded from Spending After Applying Truncation at the Member Level]]=Age_Sex22[[#This Row],[Total Spending before Truncation is Applied]]</f>
        <v>1</v>
      </c>
    </row>
    <row r="665" spans="1:10" x14ac:dyDescent="0.25">
      <c r="A665" s="386"/>
      <c r="B665" s="310"/>
      <c r="C665" s="311"/>
      <c r="D665" s="518"/>
      <c r="E665" s="409"/>
      <c r="F665" s="312"/>
      <c r="G665" s="522"/>
      <c r="H665" s="312"/>
      <c r="I665" s="455"/>
      <c r="J665" s="271" t="b">
        <f>Age_Sex22[[#This Row],[Total Spending After Applying Truncation at the Member Level]]+Age_Sex22[[#This Row],[Total Dollars Excluded from Spending After Applying Truncation at the Member Level]]=Age_Sex22[[#This Row],[Total Spending before Truncation is Applied]]</f>
        <v>1</v>
      </c>
    </row>
    <row r="666" spans="1:10" x14ac:dyDescent="0.25">
      <c r="A666" s="389"/>
      <c r="B666" s="4"/>
      <c r="C666" s="16"/>
      <c r="D666" s="519"/>
      <c r="E666" s="410"/>
      <c r="F666" s="313"/>
      <c r="G666" s="256"/>
      <c r="H666" s="313"/>
      <c r="I666" s="456"/>
      <c r="J666" s="271" t="b">
        <f>Age_Sex22[[#This Row],[Total Spending After Applying Truncation at the Member Level]]+Age_Sex22[[#This Row],[Total Dollars Excluded from Spending After Applying Truncation at the Member Level]]=Age_Sex22[[#This Row],[Total Spending before Truncation is Applied]]</f>
        <v>1</v>
      </c>
    </row>
    <row r="667" spans="1:10" x14ac:dyDescent="0.25">
      <c r="A667" s="386"/>
      <c r="B667" s="310"/>
      <c r="C667" s="311"/>
      <c r="D667" s="518"/>
      <c r="E667" s="409"/>
      <c r="F667" s="312"/>
      <c r="G667" s="522"/>
      <c r="H667" s="312"/>
      <c r="I667" s="455"/>
      <c r="J667" s="271" t="b">
        <f>Age_Sex22[[#This Row],[Total Spending After Applying Truncation at the Member Level]]+Age_Sex22[[#This Row],[Total Dollars Excluded from Spending After Applying Truncation at the Member Level]]=Age_Sex22[[#This Row],[Total Spending before Truncation is Applied]]</f>
        <v>1</v>
      </c>
    </row>
    <row r="668" spans="1:10" x14ac:dyDescent="0.25">
      <c r="A668" s="389"/>
      <c r="B668" s="4"/>
      <c r="C668" s="16"/>
      <c r="D668" s="519"/>
      <c r="E668" s="410"/>
      <c r="F668" s="313"/>
      <c r="G668" s="256"/>
      <c r="H668" s="313"/>
      <c r="I668" s="456"/>
      <c r="J668" s="271" t="b">
        <f>Age_Sex22[[#This Row],[Total Spending After Applying Truncation at the Member Level]]+Age_Sex22[[#This Row],[Total Dollars Excluded from Spending After Applying Truncation at the Member Level]]=Age_Sex22[[#This Row],[Total Spending before Truncation is Applied]]</f>
        <v>1</v>
      </c>
    </row>
    <row r="669" spans="1:10" x14ac:dyDescent="0.25">
      <c r="A669" s="386"/>
      <c r="B669" s="310"/>
      <c r="C669" s="311"/>
      <c r="D669" s="518"/>
      <c r="E669" s="409"/>
      <c r="F669" s="312"/>
      <c r="G669" s="522"/>
      <c r="H669" s="312"/>
      <c r="I669" s="455"/>
      <c r="J669" s="271" t="b">
        <f>Age_Sex22[[#This Row],[Total Spending After Applying Truncation at the Member Level]]+Age_Sex22[[#This Row],[Total Dollars Excluded from Spending After Applying Truncation at the Member Level]]=Age_Sex22[[#This Row],[Total Spending before Truncation is Applied]]</f>
        <v>1</v>
      </c>
    </row>
    <row r="670" spans="1:10" x14ac:dyDescent="0.25">
      <c r="A670" s="389"/>
      <c r="B670" s="4"/>
      <c r="C670" s="16"/>
      <c r="D670" s="519"/>
      <c r="E670" s="410"/>
      <c r="F670" s="313"/>
      <c r="G670" s="256"/>
      <c r="H670" s="313"/>
      <c r="I670" s="456"/>
      <c r="J670" s="271" t="b">
        <f>Age_Sex22[[#This Row],[Total Spending After Applying Truncation at the Member Level]]+Age_Sex22[[#This Row],[Total Dollars Excluded from Spending After Applying Truncation at the Member Level]]=Age_Sex22[[#This Row],[Total Spending before Truncation is Applied]]</f>
        <v>1</v>
      </c>
    </row>
    <row r="671" spans="1:10" x14ac:dyDescent="0.25">
      <c r="A671" s="386"/>
      <c r="B671" s="310"/>
      <c r="C671" s="311"/>
      <c r="D671" s="518"/>
      <c r="E671" s="409"/>
      <c r="F671" s="312"/>
      <c r="G671" s="522"/>
      <c r="H671" s="312"/>
      <c r="I671" s="455"/>
      <c r="J671" s="271" t="b">
        <f>Age_Sex22[[#This Row],[Total Spending After Applying Truncation at the Member Level]]+Age_Sex22[[#This Row],[Total Dollars Excluded from Spending After Applying Truncation at the Member Level]]=Age_Sex22[[#This Row],[Total Spending before Truncation is Applied]]</f>
        <v>1</v>
      </c>
    </row>
    <row r="672" spans="1:10" x14ac:dyDescent="0.25">
      <c r="A672" s="389"/>
      <c r="B672" s="4"/>
      <c r="C672" s="16"/>
      <c r="D672" s="519"/>
      <c r="E672" s="410"/>
      <c r="F672" s="313"/>
      <c r="G672" s="256"/>
      <c r="H672" s="313"/>
      <c r="I672" s="456"/>
      <c r="J672" s="271" t="b">
        <f>Age_Sex22[[#This Row],[Total Spending After Applying Truncation at the Member Level]]+Age_Sex22[[#This Row],[Total Dollars Excluded from Spending After Applying Truncation at the Member Level]]=Age_Sex22[[#This Row],[Total Spending before Truncation is Applied]]</f>
        <v>1</v>
      </c>
    </row>
    <row r="673" spans="1:10" x14ac:dyDescent="0.25">
      <c r="A673" s="386"/>
      <c r="B673" s="310"/>
      <c r="C673" s="311"/>
      <c r="D673" s="518"/>
      <c r="E673" s="409"/>
      <c r="F673" s="312"/>
      <c r="G673" s="522"/>
      <c r="H673" s="312"/>
      <c r="I673" s="455"/>
      <c r="J673" s="271" t="b">
        <f>Age_Sex22[[#This Row],[Total Spending After Applying Truncation at the Member Level]]+Age_Sex22[[#This Row],[Total Dollars Excluded from Spending After Applying Truncation at the Member Level]]=Age_Sex22[[#This Row],[Total Spending before Truncation is Applied]]</f>
        <v>1</v>
      </c>
    </row>
    <row r="674" spans="1:10" x14ac:dyDescent="0.25">
      <c r="A674" s="389"/>
      <c r="B674" s="4"/>
      <c r="C674" s="16"/>
      <c r="D674" s="519"/>
      <c r="E674" s="410"/>
      <c r="F674" s="313"/>
      <c r="G674" s="256"/>
      <c r="H674" s="313"/>
      <c r="I674" s="456"/>
      <c r="J674" s="271" t="b">
        <f>Age_Sex22[[#This Row],[Total Spending After Applying Truncation at the Member Level]]+Age_Sex22[[#This Row],[Total Dollars Excluded from Spending After Applying Truncation at the Member Level]]=Age_Sex22[[#This Row],[Total Spending before Truncation is Applied]]</f>
        <v>1</v>
      </c>
    </row>
    <row r="675" spans="1:10" x14ac:dyDescent="0.25">
      <c r="A675" s="386"/>
      <c r="B675" s="310"/>
      <c r="C675" s="311"/>
      <c r="D675" s="518"/>
      <c r="E675" s="409"/>
      <c r="F675" s="312"/>
      <c r="G675" s="522"/>
      <c r="H675" s="312"/>
      <c r="I675" s="455"/>
      <c r="J675" s="271" t="b">
        <f>Age_Sex22[[#This Row],[Total Spending After Applying Truncation at the Member Level]]+Age_Sex22[[#This Row],[Total Dollars Excluded from Spending After Applying Truncation at the Member Level]]=Age_Sex22[[#This Row],[Total Spending before Truncation is Applied]]</f>
        <v>1</v>
      </c>
    </row>
    <row r="676" spans="1:10" x14ac:dyDescent="0.25">
      <c r="A676" s="389"/>
      <c r="B676" s="4"/>
      <c r="C676" s="16"/>
      <c r="D676" s="519"/>
      <c r="E676" s="410"/>
      <c r="F676" s="313"/>
      <c r="G676" s="256"/>
      <c r="H676" s="313"/>
      <c r="I676" s="456"/>
      <c r="J676" s="271" t="b">
        <f>Age_Sex22[[#This Row],[Total Spending After Applying Truncation at the Member Level]]+Age_Sex22[[#This Row],[Total Dollars Excluded from Spending After Applying Truncation at the Member Level]]=Age_Sex22[[#This Row],[Total Spending before Truncation is Applied]]</f>
        <v>1</v>
      </c>
    </row>
    <row r="677" spans="1:10" x14ac:dyDescent="0.25">
      <c r="A677" s="386"/>
      <c r="B677" s="310"/>
      <c r="C677" s="311"/>
      <c r="D677" s="518"/>
      <c r="E677" s="409"/>
      <c r="F677" s="312"/>
      <c r="G677" s="522"/>
      <c r="H677" s="312"/>
      <c r="I677" s="455"/>
      <c r="J677" s="271" t="b">
        <f>Age_Sex22[[#This Row],[Total Spending After Applying Truncation at the Member Level]]+Age_Sex22[[#This Row],[Total Dollars Excluded from Spending After Applying Truncation at the Member Level]]=Age_Sex22[[#This Row],[Total Spending before Truncation is Applied]]</f>
        <v>1</v>
      </c>
    </row>
    <row r="678" spans="1:10" x14ac:dyDescent="0.25">
      <c r="A678" s="389"/>
      <c r="B678" s="4"/>
      <c r="C678" s="16"/>
      <c r="D678" s="519"/>
      <c r="E678" s="410"/>
      <c r="F678" s="313"/>
      <c r="G678" s="256"/>
      <c r="H678" s="313"/>
      <c r="I678" s="456"/>
      <c r="J678" s="271" t="b">
        <f>Age_Sex22[[#This Row],[Total Spending After Applying Truncation at the Member Level]]+Age_Sex22[[#This Row],[Total Dollars Excluded from Spending After Applying Truncation at the Member Level]]=Age_Sex22[[#This Row],[Total Spending before Truncation is Applied]]</f>
        <v>1</v>
      </c>
    </row>
    <row r="679" spans="1:10" x14ac:dyDescent="0.25">
      <c r="A679" s="386"/>
      <c r="B679" s="310"/>
      <c r="C679" s="311"/>
      <c r="D679" s="518"/>
      <c r="E679" s="409"/>
      <c r="F679" s="312"/>
      <c r="G679" s="522"/>
      <c r="H679" s="312"/>
      <c r="I679" s="455"/>
      <c r="J679" s="271" t="b">
        <f>Age_Sex22[[#This Row],[Total Spending After Applying Truncation at the Member Level]]+Age_Sex22[[#This Row],[Total Dollars Excluded from Spending After Applying Truncation at the Member Level]]=Age_Sex22[[#This Row],[Total Spending before Truncation is Applied]]</f>
        <v>1</v>
      </c>
    </row>
    <row r="680" spans="1:10" x14ac:dyDescent="0.25">
      <c r="A680" s="389"/>
      <c r="B680" s="4"/>
      <c r="C680" s="16"/>
      <c r="D680" s="519"/>
      <c r="E680" s="410"/>
      <c r="F680" s="313"/>
      <c r="G680" s="256"/>
      <c r="H680" s="313"/>
      <c r="I680" s="456"/>
      <c r="J680" s="271" t="b">
        <f>Age_Sex22[[#This Row],[Total Spending After Applying Truncation at the Member Level]]+Age_Sex22[[#This Row],[Total Dollars Excluded from Spending After Applying Truncation at the Member Level]]=Age_Sex22[[#This Row],[Total Spending before Truncation is Applied]]</f>
        <v>1</v>
      </c>
    </row>
    <row r="681" spans="1:10" x14ac:dyDescent="0.25">
      <c r="A681" s="386"/>
      <c r="B681" s="310"/>
      <c r="C681" s="311"/>
      <c r="D681" s="518"/>
      <c r="E681" s="409"/>
      <c r="F681" s="312"/>
      <c r="G681" s="522"/>
      <c r="H681" s="312"/>
      <c r="I681" s="455"/>
      <c r="J681" s="271" t="b">
        <f>Age_Sex22[[#This Row],[Total Spending After Applying Truncation at the Member Level]]+Age_Sex22[[#This Row],[Total Dollars Excluded from Spending After Applying Truncation at the Member Level]]=Age_Sex22[[#This Row],[Total Spending before Truncation is Applied]]</f>
        <v>1</v>
      </c>
    </row>
    <row r="682" spans="1:10" x14ac:dyDescent="0.25">
      <c r="A682" s="389"/>
      <c r="B682" s="4"/>
      <c r="C682" s="16"/>
      <c r="D682" s="519"/>
      <c r="E682" s="410"/>
      <c r="F682" s="313"/>
      <c r="G682" s="256"/>
      <c r="H682" s="313"/>
      <c r="I682" s="456"/>
      <c r="J682" s="271" t="b">
        <f>Age_Sex22[[#This Row],[Total Spending After Applying Truncation at the Member Level]]+Age_Sex22[[#This Row],[Total Dollars Excluded from Spending After Applying Truncation at the Member Level]]=Age_Sex22[[#This Row],[Total Spending before Truncation is Applied]]</f>
        <v>1</v>
      </c>
    </row>
    <row r="683" spans="1:10" x14ac:dyDescent="0.25">
      <c r="A683" s="386"/>
      <c r="B683" s="310"/>
      <c r="C683" s="311"/>
      <c r="D683" s="518"/>
      <c r="E683" s="409"/>
      <c r="F683" s="312"/>
      <c r="G683" s="522"/>
      <c r="H683" s="312"/>
      <c r="I683" s="455"/>
      <c r="J683" s="271" t="b">
        <f>Age_Sex22[[#This Row],[Total Spending After Applying Truncation at the Member Level]]+Age_Sex22[[#This Row],[Total Dollars Excluded from Spending After Applying Truncation at the Member Level]]=Age_Sex22[[#This Row],[Total Spending before Truncation is Applied]]</f>
        <v>1</v>
      </c>
    </row>
    <row r="684" spans="1:10" x14ac:dyDescent="0.25">
      <c r="A684" s="389"/>
      <c r="B684" s="4"/>
      <c r="C684" s="16"/>
      <c r="D684" s="519"/>
      <c r="E684" s="410"/>
      <c r="F684" s="313"/>
      <c r="G684" s="256"/>
      <c r="H684" s="313"/>
      <c r="I684" s="456"/>
      <c r="J684" s="271" t="b">
        <f>Age_Sex22[[#This Row],[Total Spending After Applying Truncation at the Member Level]]+Age_Sex22[[#This Row],[Total Dollars Excluded from Spending After Applying Truncation at the Member Level]]=Age_Sex22[[#This Row],[Total Spending before Truncation is Applied]]</f>
        <v>1</v>
      </c>
    </row>
    <row r="685" spans="1:10" x14ac:dyDescent="0.25">
      <c r="A685" s="386"/>
      <c r="B685" s="310"/>
      <c r="C685" s="311"/>
      <c r="D685" s="518"/>
      <c r="E685" s="409"/>
      <c r="F685" s="312"/>
      <c r="G685" s="522"/>
      <c r="H685" s="312"/>
      <c r="I685" s="455"/>
      <c r="J685" s="271" t="b">
        <f>Age_Sex22[[#This Row],[Total Spending After Applying Truncation at the Member Level]]+Age_Sex22[[#This Row],[Total Dollars Excluded from Spending After Applying Truncation at the Member Level]]=Age_Sex22[[#This Row],[Total Spending before Truncation is Applied]]</f>
        <v>1</v>
      </c>
    </row>
    <row r="686" spans="1:10" x14ac:dyDescent="0.25">
      <c r="A686" s="389"/>
      <c r="B686" s="4"/>
      <c r="C686" s="16"/>
      <c r="D686" s="519"/>
      <c r="E686" s="410"/>
      <c r="F686" s="313"/>
      <c r="G686" s="256"/>
      <c r="H686" s="313"/>
      <c r="I686" s="456"/>
      <c r="J686" s="271" t="b">
        <f>Age_Sex22[[#This Row],[Total Spending After Applying Truncation at the Member Level]]+Age_Sex22[[#This Row],[Total Dollars Excluded from Spending After Applying Truncation at the Member Level]]=Age_Sex22[[#This Row],[Total Spending before Truncation is Applied]]</f>
        <v>1</v>
      </c>
    </row>
    <row r="687" spans="1:10" x14ac:dyDescent="0.25">
      <c r="A687" s="386"/>
      <c r="B687" s="310"/>
      <c r="C687" s="311"/>
      <c r="D687" s="518"/>
      <c r="E687" s="409"/>
      <c r="F687" s="312"/>
      <c r="G687" s="522"/>
      <c r="H687" s="312"/>
      <c r="I687" s="455"/>
      <c r="J687" s="271" t="b">
        <f>Age_Sex22[[#This Row],[Total Spending After Applying Truncation at the Member Level]]+Age_Sex22[[#This Row],[Total Dollars Excluded from Spending After Applying Truncation at the Member Level]]=Age_Sex22[[#This Row],[Total Spending before Truncation is Applied]]</f>
        <v>1</v>
      </c>
    </row>
    <row r="688" spans="1:10" x14ac:dyDescent="0.25">
      <c r="A688" s="389"/>
      <c r="B688" s="4"/>
      <c r="C688" s="16"/>
      <c r="D688" s="519"/>
      <c r="E688" s="410"/>
      <c r="F688" s="313"/>
      <c r="G688" s="256"/>
      <c r="H688" s="313"/>
      <c r="I688" s="456"/>
      <c r="J688" s="271" t="b">
        <f>Age_Sex22[[#This Row],[Total Spending After Applying Truncation at the Member Level]]+Age_Sex22[[#This Row],[Total Dollars Excluded from Spending After Applying Truncation at the Member Level]]=Age_Sex22[[#This Row],[Total Spending before Truncation is Applied]]</f>
        <v>1</v>
      </c>
    </row>
    <row r="689" spans="1:10" x14ac:dyDescent="0.25">
      <c r="A689" s="386"/>
      <c r="B689" s="310"/>
      <c r="C689" s="311"/>
      <c r="D689" s="518"/>
      <c r="E689" s="409"/>
      <c r="F689" s="312"/>
      <c r="G689" s="522"/>
      <c r="H689" s="312"/>
      <c r="I689" s="455"/>
      <c r="J689" s="271" t="b">
        <f>Age_Sex22[[#This Row],[Total Spending After Applying Truncation at the Member Level]]+Age_Sex22[[#This Row],[Total Dollars Excluded from Spending After Applying Truncation at the Member Level]]=Age_Sex22[[#This Row],[Total Spending before Truncation is Applied]]</f>
        <v>1</v>
      </c>
    </row>
    <row r="690" spans="1:10" x14ac:dyDescent="0.25">
      <c r="A690" s="389"/>
      <c r="B690" s="4"/>
      <c r="C690" s="16"/>
      <c r="D690" s="519"/>
      <c r="E690" s="410"/>
      <c r="F690" s="313"/>
      <c r="G690" s="256"/>
      <c r="H690" s="313"/>
      <c r="I690" s="456"/>
      <c r="J690" s="271" t="b">
        <f>Age_Sex22[[#This Row],[Total Spending After Applying Truncation at the Member Level]]+Age_Sex22[[#This Row],[Total Dollars Excluded from Spending After Applying Truncation at the Member Level]]=Age_Sex22[[#This Row],[Total Spending before Truncation is Applied]]</f>
        <v>1</v>
      </c>
    </row>
    <row r="691" spans="1:10" x14ac:dyDescent="0.25">
      <c r="A691" s="386"/>
      <c r="B691" s="310"/>
      <c r="C691" s="311"/>
      <c r="D691" s="518"/>
      <c r="E691" s="409"/>
      <c r="F691" s="312"/>
      <c r="G691" s="522"/>
      <c r="H691" s="312"/>
      <c r="I691" s="455"/>
      <c r="J691" s="271" t="b">
        <f>Age_Sex22[[#This Row],[Total Spending After Applying Truncation at the Member Level]]+Age_Sex22[[#This Row],[Total Dollars Excluded from Spending After Applying Truncation at the Member Level]]=Age_Sex22[[#This Row],[Total Spending before Truncation is Applied]]</f>
        <v>1</v>
      </c>
    </row>
    <row r="692" spans="1:10" x14ac:dyDescent="0.25">
      <c r="A692" s="389"/>
      <c r="B692" s="4"/>
      <c r="C692" s="16"/>
      <c r="D692" s="519"/>
      <c r="E692" s="410"/>
      <c r="F692" s="313"/>
      <c r="G692" s="256"/>
      <c r="H692" s="313"/>
      <c r="I692" s="456"/>
      <c r="J692" s="271" t="b">
        <f>Age_Sex22[[#This Row],[Total Spending After Applying Truncation at the Member Level]]+Age_Sex22[[#This Row],[Total Dollars Excluded from Spending After Applying Truncation at the Member Level]]=Age_Sex22[[#This Row],[Total Spending before Truncation is Applied]]</f>
        <v>1</v>
      </c>
    </row>
    <row r="693" spans="1:10" x14ac:dyDescent="0.25">
      <c r="A693" s="386"/>
      <c r="B693" s="310"/>
      <c r="C693" s="311"/>
      <c r="D693" s="518"/>
      <c r="E693" s="409"/>
      <c r="F693" s="312"/>
      <c r="G693" s="522"/>
      <c r="H693" s="312"/>
      <c r="I693" s="455"/>
      <c r="J693" s="271" t="b">
        <f>Age_Sex22[[#This Row],[Total Spending After Applying Truncation at the Member Level]]+Age_Sex22[[#This Row],[Total Dollars Excluded from Spending After Applying Truncation at the Member Level]]=Age_Sex22[[#This Row],[Total Spending before Truncation is Applied]]</f>
        <v>1</v>
      </c>
    </row>
    <row r="694" spans="1:10" x14ac:dyDescent="0.25">
      <c r="A694" s="389"/>
      <c r="B694" s="4"/>
      <c r="C694" s="16"/>
      <c r="D694" s="519"/>
      <c r="E694" s="410"/>
      <c r="F694" s="313"/>
      <c r="G694" s="256"/>
      <c r="H694" s="313"/>
      <c r="I694" s="456"/>
      <c r="J694" s="271" t="b">
        <f>Age_Sex22[[#This Row],[Total Spending After Applying Truncation at the Member Level]]+Age_Sex22[[#This Row],[Total Dollars Excluded from Spending After Applying Truncation at the Member Level]]=Age_Sex22[[#This Row],[Total Spending before Truncation is Applied]]</f>
        <v>1</v>
      </c>
    </row>
    <row r="695" spans="1:10" x14ac:dyDescent="0.25">
      <c r="A695" s="386"/>
      <c r="B695" s="310"/>
      <c r="C695" s="311"/>
      <c r="D695" s="518"/>
      <c r="E695" s="409"/>
      <c r="F695" s="312"/>
      <c r="G695" s="522"/>
      <c r="H695" s="312"/>
      <c r="I695" s="455"/>
      <c r="J695" s="271" t="b">
        <f>Age_Sex22[[#This Row],[Total Spending After Applying Truncation at the Member Level]]+Age_Sex22[[#This Row],[Total Dollars Excluded from Spending After Applying Truncation at the Member Level]]=Age_Sex22[[#This Row],[Total Spending before Truncation is Applied]]</f>
        <v>1</v>
      </c>
    </row>
    <row r="696" spans="1:10" x14ac:dyDescent="0.25">
      <c r="A696" s="389"/>
      <c r="B696" s="4"/>
      <c r="C696" s="16"/>
      <c r="D696" s="519"/>
      <c r="E696" s="410"/>
      <c r="F696" s="313"/>
      <c r="G696" s="256"/>
      <c r="H696" s="313"/>
      <c r="I696" s="456"/>
      <c r="J696" s="271" t="b">
        <f>Age_Sex22[[#This Row],[Total Spending After Applying Truncation at the Member Level]]+Age_Sex22[[#This Row],[Total Dollars Excluded from Spending After Applying Truncation at the Member Level]]=Age_Sex22[[#This Row],[Total Spending before Truncation is Applied]]</f>
        <v>1</v>
      </c>
    </row>
    <row r="697" spans="1:10" x14ac:dyDescent="0.25">
      <c r="A697" s="386"/>
      <c r="B697" s="310"/>
      <c r="C697" s="311"/>
      <c r="D697" s="518"/>
      <c r="E697" s="409"/>
      <c r="F697" s="312"/>
      <c r="G697" s="522"/>
      <c r="H697" s="312"/>
      <c r="I697" s="455"/>
      <c r="J697" s="271" t="b">
        <f>Age_Sex22[[#This Row],[Total Spending After Applying Truncation at the Member Level]]+Age_Sex22[[#This Row],[Total Dollars Excluded from Spending After Applying Truncation at the Member Level]]=Age_Sex22[[#This Row],[Total Spending before Truncation is Applied]]</f>
        <v>1</v>
      </c>
    </row>
    <row r="698" spans="1:10" x14ac:dyDescent="0.25">
      <c r="A698" s="389"/>
      <c r="B698" s="4"/>
      <c r="C698" s="16"/>
      <c r="D698" s="519"/>
      <c r="E698" s="410"/>
      <c r="F698" s="313"/>
      <c r="G698" s="256"/>
      <c r="H698" s="313"/>
      <c r="I698" s="456"/>
      <c r="J698" s="271" t="b">
        <f>Age_Sex22[[#This Row],[Total Spending After Applying Truncation at the Member Level]]+Age_Sex22[[#This Row],[Total Dollars Excluded from Spending After Applying Truncation at the Member Level]]=Age_Sex22[[#This Row],[Total Spending before Truncation is Applied]]</f>
        <v>1</v>
      </c>
    </row>
    <row r="699" spans="1:10" x14ac:dyDescent="0.25">
      <c r="A699" s="386"/>
      <c r="B699" s="310"/>
      <c r="C699" s="311"/>
      <c r="D699" s="518"/>
      <c r="E699" s="409"/>
      <c r="F699" s="312"/>
      <c r="G699" s="522"/>
      <c r="H699" s="312"/>
      <c r="I699" s="455"/>
      <c r="J699" s="271" t="b">
        <f>Age_Sex22[[#This Row],[Total Spending After Applying Truncation at the Member Level]]+Age_Sex22[[#This Row],[Total Dollars Excluded from Spending After Applying Truncation at the Member Level]]=Age_Sex22[[#This Row],[Total Spending before Truncation is Applied]]</f>
        <v>1</v>
      </c>
    </row>
    <row r="700" spans="1:10" x14ac:dyDescent="0.25">
      <c r="A700" s="389"/>
      <c r="B700" s="4"/>
      <c r="C700" s="16"/>
      <c r="D700" s="519"/>
      <c r="E700" s="410"/>
      <c r="F700" s="313"/>
      <c r="G700" s="256"/>
      <c r="H700" s="313"/>
      <c r="I700" s="456"/>
      <c r="J700" s="271" t="b">
        <f>Age_Sex22[[#This Row],[Total Spending After Applying Truncation at the Member Level]]+Age_Sex22[[#This Row],[Total Dollars Excluded from Spending After Applying Truncation at the Member Level]]=Age_Sex22[[#This Row],[Total Spending before Truncation is Applied]]</f>
        <v>1</v>
      </c>
    </row>
    <row r="701" spans="1:10" x14ac:dyDescent="0.25">
      <c r="A701" s="386"/>
      <c r="B701" s="310"/>
      <c r="C701" s="311"/>
      <c r="D701" s="518"/>
      <c r="E701" s="409"/>
      <c r="F701" s="312"/>
      <c r="G701" s="522"/>
      <c r="H701" s="312"/>
      <c r="I701" s="455"/>
      <c r="J701" s="271" t="b">
        <f>Age_Sex22[[#This Row],[Total Spending After Applying Truncation at the Member Level]]+Age_Sex22[[#This Row],[Total Dollars Excluded from Spending After Applying Truncation at the Member Level]]=Age_Sex22[[#This Row],[Total Spending before Truncation is Applied]]</f>
        <v>1</v>
      </c>
    </row>
    <row r="702" spans="1:10" x14ac:dyDescent="0.25">
      <c r="A702" s="389"/>
      <c r="B702" s="4"/>
      <c r="C702" s="16"/>
      <c r="D702" s="519"/>
      <c r="E702" s="410"/>
      <c r="F702" s="313"/>
      <c r="G702" s="256"/>
      <c r="H702" s="313"/>
      <c r="I702" s="456"/>
      <c r="J702" s="271" t="b">
        <f>Age_Sex22[[#This Row],[Total Spending After Applying Truncation at the Member Level]]+Age_Sex22[[#This Row],[Total Dollars Excluded from Spending After Applying Truncation at the Member Level]]=Age_Sex22[[#This Row],[Total Spending before Truncation is Applied]]</f>
        <v>1</v>
      </c>
    </row>
    <row r="703" spans="1:10" x14ac:dyDescent="0.25">
      <c r="A703" s="386"/>
      <c r="B703" s="310"/>
      <c r="C703" s="311"/>
      <c r="D703" s="518"/>
      <c r="E703" s="409"/>
      <c r="F703" s="312"/>
      <c r="G703" s="522"/>
      <c r="H703" s="312"/>
      <c r="I703" s="455"/>
      <c r="J703" s="271" t="b">
        <f>Age_Sex22[[#This Row],[Total Spending After Applying Truncation at the Member Level]]+Age_Sex22[[#This Row],[Total Dollars Excluded from Spending After Applying Truncation at the Member Level]]=Age_Sex22[[#This Row],[Total Spending before Truncation is Applied]]</f>
        <v>1</v>
      </c>
    </row>
    <row r="704" spans="1:10" x14ac:dyDescent="0.25">
      <c r="A704" s="389"/>
      <c r="B704" s="4"/>
      <c r="C704" s="16"/>
      <c r="D704" s="519"/>
      <c r="E704" s="410"/>
      <c r="F704" s="313"/>
      <c r="G704" s="256"/>
      <c r="H704" s="313"/>
      <c r="I704" s="456"/>
      <c r="J704" s="271" t="b">
        <f>Age_Sex22[[#This Row],[Total Spending After Applying Truncation at the Member Level]]+Age_Sex22[[#This Row],[Total Dollars Excluded from Spending After Applying Truncation at the Member Level]]=Age_Sex22[[#This Row],[Total Spending before Truncation is Applied]]</f>
        <v>1</v>
      </c>
    </row>
    <row r="705" spans="1:10" x14ac:dyDescent="0.25">
      <c r="A705" s="386"/>
      <c r="B705" s="310"/>
      <c r="C705" s="311"/>
      <c r="D705" s="518"/>
      <c r="E705" s="409"/>
      <c r="F705" s="312"/>
      <c r="G705" s="522"/>
      <c r="H705" s="312"/>
      <c r="I705" s="455"/>
      <c r="J705" s="271" t="b">
        <f>Age_Sex22[[#This Row],[Total Spending After Applying Truncation at the Member Level]]+Age_Sex22[[#This Row],[Total Dollars Excluded from Spending After Applying Truncation at the Member Level]]=Age_Sex22[[#This Row],[Total Spending before Truncation is Applied]]</f>
        <v>1</v>
      </c>
    </row>
    <row r="706" spans="1:10" x14ac:dyDescent="0.25">
      <c r="A706" s="389"/>
      <c r="B706" s="4"/>
      <c r="C706" s="16"/>
      <c r="D706" s="519"/>
      <c r="E706" s="410"/>
      <c r="F706" s="313"/>
      <c r="G706" s="256"/>
      <c r="H706" s="313"/>
      <c r="I706" s="456"/>
      <c r="J706" s="271" t="b">
        <f>Age_Sex22[[#This Row],[Total Spending After Applying Truncation at the Member Level]]+Age_Sex22[[#This Row],[Total Dollars Excluded from Spending After Applying Truncation at the Member Level]]=Age_Sex22[[#This Row],[Total Spending before Truncation is Applied]]</f>
        <v>1</v>
      </c>
    </row>
    <row r="707" spans="1:10" x14ac:dyDescent="0.25">
      <c r="A707" s="386"/>
      <c r="B707" s="310"/>
      <c r="C707" s="311"/>
      <c r="D707" s="518"/>
      <c r="E707" s="409"/>
      <c r="F707" s="312"/>
      <c r="G707" s="522"/>
      <c r="H707" s="312"/>
      <c r="I707" s="455"/>
      <c r="J707" s="271" t="b">
        <f>Age_Sex22[[#This Row],[Total Spending After Applying Truncation at the Member Level]]+Age_Sex22[[#This Row],[Total Dollars Excluded from Spending After Applying Truncation at the Member Level]]=Age_Sex22[[#This Row],[Total Spending before Truncation is Applied]]</f>
        <v>1</v>
      </c>
    </row>
    <row r="708" spans="1:10" x14ac:dyDescent="0.25">
      <c r="A708" s="389"/>
      <c r="B708" s="4"/>
      <c r="C708" s="16"/>
      <c r="D708" s="519"/>
      <c r="E708" s="410"/>
      <c r="F708" s="313"/>
      <c r="G708" s="256"/>
      <c r="H708" s="313"/>
      <c r="I708" s="456"/>
      <c r="J708" s="271" t="b">
        <f>Age_Sex22[[#This Row],[Total Spending After Applying Truncation at the Member Level]]+Age_Sex22[[#This Row],[Total Dollars Excluded from Spending After Applying Truncation at the Member Level]]=Age_Sex22[[#This Row],[Total Spending before Truncation is Applied]]</f>
        <v>1</v>
      </c>
    </row>
    <row r="709" spans="1:10" x14ac:dyDescent="0.25">
      <c r="A709" s="386"/>
      <c r="B709" s="310"/>
      <c r="C709" s="311"/>
      <c r="D709" s="518"/>
      <c r="E709" s="409"/>
      <c r="F709" s="312"/>
      <c r="G709" s="522"/>
      <c r="H709" s="312"/>
      <c r="I709" s="455"/>
      <c r="J709" s="271" t="b">
        <f>Age_Sex22[[#This Row],[Total Spending After Applying Truncation at the Member Level]]+Age_Sex22[[#This Row],[Total Dollars Excluded from Spending After Applying Truncation at the Member Level]]=Age_Sex22[[#This Row],[Total Spending before Truncation is Applied]]</f>
        <v>1</v>
      </c>
    </row>
    <row r="710" spans="1:10" x14ac:dyDescent="0.25">
      <c r="A710" s="389"/>
      <c r="B710" s="4"/>
      <c r="C710" s="16"/>
      <c r="D710" s="519"/>
      <c r="E710" s="410"/>
      <c r="F710" s="313"/>
      <c r="G710" s="256"/>
      <c r="H710" s="313"/>
      <c r="I710" s="456"/>
      <c r="J710" s="271" t="b">
        <f>Age_Sex22[[#This Row],[Total Spending After Applying Truncation at the Member Level]]+Age_Sex22[[#This Row],[Total Dollars Excluded from Spending After Applying Truncation at the Member Level]]=Age_Sex22[[#This Row],[Total Spending before Truncation is Applied]]</f>
        <v>1</v>
      </c>
    </row>
    <row r="711" spans="1:10" x14ac:dyDescent="0.25">
      <c r="A711" s="386"/>
      <c r="B711" s="310"/>
      <c r="C711" s="311"/>
      <c r="D711" s="518"/>
      <c r="E711" s="409"/>
      <c r="F711" s="312"/>
      <c r="G711" s="522"/>
      <c r="H711" s="312"/>
      <c r="I711" s="455"/>
      <c r="J711" s="271" t="b">
        <f>Age_Sex22[[#This Row],[Total Spending After Applying Truncation at the Member Level]]+Age_Sex22[[#This Row],[Total Dollars Excluded from Spending After Applying Truncation at the Member Level]]=Age_Sex22[[#This Row],[Total Spending before Truncation is Applied]]</f>
        <v>1</v>
      </c>
    </row>
    <row r="712" spans="1:10" x14ac:dyDescent="0.25">
      <c r="A712" s="389"/>
      <c r="B712" s="4"/>
      <c r="C712" s="16"/>
      <c r="D712" s="519"/>
      <c r="E712" s="410"/>
      <c r="F712" s="313"/>
      <c r="G712" s="256"/>
      <c r="H712" s="313"/>
      <c r="I712" s="456"/>
      <c r="J712" s="271" t="b">
        <f>Age_Sex22[[#This Row],[Total Spending After Applying Truncation at the Member Level]]+Age_Sex22[[#This Row],[Total Dollars Excluded from Spending After Applying Truncation at the Member Level]]=Age_Sex22[[#This Row],[Total Spending before Truncation is Applied]]</f>
        <v>1</v>
      </c>
    </row>
    <row r="713" spans="1:10" x14ac:dyDescent="0.25">
      <c r="A713" s="386"/>
      <c r="B713" s="310"/>
      <c r="C713" s="311"/>
      <c r="D713" s="518"/>
      <c r="E713" s="409"/>
      <c r="F713" s="312"/>
      <c r="G713" s="522"/>
      <c r="H713" s="312"/>
      <c r="I713" s="455"/>
      <c r="J713" s="271" t="b">
        <f>Age_Sex22[[#This Row],[Total Spending After Applying Truncation at the Member Level]]+Age_Sex22[[#This Row],[Total Dollars Excluded from Spending After Applying Truncation at the Member Level]]=Age_Sex22[[#This Row],[Total Spending before Truncation is Applied]]</f>
        <v>1</v>
      </c>
    </row>
    <row r="714" spans="1:10" x14ac:dyDescent="0.25">
      <c r="A714" s="389"/>
      <c r="B714" s="4"/>
      <c r="C714" s="16"/>
      <c r="D714" s="519"/>
      <c r="E714" s="410"/>
      <c r="F714" s="313"/>
      <c r="G714" s="256"/>
      <c r="H714" s="313"/>
      <c r="I714" s="456"/>
      <c r="J714" s="271" t="b">
        <f>Age_Sex22[[#This Row],[Total Spending After Applying Truncation at the Member Level]]+Age_Sex22[[#This Row],[Total Dollars Excluded from Spending After Applying Truncation at the Member Level]]=Age_Sex22[[#This Row],[Total Spending before Truncation is Applied]]</f>
        <v>1</v>
      </c>
    </row>
    <row r="715" spans="1:10" x14ac:dyDescent="0.25">
      <c r="A715" s="386"/>
      <c r="B715" s="310"/>
      <c r="C715" s="311"/>
      <c r="D715" s="518"/>
      <c r="E715" s="409"/>
      <c r="F715" s="312"/>
      <c r="G715" s="522"/>
      <c r="H715" s="312"/>
      <c r="I715" s="455"/>
      <c r="J715" s="271" t="b">
        <f>Age_Sex22[[#This Row],[Total Spending After Applying Truncation at the Member Level]]+Age_Sex22[[#This Row],[Total Dollars Excluded from Spending After Applying Truncation at the Member Level]]=Age_Sex22[[#This Row],[Total Spending before Truncation is Applied]]</f>
        <v>1</v>
      </c>
    </row>
    <row r="716" spans="1:10" x14ac:dyDescent="0.25">
      <c r="A716" s="389"/>
      <c r="B716" s="4"/>
      <c r="C716" s="16"/>
      <c r="D716" s="519"/>
      <c r="E716" s="410"/>
      <c r="F716" s="313"/>
      <c r="G716" s="256"/>
      <c r="H716" s="313"/>
      <c r="I716" s="456"/>
      <c r="J716" s="271" t="b">
        <f>Age_Sex22[[#This Row],[Total Spending After Applying Truncation at the Member Level]]+Age_Sex22[[#This Row],[Total Dollars Excluded from Spending After Applying Truncation at the Member Level]]=Age_Sex22[[#This Row],[Total Spending before Truncation is Applied]]</f>
        <v>1</v>
      </c>
    </row>
    <row r="717" spans="1:10" x14ac:dyDescent="0.25">
      <c r="A717" s="386"/>
      <c r="B717" s="310"/>
      <c r="C717" s="311"/>
      <c r="D717" s="518"/>
      <c r="E717" s="409"/>
      <c r="F717" s="312"/>
      <c r="G717" s="522"/>
      <c r="H717" s="312"/>
      <c r="I717" s="455"/>
      <c r="J717" s="271" t="b">
        <f>Age_Sex22[[#This Row],[Total Spending After Applying Truncation at the Member Level]]+Age_Sex22[[#This Row],[Total Dollars Excluded from Spending After Applying Truncation at the Member Level]]=Age_Sex22[[#This Row],[Total Spending before Truncation is Applied]]</f>
        <v>1</v>
      </c>
    </row>
    <row r="718" spans="1:10" x14ac:dyDescent="0.25">
      <c r="A718" s="389"/>
      <c r="B718" s="4"/>
      <c r="C718" s="16"/>
      <c r="D718" s="519"/>
      <c r="E718" s="410"/>
      <c r="F718" s="313"/>
      <c r="G718" s="256"/>
      <c r="H718" s="313"/>
      <c r="I718" s="456"/>
      <c r="J718" s="271" t="b">
        <f>Age_Sex22[[#This Row],[Total Spending After Applying Truncation at the Member Level]]+Age_Sex22[[#This Row],[Total Dollars Excluded from Spending After Applying Truncation at the Member Level]]=Age_Sex22[[#This Row],[Total Spending before Truncation is Applied]]</f>
        <v>1</v>
      </c>
    </row>
    <row r="719" spans="1:10" x14ac:dyDescent="0.25">
      <c r="A719" s="386"/>
      <c r="B719" s="310"/>
      <c r="C719" s="311"/>
      <c r="D719" s="518"/>
      <c r="E719" s="409"/>
      <c r="F719" s="312"/>
      <c r="G719" s="522"/>
      <c r="H719" s="312"/>
      <c r="I719" s="455"/>
      <c r="J719" s="271" t="b">
        <f>Age_Sex22[[#This Row],[Total Spending After Applying Truncation at the Member Level]]+Age_Sex22[[#This Row],[Total Dollars Excluded from Spending After Applying Truncation at the Member Level]]=Age_Sex22[[#This Row],[Total Spending before Truncation is Applied]]</f>
        <v>1</v>
      </c>
    </row>
    <row r="720" spans="1:10" x14ac:dyDescent="0.25">
      <c r="A720" s="389"/>
      <c r="B720" s="4"/>
      <c r="C720" s="16"/>
      <c r="D720" s="519"/>
      <c r="E720" s="410"/>
      <c r="F720" s="313"/>
      <c r="G720" s="256"/>
      <c r="H720" s="313"/>
      <c r="I720" s="456"/>
      <c r="J720" s="271" t="b">
        <f>Age_Sex22[[#This Row],[Total Spending After Applying Truncation at the Member Level]]+Age_Sex22[[#This Row],[Total Dollars Excluded from Spending After Applying Truncation at the Member Level]]=Age_Sex22[[#This Row],[Total Spending before Truncation is Applied]]</f>
        <v>1</v>
      </c>
    </row>
    <row r="721" spans="1:10" x14ac:dyDescent="0.25">
      <c r="A721" s="386"/>
      <c r="B721" s="310"/>
      <c r="C721" s="311"/>
      <c r="D721" s="518"/>
      <c r="E721" s="409"/>
      <c r="F721" s="312"/>
      <c r="G721" s="522"/>
      <c r="H721" s="312"/>
      <c r="I721" s="455"/>
      <c r="J721" s="271" t="b">
        <f>Age_Sex22[[#This Row],[Total Spending After Applying Truncation at the Member Level]]+Age_Sex22[[#This Row],[Total Dollars Excluded from Spending After Applying Truncation at the Member Level]]=Age_Sex22[[#This Row],[Total Spending before Truncation is Applied]]</f>
        <v>1</v>
      </c>
    </row>
    <row r="722" spans="1:10" x14ac:dyDescent="0.25">
      <c r="A722" s="389"/>
      <c r="B722" s="4"/>
      <c r="C722" s="16"/>
      <c r="D722" s="519"/>
      <c r="E722" s="410"/>
      <c r="F722" s="313"/>
      <c r="G722" s="256"/>
      <c r="H722" s="313"/>
      <c r="I722" s="456"/>
      <c r="J722" s="271" t="b">
        <f>Age_Sex22[[#This Row],[Total Spending After Applying Truncation at the Member Level]]+Age_Sex22[[#This Row],[Total Dollars Excluded from Spending After Applying Truncation at the Member Level]]=Age_Sex22[[#This Row],[Total Spending before Truncation is Applied]]</f>
        <v>1</v>
      </c>
    </row>
    <row r="723" spans="1:10" x14ac:dyDescent="0.25">
      <c r="A723" s="386"/>
      <c r="B723" s="310"/>
      <c r="C723" s="311"/>
      <c r="D723" s="518"/>
      <c r="E723" s="409"/>
      <c r="F723" s="312"/>
      <c r="G723" s="522"/>
      <c r="H723" s="312"/>
      <c r="I723" s="455"/>
      <c r="J723" s="271" t="b">
        <f>Age_Sex22[[#This Row],[Total Spending After Applying Truncation at the Member Level]]+Age_Sex22[[#This Row],[Total Dollars Excluded from Spending After Applying Truncation at the Member Level]]=Age_Sex22[[#This Row],[Total Spending before Truncation is Applied]]</f>
        <v>1</v>
      </c>
    </row>
    <row r="724" spans="1:10" x14ac:dyDescent="0.25">
      <c r="A724" s="389"/>
      <c r="B724" s="4"/>
      <c r="C724" s="16"/>
      <c r="D724" s="519"/>
      <c r="E724" s="410"/>
      <c r="F724" s="313"/>
      <c r="G724" s="256"/>
      <c r="H724" s="313"/>
      <c r="I724" s="456"/>
      <c r="J724" s="271" t="b">
        <f>Age_Sex22[[#This Row],[Total Spending After Applying Truncation at the Member Level]]+Age_Sex22[[#This Row],[Total Dollars Excluded from Spending After Applying Truncation at the Member Level]]=Age_Sex22[[#This Row],[Total Spending before Truncation is Applied]]</f>
        <v>1</v>
      </c>
    </row>
    <row r="725" spans="1:10" x14ac:dyDescent="0.25">
      <c r="A725" s="386"/>
      <c r="B725" s="310"/>
      <c r="C725" s="311"/>
      <c r="D725" s="518"/>
      <c r="E725" s="409"/>
      <c r="F725" s="312"/>
      <c r="G725" s="522"/>
      <c r="H725" s="312"/>
      <c r="I725" s="455"/>
      <c r="J725" s="271" t="b">
        <f>Age_Sex22[[#This Row],[Total Spending After Applying Truncation at the Member Level]]+Age_Sex22[[#This Row],[Total Dollars Excluded from Spending After Applying Truncation at the Member Level]]=Age_Sex22[[#This Row],[Total Spending before Truncation is Applied]]</f>
        <v>1</v>
      </c>
    </row>
    <row r="726" spans="1:10" x14ac:dyDescent="0.25">
      <c r="A726" s="389"/>
      <c r="B726" s="4"/>
      <c r="C726" s="16"/>
      <c r="D726" s="519"/>
      <c r="E726" s="410"/>
      <c r="F726" s="313"/>
      <c r="G726" s="256"/>
      <c r="H726" s="313"/>
      <c r="I726" s="456"/>
      <c r="J726" s="271" t="b">
        <f>Age_Sex22[[#This Row],[Total Spending After Applying Truncation at the Member Level]]+Age_Sex22[[#This Row],[Total Dollars Excluded from Spending After Applying Truncation at the Member Level]]=Age_Sex22[[#This Row],[Total Spending before Truncation is Applied]]</f>
        <v>1</v>
      </c>
    </row>
    <row r="727" spans="1:10" x14ac:dyDescent="0.25">
      <c r="A727" s="386"/>
      <c r="B727" s="310"/>
      <c r="C727" s="311"/>
      <c r="D727" s="518"/>
      <c r="E727" s="409"/>
      <c r="F727" s="312"/>
      <c r="G727" s="522"/>
      <c r="H727" s="312"/>
      <c r="I727" s="455"/>
      <c r="J727" s="271" t="b">
        <f>Age_Sex22[[#This Row],[Total Spending After Applying Truncation at the Member Level]]+Age_Sex22[[#This Row],[Total Dollars Excluded from Spending After Applying Truncation at the Member Level]]=Age_Sex22[[#This Row],[Total Spending before Truncation is Applied]]</f>
        <v>1</v>
      </c>
    </row>
    <row r="728" spans="1:10" x14ac:dyDescent="0.25">
      <c r="A728" s="389"/>
      <c r="B728" s="4"/>
      <c r="C728" s="16"/>
      <c r="D728" s="519"/>
      <c r="E728" s="410"/>
      <c r="F728" s="313"/>
      <c r="G728" s="256"/>
      <c r="H728" s="313"/>
      <c r="I728" s="456"/>
      <c r="J728" s="271" t="b">
        <f>Age_Sex22[[#This Row],[Total Spending After Applying Truncation at the Member Level]]+Age_Sex22[[#This Row],[Total Dollars Excluded from Spending After Applying Truncation at the Member Level]]=Age_Sex22[[#This Row],[Total Spending before Truncation is Applied]]</f>
        <v>1</v>
      </c>
    </row>
    <row r="729" spans="1:10" x14ac:dyDescent="0.25">
      <c r="A729" s="386"/>
      <c r="B729" s="310"/>
      <c r="C729" s="311"/>
      <c r="D729" s="518"/>
      <c r="E729" s="409"/>
      <c r="F729" s="312"/>
      <c r="G729" s="522"/>
      <c r="H729" s="312"/>
      <c r="I729" s="455"/>
      <c r="J729" s="271" t="b">
        <f>Age_Sex22[[#This Row],[Total Spending After Applying Truncation at the Member Level]]+Age_Sex22[[#This Row],[Total Dollars Excluded from Spending After Applying Truncation at the Member Level]]=Age_Sex22[[#This Row],[Total Spending before Truncation is Applied]]</f>
        <v>1</v>
      </c>
    </row>
    <row r="730" spans="1:10" x14ac:dyDescent="0.25">
      <c r="A730" s="389"/>
      <c r="B730" s="4"/>
      <c r="C730" s="16"/>
      <c r="D730" s="519"/>
      <c r="E730" s="410"/>
      <c r="F730" s="313"/>
      <c r="G730" s="256"/>
      <c r="H730" s="313"/>
      <c r="I730" s="456"/>
      <c r="J730" s="271" t="b">
        <f>Age_Sex22[[#This Row],[Total Spending After Applying Truncation at the Member Level]]+Age_Sex22[[#This Row],[Total Dollars Excluded from Spending After Applying Truncation at the Member Level]]=Age_Sex22[[#This Row],[Total Spending before Truncation is Applied]]</f>
        <v>1</v>
      </c>
    </row>
    <row r="731" spans="1:10" x14ac:dyDescent="0.25">
      <c r="A731" s="386"/>
      <c r="B731" s="310"/>
      <c r="C731" s="311"/>
      <c r="D731" s="518"/>
      <c r="E731" s="409"/>
      <c r="F731" s="312"/>
      <c r="G731" s="522"/>
      <c r="H731" s="312"/>
      <c r="I731" s="455"/>
      <c r="J731" s="271" t="b">
        <f>Age_Sex22[[#This Row],[Total Spending After Applying Truncation at the Member Level]]+Age_Sex22[[#This Row],[Total Dollars Excluded from Spending After Applying Truncation at the Member Level]]=Age_Sex22[[#This Row],[Total Spending before Truncation is Applied]]</f>
        <v>1</v>
      </c>
    </row>
    <row r="732" spans="1:10" x14ac:dyDescent="0.25">
      <c r="A732" s="389"/>
      <c r="B732" s="4"/>
      <c r="C732" s="16"/>
      <c r="D732" s="519"/>
      <c r="E732" s="410"/>
      <c r="F732" s="313"/>
      <c r="G732" s="256"/>
      <c r="H732" s="313"/>
      <c r="I732" s="456"/>
      <c r="J732" s="271" t="b">
        <f>Age_Sex22[[#This Row],[Total Spending After Applying Truncation at the Member Level]]+Age_Sex22[[#This Row],[Total Dollars Excluded from Spending After Applying Truncation at the Member Level]]=Age_Sex22[[#This Row],[Total Spending before Truncation is Applied]]</f>
        <v>1</v>
      </c>
    </row>
    <row r="733" spans="1:10" x14ac:dyDescent="0.25">
      <c r="A733" s="386"/>
      <c r="B733" s="310"/>
      <c r="C733" s="311"/>
      <c r="D733" s="518"/>
      <c r="E733" s="409"/>
      <c r="F733" s="312"/>
      <c r="G733" s="522"/>
      <c r="H733" s="312"/>
      <c r="I733" s="455"/>
      <c r="J733" s="271" t="b">
        <f>Age_Sex22[[#This Row],[Total Spending After Applying Truncation at the Member Level]]+Age_Sex22[[#This Row],[Total Dollars Excluded from Spending After Applying Truncation at the Member Level]]=Age_Sex22[[#This Row],[Total Spending before Truncation is Applied]]</f>
        <v>1</v>
      </c>
    </row>
    <row r="734" spans="1:10" x14ac:dyDescent="0.25">
      <c r="A734" s="389"/>
      <c r="B734" s="4"/>
      <c r="C734" s="16"/>
      <c r="D734" s="519"/>
      <c r="E734" s="410"/>
      <c r="F734" s="313"/>
      <c r="G734" s="256"/>
      <c r="H734" s="313"/>
      <c r="I734" s="456"/>
      <c r="J734" s="271" t="b">
        <f>Age_Sex22[[#This Row],[Total Spending After Applying Truncation at the Member Level]]+Age_Sex22[[#This Row],[Total Dollars Excluded from Spending After Applying Truncation at the Member Level]]=Age_Sex22[[#This Row],[Total Spending before Truncation is Applied]]</f>
        <v>1</v>
      </c>
    </row>
    <row r="735" spans="1:10" x14ac:dyDescent="0.25">
      <c r="A735" s="386"/>
      <c r="B735" s="310"/>
      <c r="C735" s="311"/>
      <c r="D735" s="518"/>
      <c r="E735" s="409"/>
      <c r="F735" s="312"/>
      <c r="G735" s="522"/>
      <c r="H735" s="312"/>
      <c r="I735" s="455"/>
      <c r="J735" s="271" t="b">
        <f>Age_Sex22[[#This Row],[Total Spending After Applying Truncation at the Member Level]]+Age_Sex22[[#This Row],[Total Dollars Excluded from Spending After Applying Truncation at the Member Level]]=Age_Sex22[[#This Row],[Total Spending before Truncation is Applied]]</f>
        <v>1</v>
      </c>
    </row>
    <row r="736" spans="1:10" x14ac:dyDescent="0.25">
      <c r="A736" s="389"/>
      <c r="B736" s="4"/>
      <c r="C736" s="16"/>
      <c r="D736" s="519"/>
      <c r="E736" s="410"/>
      <c r="F736" s="313"/>
      <c r="G736" s="256"/>
      <c r="H736" s="313"/>
      <c r="I736" s="456"/>
      <c r="J736" s="271" t="b">
        <f>Age_Sex22[[#This Row],[Total Spending After Applying Truncation at the Member Level]]+Age_Sex22[[#This Row],[Total Dollars Excluded from Spending After Applying Truncation at the Member Level]]=Age_Sex22[[#This Row],[Total Spending before Truncation is Applied]]</f>
        <v>1</v>
      </c>
    </row>
    <row r="737" spans="1:10" x14ac:dyDescent="0.25">
      <c r="A737" s="386"/>
      <c r="B737" s="310"/>
      <c r="C737" s="311"/>
      <c r="D737" s="518"/>
      <c r="E737" s="409"/>
      <c r="F737" s="312"/>
      <c r="G737" s="522"/>
      <c r="H737" s="312"/>
      <c r="I737" s="455"/>
      <c r="J737" s="271" t="b">
        <f>Age_Sex22[[#This Row],[Total Spending After Applying Truncation at the Member Level]]+Age_Sex22[[#This Row],[Total Dollars Excluded from Spending After Applying Truncation at the Member Level]]=Age_Sex22[[#This Row],[Total Spending before Truncation is Applied]]</f>
        <v>1</v>
      </c>
    </row>
    <row r="738" spans="1:10" x14ac:dyDescent="0.25">
      <c r="A738" s="389"/>
      <c r="B738" s="4"/>
      <c r="C738" s="16"/>
      <c r="D738" s="519"/>
      <c r="E738" s="410"/>
      <c r="F738" s="313"/>
      <c r="G738" s="256"/>
      <c r="H738" s="313"/>
      <c r="I738" s="456"/>
      <c r="J738" s="271" t="b">
        <f>Age_Sex22[[#This Row],[Total Spending After Applying Truncation at the Member Level]]+Age_Sex22[[#This Row],[Total Dollars Excluded from Spending After Applying Truncation at the Member Level]]=Age_Sex22[[#This Row],[Total Spending before Truncation is Applied]]</f>
        <v>1</v>
      </c>
    </row>
    <row r="739" spans="1:10" x14ac:dyDescent="0.25">
      <c r="A739" s="386"/>
      <c r="B739" s="310"/>
      <c r="C739" s="311"/>
      <c r="D739" s="518"/>
      <c r="E739" s="409"/>
      <c r="F739" s="312"/>
      <c r="G739" s="522"/>
      <c r="H739" s="312"/>
      <c r="I739" s="455"/>
      <c r="J739" s="271" t="b">
        <f>Age_Sex22[[#This Row],[Total Spending After Applying Truncation at the Member Level]]+Age_Sex22[[#This Row],[Total Dollars Excluded from Spending After Applying Truncation at the Member Level]]=Age_Sex22[[#This Row],[Total Spending before Truncation is Applied]]</f>
        <v>1</v>
      </c>
    </row>
    <row r="740" spans="1:10" x14ac:dyDescent="0.25">
      <c r="A740" s="389"/>
      <c r="B740" s="4"/>
      <c r="C740" s="16"/>
      <c r="D740" s="519"/>
      <c r="E740" s="410"/>
      <c r="F740" s="313"/>
      <c r="G740" s="256"/>
      <c r="H740" s="313"/>
      <c r="I740" s="456"/>
      <c r="J740" s="271" t="b">
        <f>Age_Sex22[[#This Row],[Total Spending After Applying Truncation at the Member Level]]+Age_Sex22[[#This Row],[Total Dollars Excluded from Spending After Applying Truncation at the Member Level]]=Age_Sex22[[#This Row],[Total Spending before Truncation is Applied]]</f>
        <v>1</v>
      </c>
    </row>
    <row r="741" spans="1:10" x14ac:dyDescent="0.25">
      <c r="A741" s="386"/>
      <c r="B741" s="310"/>
      <c r="C741" s="311"/>
      <c r="D741" s="518"/>
      <c r="E741" s="409"/>
      <c r="F741" s="312"/>
      <c r="G741" s="522"/>
      <c r="H741" s="312"/>
      <c r="I741" s="455"/>
      <c r="J741" s="271" t="b">
        <f>Age_Sex22[[#This Row],[Total Spending After Applying Truncation at the Member Level]]+Age_Sex22[[#This Row],[Total Dollars Excluded from Spending After Applying Truncation at the Member Level]]=Age_Sex22[[#This Row],[Total Spending before Truncation is Applied]]</f>
        <v>1</v>
      </c>
    </row>
    <row r="742" spans="1:10" x14ac:dyDescent="0.25">
      <c r="A742" s="389"/>
      <c r="B742" s="4"/>
      <c r="C742" s="16"/>
      <c r="D742" s="519"/>
      <c r="E742" s="410"/>
      <c r="F742" s="313"/>
      <c r="G742" s="256"/>
      <c r="H742" s="313"/>
      <c r="I742" s="456"/>
      <c r="J742" s="271" t="b">
        <f>Age_Sex22[[#This Row],[Total Spending After Applying Truncation at the Member Level]]+Age_Sex22[[#This Row],[Total Dollars Excluded from Spending After Applying Truncation at the Member Level]]=Age_Sex22[[#This Row],[Total Spending before Truncation is Applied]]</f>
        <v>1</v>
      </c>
    </row>
    <row r="743" spans="1:10" x14ac:dyDescent="0.25">
      <c r="A743" s="386"/>
      <c r="B743" s="310"/>
      <c r="C743" s="311"/>
      <c r="D743" s="518"/>
      <c r="E743" s="409"/>
      <c r="F743" s="312"/>
      <c r="G743" s="522"/>
      <c r="H743" s="312"/>
      <c r="I743" s="455"/>
      <c r="J743" s="271" t="b">
        <f>Age_Sex22[[#This Row],[Total Spending After Applying Truncation at the Member Level]]+Age_Sex22[[#This Row],[Total Dollars Excluded from Spending After Applying Truncation at the Member Level]]=Age_Sex22[[#This Row],[Total Spending before Truncation is Applied]]</f>
        <v>1</v>
      </c>
    </row>
    <row r="744" spans="1:10" x14ac:dyDescent="0.25">
      <c r="A744" s="389"/>
      <c r="B744" s="4"/>
      <c r="C744" s="16"/>
      <c r="D744" s="519"/>
      <c r="E744" s="410"/>
      <c r="F744" s="313"/>
      <c r="G744" s="256"/>
      <c r="H744" s="313"/>
      <c r="I744" s="456"/>
      <c r="J744" s="271" t="b">
        <f>Age_Sex22[[#This Row],[Total Spending After Applying Truncation at the Member Level]]+Age_Sex22[[#This Row],[Total Dollars Excluded from Spending After Applying Truncation at the Member Level]]=Age_Sex22[[#This Row],[Total Spending before Truncation is Applied]]</f>
        <v>1</v>
      </c>
    </row>
    <row r="745" spans="1:10" x14ac:dyDescent="0.25">
      <c r="A745" s="386"/>
      <c r="B745" s="310"/>
      <c r="C745" s="311"/>
      <c r="D745" s="518"/>
      <c r="E745" s="409"/>
      <c r="F745" s="312"/>
      <c r="G745" s="522"/>
      <c r="H745" s="312"/>
      <c r="I745" s="455"/>
      <c r="J745" s="271" t="b">
        <f>Age_Sex22[[#This Row],[Total Spending After Applying Truncation at the Member Level]]+Age_Sex22[[#This Row],[Total Dollars Excluded from Spending After Applying Truncation at the Member Level]]=Age_Sex22[[#This Row],[Total Spending before Truncation is Applied]]</f>
        <v>1</v>
      </c>
    </row>
    <row r="746" spans="1:10" x14ac:dyDescent="0.25">
      <c r="A746" s="389"/>
      <c r="B746" s="4"/>
      <c r="C746" s="16"/>
      <c r="D746" s="519"/>
      <c r="E746" s="410"/>
      <c r="F746" s="313"/>
      <c r="G746" s="256"/>
      <c r="H746" s="313"/>
      <c r="I746" s="456"/>
      <c r="J746" s="271" t="b">
        <f>Age_Sex22[[#This Row],[Total Spending After Applying Truncation at the Member Level]]+Age_Sex22[[#This Row],[Total Dollars Excluded from Spending After Applying Truncation at the Member Level]]=Age_Sex22[[#This Row],[Total Spending before Truncation is Applied]]</f>
        <v>1</v>
      </c>
    </row>
    <row r="747" spans="1:10" x14ac:dyDescent="0.25">
      <c r="A747" s="386"/>
      <c r="B747" s="310"/>
      <c r="C747" s="311"/>
      <c r="D747" s="518"/>
      <c r="E747" s="409"/>
      <c r="F747" s="312"/>
      <c r="G747" s="522"/>
      <c r="H747" s="312"/>
      <c r="I747" s="455"/>
      <c r="J747" s="271" t="b">
        <f>Age_Sex22[[#This Row],[Total Spending After Applying Truncation at the Member Level]]+Age_Sex22[[#This Row],[Total Dollars Excluded from Spending After Applying Truncation at the Member Level]]=Age_Sex22[[#This Row],[Total Spending before Truncation is Applied]]</f>
        <v>1</v>
      </c>
    </row>
    <row r="748" spans="1:10" x14ac:dyDescent="0.25">
      <c r="A748" s="389"/>
      <c r="B748" s="4"/>
      <c r="C748" s="16"/>
      <c r="D748" s="519"/>
      <c r="E748" s="410"/>
      <c r="F748" s="313"/>
      <c r="G748" s="256"/>
      <c r="H748" s="313"/>
      <c r="I748" s="456"/>
      <c r="J748" s="271" t="b">
        <f>Age_Sex22[[#This Row],[Total Spending After Applying Truncation at the Member Level]]+Age_Sex22[[#This Row],[Total Dollars Excluded from Spending After Applying Truncation at the Member Level]]=Age_Sex22[[#This Row],[Total Spending before Truncation is Applied]]</f>
        <v>1</v>
      </c>
    </row>
    <row r="749" spans="1:10" x14ac:dyDescent="0.25">
      <c r="A749" s="386"/>
      <c r="B749" s="310"/>
      <c r="C749" s="311"/>
      <c r="D749" s="518"/>
      <c r="E749" s="409"/>
      <c r="F749" s="312"/>
      <c r="G749" s="522"/>
      <c r="H749" s="312"/>
      <c r="I749" s="455"/>
      <c r="J749" s="271" t="b">
        <f>Age_Sex22[[#This Row],[Total Spending After Applying Truncation at the Member Level]]+Age_Sex22[[#This Row],[Total Dollars Excluded from Spending After Applying Truncation at the Member Level]]=Age_Sex22[[#This Row],[Total Spending before Truncation is Applied]]</f>
        <v>1</v>
      </c>
    </row>
    <row r="750" spans="1:10" x14ac:dyDescent="0.25">
      <c r="A750" s="389"/>
      <c r="B750" s="4"/>
      <c r="C750" s="16"/>
      <c r="D750" s="519"/>
      <c r="E750" s="410"/>
      <c r="F750" s="313"/>
      <c r="G750" s="256"/>
      <c r="H750" s="313"/>
      <c r="I750" s="456"/>
      <c r="J750" s="271" t="b">
        <f>Age_Sex22[[#This Row],[Total Spending After Applying Truncation at the Member Level]]+Age_Sex22[[#This Row],[Total Dollars Excluded from Spending After Applying Truncation at the Member Level]]=Age_Sex22[[#This Row],[Total Spending before Truncation is Applied]]</f>
        <v>1</v>
      </c>
    </row>
    <row r="751" spans="1:10" x14ac:dyDescent="0.25">
      <c r="A751" s="386"/>
      <c r="B751" s="310"/>
      <c r="C751" s="311"/>
      <c r="D751" s="518"/>
      <c r="E751" s="409"/>
      <c r="F751" s="312"/>
      <c r="G751" s="522"/>
      <c r="H751" s="312"/>
      <c r="I751" s="455"/>
      <c r="J751" s="271" t="b">
        <f>Age_Sex22[[#This Row],[Total Spending After Applying Truncation at the Member Level]]+Age_Sex22[[#This Row],[Total Dollars Excluded from Spending After Applying Truncation at the Member Level]]=Age_Sex22[[#This Row],[Total Spending before Truncation is Applied]]</f>
        <v>1</v>
      </c>
    </row>
    <row r="752" spans="1:10" x14ac:dyDescent="0.25">
      <c r="A752" s="389"/>
      <c r="B752" s="4"/>
      <c r="C752" s="16"/>
      <c r="D752" s="519"/>
      <c r="E752" s="410"/>
      <c r="F752" s="313"/>
      <c r="G752" s="256"/>
      <c r="H752" s="313"/>
      <c r="I752" s="456"/>
      <c r="J752" s="271" t="b">
        <f>Age_Sex22[[#This Row],[Total Spending After Applying Truncation at the Member Level]]+Age_Sex22[[#This Row],[Total Dollars Excluded from Spending After Applying Truncation at the Member Level]]=Age_Sex22[[#This Row],[Total Spending before Truncation is Applied]]</f>
        <v>1</v>
      </c>
    </row>
    <row r="753" spans="1:10" x14ac:dyDescent="0.25">
      <c r="A753" s="386"/>
      <c r="B753" s="310"/>
      <c r="C753" s="311"/>
      <c r="D753" s="518"/>
      <c r="E753" s="409"/>
      <c r="F753" s="312"/>
      <c r="G753" s="522"/>
      <c r="H753" s="312"/>
      <c r="I753" s="455"/>
      <c r="J753" s="271" t="b">
        <f>Age_Sex22[[#This Row],[Total Spending After Applying Truncation at the Member Level]]+Age_Sex22[[#This Row],[Total Dollars Excluded from Spending After Applying Truncation at the Member Level]]=Age_Sex22[[#This Row],[Total Spending before Truncation is Applied]]</f>
        <v>1</v>
      </c>
    </row>
    <row r="754" spans="1:10" x14ac:dyDescent="0.25">
      <c r="A754" s="389"/>
      <c r="B754" s="4"/>
      <c r="C754" s="16"/>
      <c r="D754" s="519"/>
      <c r="E754" s="410"/>
      <c r="F754" s="313"/>
      <c r="G754" s="256"/>
      <c r="H754" s="313"/>
      <c r="I754" s="456"/>
      <c r="J754" s="271" t="b">
        <f>Age_Sex22[[#This Row],[Total Spending After Applying Truncation at the Member Level]]+Age_Sex22[[#This Row],[Total Dollars Excluded from Spending After Applying Truncation at the Member Level]]=Age_Sex22[[#This Row],[Total Spending before Truncation is Applied]]</f>
        <v>1</v>
      </c>
    </row>
    <row r="755" spans="1:10" x14ac:dyDescent="0.25">
      <c r="A755" s="386"/>
      <c r="B755" s="310"/>
      <c r="C755" s="311"/>
      <c r="D755" s="518"/>
      <c r="E755" s="409"/>
      <c r="F755" s="312"/>
      <c r="G755" s="522"/>
      <c r="H755" s="312"/>
      <c r="I755" s="455"/>
      <c r="J755" s="271" t="b">
        <f>Age_Sex22[[#This Row],[Total Spending After Applying Truncation at the Member Level]]+Age_Sex22[[#This Row],[Total Dollars Excluded from Spending After Applying Truncation at the Member Level]]=Age_Sex22[[#This Row],[Total Spending before Truncation is Applied]]</f>
        <v>1</v>
      </c>
    </row>
    <row r="756" spans="1:10" x14ac:dyDescent="0.25">
      <c r="A756" s="389"/>
      <c r="B756" s="4"/>
      <c r="C756" s="16"/>
      <c r="D756" s="519"/>
      <c r="E756" s="410"/>
      <c r="F756" s="313"/>
      <c r="G756" s="256"/>
      <c r="H756" s="313"/>
      <c r="I756" s="456"/>
      <c r="J756" s="271" t="b">
        <f>Age_Sex22[[#This Row],[Total Spending After Applying Truncation at the Member Level]]+Age_Sex22[[#This Row],[Total Dollars Excluded from Spending After Applying Truncation at the Member Level]]=Age_Sex22[[#This Row],[Total Spending before Truncation is Applied]]</f>
        <v>1</v>
      </c>
    </row>
    <row r="757" spans="1:10" x14ac:dyDescent="0.25">
      <c r="A757" s="386"/>
      <c r="B757" s="310"/>
      <c r="C757" s="311"/>
      <c r="D757" s="518"/>
      <c r="E757" s="409"/>
      <c r="F757" s="312"/>
      <c r="G757" s="522"/>
      <c r="H757" s="312"/>
      <c r="I757" s="455"/>
      <c r="J757" s="271" t="b">
        <f>Age_Sex22[[#This Row],[Total Spending After Applying Truncation at the Member Level]]+Age_Sex22[[#This Row],[Total Dollars Excluded from Spending After Applying Truncation at the Member Level]]=Age_Sex22[[#This Row],[Total Spending before Truncation is Applied]]</f>
        <v>1</v>
      </c>
    </row>
    <row r="758" spans="1:10" x14ac:dyDescent="0.25">
      <c r="A758" s="389"/>
      <c r="B758" s="4"/>
      <c r="C758" s="16"/>
      <c r="D758" s="519"/>
      <c r="E758" s="410"/>
      <c r="F758" s="313"/>
      <c r="G758" s="256"/>
      <c r="H758" s="313"/>
      <c r="I758" s="456"/>
      <c r="J758" s="271" t="b">
        <f>Age_Sex22[[#This Row],[Total Spending After Applying Truncation at the Member Level]]+Age_Sex22[[#This Row],[Total Dollars Excluded from Spending After Applying Truncation at the Member Level]]=Age_Sex22[[#This Row],[Total Spending before Truncation is Applied]]</f>
        <v>1</v>
      </c>
    </row>
    <row r="759" spans="1:10" x14ac:dyDescent="0.25">
      <c r="A759" s="386"/>
      <c r="B759" s="310"/>
      <c r="C759" s="311"/>
      <c r="D759" s="518"/>
      <c r="E759" s="409"/>
      <c r="F759" s="312"/>
      <c r="G759" s="522"/>
      <c r="H759" s="312"/>
      <c r="I759" s="455"/>
      <c r="J759" s="271" t="b">
        <f>Age_Sex22[[#This Row],[Total Spending After Applying Truncation at the Member Level]]+Age_Sex22[[#This Row],[Total Dollars Excluded from Spending After Applying Truncation at the Member Level]]=Age_Sex22[[#This Row],[Total Spending before Truncation is Applied]]</f>
        <v>1</v>
      </c>
    </row>
    <row r="760" spans="1:10" x14ac:dyDescent="0.25">
      <c r="A760" s="389"/>
      <c r="B760" s="4"/>
      <c r="C760" s="16"/>
      <c r="D760" s="519"/>
      <c r="E760" s="410"/>
      <c r="F760" s="313"/>
      <c r="G760" s="256"/>
      <c r="H760" s="313"/>
      <c r="I760" s="456"/>
      <c r="J760" s="271" t="b">
        <f>Age_Sex22[[#This Row],[Total Spending After Applying Truncation at the Member Level]]+Age_Sex22[[#This Row],[Total Dollars Excluded from Spending After Applying Truncation at the Member Level]]=Age_Sex22[[#This Row],[Total Spending before Truncation is Applied]]</f>
        <v>1</v>
      </c>
    </row>
    <row r="761" spans="1:10" x14ac:dyDescent="0.25">
      <c r="A761" s="386"/>
      <c r="B761" s="310"/>
      <c r="C761" s="311"/>
      <c r="D761" s="518"/>
      <c r="E761" s="409"/>
      <c r="F761" s="312"/>
      <c r="G761" s="522"/>
      <c r="H761" s="312"/>
      <c r="I761" s="455"/>
      <c r="J761" s="271" t="b">
        <f>Age_Sex22[[#This Row],[Total Spending After Applying Truncation at the Member Level]]+Age_Sex22[[#This Row],[Total Dollars Excluded from Spending After Applying Truncation at the Member Level]]=Age_Sex22[[#This Row],[Total Spending before Truncation is Applied]]</f>
        <v>1</v>
      </c>
    </row>
    <row r="762" spans="1:10" x14ac:dyDescent="0.25">
      <c r="A762" s="389"/>
      <c r="B762" s="4"/>
      <c r="C762" s="16"/>
      <c r="D762" s="519"/>
      <c r="E762" s="410"/>
      <c r="F762" s="313"/>
      <c r="G762" s="256"/>
      <c r="H762" s="313"/>
      <c r="I762" s="456"/>
      <c r="J762" s="271" t="b">
        <f>Age_Sex22[[#This Row],[Total Spending After Applying Truncation at the Member Level]]+Age_Sex22[[#This Row],[Total Dollars Excluded from Spending After Applying Truncation at the Member Level]]=Age_Sex22[[#This Row],[Total Spending before Truncation is Applied]]</f>
        <v>1</v>
      </c>
    </row>
    <row r="763" spans="1:10" x14ac:dyDescent="0.25">
      <c r="A763" s="386"/>
      <c r="B763" s="310"/>
      <c r="C763" s="311"/>
      <c r="D763" s="518"/>
      <c r="E763" s="409"/>
      <c r="F763" s="312"/>
      <c r="G763" s="522"/>
      <c r="H763" s="312"/>
      <c r="I763" s="455"/>
      <c r="J763" s="271" t="b">
        <f>Age_Sex22[[#This Row],[Total Spending After Applying Truncation at the Member Level]]+Age_Sex22[[#This Row],[Total Dollars Excluded from Spending After Applying Truncation at the Member Level]]=Age_Sex22[[#This Row],[Total Spending before Truncation is Applied]]</f>
        <v>1</v>
      </c>
    </row>
    <row r="764" spans="1:10" x14ac:dyDescent="0.25">
      <c r="A764" s="389"/>
      <c r="B764" s="4"/>
      <c r="C764" s="16"/>
      <c r="D764" s="519"/>
      <c r="E764" s="410"/>
      <c r="F764" s="313"/>
      <c r="G764" s="256"/>
      <c r="H764" s="313"/>
      <c r="I764" s="456"/>
      <c r="J764" s="271" t="b">
        <f>Age_Sex22[[#This Row],[Total Spending After Applying Truncation at the Member Level]]+Age_Sex22[[#This Row],[Total Dollars Excluded from Spending After Applying Truncation at the Member Level]]=Age_Sex22[[#This Row],[Total Spending before Truncation is Applied]]</f>
        <v>1</v>
      </c>
    </row>
    <row r="765" spans="1:10" x14ac:dyDescent="0.25">
      <c r="A765" s="386"/>
      <c r="B765" s="310"/>
      <c r="C765" s="311"/>
      <c r="D765" s="518"/>
      <c r="E765" s="409"/>
      <c r="F765" s="312"/>
      <c r="G765" s="522"/>
      <c r="H765" s="312"/>
      <c r="I765" s="455"/>
      <c r="J765" s="271" t="b">
        <f>Age_Sex22[[#This Row],[Total Spending After Applying Truncation at the Member Level]]+Age_Sex22[[#This Row],[Total Dollars Excluded from Spending After Applying Truncation at the Member Level]]=Age_Sex22[[#This Row],[Total Spending before Truncation is Applied]]</f>
        <v>1</v>
      </c>
    </row>
    <row r="766" spans="1:10" x14ac:dyDescent="0.25">
      <c r="A766" s="389"/>
      <c r="B766" s="4"/>
      <c r="C766" s="16"/>
      <c r="D766" s="519"/>
      <c r="E766" s="410"/>
      <c r="F766" s="313"/>
      <c r="G766" s="256"/>
      <c r="H766" s="313"/>
      <c r="I766" s="456"/>
      <c r="J766" s="271" t="b">
        <f>Age_Sex22[[#This Row],[Total Spending After Applying Truncation at the Member Level]]+Age_Sex22[[#This Row],[Total Dollars Excluded from Spending After Applying Truncation at the Member Level]]=Age_Sex22[[#This Row],[Total Spending before Truncation is Applied]]</f>
        <v>1</v>
      </c>
    </row>
    <row r="767" spans="1:10" x14ac:dyDescent="0.25">
      <c r="A767" s="386"/>
      <c r="B767" s="310"/>
      <c r="C767" s="311"/>
      <c r="D767" s="518"/>
      <c r="E767" s="409"/>
      <c r="F767" s="312"/>
      <c r="G767" s="522"/>
      <c r="H767" s="312"/>
      <c r="I767" s="455"/>
      <c r="J767" s="271" t="b">
        <f>Age_Sex22[[#This Row],[Total Spending After Applying Truncation at the Member Level]]+Age_Sex22[[#This Row],[Total Dollars Excluded from Spending After Applying Truncation at the Member Level]]=Age_Sex22[[#This Row],[Total Spending before Truncation is Applied]]</f>
        <v>1</v>
      </c>
    </row>
    <row r="768" spans="1:10" x14ac:dyDescent="0.25">
      <c r="A768" s="389"/>
      <c r="B768" s="4"/>
      <c r="C768" s="16"/>
      <c r="D768" s="519"/>
      <c r="E768" s="410"/>
      <c r="F768" s="313"/>
      <c r="G768" s="256"/>
      <c r="H768" s="313"/>
      <c r="I768" s="456"/>
      <c r="J768" s="271" t="b">
        <f>Age_Sex22[[#This Row],[Total Spending After Applying Truncation at the Member Level]]+Age_Sex22[[#This Row],[Total Dollars Excluded from Spending After Applying Truncation at the Member Level]]=Age_Sex22[[#This Row],[Total Spending before Truncation is Applied]]</f>
        <v>1</v>
      </c>
    </row>
    <row r="769" spans="1:10" x14ac:dyDescent="0.25">
      <c r="A769" s="386"/>
      <c r="B769" s="310"/>
      <c r="C769" s="311"/>
      <c r="D769" s="518"/>
      <c r="E769" s="409"/>
      <c r="F769" s="312"/>
      <c r="G769" s="522"/>
      <c r="H769" s="312"/>
      <c r="I769" s="455"/>
      <c r="J769" s="271" t="b">
        <f>Age_Sex22[[#This Row],[Total Spending After Applying Truncation at the Member Level]]+Age_Sex22[[#This Row],[Total Dollars Excluded from Spending After Applying Truncation at the Member Level]]=Age_Sex22[[#This Row],[Total Spending before Truncation is Applied]]</f>
        <v>1</v>
      </c>
    </row>
    <row r="770" spans="1:10" x14ac:dyDescent="0.25">
      <c r="A770" s="389"/>
      <c r="B770" s="4"/>
      <c r="C770" s="16"/>
      <c r="D770" s="519"/>
      <c r="E770" s="410"/>
      <c r="F770" s="313"/>
      <c r="G770" s="256"/>
      <c r="H770" s="313"/>
      <c r="I770" s="456"/>
      <c r="J770" s="271" t="b">
        <f>Age_Sex22[[#This Row],[Total Spending After Applying Truncation at the Member Level]]+Age_Sex22[[#This Row],[Total Dollars Excluded from Spending After Applying Truncation at the Member Level]]=Age_Sex22[[#This Row],[Total Spending before Truncation is Applied]]</f>
        <v>1</v>
      </c>
    </row>
    <row r="771" spans="1:10" x14ac:dyDescent="0.25">
      <c r="A771" s="386"/>
      <c r="B771" s="310"/>
      <c r="C771" s="311"/>
      <c r="D771" s="518"/>
      <c r="E771" s="409"/>
      <c r="F771" s="312"/>
      <c r="G771" s="522"/>
      <c r="H771" s="312"/>
      <c r="I771" s="455"/>
      <c r="J771" s="271" t="b">
        <f>Age_Sex22[[#This Row],[Total Spending After Applying Truncation at the Member Level]]+Age_Sex22[[#This Row],[Total Dollars Excluded from Spending After Applying Truncation at the Member Level]]=Age_Sex22[[#This Row],[Total Spending before Truncation is Applied]]</f>
        <v>1</v>
      </c>
    </row>
    <row r="772" spans="1:10" x14ac:dyDescent="0.25">
      <c r="A772" s="389"/>
      <c r="B772" s="4"/>
      <c r="C772" s="16"/>
      <c r="D772" s="519"/>
      <c r="E772" s="410"/>
      <c r="F772" s="313"/>
      <c r="G772" s="256"/>
      <c r="H772" s="313"/>
      <c r="I772" s="456"/>
      <c r="J772" s="271" t="b">
        <f>Age_Sex22[[#This Row],[Total Spending After Applying Truncation at the Member Level]]+Age_Sex22[[#This Row],[Total Dollars Excluded from Spending After Applying Truncation at the Member Level]]=Age_Sex22[[#This Row],[Total Spending before Truncation is Applied]]</f>
        <v>1</v>
      </c>
    </row>
    <row r="773" spans="1:10" x14ac:dyDescent="0.25">
      <c r="A773" s="386"/>
      <c r="B773" s="310"/>
      <c r="C773" s="311"/>
      <c r="D773" s="518"/>
      <c r="E773" s="409"/>
      <c r="F773" s="312"/>
      <c r="G773" s="522"/>
      <c r="H773" s="312"/>
      <c r="I773" s="455"/>
      <c r="J773" s="271" t="b">
        <f>Age_Sex22[[#This Row],[Total Spending After Applying Truncation at the Member Level]]+Age_Sex22[[#This Row],[Total Dollars Excluded from Spending After Applying Truncation at the Member Level]]=Age_Sex22[[#This Row],[Total Spending before Truncation is Applied]]</f>
        <v>1</v>
      </c>
    </row>
    <row r="774" spans="1:10" x14ac:dyDescent="0.25">
      <c r="A774" s="389"/>
      <c r="B774" s="4"/>
      <c r="C774" s="16"/>
      <c r="D774" s="519"/>
      <c r="E774" s="410"/>
      <c r="F774" s="313"/>
      <c r="G774" s="256"/>
      <c r="H774" s="313"/>
      <c r="I774" s="456"/>
      <c r="J774" s="271" t="b">
        <f>Age_Sex22[[#This Row],[Total Spending After Applying Truncation at the Member Level]]+Age_Sex22[[#This Row],[Total Dollars Excluded from Spending After Applying Truncation at the Member Level]]=Age_Sex22[[#This Row],[Total Spending before Truncation is Applied]]</f>
        <v>1</v>
      </c>
    </row>
    <row r="775" spans="1:10" x14ac:dyDescent="0.25">
      <c r="A775" s="386"/>
      <c r="B775" s="310"/>
      <c r="C775" s="311"/>
      <c r="D775" s="518"/>
      <c r="E775" s="409"/>
      <c r="F775" s="312"/>
      <c r="G775" s="522"/>
      <c r="H775" s="312"/>
      <c r="I775" s="455"/>
      <c r="J775" s="271" t="b">
        <f>Age_Sex22[[#This Row],[Total Spending After Applying Truncation at the Member Level]]+Age_Sex22[[#This Row],[Total Dollars Excluded from Spending After Applying Truncation at the Member Level]]=Age_Sex22[[#This Row],[Total Spending before Truncation is Applied]]</f>
        <v>1</v>
      </c>
    </row>
    <row r="776" spans="1:10" x14ac:dyDescent="0.25">
      <c r="A776" s="389"/>
      <c r="B776" s="4"/>
      <c r="C776" s="16"/>
      <c r="D776" s="519"/>
      <c r="E776" s="410"/>
      <c r="F776" s="313"/>
      <c r="G776" s="256"/>
      <c r="H776" s="313"/>
      <c r="I776" s="456"/>
      <c r="J776" s="271" t="b">
        <f>Age_Sex22[[#This Row],[Total Spending After Applying Truncation at the Member Level]]+Age_Sex22[[#This Row],[Total Dollars Excluded from Spending After Applying Truncation at the Member Level]]=Age_Sex22[[#This Row],[Total Spending before Truncation is Applied]]</f>
        <v>1</v>
      </c>
    </row>
    <row r="777" spans="1:10" x14ac:dyDescent="0.25">
      <c r="A777" s="386"/>
      <c r="B777" s="310"/>
      <c r="C777" s="311"/>
      <c r="D777" s="518"/>
      <c r="E777" s="409"/>
      <c r="F777" s="312"/>
      <c r="G777" s="522"/>
      <c r="H777" s="312"/>
      <c r="I777" s="455"/>
      <c r="J777" s="271" t="b">
        <f>Age_Sex22[[#This Row],[Total Spending After Applying Truncation at the Member Level]]+Age_Sex22[[#This Row],[Total Dollars Excluded from Spending After Applying Truncation at the Member Level]]=Age_Sex22[[#This Row],[Total Spending before Truncation is Applied]]</f>
        <v>1</v>
      </c>
    </row>
    <row r="778" spans="1:10" x14ac:dyDescent="0.25">
      <c r="A778" s="389"/>
      <c r="B778" s="4"/>
      <c r="C778" s="16"/>
      <c r="D778" s="519"/>
      <c r="E778" s="410"/>
      <c r="F778" s="313"/>
      <c r="G778" s="256"/>
      <c r="H778" s="313"/>
      <c r="I778" s="456"/>
      <c r="J778" s="271" t="b">
        <f>Age_Sex22[[#This Row],[Total Spending After Applying Truncation at the Member Level]]+Age_Sex22[[#This Row],[Total Dollars Excluded from Spending After Applying Truncation at the Member Level]]=Age_Sex22[[#This Row],[Total Spending before Truncation is Applied]]</f>
        <v>1</v>
      </c>
    </row>
    <row r="779" spans="1:10" x14ac:dyDescent="0.25">
      <c r="A779" s="386"/>
      <c r="B779" s="310"/>
      <c r="C779" s="311"/>
      <c r="D779" s="518"/>
      <c r="E779" s="409"/>
      <c r="F779" s="312"/>
      <c r="G779" s="522"/>
      <c r="H779" s="312"/>
      <c r="I779" s="455"/>
      <c r="J779" s="271" t="b">
        <f>Age_Sex22[[#This Row],[Total Spending After Applying Truncation at the Member Level]]+Age_Sex22[[#This Row],[Total Dollars Excluded from Spending After Applying Truncation at the Member Level]]=Age_Sex22[[#This Row],[Total Spending before Truncation is Applied]]</f>
        <v>1</v>
      </c>
    </row>
    <row r="780" spans="1:10" x14ac:dyDescent="0.25">
      <c r="A780" s="389"/>
      <c r="B780" s="4"/>
      <c r="C780" s="16"/>
      <c r="D780" s="519"/>
      <c r="E780" s="410"/>
      <c r="F780" s="313"/>
      <c r="G780" s="256"/>
      <c r="H780" s="313"/>
      <c r="I780" s="456"/>
      <c r="J780" s="271" t="b">
        <f>Age_Sex22[[#This Row],[Total Spending After Applying Truncation at the Member Level]]+Age_Sex22[[#This Row],[Total Dollars Excluded from Spending After Applying Truncation at the Member Level]]=Age_Sex22[[#This Row],[Total Spending before Truncation is Applied]]</f>
        <v>1</v>
      </c>
    </row>
    <row r="781" spans="1:10" x14ac:dyDescent="0.25">
      <c r="A781" s="386"/>
      <c r="B781" s="310"/>
      <c r="C781" s="311"/>
      <c r="D781" s="518"/>
      <c r="E781" s="409"/>
      <c r="F781" s="312"/>
      <c r="G781" s="522"/>
      <c r="H781" s="312"/>
      <c r="I781" s="455"/>
      <c r="J781" s="271" t="b">
        <f>Age_Sex22[[#This Row],[Total Spending After Applying Truncation at the Member Level]]+Age_Sex22[[#This Row],[Total Dollars Excluded from Spending After Applying Truncation at the Member Level]]=Age_Sex22[[#This Row],[Total Spending before Truncation is Applied]]</f>
        <v>1</v>
      </c>
    </row>
    <row r="782" spans="1:10" x14ac:dyDescent="0.25">
      <c r="A782" s="389"/>
      <c r="B782" s="4"/>
      <c r="C782" s="16"/>
      <c r="D782" s="519"/>
      <c r="E782" s="410"/>
      <c r="F782" s="313"/>
      <c r="G782" s="256"/>
      <c r="H782" s="313"/>
      <c r="I782" s="456"/>
      <c r="J782" s="271" t="b">
        <f>Age_Sex22[[#This Row],[Total Spending After Applying Truncation at the Member Level]]+Age_Sex22[[#This Row],[Total Dollars Excluded from Spending After Applying Truncation at the Member Level]]=Age_Sex22[[#This Row],[Total Spending before Truncation is Applied]]</f>
        <v>1</v>
      </c>
    </row>
    <row r="783" spans="1:10" x14ac:dyDescent="0.25">
      <c r="A783" s="386"/>
      <c r="B783" s="310"/>
      <c r="C783" s="311"/>
      <c r="D783" s="518"/>
      <c r="E783" s="409"/>
      <c r="F783" s="312"/>
      <c r="G783" s="522"/>
      <c r="H783" s="312"/>
      <c r="I783" s="455"/>
      <c r="J783" s="271" t="b">
        <f>Age_Sex22[[#This Row],[Total Spending After Applying Truncation at the Member Level]]+Age_Sex22[[#This Row],[Total Dollars Excluded from Spending After Applying Truncation at the Member Level]]=Age_Sex22[[#This Row],[Total Spending before Truncation is Applied]]</f>
        <v>1</v>
      </c>
    </row>
    <row r="784" spans="1:10" x14ac:dyDescent="0.25">
      <c r="A784" s="389"/>
      <c r="B784" s="4"/>
      <c r="C784" s="16"/>
      <c r="D784" s="519"/>
      <c r="E784" s="410"/>
      <c r="F784" s="313"/>
      <c r="G784" s="256"/>
      <c r="H784" s="313"/>
      <c r="I784" s="456"/>
      <c r="J784" s="271" t="b">
        <f>Age_Sex22[[#This Row],[Total Spending After Applying Truncation at the Member Level]]+Age_Sex22[[#This Row],[Total Dollars Excluded from Spending After Applying Truncation at the Member Level]]=Age_Sex22[[#This Row],[Total Spending before Truncation is Applied]]</f>
        <v>1</v>
      </c>
    </row>
    <row r="785" spans="1:10" x14ac:dyDescent="0.25">
      <c r="A785" s="386"/>
      <c r="B785" s="310"/>
      <c r="C785" s="311"/>
      <c r="D785" s="518"/>
      <c r="E785" s="409"/>
      <c r="F785" s="312"/>
      <c r="G785" s="522"/>
      <c r="H785" s="312"/>
      <c r="I785" s="455"/>
      <c r="J785" s="271" t="b">
        <f>Age_Sex22[[#This Row],[Total Spending After Applying Truncation at the Member Level]]+Age_Sex22[[#This Row],[Total Dollars Excluded from Spending After Applying Truncation at the Member Level]]=Age_Sex22[[#This Row],[Total Spending before Truncation is Applied]]</f>
        <v>1</v>
      </c>
    </row>
    <row r="786" spans="1:10" x14ac:dyDescent="0.25">
      <c r="A786" s="389"/>
      <c r="B786" s="4"/>
      <c r="C786" s="16"/>
      <c r="D786" s="519"/>
      <c r="E786" s="410"/>
      <c r="F786" s="313"/>
      <c r="G786" s="256"/>
      <c r="H786" s="313"/>
      <c r="I786" s="456"/>
      <c r="J786" s="271" t="b">
        <f>Age_Sex22[[#This Row],[Total Spending After Applying Truncation at the Member Level]]+Age_Sex22[[#This Row],[Total Dollars Excluded from Spending After Applying Truncation at the Member Level]]=Age_Sex22[[#This Row],[Total Spending before Truncation is Applied]]</f>
        <v>1</v>
      </c>
    </row>
    <row r="787" spans="1:10" x14ac:dyDescent="0.25">
      <c r="A787" s="386"/>
      <c r="B787" s="310"/>
      <c r="C787" s="311"/>
      <c r="D787" s="518"/>
      <c r="E787" s="409"/>
      <c r="F787" s="312"/>
      <c r="G787" s="522"/>
      <c r="H787" s="312"/>
      <c r="I787" s="455"/>
      <c r="J787" s="271" t="b">
        <f>Age_Sex22[[#This Row],[Total Spending After Applying Truncation at the Member Level]]+Age_Sex22[[#This Row],[Total Dollars Excluded from Spending After Applying Truncation at the Member Level]]=Age_Sex22[[#This Row],[Total Spending before Truncation is Applied]]</f>
        <v>1</v>
      </c>
    </row>
    <row r="788" spans="1:10" x14ac:dyDescent="0.25">
      <c r="A788" s="389"/>
      <c r="B788" s="4"/>
      <c r="C788" s="16"/>
      <c r="D788" s="519"/>
      <c r="E788" s="410"/>
      <c r="F788" s="313"/>
      <c r="G788" s="256"/>
      <c r="H788" s="313"/>
      <c r="I788" s="456"/>
      <c r="J788" s="271" t="b">
        <f>Age_Sex22[[#This Row],[Total Spending After Applying Truncation at the Member Level]]+Age_Sex22[[#This Row],[Total Dollars Excluded from Spending After Applying Truncation at the Member Level]]=Age_Sex22[[#This Row],[Total Spending before Truncation is Applied]]</f>
        <v>1</v>
      </c>
    </row>
    <row r="789" spans="1:10" x14ac:dyDescent="0.25">
      <c r="A789" s="386"/>
      <c r="B789" s="310"/>
      <c r="C789" s="311"/>
      <c r="D789" s="518"/>
      <c r="E789" s="409"/>
      <c r="F789" s="312"/>
      <c r="G789" s="522"/>
      <c r="H789" s="312"/>
      <c r="I789" s="455"/>
      <c r="J789" s="271" t="b">
        <f>Age_Sex22[[#This Row],[Total Spending After Applying Truncation at the Member Level]]+Age_Sex22[[#This Row],[Total Dollars Excluded from Spending After Applying Truncation at the Member Level]]=Age_Sex22[[#This Row],[Total Spending before Truncation is Applied]]</f>
        <v>1</v>
      </c>
    </row>
    <row r="790" spans="1:10" x14ac:dyDescent="0.25">
      <c r="A790" s="389"/>
      <c r="B790" s="4"/>
      <c r="C790" s="16"/>
      <c r="D790" s="519"/>
      <c r="E790" s="410"/>
      <c r="F790" s="313"/>
      <c r="G790" s="256"/>
      <c r="H790" s="313"/>
      <c r="I790" s="456"/>
      <c r="J790" s="271" t="b">
        <f>Age_Sex22[[#This Row],[Total Spending After Applying Truncation at the Member Level]]+Age_Sex22[[#This Row],[Total Dollars Excluded from Spending After Applying Truncation at the Member Level]]=Age_Sex22[[#This Row],[Total Spending before Truncation is Applied]]</f>
        <v>1</v>
      </c>
    </row>
    <row r="791" spans="1:10" x14ac:dyDescent="0.25">
      <c r="A791" s="386"/>
      <c r="B791" s="310"/>
      <c r="C791" s="311"/>
      <c r="D791" s="518"/>
      <c r="E791" s="409"/>
      <c r="F791" s="312"/>
      <c r="G791" s="522"/>
      <c r="H791" s="312"/>
      <c r="I791" s="455"/>
      <c r="J791" s="271" t="b">
        <f>Age_Sex22[[#This Row],[Total Spending After Applying Truncation at the Member Level]]+Age_Sex22[[#This Row],[Total Dollars Excluded from Spending After Applying Truncation at the Member Level]]=Age_Sex22[[#This Row],[Total Spending before Truncation is Applied]]</f>
        <v>1</v>
      </c>
    </row>
    <row r="792" spans="1:10" x14ac:dyDescent="0.25">
      <c r="A792" s="389"/>
      <c r="B792" s="4"/>
      <c r="C792" s="16"/>
      <c r="D792" s="519"/>
      <c r="E792" s="410"/>
      <c r="F792" s="313"/>
      <c r="G792" s="256"/>
      <c r="H792" s="313"/>
      <c r="I792" s="456"/>
      <c r="J792" s="271" t="b">
        <f>Age_Sex22[[#This Row],[Total Spending After Applying Truncation at the Member Level]]+Age_Sex22[[#This Row],[Total Dollars Excluded from Spending After Applying Truncation at the Member Level]]=Age_Sex22[[#This Row],[Total Spending before Truncation is Applied]]</f>
        <v>1</v>
      </c>
    </row>
    <row r="793" spans="1:10" x14ac:dyDescent="0.25">
      <c r="A793" s="386"/>
      <c r="B793" s="310"/>
      <c r="C793" s="311"/>
      <c r="D793" s="518"/>
      <c r="E793" s="409"/>
      <c r="F793" s="312"/>
      <c r="G793" s="522"/>
      <c r="H793" s="312"/>
      <c r="I793" s="455"/>
      <c r="J793" s="271" t="b">
        <f>Age_Sex22[[#This Row],[Total Spending After Applying Truncation at the Member Level]]+Age_Sex22[[#This Row],[Total Dollars Excluded from Spending After Applying Truncation at the Member Level]]=Age_Sex22[[#This Row],[Total Spending before Truncation is Applied]]</f>
        <v>1</v>
      </c>
    </row>
    <row r="794" spans="1:10" x14ac:dyDescent="0.25">
      <c r="A794" s="389"/>
      <c r="B794" s="4"/>
      <c r="C794" s="16"/>
      <c r="D794" s="519"/>
      <c r="E794" s="410"/>
      <c r="F794" s="313"/>
      <c r="G794" s="256"/>
      <c r="H794" s="313"/>
      <c r="I794" s="456"/>
      <c r="J794" s="271" t="b">
        <f>Age_Sex22[[#This Row],[Total Spending After Applying Truncation at the Member Level]]+Age_Sex22[[#This Row],[Total Dollars Excluded from Spending After Applying Truncation at the Member Level]]=Age_Sex22[[#This Row],[Total Spending before Truncation is Applied]]</f>
        <v>1</v>
      </c>
    </row>
    <row r="795" spans="1:10" x14ac:dyDescent="0.25">
      <c r="A795" s="386"/>
      <c r="B795" s="310"/>
      <c r="C795" s="311"/>
      <c r="D795" s="518"/>
      <c r="E795" s="409"/>
      <c r="F795" s="312"/>
      <c r="G795" s="522"/>
      <c r="H795" s="312"/>
      <c r="I795" s="455"/>
      <c r="J795" s="271" t="b">
        <f>Age_Sex22[[#This Row],[Total Spending After Applying Truncation at the Member Level]]+Age_Sex22[[#This Row],[Total Dollars Excluded from Spending After Applying Truncation at the Member Level]]=Age_Sex22[[#This Row],[Total Spending before Truncation is Applied]]</f>
        <v>1</v>
      </c>
    </row>
    <row r="796" spans="1:10" x14ac:dyDescent="0.25">
      <c r="A796" s="389"/>
      <c r="B796" s="4"/>
      <c r="C796" s="16"/>
      <c r="D796" s="519"/>
      <c r="E796" s="410"/>
      <c r="F796" s="313"/>
      <c r="G796" s="256"/>
      <c r="H796" s="313"/>
      <c r="I796" s="456"/>
      <c r="J796" s="271" t="b">
        <f>Age_Sex22[[#This Row],[Total Spending After Applying Truncation at the Member Level]]+Age_Sex22[[#This Row],[Total Dollars Excluded from Spending After Applying Truncation at the Member Level]]=Age_Sex22[[#This Row],[Total Spending before Truncation is Applied]]</f>
        <v>1</v>
      </c>
    </row>
    <row r="797" spans="1:10" x14ac:dyDescent="0.25">
      <c r="A797" s="386"/>
      <c r="B797" s="310"/>
      <c r="C797" s="311"/>
      <c r="D797" s="518"/>
      <c r="E797" s="409"/>
      <c r="F797" s="312"/>
      <c r="G797" s="522"/>
      <c r="H797" s="312"/>
      <c r="I797" s="455"/>
      <c r="J797" s="271" t="b">
        <f>Age_Sex22[[#This Row],[Total Spending After Applying Truncation at the Member Level]]+Age_Sex22[[#This Row],[Total Dollars Excluded from Spending After Applying Truncation at the Member Level]]=Age_Sex22[[#This Row],[Total Spending before Truncation is Applied]]</f>
        <v>1</v>
      </c>
    </row>
    <row r="798" spans="1:10" x14ac:dyDescent="0.25">
      <c r="A798" s="389"/>
      <c r="B798" s="4"/>
      <c r="C798" s="16"/>
      <c r="D798" s="519"/>
      <c r="E798" s="410"/>
      <c r="F798" s="313"/>
      <c r="G798" s="256"/>
      <c r="H798" s="313"/>
      <c r="I798" s="456"/>
      <c r="J798" s="271" t="b">
        <f>Age_Sex22[[#This Row],[Total Spending After Applying Truncation at the Member Level]]+Age_Sex22[[#This Row],[Total Dollars Excluded from Spending After Applying Truncation at the Member Level]]=Age_Sex22[[#This Row],[Total Spending before Truncation is Applied]]</f>
        <v>1</v>
      </c>
    </row>
    <row r="799" spans="1:10" x14ac:dyDescent="0.25">
      <c r="A799" s="386"/>
      <c r="B799" s="310"/>
      <c r="C799" s="311"/>
      <c r="D799" s="518"/>
      <c r="E799" s="409"/>
      <c r="F799" s="312"/>
      <c r="G799" s="522"/>
      <c r="H799" s="312"/>
      <c r="I799" s="455"/>
      <c r="J799" s="271" t="b">
        <f>Age_Sex22[[#This Row],[Total Spending After Applying Truncation at the Member Level]]+Age_Sex22[[#This Row],[Total Dollars Excluded from Spending After Applying Truncation at the Member Level]]=Age_Sex22[[#This Row],[Total Spending before Truncation is Applied]]</f>
        <v>1</v>
      </c>
    </row>
    <row r="800" spans="1:10" x14ac:dyDescent="0.25">
      <c r="A800" s="389"/>
      <c r="B800" s="4"/>
      <c r="C800" s="16"/>
      <c r="D800" s="519"/>
      <c r="E800" s="410"/>
      <c r="F800" s="313"/>
      <c r="G800" s="256"/>
      <c r="H800" s="313"/>
      <c r="I800" s="456"/>
      <c r="J800" s="271" t="b">
        <f>Age_Sex22[[#This Row],[Total Spending After Applying Truncation at the Member Level]]+Age_Sex22[[#This Row],[Total Dollars Excluded from Spending After Applying Truncation at the Member Level]]=Age_Sex22[[#This Row],[Total Spending before Truncation is Applied]]</f>
        <v>1</v>
      </c>
    </row>
    <row r="801" spans="1:10" x14ac:dyDescent="0.25">
      <c r="A801" s="386"/>
      <c r="B801" s="310"/>
      <c r="C801" s="311"/>
      <c r="D801" s="518"/>
      <c r="E801" s="409"/>
      <c r="F801" s="312"/>
      <c r="G801" s="522"/>
      <c r="H801" s="312"/>
      <c r="I801" s="455"/>
      <c r="J801" s="271" t="b">
        <f>Age_Sex22[[#This Row],[Total Spending After Applying Truncation at the Member Level]]+Age_Sex22[[#This Row],[Total Dollars Excluded from Spending After Applying Truncation at the Member Level]]=Age_Sex22[[#This Row],[Total Spending before Truncation is Applied]]</f>
        <v>1</v>
      </c>
    </row>
    <row r="802" spans="1:10" x14ac:dyDescent="0.25">
      <c r="A802" s="389"/>
      <c r="B802" s="4"/>
      <c r="C802" s="16"/>
      <c r="D802" s="519"/>
      <c r="E802" s="410"/>
      <c r="F802" s="313"/>
      <c r="G802" s="256"/>
      <c r="H802" s="313"/>
      <c r="I802" s="456"/>
      <c r="J802" s="271" t="b">
        <f>Age_Sex22[[#This Row],[Total Spending After Applying Truncation at the Member Level]]+Age_Sex22[[#This Row],[Total Dollars Excluded from Spending After Applying Truncation at the Member Level]]=Age_Sex22[[#This Row],[Total Spending before Truncation is Applied]]</f>
        <v>1</v>
      </c>
    </row>
    <row r="803" spans="1:10" x14ac:dyDescent="0.25">
      <c r="A803" s="386"/>
      <c r="B803" s="310"/>
      <c r="C803" s="311"/>
      <c r="D803" s="518"/>
      <c r="E803" s="409"/>
      <c r="F803" s="312"/>
      <c r="G803" s="522"/>
      <c r="H803" s="312"/>
      <c r="I803" s="455"/>
      <c r="J803" s="271" t="b">
        <f>Age_Sex22[[#This Row],[Total Spending After Applying Truncation at the Member Level]]+Age_Sex22[[#This Row],[Total Dollars Excluded from Spending After Applying Truncation at the Member Level]]=Age_Sex22[[#This Row],[Total Spending before Truncation is Applied]]</f>
        <v>1</v>
      </c>
    </row>
    <row r="804" spans="1:10" x14ac:dyDescent="0.25">
      <c r="A804" s="389"/>
      <c r="B804" s="4"/>
      <c r="C804" s="16"/>
      <c r="D804" s="519"/>
      <c r="E804" s="410"/>
      <c r="F804" s="313"/>
      <c r="G804" s="256"/>
      <c r="H804" s="313"/>
      <c r="I804" s="456"/>
      <c r="J804" s="271" t="b">
        <f>Age_Sex22[[#This Row],[Total Spending After Applying Truncation at the Member Level]]+Age_Sex22[[#This Row],[Total Dollars Excluded from Spending After Applying Truncation at the Member Level]]=Age_Sex22[[#This Row],[Total Spending before Truncation is Applied]]</f>
        <v>1</v>
      </c>
    </row>
    <row r="805" spans="1:10" x14ac:dyDescent="0.25">
      <c r="A805" s="386"/>
      <c r="B805" s="310"/>
      <c r="C805" s="311"/>
      <c r="D805" s="518"/>
      <c r="E805" s="409"/>
      <c r="F805" s="312"/>
      <c r="G805" s="522"/>
      <c r="H805" s="312"/>
      <c r="I805" s="455"/>
      <c r="J805" s="271" t="b">
        <f>Age_Sex22[[#This Row],[Total Spending After Applying Truncation at the Member Level]]+Age_Sex22[[#This Row],[Total Dollars Excluded from Spending After Applying Truncation at the Member Level]]=Age_Sex22[[#This Row],[Total Spending before Truncation is Applied]]</f>
        <v>1</v>
      </c>
    </row>
    <row r="806" spans="1:10" x14ac:dyDescent="0.25">
      <c r="A806" s="389"/>
      <c r="B806" s="4"/>
      <c r="C806" s="16"/>
      <c r="D806" s="519"/>
      <c r="E806" s="410"/>
      <c r="F806" s="313"/>
      <c r="G806" s="256"/>
      <c r="H806" s="313"/>
      <c r="I806" s="456"/>
      <c r="J806" s="271" t="b">
        <f>Age_Sex22[[#This Row],[Total Spending After Applying Truncation at the Member Level]]+Age_Sex22[[#This Row],[Total Dollars Excluded from Spending After Applying Truncation at the Member Level]]=Age_Sex22[[#This Row],[Total Spending before Truncation is Applied]]</f>
        <v>1</v>
      </c>
    </row>
    <row r="807" spans="1:10" x14ac:dyDescent="0.25">
      <c r="A807" s="386"/>
      <c r="B807" s="310"/>
      <c r="C807" s="311"/>
      <c r="D807" s="518"/>
      <c r="E807" s="409"/>
      <c r="F807" s="312"/>
      <c r="G807" s="522"/>
      <c r="H807" s="312"/>
      <c r="I807" s="455"/>
      <c r="J807" s="271" t="b">
        <f>Age_Sex22[[#This Row],[Total Spending After Applying Truncation at the Member Level]]+Age_Sex22[[#This Row],[Total Dollars Excluded from Spending After Applying Truncation at the Member Level]]=Age_Sex22[[#This Row],[Total Spending before Truncation is Applied]]</f>
        <v>1</v>
      </c>
    </row>
    <row r="808" spans="1:10" x14ac:dyDescent="0.25">
      <c r="A808" s="389"/>
      <c r="B808" s="4"/>
      <c r="C808" s="16"/>
      <c r="D808" s="519"/>
      <c r="E808" s="410"/>
      <c r="F808" s="313"/>
      <c r="G808" s="256"/>
      <c r="H808" s="313"/>
      <c r="I808" s="456"/>
      <c r="J808" s="271" t="b">
        <f>Age_Sex22[[#This Row],[Total Spending After Applying Truncation at the Member Level]]+Age_Sex22[[#This Row],[Total Dollars Excluded from Spending After Applying Truncation at the Member Level]]=Age_Sex22[[#This Row],[Total Spending before Truncation is Applied]]</f>
        <v>1</v>
      </c>
    </row>
    <row r="809" spans="1:10" x14ac:dyDescent="0.25">
      <c r="A809" s="386"/>
      <c r="B809" s="310"/>
      <c r="C809" s="311"/>
      <c r="D809" s="518"/>
      <c r="E809" s="409"/>
      <c r="F809" s="312"/>
      <c r="G809" s="522"/>
      <c r="H809" s="312"/>
      <c r="I809" s="455"/>
      <c r="J809" s="271" t="b">
        <f>Age_Sex22[[#This Row],[Total Spending After Applying Truncation at the Member Level]]+Age_Sex22[[#This Row],[Total Dollars Excluded from Spending After Applying Truncation at the Member Level]]=Age_Sex22[[#This Row],[Total Spending before Truncation is Applied]]</f>
        <v>1</v>
      </c>
    </row>
    <row r="810" spans="1:10" x14ac:dyDescent="0.25">
      <c r="A810" s="389"/>
      <c r="B810" s="4"/>
      <c r="C810" s="16"/>
      <c r="D810" s="519"/>
      <c r="E810" s="410"/>
      <c r="F810" s="313"/>
      <c r="G810" s="256"/>
      <c r="H810" s="313"/>
      <c r="I810" s="456"/>
      <c r="J810" s="271" t="b">
        <f>Age_Sex22[[#This Row],[Total Spending After Applying Truncation at the Member Level]]+Age_Sex22[[#This Row],[Total Dollars Excluded from Spending After Applying Truncation at the Member Level]]=Age_Sex22[[#This Row],[Total Spending before Truncation is Applied]]</f>
        <v>1</v>
      </c>
    </row>
    <row r="811" spans="1:10" x14ac:dyDescent="0.25">
      <c r="A811" s="386"/>
      <c r="B811" s="310"/>
      <c r="C811" s="311"/>
      <c r="D811" s="518"/>
      <c r="E811" s="409"/>
      <c r="F811" s="312"/>
      <c r="G811" s="522"/>
      <c r="H811" s="312"/>
      <c r="I811" s="455"/>
      <c r="J811" s="271" t="b">
        <f>Age_Sex22[[#This Row],[Total Spending After Applying Truncation at the Member Level]]+Age_Sex22[[#This Row],[Total Dollars Excluded from Spending After Applying Truncation at the Member Level]]=Age_Sex22[[#This Row],[Total Spending before Truncation is Applied]]</f>
        <v>1</v>
      </c>
    </row>
    <row r="812" spans="1:10" x14ac:dyDescent="0.25">
      <c r="A812" s="389"/>
      <c r="B812" s="4"/>
      <c r="C812" s="16"/>
      <c r="D812" s="519"/>
      <c r="E812" s="410"/>
      <c r="F812" s="313"/>
      <c r="G812" s="256"/>
      <c r="H812" s="313"/>
      <c r="I812" s="456"/>
      <c r="J812" s="271" t="b">
        <f>Age_Sex22[[#This Row],[Total Spending After Applying Truncation at the Member Level]]+Age_Sex22[[#This Row],[Total Dollars Excluded from Spending After Applying Truncation at the Member Level]]=Age_Sex22[[#This Row],[Total Spending before Truncation is Applied]]</f>
        <v>1</v>
      </c>
    </row>
    <row r="813" spans="1:10" x14ac:dyDescent="0.25">
      <c r="A813" s="386"/>
      <c r="B813" s="310"/>
      <c r="C813" s="311"/>
      <c r="D813" s="518"/>
      <c r="E813" s="409"/>
      <c r="F813" s="312"/>
      <c r="G813" s="522"/>
      <c r="H813" s="312"/>
      <c r="I813" s="455"/>
      <c r="J813" s="271" t="b">
        <f>Age_Sex22[[#This Row],[Total Spending After Applying Truncation at the Member Level]]+Age_Sex22[[#This Row],[Total Dollars Excluded from Spending After Applying Truncation at the Member Level]]=Age_Sex22[[#This Row],[Total Spending before Truncation is Applied]]</f>
        <v>1</v>
      </c>
    </row>
    <row r="814" spans="1:10" x14ac:dyDescent="0.25">
      <c r="A814" s="389"/>
      <c r="B814" s="4"/>
      <c r="C814" s="16"/>
      <c r="D814" s="519"/>
      <c r="E814" s="410"/>
      <c r="F814" s="313"/>
      <c r="G814" s="256"/>
      <c r="H814" s="313"/>
      <c r="I814" s="456"/>
      <c r="J814" s="271" t="b">
        <f>Age_Sex22[[#This Row],[Total Spending After Applying Truncation at the Member Level]]+Age_Sex22[[#This Row],[Total Dollars Excluded from Spending After Applying Truncation at the Member Level]]=Age_Sex22[[#This Row],[Total Spending before Truncation is Applied]]</f>
        <v>1</v>
      </c>
    </row>
    <row r="815" spans="1:10" x14ac:dyDescent="0.25">
      <c r="A815" s="386"/>
      <c r="B815" s="310"/>
      <c r="C815" s="311"/>
      <c r="D815" s="518"/>
      <c r="E815" s="409"/>
      <c r="F815" s="312"/>
      <c r="G815" s="522"/>
      <c r="H815" s="312"/>
      <c r="I815" s="455"/>
      <c r="J815" s="271" t="b">
        <f>Age_Sex22[[#This Row],[Total Spending After Applying Truncation at the Member Level]]+Age_Sex22[[#This Row],[Total Dollars Excluded from Spending After Applying Truncation at the Member Level]]=Age_Sex22[[#This Row],[Total Spending before Truncation is Applied]]</f>
        <v>1</v>
      </c>
    </row>
    <row r="816" spans="1:10" x14ac:dyDescent="0.25">
      <c r="A816" s="389"/>
      <c r="B816" s="4"/>
      <c r="C816" s="16"/>
      <c r="D816" s="519"/>
      <c r="E816" s="410"/>
      <c r="F816" s="313"/>
      <c r="G816" s="256"/>
      <c r="H816" s="313"/>
      <c r="I816" s="456"/>
      <c r="J816" s="271" t="b">
        <f>Age_Sex22[[#This Row],[Total Spending After Applying Truncation at the Member Level]]+Age_Sex22[[#This Row],[Total Dollars Excluded from Spending After Applying Truncation at the Member Level]]=Age_Sex22[[#This Row],[Total Spending before Truncation is Applied]]</f>
        <v>1</v>
      </c>
    </row>
    <row r="817" spans="1:10" x14ac:dyDescent="0.25">
      <c r="A817" s="386"/>
      <c r="B817" s="310"/>
      <c r="C817" s="311"/>
      <c r="D817" s="518"/>
      <c r="E817" s="409"/>
      <c r="F817" s="312"/>
      <c r="G817" s="522"/>
      <c r="H817" s="312"/>
      <c r="I817" s="455"/>
      <c r="J817" s="271" t="b">
        <f>Age_Sex22[[#This Row],[Total Spending After Applying Truncation at the Member Level]]+Age_Sex22[[#This Row],[Total Dollars Excluded from Spending After Applying Truncation at the Member Level]]=Age_Sex22[[#This Row],[Total Spending before Truncation is Applied]]</f>
        <v>1</v>
      </c>
    </row>
    <row r="818" spans="1:10" x14ac:dyDescent="0.25">
      <c r="A818" s="389"/>
      <c r="B818" s="4"/>
      <c r="C818" s="16"/>
      <c r="D818" s="519"/>
      <c r="E818" s="410"/>
      <c r="F818" s="313"/>
      <c r="G818" s="256"/>
      <c r="H818" s="313"/>
      <c r="I818" s="456"/>
      <c r="J818" s="271" t="b">
        <f>Age_Sex22[[#This Row],[Total Spending After Applying Truncation at the Member Level]]+Age_Sex22[[#This Row],[Total Dollars Excluded from Spending After Applying Truncation at the Member Level]]=Age_Sex22[[#This Row],[Total Spending before Truncation is Applied]]</f>
        <v>1</v>
      </c>
    </row>
    <row r="819" spans="1:10" x14ac:dyDescent="0.25">
      <c r="A819" s="386"/>
      <c r="B819" s="310"/>
      <c r="C819" s="311"/>
      <c r="D819" s="518"/>
      <c r="E819" s="409"/>
      <c r="F819" s="312"/>
      <c r="G819" s="522"/>
      <c r="H819" s="312"/>
      <c r="I819" s="455"/>
      <c r="J819" s="271" t="b">
        <f>Age_Sex22[[#This Row],[Total Spending After Applying Truncation at the Member Level]]+Age_Sex22[[#This Row],[Total Dollars Excluded from Spending After Applying Truncation at the Member Level]]=Age_Sex22[[#This Row],[Total Spending before Truncation is Applied]]</f>
        <v>1</v>
      </c>
    </row>
    <row r="820" spans="1:10" x14ac:dyDescent="0.25">
      <c r="A820" s="389"/>
      <c r="B820" s="4"/>
      <c r="C820" s="16"/>
      <c r="D820" s="519"/>
      <c r="E820" s="410"/>
      <c r="F820" s="313"/>
      <c r="G820" s="256"/>
      <c r="H820" s="313"/>
      <c r="I820" s="456"/>
      <c r="J820" s="271" t="b">
        <f>Age_Sex22[[#This Row],[Total Spending After Applying Truncation at the Member Level]]+Age_Sex22[[#This Row],[Total Dollars Excluded from Spending After Applying Truncation at the Member Level]]=Age_Sex22[[#This Row],[Total Spending before Truncation is Applied]]</f>
        <v>1</v>
      </c>
    </row>
    <row r="821" spans="1:10" x14ac:dyDescent="0.25">
      <c r="A821" s="386"/>
      <c r="B821" s="310"/>
      <c r="C821" s="311"/>
      <c r="D821" s="518"/>
      <c r="E821" s="409"/>
      <c r="F821" s="312"/>
      <c r="G821" s="522"/>
      <c r="H821" s="312"/>
      <c r="I821" s="455"/>
      <c r="J821" s="271" t="b">
        <f>Age_Sex22[[#This Row],[Total Spending After Applying Truncation at the Member Level]]+Age_Sex22[[#This Row],[Total Dollars Excluded from Spending After Applying Truncation at the Member Level]]=Age_Sex22[[#This Row],[Total Spending before Truncation is Applied]]</f>
        <v>1</v>
      </c>
    </row>
    <row r="822" spans="1:10" x14ac:dyDescent="0.25">
      <c r="A822" s="389"/>
      <c r="B822" s="4"/>
      <c r="C822" s="16"/>
      <c r="D822" s="519"/>
      <c r="E822" s="410"/>
      <c r="F822" s="313"/>
      <c r="G822" s="256"/>
      <c r="H822" s="313"/>
      <c r="I822" s="456"/>
      <c r="J822" s="271" t="b">
        <f>Age_Sex22[[#This Row],[Total Spending After Applying Truncation at the Member Level]]+Age_Sex22[[#This Row],[Total Dollars Excluded from Spending After Applying Truncation at the Member Level]]=Age_Sex22[[#This Row],[Total Spending before Truncation is Applied]]</f>
        <v>1</v>
      </c>
    </row>
    <row r="823" spans="1:10" x14ac:dyDescent="0.25">
      <c r="A823" s="386"/>
      <c r="B823" s="310"/>
      <c r="C823" s="311"/>
      <c r="D823" s="518"/>
      <c r="E823" s="409"/>
      <c r="F823" s="312"/>
      <c r="G823" s="522"/>
      <c r="H823" s="312"/>
      <c r="I823" s="455"/>
      <c r="J823" s="271" t="b">
        <f>Age_Sex22[[#This Row],[Total Spending After Applying Truncation at the Member Level]]+Age_Sex22[[#This Row],[Total Dollars Excluded from Spending After Applying Truncation at the Member Level]]=Age_Sex22[[#This Row],[Total Spending before Truncation is Applied]]</f>
        <v>1</v>
      </c>
    </row>
    <row r="824" spans="1:10" x14ac:dyDescent="0.25">
      <c r="A824" s="389"/>
      <c r="B824" s="4"/>
      <c r="C824" s="16"/>
      <c r="D824" s="519"/>
      <c r="E824" s="410"/>
      <c r="F824" s="313"/>
      <c r="G824" s="256"/>
      <c r="H824" s="313"/>
      <c r="I824" s="456"/>
      <c r="J824" s="271" t="b">
        <f>Age_Sex22[[#This Row],[Total Spending After Applying Truncation at the Member Level]]+Age_Sex22[[#This Row],[Total Dollars Excluded from Spending After Applying Truncation at the Member Level]]=Age_Sex22[[#This Row],[Total Spending before Truncation is Applied]]</f>
        <v>1</v>
      </c>
    </row>
    <row r="825" spans="1:10" x14ac:dyDescent="0.25">
      <c r="A825" s="386"/>
      <c r="B825" s="310"/>
      <c r="C825" s="311"/>
      <c r="D825" s="518"/>
      <c r="E825" s="409"/>
      <c r="F825" s="312"/>
      <c r="G825" s="522"/>
      <c r="H825" s="312"/>
      <c r="I825" s="455"/>
      <c r="J825" s="271" t="b">
        <f>Age_Sex22[[#This Row],[Total Spending After Applying Truncation at the Member Level]]+Age_Sex22[[#This Row],[Total Dollars Excluded from Spending After Applying Truncation at the Member Level]]=Age_Sex22[[#This Row],[Total Spending before Truncation is Applied]]</f>
        <v>1</v>
      </c>
    </row>
    <row r="826" spans="1:10" x14ac:dyDescent="0.25">
      <c r="A826" s="389"/>
      <c r="B826" s="4"/>
      <c r="C826" s="16"/>
      <c r="D826" s="519"/>
      <c r="E826" s="410"/>
      <c r="F826" s="313"/>
      <c r="G826" s="256"/>
      <c r="H826" s="313"/>
      <c r="I826" s="456"/>
      <c r="J826" s="271" t="b">
        <f>Age_Sex22[[#This Row],[Total Spending After Applying Truncation at the Member Level]]+Age_Sex22[[#This Row],[Total Dollars Excluded from Spending After Applying Truncation at the Member Level]]=Age_Sex22[[#This Row],[Total Spending before Truncation is Applied]]</f>
        <v>1</v>
      </c>
    </row>
    <row r="827" spans="1:10" x14ac:dyDescent="0.25">
      <c r="A827" s="386"/>
      <c r="B827" s="310"/>
      <c r="C827" s="311"/>
      <c r="D827" s="518"/>
      <c r="E827" s="409"/>
      <c r="F827" s="312"/>
      <c r="G827" s="522"/>
      <c r="H827" s="312"/>
      <c r="I827" s="455"/>
      <c r="J827" s="271" t="b">
        <f>Age_Sex22[[#This Row],[Total Spending After Applying Truncation at the Member Level]]+Age_Sex22[[#This Row],[Total Dollars Excluded from Spending After Applying Truncation at the Member Level]]=Age_Sex22[[#This Row],[Total Spending before Truncation is Applied]]</f>
        <v>1</v>
      </c>
    </row>
    <row r="828" spans="1:10" x14ac:dyDescent="0.25">
      <c r="A828" s="389"/>
      <c r="B828" s="4"/>
      <c r="C828" s="16"/>
      <c r="D828" s="519"/>
      <c r="E828" s="410"/>
      <c r="F828" s="313"/>
      <c r="G828" s="256"/>
      <c r="H828" s="313"/>
      <c r="I828" s="456"/>
      <c r="J828" s="271" t="b">
        <f>Age_Sex22[[#This Row],[Total Spending After Applying Truncation at the Member Level]]+Age_Sex22[[#This Row],[Total Dollars Excluded from Spending After Applying Truncation at the Member Level]]=Age_Sex22[[#This Row],[Total Spending before Truncation is Applied]]</f>
        <v>1</v>
      </c>
    </row>
    <row r="829" spans="1:10" x14ac:dyDescent="0.25">
      <c r="A829" s="386"/>
      <c r="B829" s="310"/>
      <c r="C829" s="311"/>
      <c r="D829" s="518"/>
      <c r="E829" s="409"/>
      <c r="F829" s="312"/>
      <c r="G829" s="522"/>
      <c r="H829" s="312"/>
      <c r="I829" s="455"/>
      <c r="J829" s="271" t="b">
        <f>Age_Sex22[[#This Row],[Total Spending After Applying Truncation at the Member Level]]+Age_Sex22[[#This Row],[Total Dollars Excluded from Spending After Applying Truncation at the Member Level]]=Age_Sex22[[#This Row],[Total Spending before Truncation is Applied]]</f>
        <v>1</v>
      </c>
    </row>
    <row r="830" spans="1:10" x14ac:dyDescent="0.25">
      <c r="A830" s="389"/>
      <c r="B830" s="4"/>
      <c r="C830" s="16"/>
      <c r="D830" s="519"/>
      <c r="E830" s="410"/>
      <c r="F830" s="313"/>
      <c r="G830" s="256"/>
      <c r="H830" s="313"/>
      <c r="I830" s="456"/>
      <c r="J830" s="271" t="b">
        <f>Age_Sex22[[#This Row],[Total Spending After Applying Truncation at the Member Level]]+Age_Sex22[[#This Row],[Total Dollars Excluded from Spending After Applying Truncation at the Member Level]]=Age_Sex22[[#This Row],[Total Spending before Truncation is Applied]]</f>
        <v>1</v>
      </c>
    </row>
    <row r="831" spans="1:10" x14ac:dyDescent="0.25">
      <c r="A831" s="386"/>
      <c r="B831" s="310"/>
      <c r="C831" s="311"/>
      <c r="D831" s="518"/>
      <c r="E831" s="409"/>
      <c r="F831" s="312"/>
      <c r="G831" s="522"/>
      <c r="H831" s="312"/>
      <c r="I831" s="455"/>
      <c r="J831" s="271" t="b">
        <f>Age_Sex22[[#This Row],[Total Spending After Applying Truncation at the Member Level]]+Age_Sex22[[#This Row],[Total Dollars Excluded from Spending After Applying Truncation at the Member Level]]=Age_Sex22[[#This Row],[Total Spending before Truncation is Applied]]</f>
        <v>1</v>
      </c>
    </row>
    <row r="832" spans="1:10" x14ac:dyDescent="0.25">
      <c r="A832" s="389"/>
      <c r="B832" s="4"/>
      <c r="C832" s="16"/>
      <c r="D832" s="519"/>
      <c r="E832" s="410"/>
      <c r="F832" s="313"/>
      <c r="G832" s="256"/>
      <c r="H832" s="313"/>
      <c r="I832" s="456"/>
      <c r="J832" s="271" t="b">
        <f>Age_Sex22[[#This Row],[Total Spending After Applying Truncation at the Member Level]]+Age_Sex22[[#This Row],[Total Dollars Excluded from Spending After Applying Truncation at the Member Level]]=Age_Sex22[[#This Row],[Total Spending before Truncation is Applied]]</f>
        <v>1</v>
      </c>
    </row>
    <row r="833" spans="1:10" x14ac:dyDescent="0.25">
      <c r="A833" s="386"/>
      <c r="B833" s="310"/>
      <c r="C833" s="311"/>
      <c r="D833" s="518"/>
      <c r="E833" s="409"/>
      <c r="F833" s="312"/>
      <c r="G833" s="522"/>
      <c r="H833" s="312"/>
      <c r="I833" s="455"/>
      <c r="J833" s="271" t="b">
        <f>Age_Sex22[[#This Row],[Total Spending After Applying Truncation at the Member Level]]+Age_Sex22[[#This Row],[Total Dollars Excluded from Spending After Applying Truncation at the Member Level]]=Age_Sex22[[#This Row],[Total Spending before Truncation is Applied]]</f>
        <v>1</v>
      </c>
    </row>
    <row r="834" spans="1:10" x14ac:dyDescent="0.25">
      <c r="A834" s="389"/>
      <c r="B834" s="4"/>
      <c r="C834" s="16"/>
      <c r="D834" s="519"/>
      <c r="E834" s="410"/>
      <c r="F834" s="313"/>
      <c r="G834" s="256"/>
      <c r="H834" s="313"/>
      <c r="I834" s="456"/>
      <c r="J834" s="271" t="b">
        <f>Age_Sex22[[#This Row],[Total Spending After Applying Truncation at the Member Level]]+Age_Sex22[[#This Row],[Total Dollars Excluded from Spending After Applying Truncation at the Member Level]]=Age_Sex22[[#This Row],[Total Spending before Truncation is Applied]]</f>
        <v>1</v>
      </c>
    </row>
    <row r="835" spans="1:10" x14ac:dyDescent="0.25">
      <c r="A835" s="386"/>
      <c r="B835" s="310"/>
      <c r="C835" s="311"/>
      <c r="D835" s="518"/>
      <c r="E835" s="409"/>
      <c r="F835" s="312"/>
      <c r="G835" s="522"/>
      <c r="H835" s="312"/>
      <c r="I835" s="455"/>
      <c r="J835" s="271" t="b">
        <f>Age_Sex22[[#This Row],[Total Spending After Applying Truncation at the Member Level]]+Age_Sex22[[#This Row],[Total Dollars Excluded from Spending After Applying Truncation at the Member Level]]=Age_Sex22[[#This Row],[Total Spending before Truncation is Applied]]</f>
        <v>1</v>
      </c>
    </row>
    <row r="836" spans="1:10" x14ac:dyDescent="0.25">
      <c r="A836" s="389"/>
      <c r="B836" s="4"/>
      <c r="C836" s="16"/>
      <c r="D836" s="519"/>
      <c r="E836" s="410"/>
      <c r="F836" s="313"/>
      <c r="G836" s="256"/>
      <c r="H836" s="313"/>
      <c r="I836" s="456"/>
      <c r="J836" s="271" t="b">
        <f>Age_Sex22[[#This Row],[Total Spending After Applying Truncation at the Member Level]]+Age_Sex22[[#This Row],[Total Dollars Excluded from Spending After Applying Truncation at the Member Level]]=Age_Sex22[[#This Row],[Total Spending before Truncation is Applied]]</f>
        <v>1</v>
      </c>
    </row>
    <row r="837" spans="1:10" x14ac:dyDescent="0.25">
      <c r="A837" s="386"/>
      <c r="B837" s="310"/>
      <c r="C837" s="311"/>
      <c r="D837" s="518"/>
      <c r="E837" s="409"/>
      <c r="F837" s="312"/>
      <c r="G837" s="522"/>
      <c r="H837" s="312"/>
      <c r="I837" s="455"/>
      <c r="J837" s="271" t="b">
        <f>Age_Sex22[[#This Row],[Total Spending After Applying Truncation at the Member Level]]+Age_Sex22[[#This Row],[Total Dollars Excluded from Spending After Applying Truncation at the Member Level]]=Age_Sex22[[#This Row],[Total Spending before Truncation is Applied]]</f>
        <v>1</v>
      </c>
    </row>
    <row r="838" spans="1:10" x14ac:dyDescent="0.25">
      <c r="A838" s="389"/>
      <c r="B838" s="4"/>
      <c r="C838" s="16"/>
      <c r="D838" s="519"/>
      <c r="E838" s="410"/>
      <c r="F838" s="313"/>
      <c r="G838" s="256"/>
      <c r="H838" s="313"/>
      <c r="I838" s="456"/>
      <c r="J838" s="271" t="b">
        <f>Age_Sex22[[#This Row],[Total Spending After Applying Truncation at the Member Level]]+Age_Sex22[[#This Row],[Total Dollars Excluded from Spending After Applying Truncation at the Member Level]]=Age_Sex22[[#This Row],[Total Spending before Truncation is Applied]]</f>
        <v>1</v>
      </c>
    </row>
    <row r="839" spans="1:10" x14ac:dyDescent="0.25">
      <c r="A839" s="386"/>
      <c r="B839" s="310"/>
      <c r="C839" s="311"/>
      <c r="D839" s="518"/>
      <c r="E839" s="409"/>
      <c r="F839" s="312"/>
      <c r="G839" s="522"/>
      <c r="H839" s="312"/>
      <c r="I839" s="455"/>
      <c r="J839" s="271" t="b">
        <f>Age_Sex22[[#This Row],[Total Spending After Applying Truncation at the Member Level]]+Age_Sex22[[#This Row],[Total Dollars Excluded from Spending After Applying Truncation at the Member Level]]=Age_Sex22[[#This Row],[Total Spending before Truncation is Applied]]</f>
        <v>1</v>
      </c>
    </row>
    <row r="840" spans="1:10" x14ac:dyDescent="0.25">
      <c r="A840" s="389"/>
      <c r="B840" s="4"/>
      <c r="C840" s="16"/>
      <c r="D840" s="519"/>
      <c r="E840" s="410"/>
      <c r="F840" s="313"/>
      <c r="G840" s="256"/>
      <c r="H840" s="313"/>
      <c r="I840" s="456"/>
      <c r="J840" s="271" t="b">
        <f>Age_Sex22[[#This Row],[Total Spending After Applying Truncation at the Member Level]]+Age_Sex22[[#This Row],[Total Dollars Excluded from Spending After Applying Truncation at the Member Level]]=Age_Sex22[[#This Row],[Total Spending before Truncation is Applied]]</f>
        <v>1</v>
      </c>
    </row>
    <row r="841" spans="1:10" x14ac:dyDescent="0.25">
      <c r="A841" s="386"/>
      <c r="B841" s="310"/>
      <c r="C841" s="311"/>
      <c r="D841" s="518"/>
      <c r="E841" s="409"/>
      <c r="F841" s="312"/>
      <c r="G841" s="522"/>
      <c r="H841" s="312"/>
      <c r="I841" s="455"/>
      <c r="J841" s="271" t="b">
        <f>Age_Sex22[[#This Row],[Total Spending After Applying Truncation at the Member Level]]+Age_Sex22[[#This Row],[Total Dollars Excluded from Spending After Applying Truncation at the Member Level]]=Age_Sex22[[#This Row],[Total Spending before Truncation is Applied]]</f>
        <v>1</v>
      </c>
    </row>
    <row r="842" spans="1:10" x14ac:dyDescent="0.25">
      <c r="A842" s="389"/>
      <c r="B842" s="4"/>
      <c r="C842" s="16"/>
      <c r="D842" s="519"/>
      <c r="E842" s="410"/>
      <c r="F842" s="313"/>
      <c r="G842" s="256"/>
      <c r="H842" s="313"/>
      <c r="I842" s="456"/>
      <c r="J842" s="271" t="b">
        <f>Age_Sex22[[#This Row],[Total Spending After Applying Truncation at the Member Level]]+Age_Sex22[[#This Row],[Total Dollars Excluded from Spending After Applying Truncation at the Member Level]]=Age_Sex22[[#This Row],[Total Spending before Truncation is Applied]]</f>
        <v>1</v>
      </c>
    </row>
    <row r="843" spans="1:10" x14ac:dyDescent="0.25">
      <c r="A843" s="386"/>
      <c r="B843" s="310"/>
      <c r="C843" s="311"/>
      <c r="D843" s="518"/>
      <c r="E843" s="409"/>
      <c r="F843" s="312"/>
      <c r="G843" s="522"/>
      <c r="H843" s="312"/>
      <c r="I843" s="455"/>
      <c r="J843" s="271" t="b">
        <f>Age_Sex22[[#This Row],[Total Spending After Applying Truncation at the Member Level]]+Age_Sex22[[#This Row],[Total Dollars Excluded from Spending After Applying Truncation at the Member Level]]=Age_Sex22[[#This Row],[Total Spending before Truncation is Applied]]</f>
        <v>1</v>
      </c>
    </row>
    <row r="844" spans="1:10" x14ac:dyDescent="0.25">
      <c r="A844" s="389"/>
      <c r="B844" s="4"/>
      <c r="C844" s="16"/>
      <c r="D844" s="519"/>
      <c r="E844" s="410"/>
      <c r="F844" s="313"/>
      <c r="G844" s="256"/>
      <c r="H844" s="313"/>
      <c r="I844" s="456"/>
      <c r="J844" s="271" t="b">
        <f>Age_Sex22[[#This Row],[Total Spending After Applying Truncation at the Member Level]]+Age_Sex22[[#This Row],[Total Dollars Excluded from Spending After Applying Truncation at the Member Level]]=Age_Sex22[[#This Row],[Total Spending before Truncation is Applied]]</f>
        <v>1</v>
      </c>
    </row>
    <row r="845" spans="1:10" x14ac:dyDescent="0.25">
      <c r="A845" s="386"/>
      <c r="B845" s="310"/>
      <c r="C845" s="311"/>
      <c r="D845" s="518"/>
      <c r="E845" s="409"/>
      <c r="F845" s="312"/>
      <c r="G845" s="522"/>
      <c r="H845" s="312"/>
      <c r="I845" s="455"/>
      <c r="J845" s="271" t="b">
        <f>Age_Sex22[[#This Row],[Total Spending After Applying Truncation at the Member Level]]+Age_Sex22[[#This Row],[Total Dollars Excluded from Spending After Applying Truncation at the Member Level]]=Age_Sex22[[#This Row],[Total Spending before Truncation is Applied]]</f>
        <v>1</v>
      </c>
    </row>
    <row r="846" spans="1:10" x14ac:dyDescent="0.25">
      <c r="A846" s="389"/>
      <c r="B846" s="4"/>
      <c r="C846" s="16"/>
      <c r="D846" s="519"/>
      <c r="E846" s="410"/>
      <c r="F846" s="313"/>
      <c r="G846" s="256"/>
      <c r="H846" s="313"/>
      <c r="I846" s="456"/>
      <c r="J846" s="271" t="b">
        <f>Age_Sex22[[#This Row],[Total Spending After Applying Truncation at the Member Level]]+Age_Sex22[[#This Row],[Total Dollars Excluded from Spending After Applying Truncation at the Member Level]]=Age_Sex22[[#This Row],[Total Spending before Truncation is Applied]]</f>
        <v>1</v>
      </c>
    </row>
    <row r="847" spans="1:10" x14ac:dyDescent="0.25">
      <c r="A847" s="386"/>
      <c r="B847" s="310"/>
      <c r="C847" s="311"/>
      <c r="D847" s="518"/>
      <c r="E847" s="409"/>
      <c r="F847" s="312"/>
      <c r="G847" s="522"/>
      <c r="H847" s="312"/>
      <c r="I847" s="455"/>
      <c r="J847" s="271" t="b">
        <f>Age_Sex22[[#This Row],[Total Spending After Applying Truncation at the Member Level]]+Age_Sex22[[#This Row],[Total Dollars Excluded from Spending After Applying Truncation at the Member Level]]=Age_Sex22[[#This Row],[Total Spending before Truncation is Applied]]</f>
        <v>1</v>
      </c>
    </row>
    <row r="848" spans="1:10" x14ac:dyDescent="0.25">
      <c r="A848" s="389"/>
      <c r="B848" s="4"/>
      <c r="C848" s="16"/>
      <c r="D848" s="519"/>
      <c r="E848" s="410"/>
      <c r="F848" s="313"/>
      <c r="G848" s="256"/>
      <c r="H848" s="313"/>
      <c r="I848" s="456"/>
      <c r="J848" s="271" t="b">
        <f>Age_Sex22[[#This Row],[Total Spending After Applying Truncation at the Member Level]]+Age_Sex22[[#This Row],[Total Dollars Excluded from Spending After Applying Truncation at the Member Level]]=Age_Sex22[[#This Row],[Total Spending before Truncation is Applied]]</f>
        <v>1</v>
      </c>
    </row>
    <row r="849" spans="1:10" x14ac:dyDescent="0.25">
      <c r="A849" s="386"/>
      <c r="B849" s="310"/>
      <c r="C849" s="311"/>
      <c r="D849" s="518"/>
      <c r="E849" s="409"/>
      <c r="F849" s="312"/>
      <c r="G849" s="522"/>
      <c r="H849" s="312"/>
      <c r="I849" s="455"/>
      <c r="J849" s="271" t="b">
        <f>Age_Sex22[[#This Row],[Total Spending After Applying Truncation at the Member Level]]+Age_Sex22[[#This Row],[Total Dollars Excluded from Spending After Applying Truncation at the Member Level]]=Age_Sex22[[#This Row],[Total Spending before Truncation is Applied]]</f>
        <v>1</v>
      </c>
    </row>
    <row r="850" spans="1:10" x14ac:dyDescent="0.25">
      <c r="A850" s="389"/>
      <c r="B850" s="4"/>
      <c r="C850" s="16"/>
      <c r="D850" s="519"/>
      <c r="E850" s="410"/>
      <c r="F850" s="313"/>
      <c r="G850" s="256"/>
      <c r="H850" s="313"/>
      <c r="I850" s="456"/>
      <c r="J850" s="271" t="b">
        <f>Age_Sex22[[#This Row],[Total Spending After Applying Truncation at the Member Level]]+Age_Sex22[[#This Row],[Total Dollars Excluded from Spending After Applying Truncation at the Member Level]]=Age_Sex22[[#This Row],[Total Spending before Truncation is Applied]]</f>
        <v>1</v>
      </c>
    </row>
    <row r="851" spans="1:10" x14ac:dyDescent="0.25">
      <c r="A851" s="386"/>
      <c r="B851" s="310"/>
      <c r="C851" s="311"/>
      <c r="D851" s="518"/>
      <c r="E851" s="409"/>
      <c r="F851" s="312"/>
      <c r="G851" s="522"/>
      <c r="H851" s="312"/>
      <c r="I851" s="455"/>
      <c r="J851" s="271" t="b">
        <f>Age_Sex22[[#This Row],[Total Spending After Applying Truncation at the Member Level]]+Age_Sex22[[#This Row],[Total Dollars Excluded from Spending After Applying Truncation at the Member Level]]=Age_Sex22[[#This Row],[Total Spending before Truncation is Applied]]</f>
        <v>1</v>
      </c>
    </row>
    <row r="852" spans="1:10" x14ac:dyDescent="0.25">
      <c r="A852" s="389"/>
      <c r="B852" s="4"/>
      <c r="C852" s="16"/>
      <c r="D852" s="519"/>
      <c r="E852" s="410"/>
      <c r="F852" s="313"/>
      <c r="G852" s="256"/>
      <c r="H852" s="313"/>
      <c r="I852" s="456"/>
      <c r="J852" s="271" t="b">
        <f>Age_Sex22[[#This Row],[Total Spending After Applying Truncation at the Member Level]]+Age_Sex22[[#This Row],[Total Dollars Excluded from Spending After Applying Truncation at the Member Level]]=Age_Sex22[[#This Row],[Total Spending before Truncation is Applied]]</f>
        <v>1</v>
      </c>
    </row>
    <row r="853" spans="1:10" x14ac:dyDescent="0.25">
      <c r="A853" s="386"/>
      <c r="B853" s="310"/>
      <c r="C853" s="311"/>
      <c r="D853" s="518"/>
      <c r="E853" s="409"/>
      <c r="F853" s="312"/>
      <c r="G853" s="522"/>
      <c r="H853" s="312"/>
      <c r="I853" s="455"/>
      <c r="J853" s="271" t="b">
        <f>Age_Sex22[[#This Row],[Total Spending After Applying Truncation at the Member Level]]+Age_Sex22[[#This Row],[Total Dollars Excluded from Spending After Applying Truncation at the Member Level]]=Age_Sex22[[#This Row],[Total Spending before Truncation is Applied]]</f>
        <v>1</v>
      </c>
    </row>
    <row r="854" spans="1:10" x14ac:dyDescent="0.25">
      <c r="A854" s="389"/>
      <c r="B854" s="4"/>
      <c r="C854" s="16"/>
      <c r="D854" s="519"/>
      <c r="E854" s="410"/>
      <c r="F854" s="313"/>
      <c r="G854" s="256"/>
      <c r="H854" s="313"/>
      <c r="I854" s="456"/>
      <c r="J854" s="271" t="b">
        <f>Age_Sex22[[#This Row],[Total Spending After Applying Truncation at the Member Level]]+Age_Sex22[[#This Row],[Total Dollars Excluded from Spending After Applying Truncation at the Member Level]]=Age_Sex22[[#This Row],[Total Spending before Truncation is Applied]]</f>
        <v>1</v>
      </c>
    </row>
    <row r="855" spans="1:10" x14ac:dyDescent="0.25">
      <c r="A855" s="386"/>
      <c r="B855" s="310"/>
      <c r="C855" s="311"/>
      <c r="D855" s="518"/>
      <c r="E855" s="409"/>
      <c r="F855" s="312"/>
      <c r="G855" s="522"/>
      <c r="H855" s="312"/>
      <c r="I855" s="455"/>
      <c r="J855" s="271" t="b">
        <f>Age_Sex22[[#This Row],[Total Spending After Applying Truncation at the Member Level]]+Age_Sex22[[#This Row],[Total Dollars Excluded from Spending After Applying Truncation at the Member Level]]=Age_Sex22[[#This Row],[Total Spending before Truncation is Applied]]</f>
        <v>1</v>
      </c>
    </row>
    <row r="856" spans="1:10" x14ac:dyDescent="0.25">
      <c r="A856" s="389"/>
      <c r="B856" s="4"/>
      <c r="C856" s="16"/>
      <c r="D856" s="519"/>
      <c r="E856" s="410"/>
      <c r="F856" s="313"/>
      <c r="G856" s="256"/>
      <c r="H856" s="313"/>
      <c r="I856" s="456"/>
      <c r="J856" s="271" t="b">
        <f>Age_Sex22[[#This Row],[Total Spending After Applying Truncation at the Member Level]]+Age_Sex22[[#This Row],[Total Dollars Excluded from Spending After Applying Truncation at the Member Level]]=Age_Sex22[[#This Row],[Total Spending before Truncation is Applied]]</f>
        <v>1</v>
      </c>
    </row>
    <row r="857" spans="1:10" x14ac:dyDescent="0.25">
      <c r="A857" s="386"/>
      <c r="B857" s="310"/>
      <c r="C857" s="311"/>
      <c r="D857" s="518"/>
      <c r="E857" s="409"/>
      <c r="F857" s="312"/>
      <c r="G857" s="522"/>
      <c r="H857" s="312"/>
      <c r="I857" s="455"/>
      <c r="J857" s="271" t="b">
        <f>Age_Sex22[[#This Row],[Total Spending After Applying Truncation at the Member Level]]+Age_Sex22[[#This Row],[Total Dollars Excluded from Spending After Applying Truncation at the Member Level]]=Age_Sex22[[#This Row],[Total Spending before Truncation is Applied]]</f>
        <v>1</v>
      </c>
    </row>
    <row r="858" spans="1:10" x14ac:dyDescent="0.25">
      <c r="A858" s="389"/>
      <c r="B858" s="4"/>
      <c r="C858" s="16"/>
      <c r="D858" s="519"/>
      <c r="E858" s="410"/>
      <c r="F858" s="313"/>
      <c r="G858" s="256"/>
      <c r="H858" s="313"/>
      <c r="I858" s="456"/>
      <c r="J858" s="271" t="b">
        <f>Age_Sex22[[#This Row],[Total Spending After Applying Truncation at the Member Level]]+Age_Sex22[[#This Row],[Total Dollars Excluded from Spending After Applying Truncation at the Member Level]]=Age_Sex22[[#This Row],[Total Spending before Truncation is Applied]]</f>
        <v>1</v>
      </c>
    </row>
    <row r="859" spans="1:10" x14ac:dyDescent="0.25">
      <c r="A859" s="386"/>
      <c r="B859" s="310"/>
      <c r="C859" s="311"/>
      <c r="D859" s="518"/>
      <c r="E859" s="409"/>
      <c r="F859" s="312"/>
      <c r="G859" s="522"/>
      <c r="H859" s="312"/>
      <c r="I859" s="455"/>
      <c r="J859" s="271" t="b">
        <f>Age_Sex22[[#This Row],[Total Spending After Applying Truncation at the Member Level]]+Age_Sex22[[#This Row],[Total Dollars Excluded from Spending After Applying Truncation at the Member Level]]=Age_Sex22[[#This Row],[Total Spending before Truncation is Applied]]</f>
        <v>1</v>
      </c>
    </row>
    <row r="860" spans="1:10" x14ac:dyDescent="0.25">
      <c r="A860" s="389"/>
      <c r="B860" s="4"/>
      <c r="C860" s="16"/>
      <c r="D860" s="519"/>
      <c r="E860" s="410"/>
      <c r="F860" s="313"/>
      <c r="G860" s="256"/>
      <c r="H860" s="313"/>
      <c r="I860" s="456"/>
      <c r="J860" s="271" t="b">
        <f>Age_Sex22[[#This Row],[Total Spending After Applying Truncation at the Member Level]]+Age_Sex22[[#This Row],[Total Dollars Excluded from Spending After Applying Truncation at the Member Level]]=Age_Sex22[[#This Row],[Total Spending before Truncation is Applied]]</f>
        <v>1</v>
      </c>
    </row>
    <row r="861" spans="1:10" x14ac:dyDescent="0.25">
      <c r="A861" s="386"/>
      <c r="B861" s="310"/>
      <c r="C861" s="311"/>
      <c r="D861" s="518"/>
      <c r="E861" s="409"/>
      <c r="F861" s="312"/>
      <c r="G861" s="522"/>
      <c r="H861" s="312"/>
      <c r="I861" s="455"/>
      <c r="J861" s="271" t="b">
        <f>Age_Sex22[[#This Row],[Total Spending After Applying Truncation at the Member Level]]+Age_Sex22[[#This Row],[Total Dollars Excluded from Spending After Applying Truncation at the Member Level]]=Age_Sex22[[#This Row],[Total Spending before Truncation is Applied]]</f>
        <v>1</v>
      </c>
    </row>
    <row r="862" spans="1:10" x14ac:dyDescent="0.25">
      <c r="A862" s="389"/>
      <c r="B862" s="4"/>
      <c r="C862" s="16"/>
      <c r="D862" s="519"/>
      <c r="E862" s="410"/>
      <c r="F862" s="313"/>
      <c r="G862" s="256"/>
      <c r="H862" s="313"/>
      <c r="I862" s="456"/>
      <c r="J862" s="271" t="b">
        <f>Age_Sex22[[#This Row],[Total Spending After Applying Truncation at the Member Level]]+Age_Sex22[[#This Row],[Total Dollars Excluded from Spending After Applying Truncation at the Member Level]]=Age_Sex22[[#This Row],[Total Spending before Truncation is Applied]]</f>
        <v>1</v>
      </c>
    </row>
    <row r="863" spans="1:10" x14ac:dyDescent="0.25">
      <c r="A863" s="386"/>
      <c r="B863" s="310"/>
      <c r="C863" s="311"/>
      <c r="D863" s="518"/>
      <c r="E863" s="409"/>
      <c r="F863" s="312"/>
      <c r="G863" s="522"/>
      <c r="H863" s="312"/>
      <c r="I863" s="455"/>
      <c r="J863" s="271" t="b">
        <f>Age_Sex22[[#This Row],[Total Spending After Applying Truncation at the Member Level]]+Age_Sex22[[#This Row],[Total Dollars Excluded from Spending After Applying Truncation at the Member Level]]=Age_Sex22[[#This Row],[Total Spending before Truncation is Applied]]</f>
        <v>1</v>
      </c>
    </row>
    <row r="864" spans="1:10" x14ac:dyDescent="0.25">
      <c r="A864" s="389"/>
      <c r="B864" s="4"/>
      <c r="C864" s="16"/>
      <c r="D864" s="519"/>
      <c r="E864" s="410"/>
      <c r="F864" s="313"/>
      <c r="G864" s="256"/>
      <c r="H864" s="313"/>
      <c r="I864" s="456"/>
      <c r="J864" s="271" t="b">
        <f>Age_Sex22[[#This Row],[Total Spending After Applying Truncation at the Member Level]]+Age_Sex22[[#This Row],[Total Dollars Excluded from Spending After Applying Truncation at the Member Level]]=Age_Sex22[[#This Row],[Total Spending before Truncation is Applied]]</f>
        <v>1</v>
      </c>
    </row>
    <row r="865" spans="1:10" x14ac:dyDescent="0.25">
      <c r="A865" s="386"/>
      <c r="B865" s="310"/>
      <c r="C865" s="311"/>
      <c r="D865" s="518"/>
      <c r="E865" s="409"/>
      <c r="F865" s="312"/>
      <c r="G865" s="522"/>
      <c r="H865" s="312"/>
      <c r="I865" s="455"/>
      <c r="J865" s="271" t="b">
        <f>Age_Sex22[[#This Row],[Total Spending After Applying Truncation at the Member Level]]+Age_Sex22[[#This Row],[Total Dollars Excluded from Spending After Applying Truncation at the Member Level]]=Age_Sex22[[#This Row],[Total Spending before Truncation is Applied]]</f>
        <v>1</v>
      </c>
    </row>
    <row r="866" spans="1:10" x14ac:dyDescent="0.25">
      <c r="A866" s="389"/>
      <c r="B866" s="4"/>
      <c r="C866" s="16"/>
      <c r="D866" s="519"/>
      <c r="E866" s="410"/>
      <c r="F866" s="313"/>
      <c r="G866" s="256"/>
      <c r="H866" s="313"/>
      <c r="I866" s="456"/>
      <c r="J866" s="271" t="b">
        <f>Age_Sex22[[#This Row],[Total Spending After Applying Truncation at the Member Level]]+Age_Sex22[[#This Row],[Total Dollars Excluded from Spending After Applying Truncation at the Member Level]]=Age_Sex22[[#This Row],[Total Spending before Truncation is Applied]]</f>
        <v>1</v>
      </c>
    </row>
    <row r="867" spans="1:10" x14ac:dyDescent="0.25">
      <c r="A867" s="386"/>
      <c r="B867" s="310"/>
      <c r="C867" s="311"/>
      <c r="D867" s="518"/>
      <c r="E867" s="409"/>
      <c r="F867" s="312"/>
      <c r="G867" s="522"/>
      <c r="H867" s="312"/>
      <c r="I867" s="455"/>
      <c r="J867" s="271" t="b">
        <f>Age_Sex22[[#This Row],[Total Spending After Applying Truncation at the Member Level]]+Age_Sex22[[#This Row],[Total Dollars Excluded from Spending After Applying Truncation at the Member Level]]=Age_Sex22[[#This Row],[Total Spending before Truncation is Applied]]</f>
        <v>1</v>
      </c>
    </row>
    <row r="868" spans="1:10" x14ac:dyDescent="0.25">
      <c r="A868" s="389"/>
      <c r="B868" s="4"/>
      <c r="C868" s="16"/>
      <c r="D868" s="519"/>
      <c r="E868" s="410"/>
      <c r="F868" s="313"/>
      <c r="G868" s="256"/>
      <c r="H868" s="313"/>
      <c r="I868" s="456"/>
      <c r="J868" s="271" t="b">
        <f>Age_Sex22[[#This Row],[Total Spending After Applying Truncation at the Member Level]]+Age_Sex22[[#This Row],[Total Dollars Excluded from Spending After Applying Truncation at the Member Level]]=Age_Sex22[[#This Row],[Total Spending before Truncation is Applied]]</f>
        <v>1</v>
      </c>
    </row>
    <row r="869" spans="1:10" x14ac:dyDescent="0.25">
      <c r="A869" s="386"/>
      <c r="B869" s="310"/>
      <c r="C869" s="311"/>
      <c r="D869" s="518"/>
      <c r="E869" s="409"/>
      <c r="F869" s="312"/>
      <c r="G869" s="522"/>
      <c r="H869" s="312"/>
      <c r="I869" s="455"/>
      <c r="J869" s="271" t="b">
        <f>Age_Sex22[[#This Row],[Total Spending After Applying Truncation at the Member Level]]+Age_Sex22[[#This Row],[Total Dollars Excluded from Spending After Applying Truncation at the Member Level]]=Age_Sex22[[#This Row],[Total Spending before Truncation is Applied]]</f>
        <v>1</v>
      </c>
    </row>
    <row r="870" spans="1:10" x14ac:dyDescent="0.25">
      <c r="A870" s="389"/>
      <c r="B870" s="4"/>
      <c r="C870" s="16"/>
      <c r="D870" s="519"/>
      <c r="E870" s="410"/>
      <c r="F870" s="313"/>
      <c r="G870" s="256"/>
      <c r="H870" s="313"/>
      <c r="I870" s="456"/>
      <c r="J870" s="271" t="b">
        <f>Age_Sex22[[#This Row],[Total Spending After Applying Truncation at the Member Level]]+Age_Sex22[[#This Row],[Total Dollars Excluded from Spending After Applying Truncation at the Member Level]]=Age_Sex22[[#This Row],[Total Spending before Truncation is Applied]]</f>
        <v>1</v>
      </c>
    </row>
    <row r="871" spans="1:10" x14ac:dyDescent="0.25">
      <c r="A871" s="386"/>
      <c r="B871" s="310"/>
      <c r="C871" s="311"/>
      <c r="D871" s="518"/>
      <c r="E871" s="409"/>
      <c r="F871" s="312"/>
      <c r="G871" s="522"/>
      <c r="H871" s="312"/>
      <c r="I871" s="455"/>
      <c r="J871" s="271" t="b">
        <f>Age_Sex22[[#This Row],[Total Spending After Applying Truncation at the Member Level]]+Age_Sex22[[#This Row],[Total Dollars Excluded from Spending After Applying Truncation at the Member Level]]=Age_Sex22[[#This Row],[Total Spending before Truncation is Applied]]</f>
        <v>1</v>
      </c>
    </row>
    <row r="872" spans="1:10" x14ac:dyDescent="0.25">
      <c r="A872" s="389"/>
      <c r="B872" s="4"/>
      <c r="C872" s="16"/>
      <c r="D872" s="519"/>
      <c r="E872" s="410"/>
      <c r="F872" s="313"/>
      <c r="G872" s="256"/>
      <c r="H872" s="313"/>
      <c r="I872" s="456"/>
      <c r="J872" s="271" t="b">
        <f>Age_Sex22[[#This Row],[Total Spending After Applying Truncation at the Member Level]]+Age_Sex22[[#This Row],[Total Dollars Excluded from Spending After Applying Truncation at the Member Level]]=Age_Sex22[[#This Row],[Total Spending before Truncation is Applied]]</f>
        <v>1</v>
      </c>
    </row>
    <row r="873" spans="1:10" x14ac:dyDescent="0.25">
      <c r="A873" s="386"/>
      <c r="B873" s="310"/>
      <c r="C873" s="311"/>
      <c r="D873" s="518"/>
      <c r="E873" s="409"/>
      <c r="F873" s="312"/>
      <c r="G873" s="522"/>
      <c r="H873" s="312"/>
      <c r="I873" s="455"/>
      <c r="J873" s="271" t="b">
        <f>Age_Sex22[[#This Row],[Total Spending After Applying Truncation at the Member Level]]+Age_Sex22[[#This Row],[Total Dollars Excluded from Spending After Applying Truncation at the Member Level]]=Age_Sex22[[#This Row],[Total Spending before Truncation is Applied]]</f>
        <v>1</v>
      </c>
    </row>
    <row r="874" spans="1:10" x14ac:dyDescent="0.25">
      <c r="A874" s="389"/>
      <c r="B874" s="4"/>
      <c r="C874" s="16"/>
      <c r="D874" s="519"/>
      <c r="E874" s="410"/>
      <c r="F874" s="313"/>
      <c r="G874" s="256"/>
      <c r="H874" s="313"/>
      <c r="I874" s="456"/>
      <c r="J874" s="271" t="b">
        <f>Age_Sex22[[#This Row],[Total Spending After Applying Truncation at the Member Level]]+Age_Sex22[[#This Row],[Total Dollars Excluded from Spending After Applying Truncation at the Member Level]]=Age_Sex22[[#This Row],[Total Spending before Truncation is Applied]]</f>
        <v>1</v>
      </c>
    </row>
    <row r="875" spans="1:10" x14ac:dyDescent="0.25">
      <c r="A875" s="386"/>
      <c r="B875" s="310"/>
      <c r="C875" s="311"/>
      <c r="D875" s="518"/>
      <c r="E875" s="409"/>
      <c r="F875" s="312"/>
      <c r="G875" s="522"/>
      <c r="H875" s="312"/>
      <c r="I875" s="455"/>
      <c r="J875" s="271" t="b">
        <f>Age_Sex22[[#This Row],[Total Spending After Applying Truncation at the Member Level]]+Age_Sex22[[#This Row],[Total Dollars Excluded from Spending After Applying Truncation at the Member Level]]=Age_Sex22[[#This Row],[Total Spending before Truncation is Applied]]</f>
        <v>1</v>
      </c>
    </row>
    <row r="876" spans="1:10" x14ac:dyDescent="0.25">
      <c r="A876" s="389"/>
      <c r="B876" s="4"/>
      <c r="C876" s="16"/>
      <c r="D876" s="519"/>
      <c r="E876" s="410"/>
      <c r="F876" s="313"/>
      <c r="G876" s="256"/>
      <c r="H876" s="313"/>
      <c r="I876" s="456"/>
      <c r="J876" s="271" t="b">
        <f>Age_Sex22[[#This Row],[Total Spending After Applying Truncation at the Member Level]]+Age_Sex22[[#This Row],[Total Dollars Excluded from Spending After Applying Truncation at the Member Level]]=Age_Sex22[[#This Row],[Total Spending before Truncation is Applied]]</f>
        <v>1</v>
      </c>
    </row>
    <row r="877" spans="1:10" x14ac:dyDescent="0.25">
      <c r="A877" s="386"/>
      <c r="B877" s="310"/>
      <c r="C877" s="311"/>
      <c r="D877" s="518"/>
      <c r="E877" s="409"/>
      <c r="F877" s="312"/>
      <c r="G877" s="522"/>
      <c r="H877" s="312"/>
      <c r="I877" s="455"/>
      <c r="J877" s="271" t="b">
        <f>Age_Sex22[[#This Row],[Total Spending After Applying Truncation at the Member Level]]+Age_Sex22[[#This Row],[Total Dollars Excluded from Spending After Applying Truncation at the Member Level]]=Age_Sex22[[#This Row],[Total Spending before Truncation is Applied]]</f>
        <v>1</v>
      </c>
    </row>
    <row r="878" spans="1:10" x14ac:dyDescent="0.25">
      <c r="A878" s="389"/>
      <c r="B878" s="4"/>
      <c r="C878" s="16"/>
      <c r="D878" s="519"/>
      <c r="E878" s="410"/>
      <c r="F878" s="313"/>
      <c r="G878" s="256"/>
      <c r="H878" s="313"/>
      <c r="I878" s="456"/>
      <c r="J878" s="271" t="b">
        <f>Age_Sex22[[#This Row],[Total Spending After Applying Truncation at the Member Level]]+Age_Sex22[[#This Row],[Total Dollars Excluded from Spending After Applying Truncation at the Member Level]]=Age_Sex22[[#This Row],[Total Spending before Truncation is Applied]]</f>
        <v>1</v>
      </c>
    </row>
    <row r="879" spans="1:10" x14ac:dyDescent="0.25">
      <c r="A879" s="386"/>
      <c r="B879" s="310"/>
      <c r="C879" s="311"/>
      <c r="D879" s="518"/>
      <c r="E879" s="409"/>
      <c r="F879" s="312"/>
      <c r="G879" s="522"/>
      <c r="H879" s="312"/>
      <c r="I879" s="455"/>
      <c r="J879" s="271" t="b">
        <f>Age_Sex22[[#This Row],[Total Spending After Applying Truncation at the Member Level]]+Age_Sex22[[#This Row],[Total Dollars Excluded from Spending After Applying Truncation at the Member Level]]=Age_Sex22[[#This Row],[Total Spending before Truncation is Applied]]</f>
        <v>1</v>
      </c>
    </row>
    <row r="880" spans="1:10" x14ac:dyDescent="0.25">
      <c r="A880" s="389"/>
      <c r="B880" s="4"/>
      <c r="C880" s="16"/>
      <c r="D880" s="519"/>
      <c r="E880" s="410"/>
      <c r="F880" s="313"/>
      <c r="G880" s="256"/>
      <c r="H880" s="313"/>
      <c r="I880" s="456"/>
      <c r="J880" s="271" t="b">
        <f>Age_Sex22[[#This Row],[Total Spending After Applying Truncation at the Member Level]]+Age_Sex22[[#This Row],[Total Dollars Excluded from Spending After Applying Truncation at the Member Level]]=Age_Sex22[[#This Row],[Total Spending before Truncation is Applied]]</f>
        <v>1</v>
      </c>
    </row>
    <row r="881" spans="1:10" x14ac:dyDescent="0.25">
      <c r="A881" s="386"/>
      <c r="B881" s="310"/>
      <c r="C881" s="311"/>
      <c r="D881" s="518"/>
      <c r="E881" s="409"/>
      <c r="F881" s="312"/>
      <c r="G881" s="522"/>
      <c r="H881" s="312"/>
      <c r="I881" s="455"/>
      <c r="J881" s="271" t="b">
        <f>Age_Sex22[[#This Row],[Total Spending After Applying Truncation at the Member Level]]+Age_Sex22[[#This Row],[Total Dollars Excluded from Spending After Applying Truncation at the Member Level]]=Age_Sex22[[#This Row],[Total Spending before Truncation is Applied]]</f>
        <v>1</v>
      </c>
    </row>
    <row r="882" spans="1:10" x14ac:dyDescent="0.25">
      <c r="A882" s="389"/>
      <c r="B882" s="4"/>
      <c r="C882" s="16"/>
      <c r="D882" s="519"/>
      <c r="E882" s="410"/>
      <c r="F882" s="313"/>
      <c r="G882" s="256"/>
      <c r="H882" s="313"/>
      <c r="I882" s="456"/>
      <c r="J882" s="271" t="b">
        <f>Age_Sex22[[#This Row],[Total Spending After Applying Truncation at the Member Level]]+Age_Sex22[[#This Row],[Total Dollars Excluded from Spending After Applying Truncation at the Member Level]]=Age_Sex22[[#This Row],[Total Spending before Truncation is Applied]]</f>
        <v>1</v>
      </c>
    </row>
    <row r="883" spans="1:10" x14ac:dyDescent="0.25">
      <c r="A883" s="386"/>
      <c r="B883" s="310"/>
      <c r="C883" s="311"/>
      <c r="D883" s="518"/>
      <c r="E883" s="409"/>
      <c r="F883" s="312"/>
      <c r="G883" s="522"/>
      <c r="H883" s="312"/>
      <c r="I883" s="455"/>
      <c r="J883" s="271" t="b">
        <f>Age_Sex22[[#This Row],[Total Spending After Applying Truncation at the Member Level]]+Age_Sex22[[#This Row],[Total Dollars Excluded from Spending After Applying Truncation at the Member Level]]=Age_Sex22[[#This Row],[Total Spending before Truncation is Applied]]</f>
        <v>1</v>
      </c>
    </row>
    <row r="884" spans="1:10" x14ac:dyDescent="0.25">
      <c r="A884" s="389"/>
      <c r="B884" s="4"/>
      <c r="C884" s="16"/>
      <c r="D884" s="519"/>
      <c r="E884" s="410"/>
      <c r="F884" s="313"/>
      <c r="G884" s="256"/>
      <c r="H884" s="313"/>
      <c r="I884" s="456"/>
      <c r="J884" s="271" t="b">
        <f>Age_Sex22[[#This Row],[Total Spending After Applying Truncation at the Member Level]]+Age_Sex22[[#This Row],[Total Dollars Excluded from Spending After Applying Truncation at the Member Level]]=Age_Sex22[[#This Row],[Total Spending before Truncation is Applied]]</f>
        <v>1</v>
      </c>
    </row>
    <row r="885" spans="1:10" x14ac:dyDescent="0.25">
      <c r="A885" s="386"/>
      <c r="B885" s="310"/>
      <c r="C885" s="311"/>
      <c r="D885" s="518"/>
      <c r="E885" s="409"/>
      <c r="F885" s="312"/>
      <c r="G885" s="522"/>
      <c r="H885" s="312"/>
      <c r="I885" s="455"/>
      <c r="J885" s="271" t="b">
        <f>Age_Sex22[[#This Row],[Total Spending After Applying Truncation at the Member Level]]+Age_Sex22[[#This Row],[Total Dollars Excluded from Spending After Applying Truncation at the Member Level]]=Age_Sex22[[#This Row],[Total Spending before Truncation is Applied]]</f>
        <v>1</v>
      </c>
    </row>
    <row r="886" spans="1:10" x14ac:dyDescent="0.25">
      <c r="A886" s="389"/>
      <c r="B886" s="4"/>
      <c r="C886" s="16"/>
      <c r="D886" s="519"/>
      <c r="E886" s="410"/>
      <c r="F886" s="313"/>
      <c r="G886" s="256"/>
      <c r="H886" s="313"/>
      <c r="I886" s="456"/>
      <c r="J886" s="271" t="b">
        <f>Age_Sex22[[#This Row],[Total Spending After Applying Truncation at the Member Level]]+Age_Sex22[[#This Row],[Total Dollars Excluded from Spending After Applying Truncation at the Member Level]]=Age_Sex22[[#This Row],[Total Spending before Truncation is Applied]]</f>
        <v>1</v>
      </c>
    </row>
    <row r="887" spans="1:10" x14ac:dyDescent="0.25">
      <c r="A887" s="386"/>
      <c r="B887" s="310"/>
      <c r="C887" s="311"/>
      <c r="D887" s="518"/>
      <c r="E887" s="409"/>
      <c r="F887" s="312"/>
      <c r="G887" s="522"/>
      <c r="H887" s="312"/>
      <c r="I887" s="455"/>
      <c r="J887" s="271" t="b">
        <f>Age_Sex22[[#This Row],[Total Spending After Applying Truncation at the Member Level]]+Age_Sex22[[#This Row],[Total Dollars Excluded from Spending After Applying Truncation at the Member Level]]=Age_Sex22[[#This Row],[Total Spending before Truncation is Applied]]</f>
        <v>1</v>
      </c>
    </row>
    <row r="888" spans="1:10" x14ac:dyDescent="0.25">
      <c r="A888" s="389"/>
      <c r="B888" s="4"/>
      <c r="C888" s="16"/>
      <c r="D888" s="519"/>
      <c r="E888" s="410"/>
      <c r="F888" s="313"/>
      <c r="G888" s="256"/>
      <c r="H888" s="313"/>
      <c r="I888" s="456"/>
      <c r="J888" s="271" t="b">
        <f>Age_Sex22[[#This Row],[Total Spending After Applying Truncation at the Member Level]]+Age_Sex22[[#This Row],[Total Dollars Excluded from Spending After Applying Truncation at the Member Level]]=Age_Sex22[[#This Row],[Total Spending before Truncation is Applied]]</f>
        <v>1</v>
      </c>
    </row>
    <row r="889" spans="1:10" x14ac:dyDescent="0.25">
      <c r="A889" s="386"/>
      <c r="B889" s="310"/>
      <c r="C889" s="311"/>
      <c r="D889" s="518"/>
      <c r="E889" s="409"/>
      <c r="F889" s="312"/>
      <c r="G889" s="522"/>
      <c r="H889" s="312"/>
      <c r="I889" s="455"/>
      <c r="J889" s="271" t="b">
        <f>Age_Sex22[[#This Row],[Total Spending After Applying Truncation at the Member Level]]+Age_Sex22[[#This Row],[Total Dollars Excluded from Spending After Applying Truncation at the Member Level]]=Age_Sex22[[#This Row],[Total Spending before Truncation is Applied]]</f>
        <v>1</v>
      </c>
    </row>
    <row r="890" spans="1:10" x14ac:dyDescent="0.25">
      <c r="A890" s="389"/>
      <c r="B890" s="4"/>
      <c r="C890" s="16"/>
      <c r="D890" s="519"/>
      <c r="E890" s="410"/>
      <c r="F890" s="313"/>
      <c r="G890" s="256"/>
      <c r="H890" s="313"/>
      <c r="I890" s="456"/>
      <c r="J890" s="271" t="b">
        <f>Age_Sex22[[#This Row],[Total Spending After Applying Truncation at the Member Level]]+Age_Sex22[[#This Row],[Total Dollars Excluded from Spending After Applying Truncation at the Member Level]]=Age_Sex22[[#This Row],[Total Spending before Truncation is Applied]]</f>
        <v>1</v>
      </c>
    </row>
    <row r="891" spans="1:10" x14ac:dyDescent="0.25">
      <c r="A891" s="386"/>
      <c r="B891" s="310"/>
      <c r="C891" s="311"/>
      <c r="D891" s="518"/>
      <c r="E891" s="409"/>
      <c r="F891" s="312"/>
      <c r="G891" s="522"/>
      <c r="H891" s="312"/>
      <c r="I891" s="455"/>
      <c r="J891" s="271" t="b">
        <f>Age_Sex22[[#This Row],[Total Spending After Applying Truncation at the Member Level]]+Age_Sex22[[#This Row],[Total Dollars Excluded from Spending After Applying Truncation at the Member Level]]=Age_Sex22[[#This Row],[Total Spending before Truncation is Applied]]</f>
        <v>1</v>
      </c>
    </row>
    <row r="892" spans="1:10" x14ac:dyDescent="0.25">
      <c r="A892" s="389"/>
      <c r="B892" s="4"/>
      <c r="C892" s="16"/>
      <c r="D892" s="519"/>
      <c r="E892" s="410"/>
      <c r="F892" s="313"/>
      <c r="G892" s="256"/>
      <c r="H892" s="313"/>
      <c r="I892" s="456"/>
      <c r="J892" s="271" t="b">
        <f>Age_Sex22[[#This Row],[Total Spending After Applying Truncation at the Member Level]]+Age_Sex22[[#This Row],[Total Dollars Excluded from Spending After Applying Truncation at the Member Level]]=Age_Sex22[[#This Row],[Total Spending before Truncation is Applied]]</f>
        <v>1</v>
      </c>
    </row>
    <row r="893" spans="1:10" x14ac:dyDescent="0.25">
      <c r="A893" s="386"/>
      <c r="B893" s="310"/>
      <c r="C893" s="311"/>
      <c r="D893" s="518"/>
      <c r="E893" s="409"/>
      <c r="F893" s="312"/>
      <c r="G893" s="522"/>
      <c r="H893" s="312"/>
      <c r="I893" s="455"/>
      <c r="J893" s="271" t="b">
        <f>Age_Sex22[[#This Row],[Total Spending After Applying Truncation at the Member Level]]+Age_Sex22[[#This Row],[Total Dollars Excluded from Spending After Applying Truncation at the Member Level]]=Age_Sex22[[#This Row],[Total Spending before Truncation is Applied]]</f>
        <v>1</v>
      </c>
    </row>
    <row r="894" spans="1:10" x14ac:dyDescent="0.25">
      <c r="A894" s="389"/>
      <c r="B894" s="4"/>
      <c r="C894" s="16"/>
      <c r="D894" s="519"/>
      <c r="E894" s="410"/>
      <c r="F894" s="313"/>
      <c r="G894" s="256"/>
      <c r="H894" s="313"/>
      <c r="I894" s="456"/>
      <c r="J894" s="271" t="b">
        <f>Age_Sex22[[#This Row],[Total Spending After Applying Truncation at the Member Level]]+Age_Sex22[[#This Row],[Total Dollars Excluded from Spending After Applying Truncation at the Member Level]]=Age_Sex22[[#This Row],[Total Spending before Truncation is Applied]]</f>
        <v>1</v>
      </c>
    </row>
    <row r="895" spans="1:10" x14ac:dyDescent="0.25">
      <c r="A895" s="386"/>
      <c r="B895" s="310"/>
      <c r="C895" s="311"/>
      <c r="D895" s="518"/>
      <c r="E895" s="409"/>
      <c r="F895" s="312"/>
      <c r="G895" s="522"/>
      <c r="H895" s="312"/>
      <c r="I895" s="455"/>
      <c r="J895" s="271" t="b">
        <f>Age_Sex22[[#This Row],[Total Spending After Applying Truncation at the Member Level]]+Age_Sex22[[#This Row],[Total Dollars Excluded from Spending After Applying Truncation at the Member Level]]=Age_Sex22[[#This Row],[Total Spending before Truncation is Applied]]</f>
        <v>1</v>
      </c>
    </row>
    <row r="896" spans="1:10" x14ac:dyDescent="0.25">
      <c r="A896" s="389"/>
      <c r="B896" s="4"/>
      <c r="C896" s="16"/>
      <c r="D896" s="519"/>
      <c r="E896" s="410"/>
      <c r="F896" s="313"/>
      <c r="G896" s="256"/>
      <c r="H896" s="313"/>
      <c r="I896" s="456"/>
      <c r="J896" s="271" t="b">
        <f>Age_Sex22[[#This Row],[Total Spending After Applying Truncation at the Member Level]]+Age_Sex22[[#This Row],[Total Dollars Excluded from Spending After Applying Truncation at the Member Level]]=Age_Sex22[[#This Row],[Total Spending before Truncation is Applied]]</f>
        <v>1</v>
      </c>
    </row>
    <row r="897" spans="1:10" x14ac:dyDescent="0.25">
      <c r="A897" s="386"/>
      <c r="B897" s="310"/>
      <c r="C897" s="311"/>
      <c r="D897" s="518"/>
      <c r="E897" s="409"/>
      <c r="F897" s="312"/>
      <c r="G897" s="522"/>
      <c r="H897" s="312"/>
      <c r="I897" s="455"/>
      <c r="J897" s="271" t="b">
        <f>Age_Sex22[[#This Row],[Total Spending After Applying Truncation at the Member Level]]+Age_Sex22[[#This Row],[Total Dollars Excluded from Spending After Applying Truncation at the Member Level]]=Age_Sex22[[#This Row],[Total Spending before Truncation is Applied]]</f>
        <v>1</v>
      </c>
    </row>
    <row r="898" spans="1:10" x14ac:dyDescent="0.25">
      <c r="A898" s="389"/>
      <c r="B898" s="4"/>
      <c r="C898" s="16"/>
      <c r="D898" s="519"/>
      <c r="E898" s="410"/>
      <c r="F898" s="313"/>
      <c r="G898" s="256"/>
      <c r="H898" s="313"/>
      <c r="I898" s="456"/>
      <c r="J898" s="271" t="b">
        <f>Age_Sex22[[#This Row],[Total Spending After Applying Truncation at the Member Level]]+Age_Sex22[[#This Row],[Total Dollars Excluded from Spending After Applying Truncation at the Member Level]]=Age_Sex22[[#This Row],[Total Spending before Truncation is Applied]]</f>
        <v>1</v>
      </c>
    </row>
    <row r="899" spans="1:10" x14ac:dyDescent="0.25">
      <c r="A899" s="386"/>
      <c r="B899" s="310"/>
      <c r="C899" s="311"/>
      <c r="D899" s="518"/>
      <c r="E899" s="409"/>
      <c r="F899" s="312"/>
      <c r="G899" s="522"/>
      <c r="H899" s="312"/>
      <c r="I899" s="455"/>
      <c r="J899" s="271" t="b">
        <f>Age_Sex22[[#This Row],[Total Spending After Applying Truncation at the Member Level]]+Age_Sex22[[#This Row],[Total Dollars Excluded from Spending After Applying Truncation at the Member Level]]=Age_Sex22[[#This Row],[Total Spending before Truncation is Applied]]</f>
        <v>1</v>
      </c>
    </row>
    <row r="900" spans="1:10" x14ac:dyDescent="0.25">
      <c r="A900" s="389"/>
      <c r="B900" s="4"/>
      <c r="C900" s="16"/>
      <c r="D900" s="519"/>
      <c r="E900" s="410"/>
      <c r="F900" s="313"/>
      <c r="G900" s="256"/>
      <c r="H900" s="313"/>
      <c r="I900" s="456"/>
      <c r="J900" s="271" t="b">
        <f>Age_Sex22[[#This Row],[Total Spending After Applying Truncation at the Member Level]]+Age_Sex22[[#This Row],[Total Dollars Excluded from Spending After Applying Truncation at the Member Level]]=Age_Sex22[[#This Row],[Total Spending before Truncation is Applied]]</f>
        <v>1</v>
      </c>
    </row>
    <row r="901" spans="1:10" x14ac:dyDescent="0.25">
      <c r="A901" s="386"/>
      <c r="B901" s="310"/>
      <c r="C901" s="311"/>
      <c r="D901" s="518"/>
      <c r="E901" s="409"/>
      <c r="F901" s="312"/>
      <c r="G901" s="522"/>
      <c r="H901" s="312"/>
      <c r="I901" s="455"/>
      <c r="J901" s="271" t="b">
        <f>Age_Sex22[[#This Row],[Total Spending After Applying Truncation at the Member Level]]+Age_Sex22[[#This Row],[Total Dollars Excluded from Spending After Applying Truncation at the Member Level]]=Age_Sex22[[#This Row],[Total Spending before Truncation is Applied]]</f>
        <v>1</v>
      </c>
    </row>
    <row r="902" spans="1:10" x14ac:dyDescent="0.25">
      <c r="A902" s="389"/>
      <c r="B902" s="4"/>
      <c r="C902" s="16"/>
      <c r="D902" s="519"/>
      <c r="E902" s="410"/>
      <c r="F902" s="313"/>
      <c r="G902" s="256"/>
      <c r="H902" s="313"/>
      <c r="I902" s="456"/>
      <c r="J902" s="271" t="b">
        <f>Age_Sex22[[#This Row],[Total Spending After Applying Truncation at the Member Level]]+Age_Sex22[[#This Row],[Total Dollars Excluded from Spending After Applying Truncation at the Member Level]]=Age_Sex22[[#This Row],[Total Spending before Truncation is Applied]]</f>
        <v>1</v>
      </c>
    </row>
    <row r="903" spans="1:10" x14ac:dyDescent="0.25">
      <c r="A903" s="386"/>
      <c r="B903" s="310"/>
      <c r="C903" s="311"/>
      <c r="D903" s="518"/>
      <c r="E903" s="409"/>
      <c r="F903" s="312"/>
      <c r="G903" s="522"/>
      <c r="H903" s="312"/>
      <c r="I903" s="455"/>
      <c r="J903" s="271" t="b">
        <f>Age_Sex22[[#This Row],[Total Spending After Applying Truncation at the Member Level]]+Age_Sex22[[#This Row],[Total Dollars Excluded from Spending After Applying Truncation at the Member Level]]=Age_Sex22[[#This Row],[Total Spending before Truncation is Applied]]</f>
        <v>1</v>
      </c>
    </row>
    <row r="904" spans="1:10" x14ac:dyDescent="0.25">
      <c r="A904" s="389"/>
      <c r="B904" s="4"/>
      <c r="C904" s="16"/>
      <c r="D904" s="519"/>
      <c r="E904" s="410"/>
      <c r="F904" s="313"/>
      <c r="G904" s="256"/>
      <c r="H904" s="313"/>
      <c r="I904" s="456"/>
      <c r="J904" s="271" t="b">
        <f>Age_Sex22[[#This Row],[Total Spending After Applying Truncation at the Member Level]]+Age_Sex22[[#This Row],[Total Dollars Excluded from Spending After Applying Truncation at the Member Level]]=Age_Sex22[[#This Row],[Total Spending before Truncation is Applied]]</f>
        <v>1</v>
      </c>
    </row>
    <row r="905" spans="1:10" x14ac:dyDescent="0.25">
      <c r="A905" s="386"/>
      <c r="B905" s="310"/>
      <c r="C905" s="311"/>
      <c r="D905" s="518"/>
      <c r="E905" s="409"/>
      <c r="F905" s="312"/>
      <c r="G905" s="522"/>
      <c r="H905" s="312"/>
      <c r="I905" s="455"/>
      <c r="J905" s="271" t="b">
        <f>Age_Sex22[[#This Row],[Total Spending After Applying Truncation at the Member Level]]+Age_Sex22[[#This Row],[Total Dollars Excluded from Spending After Applying Truncation at the Member Level]]=Age_Sex22[[#This Row],[Total Spending before Truncation is Applied]]</f>
        <v>1</v>
      </c>
    </row>
    <row r="906" spans="1:10" x14ac:dyDescent="0.25">
      <c r="A906" s="389"/>
      <c r="B906" s="4"/>
      <c r="C906" s="16"/>
      <c r="D906" s="519"/>
      <c r="E906" s="410"/>
      <c r="F906" s="313"/>
      <c r="G906" s="256"/>
      <c r="H906" s="313"/>
      <c r="I906" s="456"/>
      <c r="J906" s="271" t="b">
        <f>Age_Sex22[[#This Row],[Total Spending After Applying Truncation at the Member Level]]+Age_Sex22[[#This Row],[Total Dollars Excluded from Spending After Applying Truncation at the Member Level]]=Age_Sex22[[#This Row],[Total Spending before Truncation is Applied]]</f>
        <v>1</v>
      </c>
    </row>
    <row r="907" spans="1:10" x14ac:dyDescent="0.25">
      <c r="A907" s="386"/>
      <c r="B907" s="310"/>
      <c r="C907" s="311"/>
      <c r="D907" s="518"/>
      <c r="E907" s="409"/>
      <c r="F907" s="312"/>
      <c r="G907" s="522"/>
      <c r="H907" s="312"/>
      <c r="I907" s="455"/>
      <c r="J907" s="271" t="b">
        <f>Age_Sex22[[#This Row],[Total Spending After Applying Truncation at the Member Level]]+Age_Sex22[[#This Row],[Total Dollars Excluded from Spending After Applying Truncation at the Member Level]]=Age_Sex22[[#This Row],[Total Spending before Truncation is Applied]]</f>
        <v>1</v>
      </c>
    </row>
    <row r="908" spans="1:10" x14ac:dyDescent="0.25">
      <c r="A908" s="389"/>
      <c r="B908" s="4"/>
      <c r="C908" s="16"/>
      <c r="D908" s="519"/>
      <c r="E908" s="410"/>
      <c r="F908" s="313"/>
      <c r="G908" s="256"/>
      <c r="H908" s="313"/>
      <c r="I908" s="456"/>
      <c r="J908" s="271" t="b">
        <f>Age_Sex22[[#This Row],[Total Spending After Applying Truncation at the Member Level]]+Age_Sex22[[#This Row],[Total Dollars Excluded from Spending After Applying Truncation at the Member Level]]=Age_Sex22[[#This Row],[Total Spending before Truncation is Applied]]</f>
        <v>1</v>
      </c>
    </row>
    <row r="909" spans="1:10" x14ac:dyDescent="0.25">
      <c r="A909" s="386"/>
      <c r="B909" s="310"/>
      <c r="C909" s="311"/>
      <c r="D909" s="518"/>
      <c r="E909" s="409"/>
      <c r="F909" s="312"/>
      <c r="G909" s="522"/>
      <c r="H909" s="312"/>
      <c r="I909" s="455"/>
      <c r="J909" s="271" t="b">
        <f>Age_Sex22[[#This Row],[Total Spending After Applying Truncation at the Member Level]]+Age_Sex22[[#This Row],[Total Dollars Excluded from Spending After Applying Truncation at the Member Level]]=Age_Sex22[[#This Row],[Total Spending before Truncation is Applied]]</f>
        <v>1</v>
      </c>
    </row>
    <row r="910" spans="1:10" x14ac:dyDescent="0.25">
      <c r="A910" s="389"/>
      <c r="B910" s="4"/>
      <c r="C910" s="16"/>
      <c r="D910" s="519"/>
      <c r="E910" s="410"/>
      <c r="F910" s="313"/>
      <c r="G910" s="256"/>
      <c r="H910" s="313"/>
      <c r="I910" s="456"/>
      <c r="J910" s="271" t="b">
        <f>Age_Sex22[[#This Row],[Total Spending After Applying Truncation at the Member Level]]+Age_Sex22[[#This Row],[Total Dollars Excluded from Spending After Applying Truncation at the Member Level]]=Age_Sex22[[#This Row],[Total Spending before Truncation is Applied]]</f>
        <v>1</v>
      </c>
    </row>
    <row r="911" spans="1:10" x14ac:dyDescent="0.25">
      <c r="A911" s="386"/>
      <c r="B911" s="310"/>
      <c r="C911" s="311"/>
      <c r="D911" s="518"/>
      <c r="E911" s="409"/>
      <c r="F911" s="312"/>
      <c r="G911" s="522"/>
      <c r="H911" s="312"/>
      <c r="I911" s="455"/>
      <c r="J911" s="271" t="b">
        <f>Age_Sex22[[#This Row],[Total Spending After Applying Truncation at the Member Level]]+Age_Sex22[[#This Row],[Total Dollars Excluded from Spending After Applying Truncation at the Member Level]]=Age_Sex22[[#This Row],[Total Spending before Truncation is Applied]]</f>
        <v>1</v>
      </c>
    </row>
    <row r="912" spans="1:10" x14ac:dyDescent="0.25">
      <c r="A912" s="389"/>
      <c r="B912" s="4"/>
      <c r="C912" s="16"/>
      <c r="D912" s="519"/>
      <c r="E912" s="410"/>
      <c r="F912" s="313"/>
      <c r="G912" s="256"/>
      <c r="H912" s="313"/>
      <c r="I912" s="456"/>
      <c r="J912" s="271" t="b">
        <f>Age_Sex22[[#This Row],[Total Spending After Applying Truncation at the Member Level]]+Age_Sex22[[#This Row],[Total Dollars Excluded from Spending After Applying Truncation at the Member Level]]=Age_Sex22[[#This Row],[Total Spending before Truncation is Applied]]</f>
        <v>1</v>
      </c>
    </row>
    <row r="913" spans="1:10" x14ac:dyDescent="0.25">
      <c r="A913" s="386"/>
      <c r="B913" s="310"/>
      <c r="C913" s="311"/>
      <c r="D913" s="518"/>
      <c r="E913" s="409"/>
      <c r="F913" s="312"/>
      <c r="G913" s="522"/>
      <c r="H913" s="312"/>
      <c r="I913" s="455"/>
      <c r="J913" s="271" t="b">
        <f>Age_Sex22[[#This Row],[Total Spending After Applying Truncation at the Member Level]]+Age_Sex22[[#This Row],[Total Dollars Excluded from Spending After Applying Truncation at the Member Level]]=Age_Sex22[[#This Row],[Total Spending before Truncation is Applied]]</f>
        <v>1</v>
      </c>
    </row>
    <row r="914" spans="1:10" x14ac:dyDescent="0.25">
      <c r="A914" s="389"/>
      <c r="B914" s="4"/>
      <c r="C914" s="16"/>
      <c r="D914" s="519"/>
      <c r="E914" s="410"/>
      <c r="F914" s="313"/>
      <c r="G914" s="256"/>
      <c r="H914" s="313"/>
      <c r="I914" s="456"/>
      <c r="J914" s="271" t="b">
        <f>Age_Sex22[[#This Row],[Total Spending After Applying Truncation at the Member Level]]+Age_Sex22[[#This Row],[Total Dollars Excluded from Spending After Applying Truncation at the Member Level]]=Age_Sex22[[#This Row],[Total Spending before Truncation is Applied]]</f>
        <v>1</v>
      </c>
    </row>
    <row r="915" spans="1:10" x14ac:dyDescent="0.25">
      <c r="A915" s="386"/>
      <c r="B915" s="310"/>
      <c r="C915" s="311"/>
      <c r="D915" s="518"/>
      <c r="E915" s="409"/>
      <c r="F915" s="312"/>
      <c r="G915" s="522"/>
      <c r="H915" s="312"/>
      <c r="I915" s="455"/>
      <c r="J915" s="271" t="b">
        <f>Age_Sex22[[#This Row],[Total Spending After Applying Truncation at the Member Level]]+Age_Sex22[[#This Row],[Total Dollars Excluded from Spending After Applying Truncation at the Member Level]]=Age_Sex22[[#This Row],[Total Spending before Truncation is Applied]]</f>
        <v>1</v>
      </c>
    </row>
    <row r="916" spans="1:10" x14ac:dyDescent="0.25">
      <c r="A916" s="389"/>
      <c r="B916" s="4"/>
      <c r="C916" s="16"/>
      <c r="D916" s="519"/>
      <c r="E916" s="410"/>
      <c r="F916" s="313"/>
      <c r="G916" s="256"/>
      <c r="H916" s="313"/>
      <c r="I916" s="456"/>
      <c r="J916" s="271" t="b">
        <f>Age_Sex22[[#This Row],[Total Spending After Applying Truncation at the Member Level]]+Age_Sex22[[#This Row],[Total Dollars Excluded from Spending After Applying Truncation at the Member Level]]=Age_Sex22[[#This Row],[Total Spending before Truncation is Applied]]</f>
        <v>1</v>
      </c>
    </row>
    <row r="917" spans="1:10" x14ac:dyDescent="0.25">
      <c r="A917" s="386"/>
      <c r="B917" s="310"/>
      <c r="C917" s="311"/>
      <c r="D917" s="518"/>
      <c r="E917" s="409"/>
      <c r="F917" s="312"/>
      <c r="G917" s="522"/>
      <c r="H917" s="312"/>
      <c r="I917" s="455"/>
      <c r="J917" s="271" t="b">
        <f>Age_Sex22[[#This Row],[Total Spending After Applying Truncation at the Member Level]]+Age_Sex22[[#This Row],[Total Dollars Excluded from Spending After Applying Truncation at the Member Level]]=Age_Sex22[[#This Row],[Total Spending before Truncation is Applied]]</f>
        <v>1</v>
      </c>
    </row>
    <row r="918" spans="1:10" x14ac:dyDescent="0.25">
      <c r="A918" s="389"/>
      <c r="B918" s="4"/>
      <c r="C918" s="16"/>
      <c r="D918" s="519"/>
      <c r="E918" s="410"/>
      <c r="F918" s="313"/>
      <c r="G918" s="256"/>
      <c r="H918" s="313"/>
      <c r="I918" s="456"/>
      <c r="J918" s="271" t="b">
        <f>Age_Sex22[[#This Row],[Total Spending After Applying Truncation at the Member Level]]+Age_Sex22[[#This Row],[Total Dollars Excluded from Spending After Applying Truncation at the Member Level]]=Age_Sex22[[#This Row],[Total Spending before Truncation is Applied]]</f>
        <v>1</v>
      </c>
    </row>
    <row r="919" spans="1:10" x14ac:dyDescent="0.25">
      <c r="A919" s="386"/>
      <c r="B919" s="310"/>
      <c r="C919" s="311"/>
      <c r="D919" s="518"/>
      <c r="E919" s="409"/>
      <c r="F919" s="312"/>
      <c r="G919" s="522"/>
      <c r="H919" s="312"/>
      <c r="I919" s="455"/>
      <c r="J919" s="271" t="b">
        <f>Age_Sex22[[#This Row],[Total Spending After Applying Truncation at the Member Level]]+Age_Sex22[[#This Row],[Total Dollars Excluded from Spending After Applying Truncation at the Member Level]]=Age_Sex22[[#This Row],[Total Spending before Truncation is Applied]]</f>
        <v>1</v>
      </c>
    </row>
    <row r="920" spans="1:10" x14ac:dyDescent="0.25">
      <c r="A920" s="389"/>
      <c r="B920" s="4"/>
      <c r="C920" s="16"/>
      <c r="D920" s="519"/>
      <c r="E920" s="410"/>
      <c r="F920" s="313"/>
      <c r="G920" s="256"/>
      <c r="H920" s="313"/>
      <c r="I920" s="456"/>
      <c r="J920" s="271" t="b">
        <f>Age_Sex22[[#This Row],[Total Spending After Applying Truncation at the Member Level]]+Age_Sex22[[#This Row],[Total Dollars Excluded from Spending After Applying Truncation at the Member Level]]=Age_Sex22[[#This Row],[Total Spending before Truncation is Applied]]</f>
        <v>1</v>
      </c>
    </row>
    <row r="921" spans="1:10" x14ac:dyDescent="0.25">
      <c r="A921" s="386"/>
      <c r="B921" s="310"/>
      <c r="C921" s="311"/>
      <c r="D921" s="518"/>
      <c r="E921" s="409"/>
      <c r="F921" s="312"/>
      <c r="G921" s="522"/>
      <c r="H921" s="312"/>
      <c r="I921" s="455"/>
      <c r="J921" s="271" t="b">
        <f>Age_Sex22[[#This Row],[Total Spending After Applying Truncation at the Member Level]]+Age_Sex22[[#This Row],[Total Dollars Excluded from Spending After Applying Truncation at the Member Level]]=Age_Sex22[[#This Row],[Total Spending before Truncation is Applied]]</f>
        <v>1</v>
      </c>
    </row>
    <row r="922" spans="1:10" x14ac:dyDescent="0.25">
      <c r="A922" s="389"/>
      <c r="B922" s="4"/>
      <c r="C922" s="16"/>
      <c r="D922" s="519"/>
      <c r="E922" s="410"/>
      <c r="F922" s="313"/>
      <c r="G922" s="256"/>
      <c r="H922" s="313"/>
      <c r="I922" s="456"/>
      <c r="J922" s="271" t="b">
        <f>Age_Sex22[[#This Row],[Total Spending After Applying Truncation at the Member Level]]+Age_Sex22[[#This Row],[Total Dollars Excluded from Spending After Applying Truncation at the Member Level]]=Age_Sex22[[#This Row],[Total Spending before Truncation is Applied]]</f>
        <v>1</v>
      </c>
    </row>
    <row r="923" spans="1:10" x14ac:dyDescent="0.25">
      <c r="A923" s="386"/>
      <c r="B923" s="310"/>
      <c r="C923" s="311"/>
      <c r="D923" s="518"/>
      <c r="E923" s="409"/>
      <c r="F923" s="312"/>
      <c r="G923" s="522"/>
      <c r="H923" s="312"/>
      <c r="I923" s="455"/>
      <c r="J923" s="271" t="b">
        <f>Age_Sex22[[#This Row],[Total Spending After Applying Truncation at the Member Level]]+Age_Sex22[[#This Row],[Total Dollars Excluded from Spending After Applying Truncation at the Member Level]]=Age_Sex22[[#This Row],[Total Spending before Truncation is Applied]]</f>
        <v>1</v>
      </c>
    </row>
    <row r="924" spans="1:10" x14ac:dyDescent="0.25">
      <c r="A924" s="389"/>
      <c r="B924" s="4"/>
      <c r="C924" s="16"/>
      <c r="D924" s="519"/>
      <c r="E924" s="410"/>
      <c r="F924" s="313"/>
      <c r="G924" s="256"/>
      <c r="H924" s="313"/>
      <c r="I924" s="456"/>
      <c r="J924" s="271" t="b">
        <f>Age_Sex22[[#This Row],[Total Spending After Applying Truncation at the Member Level]]+Age_Sex22[[#This Row],[Total Dollars Excluded from Spending After Applying Truncation at the Member Level]]=Age_Sex22[[#This Row],[Total Spending before Truncation is Applied]]</f>
        <v>1</v>
      </c>
    </row>
    <row r="925" spans="1:10" x14ac:dyDescent="0.25">
      <c r="A925" s="386"/>
      <c r="B925" s="310"/>
      <c r="C925" s="311"/>
      <c r="D925" s="518"/>
      <c r="E925" s="409"/>
      <c r="F925" s="312"/>
      <c r="G925" s="522"/>
      <c r="H925" s="312"/>
      <c r="I925" s="455"/>
      <c r="J925" s="271" t="b">
        <f>Age_Sex22[[#This Row],[Total Spending After Applying Truncation at the Member Level]]+Age_Sex22[[#This Row],[Total Dollars Excluded from Spending After Applying Truncation at the Member Level]]=Age_Sex22[[#This Row],[Total Spending before Truncation is Applied]]</f>
        <v>1</v>
      </c>
    </row>
    <row r="926" spans="1:10" x14ac:dyDescent="0.25">
      <c r="A926" s="389"/>
      <c r="B926" s="4"/>
      <c r="C926" s="16"/>
      <c r="D926" s="519"/>
      <c r="E926" s="410"/>
      <c r="F926" s="313"/>
      <c r="G926" s="256"/>
      <c r="H926" s="313"/>
      <c r="I926" s="456"/>
      <c r="J926" s="271" t="b">
        <f>Age_Sex22[[#This Row],[Total Spending After Applying Truncation at the Member Level]]+Age_Sex22[[#This Row],[Total Dollars Excluded from Spending After Applying Truncation at the Member Level]]=Age_Sex22[[#This Row],[Total Spending before Truncation is Applied]]</f>
        <v>1</v>
      </c>
    </row>
    <row r="927" spans="1:10" x14ac:dyDescent="0.25">
      <c r="A927" s="386"/>
      <c r="B927" s="310"/>
      <c r="C927" s="311"/>
      <c r="D927" s="518"/>
      <c r="E927" s="409"/>
      <c r="F927" s="312"/>
      <c r="G927" s="522"/>
      <c r="H927" s="312"/>
      <c r="I927" s="455"/>
      <c r="J927" s="271" t="b">
        <f>Age_Sex22[[#This Row],[Total Spending After Applying Truncation at the Member Level]]+Age_Sex22[[#This Row],[Total Dollars Excluded from Spending After Applying Truncation at the Member Level]]=Age_Sex22[[#This Row],[Total Spending before Truncation is Applied]]</f>
        <v>1</v>
      </c>
    </row>
    <row r="928" spans="1:10" x14ac:dyDescent="0.25">
      <c r="A928" s="389"/>
      <c r="B928" s="4"/>
      <c r="C928" s="16"/>
      <c r="D928" s="519"/>
      <c r="E928" s="410"/>
      <c r="F928" s="313"/>
      <c r="G928" s="256"/>
      <c r="H928" s="313"/>
      <c r="I928" s="456"/>
      <c r="J928" s="271" t="b">
        <f>Age_Sex22[[#This Row],[Total Spending After Applying Truncation at the Member Level]]+Age_Sex22[[#This Row],[Total Dollars Excluded from Spending After Applying Truncation at the Member Level]]=Age_Sex22[[#This Row],[Total Spending before Truncation is Applied]]</f>
        <v>1</v>
      </c>
    </row>
    <row r="929" spans="1:10" x14ac:dyDescent="0.25">
      <c r="A929" s="386"/>
      <c r="B929" s="310"/>
      <c r="C929" s="311"/>
      <c r="D929" s="518"/>
      <c r="E929" s="409"/>
      <c r="F929" s="312"/>
      <c r="G929" s="522"/>
      <c r="H929" s="312"/>
      <c r="I929" s="455"/>
      <c r="J929" s="271" t="b">
        <f>Age_Sex22[[#This Row],[Total Spending After Applying Truncation at the Member Level]]+Age_Sex22[[#This Row],[Total Dollars Excluded from Spending After Applying Truncation at the Member Level]]=Age_Sex22[[#This Row],[Total Spending before Truncation is Applied]]</f>
        <v>1</v>
      </c>
    </row>
    <row r="930" spans="1:10" x14ac:dyDescent="0.25">
      <c r="A930" s="389"/>
      <c r="B930" s="4"/>
      <c r="C930" s="16"/>
      <c r="D930" s="519"/>
      <c r="E930" s="410"/>
      <c r="F930" s="313"/>
      <c r="G930" s="256"/>
      <c r="H930" s="313"/>
      <c r="I930" s="456"/>
      <c r="J930" s="271" t="b">
        <f>Age_Sex22[[#This Row],[Total Spending After Applying Truncation at the Member Level]]+Age_Sex22[[#This Row],[Total Dollars Excluded from Spending After Applying Truncation at the Member Level]]=Age_Sex22[[#This Row],[Total Spending before Truncation is Applied]]</f>
        <v>1</v>
      </c>
    </row>
    <row r="931" spans="1:10" x14ac:dyDescent="0.25">
      <c r="A931" s="386"/>
      <c r="B931" s="310"/>
      <c r="C931" s="311"/>
      <c r="D931" s="518"/>
      <c r="E931" s="409"/>
      <c r="F931" s="312"/>
      <c r="G931" s="522"/>
      <c r="H931" s="312"/>
      <c r="I931" s="455"/>
      <c r="J931" s="271" t="b">
        <f>Age_Sex22[[#This Row],[Total Spending After Applying Truncation at the Member Level]]+Age_Sex22[[#This Row],[Total Dollars Excluded from Spending After Applying Truncation at the Member Level]]=Age_Sex22[[#This Row],[Total Spending before Truncation is Applied]]</f>
        <v>1</v>
      </c>
    </row>
    <row r="932" spans="1:10" x14ac:dyDescent="0.25">
      <c r="A932" s="389"/>
      <c r="B932" s="4"/>
      <c r="C932" s="16"/>
      <c r="D932" s="519"/>
      <c r="E932" s="410"/>
      <c r="F932" s="313"/>
      <c r="G932" s="256"/>
      <c r="H932" s="313"/>
      <c r="I932" s="456"/>
      <c r="J932" s="271" t="b">
        <f>Age_Sex22[[#This Row],[Total Spending After Applying Truncation at the Member Level]]+Age_Sex22[[#This Row],[Total Dollars Excluded from Spending After Applying Truncation at the Member Level]]=Age_Sex22[[#This Row],[Total Spending before Truncation is Applied]]</f>
        <v>1</v>
      </c>
    </row>
    <row r="933" spans="1:10" x14ac:dyDescent="0.25">
      <c r="A933" s="386"/>
      <c r="B933" s="310"/>
      <c r="C933" s="311"/>
      <c r="D933" s="518"/>
      <c r="E933" s="409"/>
      <c r="F933" s="312"/>
      <c r="G933" s="522"/>
      <c r="H933" s="312"/>
      <c r="I933" s="455"/>
      <c r="J933" s="271" t="b">
        <f>Age_Sex22[[#This Row],[Total Spending After Applying Truncation at the Member Level]]+Age_Sex22[[#This Row],[Total Dollars Excluded from Spending After Applying Truncation at the Member Level]]=Age_Sex22[[#This Row],[Total Spending before Truncation is Applied]]</f>
        <v>1</v>
      </c>
    </row>
    <row r="934" spans="1:10" x14ac:dyDescent="0.25">
      <c r="A934" s="389"/>
      <c r="B934" s="4"/>
      <c r="C934" s="16"/>
      <c r="D934" s="519"/>
      <c r="E934" s="410"/>
      <c r="F934" s="313"/>
      <c r="G934" s="256"/>
      <c r="H934" s="313"/>
      <c r="I934" s="456"/>
      <c r="J934" s="271" t="b">
        <f>Age_Sex22[[#This Row],[Total Spending After Applying Truncation at the Member Level]]+Age_Sex22[[#This Row],[Total Dollars Excluded from Spending After Applying Truncation at the Member Level]]=Age_Sex22[[#This Row],[Total Spending before Truncation is Applied]]</f>
        <v>1</v>
      </c>
    </row>
    <row r="935" spans="1:10" x14ac:dyDescent="0.25">
      <c r="A935" s="386"/>
      <c r="B935" s="310"/>
      <c r="C935" s="311"/>
      <c r="D935" s="518"/>
      <c r="E935" s="409"/>
      <c r="F935" s="312"/>
      <c r="G935" s="522"/>
      <c r="H935" s="312"/>
      <c r="I935" s="455"/>
      <c r="J935" s="271" t="b">
        <f>Age_Sex22[[#This Row],[Total Spending After Applying Truncation at the Member Level]]+Age_Sex22[[#This Row],[Total Dollars Excluded from Spending After Applying Truncation at the Member Level]]=Age_Sex22[[#This Row],[Total Spending before Truncation is Applied]]</f>
        <v>1</v>
      </c>
    </row>
    <row r="936" spans="1:10" x14ac:dyDescent="0.25">
      <c r="A936" s="389"/>
      <c r="B936" s="4"/>
      <c r="C936" s="16"/>
      <c r="D936" s="519"/>
      <c r="E936" s="410"/>
      <c r="F936" s="313"/>
      <c r="G936" s="256"/>
      <c r="H936" s="313"/>
      <c r="I936" s="456"/>
      <c r="J936" s="271" t="b">
        <f>Age_Sex22[[#This Row],[Total Spending After Applying Truncation at the Member Level]]+Age_Sex22[[#This Row],[Total Dollars Excluded from Spending After Applying Truncation at the Member Level]]=Age_Sex22[[#This Row],[Total Spending before Truncation is Applied]]</f>
        <v>1</v>
      </c>
    </row>
    <row r="937" spans="1:10" x14ac:dyDescent="0.25">
      <c r="A937" s="386"/>
      <c r="B937" s="310"/>
      <c r="C937" s="311"/>
      <c r="D937" s="518"/>
      <c r="E937" s="409"/>
      <c r="F937" s="312"/>
      <c r="G937" s="522"/>
      <c r="H937" s="312"/>
      <c r="I937" s="455"/>
      <c r="J937" s="271" t="b">
        <f>Age_Sex22[[#This Row],[Total Spending After Applying Truncation at the Member Level]]+Age_Sex22[[#This Row],[Total Dollars Excluded from Spending After Applying Truncation at the Member Level]]=Age_Sex22[[#This Row],[Total Spending before Truncation is Applied]]</f>
        <v>1</v>
      </c>
    </row>
    <row r="938" spans="1:10" x14ac:dyDescent="0.25">
      <c r="A938" s="389"/>
      <c r="B938" s="4"/>
      <c r="C938" s="16"/>
      <c r="D938" s="519"/>
      <c r="E938" s="410"/>
      <c r="F938" s="313"/>
      <c r="G938" s="256"/>
      <c r="H938" s="313"/>
      <c r="I938" s="456"/>
      <c r="J938" s="271" t="b">
        <f>Age_Sex22[[#This Row],[Total Spending After Applying Truncation at the Member Level]]+Age_Sex22[[#This Row],[Total Dollars Excluded from Spending After Applying Truncation at the Member Level]]=Age_Sex22[[#This Row],[Total Spending before Truncation is Applied]]</f>
        <v>1</v>
      </c>
    </row>
    <row r="939" spans="1:10" x14ac:dyDescent="0.25">
      <c r="A939" s="386"/>
      <c r="B939" s="310"/>
      <c r="C939" s="311"/>
      <c r="D939" s="518"/>
      <c r="E939" s="409"/>
      <c r="F939" s="312"/>
      <c r="G939" s="522"/>
      <c r="H939" s="312"/>
      <c r="I939" s="455"/>
      <c r="J939" s="271" t="b">
        <f>Age_Sex22[[#This Row],[Total Spending After Applying Truncation at the Member Level]]+Age_Sex22[[#This Row],[Total Dollars Excluded from Spending After Applying Truncation at the Member Level]]=Age_Sex22[[#This Row],[Total Spending before Truncation is Applied]]</f>
        <v>1</v>
      </c>
    </row>
    <row r="940" spans="1:10" x14ac:dyDescent="0.25">
      <c r="A940" s="389"/>
      <c r="B940" s="4"/>
      <c r="C940" s="16"/>
      <c r="D940" s="519"/>
      <c r="E940" s="410"/>
      <c r="F940" s="313"/>
      <c r="G940" s="256"/>
      <c r="H940" s="313"/>
      <c r="I940" s="456"/>
      <c r="J940" s="271" t="b">
        <f>Age_Sex22[[#This Row],[Total Spending After Applying Truncation at the Member Level]]+Age_Sex22[[#This Row],[Total Dollars Excluded from Spending After Applying Truncation at the Member Level]]=Age_Sex22[[#This Row],[Total Spending before Truncation is Applied]]</f>
        <v>1</v>
      </c>
    </row>
    <row r="941" spans="1:10" x14ac:dyDescent="0.25">
      <c r="A941" s="386"/>
      <c r="B941" s="310"/>
      <c r="C941" s="311"/>
      <c r="D941" s="518"/>
      <c r="E941" s="409"/>
      <c r="F941" s="312"/>
      <c r="G941" s="522"/>
      <c r="H941" s="312"/>
      <c r="I941" s="455"/>
      <c r="J941" s="271" t="b">
        <f>Age_Sex22[[#This Row],[Total Spending After Applying Truncation at the Member Level]]+Age_Sex22[[#This Row],[Total Dollars Excluded from Spending After Applying Truncation at the Member Level]]=Age_Sex22[[#This Row],[Total Spending before Truncation is Applied]]</f>
        <v>1</v>
      </c>
    </row>
    <row r="942" spans="1:10" x14ac:dyDescent="0.25">
      <c r="A942" s="389"/>
      <c r="B942" s="4"/>
      <c r="C942" s="16"/>
      <c r="D942" s="519"/>
      <c r="E942" s="410"/>
      <c r="F942" s="313"/>
      <c r="G942" s="256"/>
      <c r="H942" s="313"/>
      <c r="I942" s="456"/>
      <c r="J942" s="271" t="b">
        <f>Age_Sex22[[#This Row],[Total Spending After Applying Truncation at the Member Level]]+Age_Sex22[[#This Row],[Total Dollars Excluded from Spending After Applying Truncation at the Member Level]]=Age_Sex22[[#This Row],[Total Spending before Truncation is Applied]]</f>
        <v>1</v>
      </c>
    </row>
    <row r="943" spans="1:10" x14ac:dyDescent="0.25">
      <c r="A943" s="386"/>
      <c r="B943" s="310"/>
      <c r="C943" s="311"/>
      <c r="D943" s="518"/>
      <c r="E943" s="409"/>
      <c r="F943" s="312"/>
      <c r="G943" s="522"/>
      <c r="H943" s="312"/>
      <c r="I943" s="455"/>
      <c r="J943" s="271" t="b">
        <f>Age_Sex22[[#This Row],[Total Spending After Applying Truncation at the Member Level]]+Age_Sex22[[#This Row],[Total Dollars Excluded from Spending After Applying Truncation at the Member Level]]=Age_Sex22[[#This Row],[Total Spending before Truncation is Applied]]</f>
        <v>1</v>
      </c>
    </row>
    <row r="944" spans="1:10" x14ac:dyDescent="0.25">
      <c r="A944" s="389"/>
      <c r="B944" s="4"/>
      <c r="C944" s="16"/>
      <c r="D944" s="519"/>
      <c r="E944" s="410"/>
      <c r="F944" s="313"/>
      <c r="G944" s="256"/>
      <c r="H944" s="313"/>
      <c r="I944" s="456"/>
      <c r="J944" s="271" t="b">
        <f>Age_Sex22[[#This Row],[Total Spending After Applying Truncation at the Member Level]]+Age_Sex22[[#This Row],[Total Dollars Excluded from Spending After Applying Truncation at the Member Level]]=Age_Sex22[[#This Row],[Total Spending before Truncation is Applied]]</f>
        <v>1</v>
      </c>
    </row>
    <row r="945" spans="1:10" x14ac:dyDescent="0.25">
      <c r="A945" s="386"/>
      <c r="B945" s="310"/>
      <c r="C945" s="311"/>
      <c r="D945" s="518"/>
      <c r="E945" s="409"/>
      <c r="F945" s="312"/>
      <c r="G945" s="522"/>
      <c r="H945" s="312"/>
      <c r="I945" s="455"/>
      <c r="J945" s="271" t="b">
        <f>Age_Sex22[[#This Row],[Total Spending After Applying Truncation at the Member Level]]+Age_Sex22[[#This Row],[Total Dollars Excluded from Spending After Applying Truncation at the Member Level]]=Age_Sex22[[#This Row],[Total Spending before Truncation is Applied]]</f>
        <v>1</v>
      </c>
    </row>
    <row r="946" spans="1:10" x14ac:dyDescent="0.25">
      <c r="A946" s="389"/>
      <c r="B946" s="4"/>
      <c r="C946" s="16"/>
      <c r="D946" s="519"/>
      <c r="E946" s="410"/>
      <c r="F946" s="313"/>
      <c r="G946" s="256"/>
      <c r="H946" s="313"/>
      <c r="I946" s="456"/>
      <c r="J946" s="271" t="b">
        <f>Age_Sex22[[#This Row],[Total Spending After Applying Truncation at the Member Level]]+Age_Sex22[[#This Row],[Total Dollars Excluded from Spending After Applying Truncation at the Member Level]]=Age_Sex22[[#This Row],[Total Spending before Truncation is Applied]]</f>
        <v>1</v>
      </c>
    </row>
    <row r="947" spans="1:10" x14ac:dyDescent="0.25">
      <c r="A947" s="386"/>
      <c r="B947" s="310"/>
      <c r="C947" s="311"/>
      <c r="D947" s="518"/>
      <c r="E947" s="409"/>
      <c r="F947" s="312"/>
      <c r="G947" s="522"/>
      <c r="H947" s="312"/>
      <c r="I947" s="455"/>
      <c r="J947" s="271" t="b">
        <f>Age_Sex22[[#This Row],[Total Spending After Applying Truncation at the Member Level]]+Age_Sex22[[#This Row],[Total Dollars Excluded from Spending After Applying Truncation at the Member Level]]=Age_Sex22[[#This Row],[Total Spending before Truncation is Applied]]</f>
        <v>1</v>
      </c>
    </row>
    <row r="948" spans="1:10" x14ac:dyDescent="0.25">
      <c r="A948" s="389"/>
      <c r="B948" s="4"/>
      <c r="C948" s="16"/>
      <c r="D948" s="519"/>
      <c r="E948" s="410"/>
      <c r="F948" s="313"/>
      <c r="G948" s="256"/>
      <c r="H948" s="313"/>
      <c r="I948" s="456"/>
      <c r="J948" s="271" t="b">
        <f>Age_Sex22[[#This Row],[Total Spending After Applying Truncation at the Member Level]]+Age_Sex22[[#This Row],[Total Dollars Excluded from Spending After Applying Truncation at the Member Level]]=Age_Sex22[[#This Row],[Total Spending before Truncation is Applied]]</f>
        <v>1</v>
      </c>
    </row>
    <row r="949" spans="1:10" x14ac:dyDescent="0.25">
      <c r="A949" s="386"/>
      <c r="B949" s="310"/>
      <c r="C949" s="311"/>
      <c r="D949" s="518"/>
      <c r="E949" s="409"/>
      <c r="F949" s="312"/>
      <c r="G949" s="522"/>
      <c r="H949" s="312"/>
      <c r="I949" s="455"/>
      <c r="J949" s="271" t="b">
        <f>Age_Sex22[[#This Row],[Total Spending After Applying Truncation at the Member Level]]+Age_Sex22[[#This Row],[Total Dollars Excluded from Spending After Applying Truncation at the Member Level]]=Age_Sex22[[#This Row],[Total Spending before Truncation is Applied]]</f>
        <v>1</v>
      </c>
    </row>
    <row r="950" spans="1:10" x14ac:dyDescent="0.25">
      <c r="A950" s="389"/>
      <c r="B950" s="4"/>
      <c r="C950" s="16"/>
      <c r="D950" s="519"/>
      <c r="E950" s="410"/>
      <c r="F950" s="313"/>
      <c r="G950" s="256"/>
      <c r="H950" s="313"/>
      <c r="I950" s="456"/>
      <c r="J950" s="271" t="b">
        <f>Age_Sex22[[#This Row],[Total Spending After Applying Truncation at the Member Level]]+Age_Sex22[[#This Row],[Total Dollars Excluded from Spending After Applying Truncation at the Member Level]]=Age_Sex22[[#This Row],[Total Spending before Truncation is Applied]]</f>
        <v>1</v>
      </c>
    </row>
    <row r="951" spans="1:10" x14ac:dyDescent="0.25">
      <c r="A951" s="386"/>
      <c r="B951" s="310"/>
      <c r="C951" s="311"/>
      <c r="D951" s="518"/>
      <c r="E951" s="409"/>
      <c r="F951" s="312"/>
      <c r="G951" s="522"/>
      <c r="H951" s="312"/>
      <c r="I951" s="455"/>
      <c r="J951" s="271" t="b">
        <f>Age_Sex22[[#This Row],[Total Spending After Applying Truncation at the Member Level]]+Age_Sex22[[#This Row],[Total Dollars Excluded from Spending After Applying Truncation at the Member Level]]=Age_Sex22[[#This Row],[Total Spending before Truncation is Applied]]</f>
        <v>1</v>
      </c>
    </row>
    <row r="952" spans="1:10" x14ac:dyDescent="0.25">
      <c r="A952" s="389"/>
      <c r="B952" s="4"/>
      <c r="C952" s="16"/>
      <c r="D952" s="519"/>
      <c r="E952" s="410"/>
      <c r="F952" s="313"/>
      <c r="G952" s="256"/>
      <c r="H952" s="313"/>
      <c r="I952" s="456"/>
      <c r="J952" s="271" t="b">
        <f>Age_Sex22[[#This Row],[Total Spending After Applying Truncation at the Member Level]]+Age_Sex22[[#This Row],[Total Dollars Excluded from Spending After Applying Truncation at the Member Level]]=Age_Sex22[[#This Row],[Total Spending before Truncation is Applied]]</f>
        <v>1</v>
      </c>
    </row>
    <row r="953" spans="1:10" x14ac:dyDescent="0.25">
      <c r="A953" s="386"/>
      <c r="B953" s="310"/>
      <c r="C953" s="311"/>
      <c r="D953" s="518"/>
      <c r="E953" s="409"/>
      <c r="F953" s="312"/>
      <c r="G953" s="522"/>
      <c r="H953" s="312"/>
      <c r="I953" s="455"/>
      <c r="J953" s="271" t="b">
        <f>Age_Sex22[[#This Row],[Total Spending After Applying Truncation at the Member Level]]+Age_Sex22[[#This Row],[Total Dollars Excluded from Spending After Applying Truncation at the Member Level]]=Age_Sex22[[#This Row],[Total Spending before Truncation is Applied]]</f>
        <v>1</v>
      </c>
    </row>
    <row r="954" spans="1:10" x14ac:dyDescent="0.25">
      <c r="A954" s="389"/>
      <c r="B954" s="4"/>
      <c r="C954" s="16"/>
      <c r="D954" s="519"/>
      <c r="E954" s="410"/>
      <c r="F954" s="313"/>
      <c r="G954" s="256"/>
      <c r="H954" s="313"/>
      <c r="I954" s="456"/>
      <c r="J954" s="271" t="b">
        <f>Age_Sex22[[#This Row],[Total Spending After Applying Truncation at the Member Level]]+Age_Sex22[[#This Row],[Total Dollars Excluded from Spending After Applying Truncation at the Member Level]]=Age_Sex22[[#This Row],[Total Spending before Truncation is Applied]]</f>
        <v>1</v>
      </c>
    </row>
    <row r="955" spans="1:10" x14ac:dyDescent="0.25">
      <c r="A955" s="386"/>
      <c r="B955" s="310"/>
      <c r="C955" s="311"/>
      <c r="D955" s="518"/>
      <c r="E955" s="409"/>
      <c r="F955" s="312"/>
      <c r="G955" s="522"/>
      <c r="H955" s="312"/>
      <c r="I955" s="455"/>
      <c r="J955" s="271" t="b">
        <f>Age_Sex22[[#This Row],[Total Spending After Applying Truncation at the Member Level]]+Age_Sex22[[#This Row],[Total Dollars Excluded from Spending After Applying Truncation at the Member Level]]=Age_Sex22[[#This Row],[Total Spending before Truncation is Applied]]</f>
        <v>1</v>
      </c>
    </row>
    <row r="956" spans="1:10" x14ac:dyDescent="0.25">
      <c r="A956" s="389"/>
      <c r="B956" s="4"/>
      <c r="C956" s="16"/>
      <c r="D956" s="519"/>
      <c r="E956" s="410"/>
      <c r="F956" s="313"/>
      <c r="G956" s="256"/>
      <c r="H956" s="313"/>
      <c r="I956" s="456"/>
      <c r="J956" s="271" t="b">
        <f>Age_Sex22[[#This Row],[Total Spending After Applying Truncation at the Member Level]]+Age_Sex22[[#This Row],[Total Dollars Excluded from Spending After Applying Truncation at the Member Level]]=Age_Sex22[[#This Row],[Total Spending before Truncation is Applied]]</f>
        <v>1</v>
      </c>
    </row>
    <row r="957" spans="1:10" x14ac:dyDescent="0.25">
      <c r="A957" s="386"/>
      <c r="B957" s="310"/>
      <c r="C957" s="311"/>
      <c r="D957" s="518"/>
      <c r="E957" s="409"/>
      <c r="F957" s="312"/>
      <c r="G957" s="522"/>
      <c r="H957" s="312"/>
      <c r="I957" s="455"/>
      <c r="J957" s="271" t="b">
        <f>Age_Sex22[[#This Row],[Total Spending After Applying Truncation at the Member Level]]+Age_Sex22[[#This Row],[Total Dollars Excluded from Spending After Applying Truncation at the Member Level]]=Age_Sex22[[#This Row],[Total Spending before Truncation is Applied]]</f>
        <v>1</v>
      </c>
    </row>
    <row r="958" spans="1:10" x14ac:dyDescent="0.25">
      <c r="A958" s="389"/>
      <c r="B958" s="4"/>
      <c r="C958" s="16"/>
      <c r="D958" s="519"/>
      <c r="E958" s="410"/>
      <c r="F958" s="313"/>
      <c r="G958" s="256"/>
      <c r="H958" s="313"/>
      <c r="I958" s="456"/>
      <c r="J958" s="271" t="b">
        <f>Age_Sex22[[#This Row],[Total Spending After Applying Truncation at the Member Level]]+Age_Sex22[[#This Row],[Total Dollars Excluded from Spending After Applying Truncation at the Member Level]]=Age_Sex22[[#This Row],[Total Spending before Truncation is Applied]]</f>
        <v>1</v>
      </c>
    </row>
    <row r="959" spans="1:10" x14ac:dyDescent="0.25">
      <c r="A959" s="386"/>
      <c r="B959" s="310"/>
      <c r="C959" s="311"/>
      <c r="D959" s="518"/>
      <c r="E959" s="409"/>
      <c r="F959" s="312"/>
      <c r="G959" s="522"/>
      <c r="H959" s="312"/>
      <c r="I959" s="455"/>
      <c r="J959" s="271" t="b">
        <f>Age_Sex22[[#This Row],[Total Spending After Applying Truncation at the Member Level]]+Age_Sex22[[#This Row],[Total Dollars Excluded from Spending After Applying Truncation at the Member Level]]=Age_Sex22[[#This Row],[Total Spending before Truncation is Applied]]</f>
        <v>1</v>
      </c>
    </row>
    <row r="960" spans="1:10" x14ac:dyDescent="0.25">
      <c r="A960" s="389"/>
      <c r="B960" s="4"/>
      <c r="C960" s="16"/>
      <c r="D960" s="519"/>
      <c r="E960" s="410"/>
      <c r="F960" s="313"/>
      <c r="G960" s="256"/>
      <c r="H960" s="313"/>
      <c r="I960" s="456"/>
      <c r="J960" s="271" t="b">
        <f>Age_Sex22[[#This Row],[Total Spending After Applying Truncation at the Member Level]]+Age_Sex22[[#This Row],[Total Dollars Excluded from Spending After Applying Truncation at the Member Level]]=Age_Sex22[[#This Row],[Total Spending before Truncation is Applied]]</f>
        <v>1</v>
      </c>
    </row>
    <row r="961" spans="1:10" x14ac:dyDescent="0.25">
      <c r="A961" s="386"/>
      <c r="B961" s="310"/>
      <c r="C961" s="311"/>
      <c r="D961" s="518"/>
      <c r="E961" s="409"/>
      <c r="F961" s="312"/>
      <c r="G961" s="522"/>
      <c r="H961" s="312"/>
      <c r="I961" s="455"/>
      <c r="J961" s="271" t="b">
        <f>Age_Sex22[[#This Row],[Total Spending After Applying Truncation at the Member Level]]+Age_Sex22[[#This Row],[Total Dollars Excluded from Spending After Applying Truncation at the Member Level]]=Age_Sex22[[#This Row],[Total Spending before Truncation is Applied]]</f>
        <v>1</v>
      </c>
    </row>
    <row r="962" spans="1:10" x14ac:dyDescent="0.25">
      <c r="A962" s="389"/>
      <c r="B962" s="4"/>
      <c r="C962" s="16"/>
      <c r="D962" s="519"/>
      <c r="E962" s="410"/>
      <c r="F962" s="313"/>
      <c r="G962" s="256"/>
      <c r="H962" s="313"/>
      <c r="I962" s="456"/>
      <c r="J962" s="271" t="b">
        <f>Age_Sex22[[#This Row],[Total Spending After Applying Truncation at the Member Level]]+Age_Sex22[[#This Row],[Total Dollars Excluded from Spending After Applying Truncation at the Member Level]]=Age_Sex22[[#This Row],[Total Spending before Truncation is Applied]]</f>
        <v>1</v>
      </c>
    </row>
    <row r="963" spans="1:10" x14ac:dyDescent="0.25">
      <c r="A963" s="386"/>
      <c r="B963" s="310"/>
      <c r="C963" s="311"/>
      <c r="D963" s="518"/>
      <c r="E963" s="409"/>
      <c r="F963" s="312"/>
      <c r="G963" s="522"/>
      <c r="H963" s="312"/>
      <c r="I963" s="455"/>
      <c r="J963" s="271" t="b">
        <f>Age_Sex22[[#This Row],[Total Spending After Applying Truncation at the Member Level]]+Age_Sex22[[#This Row],[Total Dollars Excluded from Spending After Applying Truncation at the Member Level]]=Age_Sex22[[#This Row],[Total Spending before Truncation is Applied]]</f>
        <v>1</v>
      </c>
    </row>
    <row r="964" spans="1:10" x14ac:dyDescent="0.25">
      <c r="A964" s="389"/>
      <c r="B964" s="4"/>
      <c r="C964" s="16"/>
      <c r="D964" s="519"/>
      <c r="E964" s="410"/>
      <c r="F964" s="313"/>
      <c r="G964" s="256"/>
      <c r="H964" s="313"/>
      <c r="I964" s="456"/>
      <c r="J964" s="271" t="b">
        <f>Age_Sex22[[#This Row],[Total Spending After Applying Truncation at the Member Level]]+Age_Sex22[[#This Row],[Total Dollars Excluded from Spending After Applying Truncation at the Member Level]]=Age_Sex22[[#This Row],[Total Spending before Truncation is Applied]]</f>
        <v>1</v>
      </c>
    </row>
    <row r="965" spans="1:10" x14ac:dyDescent="0.25">
      <c r="A965" s="386"/>
      <c r="B965" s="310"/>
      <c r="C965" s="311"/>
      <c r="D965" s="518"/>
      <c r="E965" s="409"/>
      <c r="F965" s="312"/>
      <c r="G965" s="522"/>
      <c r="H965" s="312"/>
      <c r="I965" s="455"/>
      <c r="J965" s="271" t="b">
        <f>Age_Sex22[[#This Row],[Total Spending After Applying Truncation at the Member Level]]+Age_Sex22[[#This Row],[Total Dollars Excluded from Spending After Applying Truncation at the Member Level]]=Age_Sex22[[#This Row],[Total Spending before Truncation is Applied]]</f>
        <v>1</v>
      </c>
    </row>
    <row r="966" spans="1:10" x14ac:dyDescent="0.25">
      <c r="A966" s="389"/>
      <c r="B966" s="4"/>
      <c r="C966" s="16"/>
      <c r="D966" s="519"/>
      <c r="E966" s="410"/>
      <c r="F966" s="313"/>
      <c r="G966" s="256"/>
      <c r="H966" s="313"/>
      <c r="I966" s="456"/>
      <c r="J966" s="271" t="b">
        <f>Age_Sex22[[#This Row],[Total Spending After Applying Truncation at the Member Level]]+Age_Sex22[[#This Row],[Total Dollars Excluded from Spending After Applying Truncation at the Member Level]]=Age_Sex22[[#This Row],[Total Spending before Truncation is Applied]]</f>
        <v>1</v>
      </c>
    </row>
    <row r="967" spans="1:10" x14ac:dyDescent="0.25">
      <c r="A967" s="386"/>
      <c r="B967" s="310"/>
      <c r="C967" s="311"/>
      <c r="D967" s="518"/>
      <c r="E967" s="409"/>
      <c r="F967" s="312"/>
      <c r="G967" s="522"/>
      <c r="H967" s="312"/>
      <c r="I967" s="455"/>
      <c r="J967" s="271" t="b">
        <f>Age_Sex22[[#This Row],[Total Spending After Applying Truncation at the Member Level]]+Age_Sex22[[#This Row],[Total Dollars Excluded from Spending After Applying Truncation at the Member Level]]=Age_Sex22[[#This Row],[Total Spending before Truncation is Applied]]</f>
        <v>1</v>
      </c>
    </row>
    <row r="968" spans="1:10" x14ac:dyDescent="0.25">
      <c r="A968" s="389"/>
      <c r="B968" s="4"/>
      <c r="C968" s="16"/>
      <c r="D968" s="519"/>
      <c r="E968" s="410"/>
      <c r="F968" s="313"/>
      <c r="G968" s="256"/>
      <c r="H968" s="313"/>
      <c r="I968" s="456"/>
      <c r="J968" s="271" t="b">
        <f>Age_Sex22[[#This Row],[Total Spending After Applying Truncation at the Member Level]]+Age_Sex22[[#This Row],[Total Dollars Excluded from Spending After Applying Truncation at the Member Level]]=Age_Sex22[[#This Row],[Total Spending before Truncation is Applied]]</f>
        <v>1</v>
      </c>
    </row>
    <row r="969" spans="1:10" x14ac:dyDescent="0.25">
      <c r="A969" s="386"/>
      <c r="B969" s="310"/>
      <c r="C969" s="311"/>
      <c r="D969" s="518"/>
      <c r="E969" s="409"/>
      <c r="F969" s="312"/>
      <c r="G969" s="522"/>
      <c r="H969" s="312"/>
      <c r="I969" s="455"/>
      <c r="J969" s="271" t="b">
        <f>Age_Sex22[[#This Row],[Total Spending After Applying Truncation at the Member Level]]+Age_Sex22[[#This Row],[Total Dollars Excluded from Spending After Applying Truncation at the Member Level]]=Age_Sex22[[#This Row],[Total Spending before Truncation is Applied]]</f>
        <v>1</v>
      </c>
    </row>
    <row r="970" spans="1:10" x14ac:dyDescent="0.25">
      <c r="A970" s="389"/>
      <c r="B970" s="4"/>
      <c r="C970" s="16"/>
      <c r="D970" s="519"/>
      <c r="E970" s="410"/>
      <c r="F970" s="313"/>
      <c r="G970" s="256"/>
      <c r="H970" s="313"/>
      <c r="I970" s="456"/>
      <c r="J970" s="271" t="b">
        <f>Age_Sex22[[#This Row],[Total Spending After Applying Truncation at the Member Level]]+Age_Sex22[[#This Row],[Total Dollars Excluded from Spending After Applying Truncation at the Member Level]]=Age_Sex22[[#This Row],[Total Spending before Truncation is Applied]]</f>
        <v>1</v>
      </c>
    </row>
    <row r="971" spans="1:10" x14ac:dyDescent="0.25">
      <c r="A971" s="386"/>
      <c r="B971" s="310"/>
      <c r="C971" s="311"/>
      <c r="D971" s="518"/>
      <c r="E971" s="409"/>
      <c r="F971" s="312"/>
      <c r="G971" s="522"/>
      <c r="H971" s="312"/>
      <c r="I971" s="455"/>
      <c r="J971" s="271" t="b">
        <f>Age_Sex22[[#This Row],[Total Spending After Applying Truncation at the Member Level]]+Age_Sex22[[#This Row],[Total Dollars Excluded from Spending After Applying Truncation at the Member Level]]=Age_Sex22[[#This Row],[Total Spending before Truncation is Applied]]</f>
        <v>1</v>
      </c>
    </row>
    <row r="972" spans="1:10" x14ac:dyDescent="0.25">
      <c r="A972" s="389"/>
      <c r="B972" s="4"/>
      <c r="C972" s="16"/>
      <c r="D972" s="519"/>
      <c r="E972" s="410"/>
      <c r="F972" s="313"/>
      <c r="G972" s="256"/>
      <c r="H972" s="313"/>
      <c r="I972" s="456"/>
      <c r="J972" s="271" t="b">
        <f>Age_Sex22[[#This Row],[Total Spending After Applying Truncation at the Member Level]]+Age_Sex22[[#This Row],[Total Dollars Excluded from Spending After Applying Truncation at the Member Level]]=Age_Sex22[[#This Row],[Total Spending before Truncation is Applied]]</f>
        <v>1</v>
      </c>
    </row>
    <row r="973" spans="1:10" x14ac:dyDescent="0.25">
      <c r="A973" s="386"/>
      <c r="B973" s="310"/>
      <c r="C973" s="311"/>
      <c r="D973" s="518"/>
      <c r="E973" s="409"/>
      <c r="F973" s="312"/>
      <c r="G973" s="522"/>
      <c r="H973" s="312"/>
      <c r="I973" s="455"/>
      <c r="J973" s="271" t="b">
        <f>Age_Sex22[[#This Row],[Total Spending After Applying Truncation at the Member Level]]+Age_Sex22[[#This Row],[Total Dollars Excluded from Spending After Applying Truncation at the Member Level]]=Age_Sex22[[#This Row],[Total Spending before Truncation is Applied]]</f>
        <v>1</v>
      </c>
    </row>
    <row r="974" spans="1:10" x14ac:dyDescent="0.25">
      <c r="A974" s="389"/>
      <c r="B974" s="4"/>
      <c r="C974" s="16"/>
      <c r="D974" s="519"/>
      <c r="E974" s="410"/>
      <c r="F974" s="313"/>
      <c r="G974" s="256"/>
      <c r="H974" s="313"/>
      <c r="I974" s="456"/>
      <c r="J974" s="271" t="b">
        <f>Age_Sex22[[#This Row],[Total Spending After Applying Truncation at the Member Level]]+Age_Sex22[[#This Row],[Total Dollars Excluded from Spending After Applying Truncation at the Member Level]]=Age_Sex22[[#This Row],[Total Spending before Truncation is Applied]]</f>
        <v>1</v>
      </c>
    </row>
    <row r="975" spans="1:10" x14ac:dyDescent="0.25">
      <c r="A975" s="386"/>
      <c r="B975" s="310"/>
      <c r="C975" s="311"/>
      <c r="D975" s="518"/>
      <c r="E975" s="409"/>
      <c r="F975" s="312"/>
      <c r="G975" s="522"/>
      <c r="H975" s="312"/>
      <c r="I975" s="455"/>
      <c r="J975" s="271" t="b">
        <f>Age_Sex22[[#This Row],[Total Spending After Applying Truncation at the Member Level]]+Age_Sex22[[#This Row],[Total Dollars Excluded from Spending After Applying Truncation at the Member Level]]=Age_Sex22[[#This Row],[Total Spending before Truncation is Applied]]</f>
        <v>1</v>
      </c>
    </row>
    <row r="976" spans="1:10" x14ac:dyDescent="0.25">
      <c r="A976" s="389"/>
      <c r="B976" s="4"/>
      <c r="C976" s="16"/>
      <c r="D976" s="519"/>
      <c r="E976" s="410"/>
      <c r="F976" s="313"/>
      <c r="G976" s="256"/>
      <c r="H976" s="313"/>
      <c r="I976" s="456"/>
      <c r="J976" s="271" t="b">
        <f>Age_Sex22[[#This Row],[Total Spending After Applying Truncation at the Member Level]]+Age_Sex22[[#This Row],[Total Dollars Excluded from Spending After Applying Truncation at the Member Level]]=Age_Sex22[[#This Row],[Total Spending before Truncation is Applied]]</f>
        <v>1</v>
      </c>
    </row>
    <row r="977" spans="1:10" x14ac:dyDescent="0.25">
      <c r="A977" s="386"/>
      <c r="B977" s="310"/>
      <c r="C977" s="311"/>
      <c r="D977" s="518"/>
      <c r="E977" s="409"/>
      <c r="F977" s="312"/>
      <c r="G977" s="522"/>
      <c r="H977" s="312"/>
      <c r="I977" s="455"/>
      <c r="J977" s="271" t="b">
        <f>Age_Sex22[[#This Row],[Total Spending After Applying Truncation at the Member Level]]+Age_Sex22[[#This Row],[Total Dollars Excluded from Spending After Applying Truncation at the Member Level]]=Age_Sex22[[#This Row],[Total Spending before Truncation is Applied]]</f>
        <v>1</v>
      </c>
    </row>
    <row r="978" spans="1:10" x14ac:dyDescent="0.25">
      <c r="A978" s="389"/>
      <c r="B978" s="4"/>
      <c r="C978" s="16"/>
      <c r="D978" s="519"/>
      <c r="E978" s="410"/>
      <c r="F978" s="313"/>
      <c r="G978" s="256"/>
      <c r="H978" s="313"/>
      <c r="I978" s="456"/>
      <c r="J978" s="271" t="b">
        <f>Age_Sex22[[#This Row],[Total Spending After Applying Truncation at the Member Level]]+Age_Sex22[[#This Row],[Total Dollars Excluded from Spending After Applying Truncation at the Member Level]]=Age_Sex22[[#This Row],[Total Spending before Truncation is Applied]]</f>
        <v>1</v>
      </c>
    </row>
    <row r="979" spans="1:10" x14ac:dyDescent="0.25">
      <c r="A979" s="386"/>
      <c r="B979" s="310"/>
      <c r="C979" s="311"/>
      <c r="D979" s="518"/>
      <c r="E979" s="409"/>
      <c r="F979" s="312"/>
      <c r="G979" s="522"/>
      <c r="H979" s="312"/>
      <c r="I979" s="455"/>
      <c r="J979" s="271" t="b">
        <f>Age_Sex22[[#This Row],[Total Spending After Applying Truncation at the Member Level]]+Age_Sex22[[#This Row],[Total Dollars Excluded from Spending After Applying Truncation at the Member Level]]=Age_Sex22[[#This Row],[Total Spending before Truncation is Applied]]</f>
        <v>1</v>
      </c>
    </row>
    <row r="980" spans="1:10" x14ac:dyDescent="0.25">
      <c r="A980" s="389"/>
      <c r="B980" s="4"/>
      <c r="C980" s="16"/>
      <c r="D980" s="519"/>
      <c r="E980" s="410"/>
      <c r="F980" s="313"/>
      <c r="G980" s="256"/>
      <c r="H980" s="313"/>
      <c r="I980" s="456"/>
      <c r="J980" s="271" t="b">
        <f>Age_Sex22[[#This Row],[Total Spending After Applying Truncation at the Member Level]]+Age_Sex22[[#This Row],[Total Dollars Excluded from Spending After Applying Truncation at the Member Level]]=Age_Sex22[[#This Row],[Total Spending before Truncation is Applied]]</f>
        <v>1</v>
      </c>
    </row>
    <row r="981" spans="1:10" x14ac:dyDescent="0.25">
      <c r="A981" s="386"/>
      <c r="B981" s="310"/>
      <c r="C981" s="311"/>
      <c r="D981" s="518"/>
      <c r="E981" s="409"/>
      <c r="F981" s="312"/>
      <c r="G981" s="522"/>
      <c r="H981" s="312"/>
      <c r="I981" s="455"/>
      <c r="J981" s="271" t="b">
        <f>Age_Sex22[[#This Row],[Total Spending After Applying Truncation at the Member Level]]+Age_Sex22[[#This Row],[Total Dollars Excluded from Spending After Applying Truncation at the Member Level]]=Age_Sex22[[#This Row],[Total Spending before Truncation is Applied]]</f>
        <v>1</v>
      </c>
    </row>
    <row r="982" spans="1:10" x14ac:dyDescent="0.25">
      <c r="A982" s="389"/>
      <c r="B982" s="4"/>
      <c r="C982" s="16"/>
      <c r="D982" s="519"/>
      <c r="E982" s="410"/>
      <c r="F982" s="313"/>
      <c r="G982" s="256"/>
      <c r="H982" s="313"/>
      <c r="I982" s="456"/>
      <c r="J982" s="271" t="b">
        <f>Age_Sex22[[#This Row],[Total Spending After Applying Truncation at the Member Level]]+Age_Sex22[[#This Row],[Total Dollars Excluded from Spending After Applying Truncation at the Member Level]]=Age_Sex22[[#This Row],[Total Spending before Truncation is Applied]]</f>
        <v>1</v>
      </c>
    </row>
    <row r="983" spans="1:10" x14ac:dyDescent="0.25">
      <c r="A983" s="386"/>
      <c r="B983" s="310"/>
      <c r="C983" s="311"/>
      <c r="D983" s="518"/>
      <c r="E983" s="409"/>
      <c r="F983" s="312"/>
      <c r="G983" s="522"/>
      <c r="H983" s="312"/>
      <c r="I983" s="455"/>
      <c r="J983" s="271" t="b">
        <f>Age_Sex22[[#This Row],[Total Spending After Applying Truncation at the Member Level]]+Age_Sex22[[#This Row],[Total Dollars Excluded from Spending After Applying Truncation at the Member Level]]=Age_Sex22[[#This Row],[Total Spending before Truncation is Applied]]</f>
        <v>1</v>
      </c>
    </row>
    <row r="984" spans="1:10" x14ac:dyDescent="0.25">
      <c r="A984" s="389"/>
      <c r="B984" s="4"/>
      <c r="C984" s="16"/>
      <c r="D984" s="519"/>
      <c r="E984" s="410"/>
      <c r="F984" s="313"/>
      <c r="G984" s="256"/>
      <c r="H984" s="313"/>
      <c r="I984" s="456"/>
      <c r="J984" s="271" t="b">
        <f>Age_Sex22[[#This Row],[Total Spending After Applying Truncation at the Member Level]]+Age_Sex22[[#This Row],[Total Dollars Excluded from Spending After Applying Truncation at the Member Level]]=Age_Sex22[[#This Row],[Total Spending before Truncation is Applied]]</f>
        <v>1</v>
      </c>
    </row>
    <row r="985" spans="1:10" x14ac:dyDescent="0.25">
      <c r="A985" s="386"/>
      <c r="B985" s="310"/>
      <c r="C985" s="311"/>
      <c r="D985" s="518"/>
      <c r="E985" s="409"/>
      <c r="F985" s="312"/>
      <c r="G985" s="522"/>
      <c r="H985" s="312"/>
      <c r="I985" s="455"/>
      <c r="J985" s="271" t="b">
        <f>Age_Sex22[[#This Row],[Total Spending After Applying Truncation at the Member Level]]+Age_Sex22[[#This Row],[Total Dollars Excluded from Spending After Applying Truncation at the Member Level]]=Age_Sex22[[#This Row],[Total Spending before Truncation is Applied]]</f>
        <v>1</v>
      </c>
    </row>
    <row r="986" spans="1:10" x14ac:dyDescent="0.25">
      <c r="A986" s="389"/>
      <c r="B986" s="4"/>
      <c r="C986" s="16"/>
      <c r="D986" s="519"/>
      <c r="E986" s="410"/>
      <c r="F986" s="313"/>
      <c r="G986" s="256"/>
      <c r="H986" s="313"/>
      <c r="I986" s="456"/>
      <c r="J986" s="271" t="b">
        <f>Age_Sex22[[#This Row],[Total Spending After Applying Truncation at the Member Level]]+Age_Sex22[[#This Row],[Total Dollars Excluded from Spending After Applying Truncation at the Member Level]]=Age_Sex22[[#This Row],[Total Spending before Truncation is Applied]]</f>
        <v>1</v>
      </c>
    </row>
    <row r="987" spans="1:10" x14ac:dyDescent="0.25">
      <c r="A987" s="386"/>
      <c r="B987" s="310"/>
      <c r="C987" s="311"/>
      <c r="D987" s="518"/>
      <c r="E987" s="409"/>
      <c r="F987" s="312"/>
      <c r="G987" s="522"/>
      <c r="H987" s="312"/>
      <c r="I987" s="455"/>
      <c r="J987" s="271" t="b">
        <f>Age_Sex22[[#This Row],[Total Spending After Applying Truncation at the Member Level]]+Age_Sex22[[#This Row],[Total Dollars Excluded from Spending After Applying Truncation at the Member Level]]=Age_Sex22[[#This Row],[Total Spending before Truncation is Applied]]</f>
        <v>1</v>
      </c>
    </row>
    <row r="988" spans="1:10" x14ac:dyDescent="0.25">
      <c r="A988" s="389"/>
      <c r="B988" s="4"/>
      <c r="C988" s="16"/>
      <c r="D988" s="519"/>
      <c r="E988" s="410"/>
      <c r="F988" s="313"/>
      <c r="G988" s="256"/>
      <c r="H988" s="313"/>
      <c r="I988" s="456"/>
      <c r="J988" s="271" t="b">
        <f>Age_Sex22[[#This Row],[Total Spending After Applying Truncation at the Member Level]]+Age_Sex22[[#This Row],[Total Dollars Excluded from Spending After Applying Truncation at the Member Level]]=Age_Sex22[[#This Row],[Total Spending before Truncation is Applied]]</f>
        <v>1</v>
      </c>
    </row>
    <row r="989" spans="1:10" x14ac:dyDescent="0.25">
      <c r="A989" s="386"/>
      <c r="B989" s="310"/>
      <c r="C989" s="311"/>
      <c r="D989" s="518"/>
      <c r="E989" s="409"/>
      <c r="F989" s="312"/>
      <c r="G989" s="522"/>
      <c r="H989" s="312"/>
      <c r="I989" s="455"/>
      <c r="J989" s="271" t="b">
        <f>Age_Sex22[[#This Row],[Total Spending After Applying Truncation at the Member Level]]+Age_Sex22[[#This Row],[Total Dollars Excluded from Spending After Applying Truncation at the Member Level]]=Age_Sex22[[#This Row],[Total Spending before Truncation is Applied]]</f>
        <v>1</v>
      </c>
    </row>
    <row r="990" spans="1:10" x14ac:dyDescent="0.25">
      <c r="A990" s="389"/>
      <c r="B990" s="4"/>
      <c r="C990" s="16"/>
      <c r="D990" s="519"/>
      <c r="E990" s="410"/>
      <c r="F990" s="313"/>
      <c r="G990" s="256"/>
      <c r="H990" s="313"/>
      <c r="I990" s="456"/>
      <c r="J990" s="271" t="b">
        <f>Age_Sex22[[#This Row],[Total Spending After Applying Truncation at the Member Level]]+Age_Sex22[[#This Row],[Total Dollars Excluded from Spending After Applying Truncation at the Member Level]]=Age_Sex22[[#This Row],[Total Spending before Truncation is Applied]]</f>
        <v>1</v>
      </c>
    </row>
    <row r="991" spans="1:10" x14ac:dyDescent="0.25">
      <c r="A991" s="386"/>
      <c r="B991" s="310"/>
      <c r="C991" s="311"/>
      <c r="D991" s="518"/>
      <c r="E991" s="409"/>
      <c r="F991" s="312"/>
      <c r="G991" s="522"/>
      <c r="H991" s="312"/>
      <c r="I991" s="455"/>
      <c r="J991" s="271" t="b">
        <f>Age_Sex22[[#This Row],[Total Spending After Applying Truncation at the Member Level]]+Age_Sex22[[#This Row],[Total Dollars Excluded from Spending After Applying Truncation at the Member Level]]=Age_Sex22[[#This Row],[Total Spending before Truncation is Applied]]</f>
        <v>1</v>
      </c>
    </row>
    <row r="992" spans="1:10" x14ac:dyDescent="0.25">
      <c r="A992" s="389"/>
      <c r="B992" s="4"/>
      <c r="C992" s="16"/>
      <c r="D992" s="519"/>
      <c r="E992" s="410"/>
      <c r="F992" s="313"/>
      <c r="G992" s="256"/>
      <c r="H992" s="313"/>
      <c r="I992" s="456"/>
      <c r="J992" s="271" t="b">
        <f>Age_Sex22[[#This Row],[Total Spending After Applying Truncation at the Member Level]]+Age_Sex22[[#This Row],[Total Dollars Excluded from Spending After Applying Truncation at the Member Level]]=Age_Sex22[[#This Row],[Total Spending before Truncation is Applied]]</f>
        <v>1</v>
      </c>
    </row>
    <row r="993" spans="1:10" x14ac:dyDescent="0.25">
      <c r="A993" s="386"/>
      <c r="B993" s="310"/>
      <c r="C993" s="311"/>
      <c r="D993" s="518"/>
      <c r="E993" s="409"/>
      <c r="F993" s="312"/>
      <c r="G993" s="522"/>
      <c r="H993" s="312"/>
      <c r="I993" s="455"/>
      <c r="J993" s="271" t="b">
        <f>Age_Sex22[[#This Row],[Total Spending After Applying Truncation at the Member Level]]+Age_Sex22[[#This Row],[Total Dollars Excluded from Spending After Applying Truncation at the Member Level]]=Age_Sex22[[#This Row],[Total Spending before Truncation is Applied]]</f>
        <v>1</v>
      </c>
    </row>
    <row r="994" spans="1:10" x14ac:dyDescent="0.25">
      <c r="A994" s="389"/>
      <c r="B994" s="4"/>
      <c r="C994" s="16"/>
      <c r="D994" s="519"/>
      <c r="E994" s="410"/>
      <c r="F994" s="313"/>
      <c r="G994" s="256"/>
      <c r="H994" s="313"/>
      <c r="I994" s="456"/>
      <c r="J994" s="271" t="b">
        <f>Age_Sex22[[#This Row],[Total Spending After Applying Truncation at the Member Level]]+Age_Sex22[[#This Row],[Total Dollars Excluded from Spending After Applying Truncation at the Member Level]]=Age_Sex22[[#This Row],[Total Spending before Truncation is Applied]]</f>
        <v>1</v>
      </c>
    </row>
    <row r="995" spans="1:10" x14ac:dyDescent="0.25">
      <c r="A995" s="386"/>
      <c r="B995" s="310"/>
      <c r="C995" s="311"/>
      <c r="D995" s="518"/>
      <c r="E995" s="409"/>
      <c r="F995" s="312"/>
      <c r="G995" s="522"/>
      <c r="H995" s="312"/>
      <c r="I995" s="455"/>
      <c r="J995" s="271" t="b">
        <f>Age_Sex22[[#This Row],[Total Spending After Applying Truncation at the Member Level]]+Age_Sex22[[#This Row],[Total Dollars Excluded from Spending After Applying Truncation at the Member Level]]=Age_Sex22[[#This Row],[Total Spending before Truncation is Applied]]</f>
        <v>1</v>
      </c>
    </row>
    <row r="996" spans="1:10" x14ac:dyDescent="0.25">
      <c r="A996" s="389"/>
      <c r="B996" s="4"/>
      <c r="C996" s="16"/>
      <c r="D996" s="519"/>
      <c r="E996" s="410"/>
      <c r="F996" s="313"/>
      <c r="G996" s="256"/>
      <c r="H996" s="313"/>
      <c r="I996" s="456"/>
      <c r="J996" s="271" t="b">
        <f>Age_Sex22[[#This Row],[Total Spending After Applying Truncation at the Member Level]]+Age_Sex22[[#This Row],[Total Dollars Excluded from Spending After Applying Truncation at the Member Level]]=Age_Sex22[[#This Row],[Total Spending before Truncation is Applied]]</f>
        <v>1</v>
      </c>
    </row>
    <row r="997" spans="1:10" x14ac:dyDescent="0.25">
      <c r="A997" s="386"/>
      <c r="B997" s="310"/>
      <c r="C997" s="311"/>
      <c r="D997" s="518"/>
      <c r="E997" s="409"/>
      <c r="F997" s="312"/>
      <c r="G997" s="522"/>
      <c r="H997" s="312"/>
      <c r="I997" s="455"/>
      <c r="J997" s="271" t="b">
        <f>Age_Sex22[[#This Row],[Total Spending After Applying Truncation at the Member Level]]+Age_Sex22[[#This Row],[Total Dollars Excluded from Spending After Applying Truncation at the Member Level]]=Age_Sex22[[#This Row],[Total Spending before Truncation is Applied]]</f>
        <v>1</v>
      </c>
    </row>
    <row r="998" spans="1:10" x14ac:dyDescent="0.25">
      <c r="A998" s="389"/>
      <c r="B998" s="4"/>
      <c r="C998" s="16"/>
      <c r="D998" s="519"/>
      <c r="E998" s="410"/>
      <c r="F998" s="313"/>
      <c r="G998" s="256"/>
      <c r="H998" s="313"/>
      <c r="I998" s="456"/>
      <c r="J998" s="271" t="b">
        <f>Age_Sex22[[#This Row],[Total Spending After Applying Truncation at the Member Level]]+Age_Sex22[[#This Row],[Total Dollars Excluded from Spending After Applying Truncation at the Member Level]]=Age_Sex22[[#This Row],[Total Spending before Truncation is Applied]]</f>
        <v>1</v>
      </c>
    </row>
    <row r="999" spans="1:10" x14ac:dyDescent="0.25">
      <c r="A999" s="386"/>
      <c r="B999" s="310"/>
      <c r="C999" s="311"/>
      <c r="D999" s="518"/>
      <c r="E999" s="409"/>
      <c r="F999" s="312"/>
      <c r="G999" s="522"/>
      <c r="H999" s="312"/>
      <c r="I999" s="455"/>
      <c r="J999" s="271" t="b">
        <f>Age_Sex22[[#This Row],[Total Spending After Applying Truncation at the Member Level]]+Age_Sex22[[#This Row],[Total Dollars Excluded from Spending After Applying Truncation at the Member Level]]=Age_Sex22[[#This Row],[Total Spending before Truncation is Applied]]</f>
        <v>1</v>
      </c>
    </row>
    <row r="1000" spans="1:10" x14ac:dyDescent="0.25">
      <c r="A1000" s="389"/>
      <c r="B1000" s="4"/>
      <c r="C1000" s="16"/>
      <c r="D1000" s="519"/>
      <c r="E1000" s="410"/>
      <c r="F1000" s="313"/>
      <c r="G1000" s="256"/>
      <c r="H1000" s="313"/>
      <c r="I1000" s="456"/>
      <c r="J1000" s="271" t="b">
        <f>Age_Sex22[[#This Row],[Total Spending After Applying Truncation at the Member Level]]+Age_Sex22[[#This Row],[Total Dollars Excluded from Spending After Applying Truncation at the Member Level]]=Age_Sex22[[#This Row],[Total Spending before Truncation is Applied]]</f>
        <v>1</v>
      </c>
    </row>
    <row r="1001" spans="1:10" x14ac:dyDescent="0.25">
      <c r="A1001" s="386"/>
      <c r="B1001" s="310"/>
      <c r="C1001" s="311"/>
      <c r="D1001" s="518"/>
      <c r="E1001" s="409"/>
      <c r="F1001" s="312"/>
      <c r="G1001" s="522"/>
      <c r="H1001" s="312"/>
      <c r="I1001" s="455"/>
      <c r="J1001" s="271" t="b">
        <f>Age_Sex22[[#This Row],[Total Spending After Applying Truncation at the Member Level]]+Age_Sex22[[#This Row],[Total Dollars Excluded from Spending After Applying Truncation at the Member Level]]=Age_Sex22[[#This Row],[Total Spending before Truncation is Applied]]</f>
        <v>1</v>
      </c>
    </row>
    <row r="1002" spans="1:10" x14ac:dyDescent="0.25">
      <c r="A1002" s="389"/>
      <c r="B1002" s="4"/>
      <c r="C1002" s="16"/>
      <c r="D1002" s="519"/>
      <c r="E1002" s="410"/>
      <c r="F1002" s="313"/>
      <c r="G1002" s="256"/>
      <c r="H1002" s="313"/>
      <c r="I1002" s="456"/>
      <c r="J1002" s="271" t="b">
        <f>Age_Sex22[[#This Row],[Total Spending After Applying Truncation at the Member Level]]+Age_Sex22[[#This Row],[Total Dollars Excluded from Spending After Applying Truncation at the Member Level]]=Age_Sex22[[#This Row],[Total Spending before Truncation is Applied]]</f>
        <v>1</v>
      </c>
    </row>
    <row r="1003" spans="1:10" x14ac:dyDescent="0.25">
      <c r="A1003" s="389"/>
      <c r="B1003" s="4"/>
      <c r="C1003" s="16"/>
      <c r="D1003" s="519"/>
      <c r="E1003" s="447"/>
      <c r="F1003" s="448"/>
      <c r="G1003" s="523"/>
      <c r="H1003" s="448"/>
      <c r="I1003" s="457"/>
      <c r="J1003" s="271" t="b">
        <f>Age_Sex22[[#This Row],[Total Spending After Applying Truncation at the Member Level]]+Age_Sex22[[#This Row],[Total Dollars Excluded from Spending After Applying Truncation at the Member Level]]=Age_Sex22[[#This Row],[Total Spending before Truncation is Applied]]</f>
        <v>1</v>
      </c>
    </row>
    <row r="1004" spans="1:10" x14ac:dyDescent="0.25">
      <c r="A1004" s="449"/>
      <c r="B1004" s="443"/>
      <c r="C1004" s="444"/>
      <c r="D1004" s="520"/>
      <c r="E1004" s="445"/>
      <c r="F1004" s="446"/>
      <c r="G1004" s="524"/>
      <c r="H1004" s="446"/>
      <c r="I1004" s="458"/>
      <c r="J1004" s="271" t="b">
        <f>Age_Sex22[[#This Row],[Total Spending After Applying Truncation at the Member Level]]+Age_Sex22[[#This Row],[Total Dollars Excluded from Spending After Applying Truncation at the Member Level]]=Age_Sex22[[#This Row],[Total Spending before Truncation is Applied]]</f>
        <v>1</v>
      </c>
    </row>
    <row r="1005" spans="1:10" x14ac:dyDescent="0.25">
      <c r="A1005" s="449"/>
      <c r="B1005" s="443"/>
      <c r="C1005" s="444"/>
      <c r="D1005" s="520"/>
      <c r="E1005" s="445"/>
      <c r="F1005" s="446"/>
      <c r="G1005" s="524"/>
      <c r="H1005" s="446"/>
      <c r="I1005" s="458"/>
      <c r="J1005" s="271" t="b">
        <f>Age_Sex22[[#This Row],[Total Spending After Applying Truncation at the Member Level]]+Age_Sex22[[#This Row],[Total Dollars Excluded from Spending After Applying Truncation at the Member Level]]=Age_Sex22[[#This Row],[Total Spending before Truncation is Applied]]</f>
        <v>1</v>
      </c>
    </row>
    <row r="1006" spans="1:10" x14ac:dyDescent="0.25">
      <c r="A1006" s="449"/>
      <c r="B1006" s="443"/>
      <c r="C1006" s="444"/>
      <c r="D1006" s="520"/>
      <c r="E1006" s="445"/>
      <c r="F1006" s="446"/>
      <c r="G1006" s="524"/>
      <c r="H1006" s="446"/>
      <c r="I1006" s="458"/>
      <c r="J1006" s="271" t="b">
        <f>Age_Sex22[[#This Row],[Total Spending After Applying Truncation at the Member Level]]+Age_Sex22[[#This Row],[Total Dollars Excluded from Spending After Applying Truncation at the Member Level]]=Age_Sex22[[#This Row],[Total Spending before Truncation is Applied]]</f>
        <v>1</v>
      </c>
    </row>
    <row r="1007" spans="1:10" x14ac:dyDescent="0.25">
      <c r="A1007" s="449"/>
      <c r="B1007" s="443"/>
      <c r="C1007" s="444"/>
      <c r="D1007" s="520"/>
      <c r="E1007" s="445"/>
      <c r="F1007" s="446"/>
      <c r="G1007" s="524"/>
      <c r="H1007" s="446"/>
      <c r="I1007" s="458"/>
      <c r="J1007" s="271" t="b">
        <f>Age_Sex22[[#This Row],[Total Spending After Applying Truncation at the Member Level]]+Age_Sex22[[#This Row],[Total Dollars Excluded from Spending After Applying Truncation at the Member Level]]=Age_Sex22[[#This Row],[Total Spending before Truncation is Applied]]</f>
        <v>1</v>
      </c>
    </row>
    <row r="1008" spans="1:10" x14ac:dyDescent="0.25">
      <c r="A1008" s="449"/>
      <c r="B1008" s="443"/>
      <c r="C1008" s="444"/>
      <c r="D1008" s="520"/>
      <c r="E1008" s="445"/>
      <c r="F1008" s="446"/>
      <c r="G1008" s="524"/>
      <c r="H1008" s="446"/>
      <c r="I1008" s="458"/>
      <c r="J1008" s="271" t="b">
        <f>Age_Sex22[[#This Row],[Total Spending After Applying Truncation at the Member Level]]+Age_Sex22[[#This Row],[Total Dollars Excluded from Spending After Applying Truncation at the Member Level]]=Age_Sex22[[#This Row],[Total Spending before Truncation is Applied]]</f>
        <v>1</v>
      </c>
    </row>
    <row r="1009" spans="1:10" x14ac:dyDescent="0.25">
      <c r="A1009" s="449"/>
      <c r="B1009" s="443"/>
      <c r="C1009" s="444"/>
      <c r="D1009" s="520"/>
      <c r="E1009" s="445"/>
      <c r="F1009" s="446"/>
      <c r="G1009" s="524"/>
      <c r="H1009" s="446"/>
      <c r="I1009" s="458"/>
      <c r="J1009" s="271" t="b">
        <f>Age_Sex22[[#This Row],[Total Spending After Applying Truncation at the Member Level]]+Age_Sex22[[#This Row],[Total Dollars Excluded from Spending After Applying Truncation at the Member Level]]=Age_Sex22[[#This Row],[Total Spending before Truncation is Applied]]</f>
        <v>1</v>
      </c>
    </row>
    <row r="1010" spans="1:10" x14ac:dyDescent="0.25">
      <c r="A1010" s="449"/>
      <c r="B1010" s="443"/>
      <c r="C1010" s="444"/>
      <c r="D1010" s="520"/>
      <c r="E1010" s="445"/>
      <c r="F1010" s="446"/>
      <c r="G1010" s="524"/>
      <c r="H1010" s="446"/>
      <c r="I1010" s="458"/>
      <c r="J1010" s="271" t="b">
        <f>Age_Sex22[[#This Row],[Total Spending After Applying Truncation at the Member Level]]+Age_Sex22[[#This Row],[Total Dollars Excluded from Spending After Applying Truncation at the Member Level]]=Age_Sex22[[#This Row],[Total Spending before Truncation is Applied]]</f>
        <v>1</v>
      </c>
    </row>
    <row r="1011" spans="1:10" x14ac:dyDescent="0.25">
      <c r="A1011" s="449"/>
      <c r="B1011" s="443"/>
      <c r="C1011" s="444"/>
      <c r="D1011" s="520"/>
      <c r="E1011" s="445"/>
      <c r="F1011" s="446"/>
      <c r="G1011" s="524"/>
      <c r="H1011" s="446"/>
      <c r="I1011" s="458"/>
      <c r="J1011" s="271" t="b">
        <f>Age_Sex22[[#This Row],[Total Spending After Applying Truncation at the Member Level]]+Age_Sex22[[#This Row],[Total Dollars Excluded from Spending After Applying Truncation at the Member Level]]=Age_Sex22[[#This Row],[Total Spending before Truncation is Applied]]</f>
        <v>1</v>
      </c>
    </row>
    <row r="1012" spans="1:10" x14ac:dyDescent="0.25">
      <c r="A1012" s="449"/>
      <c r="B1012" s="443"/>
      <c r="C1012" s="444"/>
      <c r="D1012" s="520"/>
      <c r="E1012" s="445"/>
      <c r="F1012" s="446"/>
      <c r="G1012" s="524"/>
      <c r="H1012" s="446"/>
      <c r="I1012" s="458"/>
      <c r="J1012" s="271" t="b">
        <f>Age_Sex22[[#This Row],[Total Spending After Applying Truncation at the Member Level]]+Age_Sex22[[#This Row],[Total Dollars Excluded from Spending After Applying Truncation at the Member Level]]=Age_Sex22[[#This Row],[Total Spending before Truncation is Applied]]</f>
        <v>1</v>
      </c>
    </row>
    <row r="1013" spans="1:10" x14ac:dyDescent="0.25">
      <c r="A1013" s="449"/>
      <c r="B1013" s="443"/>
      <c r="C1013" s="444"/>
      <c r="D1013" s="520"/>
      <c r="E1013" s="445"/>
      <c r="F1013" s="446"/>
      <c r="G1013" s="524"/>
      <c r="H1013" s="446"/>
      <c r="I1013" s="458"/>
      <c r="J1013" s="271" t="b">
        <f>Age_Sex22[[#This Row],[Total Spending After Applying Truncation at the Member Level]]+Age_Sex22[[#This Row],[Total Dollars Excluded from Spending After Applying Truncation at the Member Level]]=Age_Sex22[[#This Row],[Total Spending before Truncation is Applied]]</f>
        <v>1</v>
      </c>
    </row>
    <row r="1014" spans="1:10" x14ac:dyDescent="0.25">
      <c r="A1014" s="449"/>
      <c r="B1014" s="443"/>
      <c r="C1014" s="444"/>
      <c r="D1014" s="520"/>
      <c r="E1014" s="445"/>
      <c r="F1014" s="446"/>
      <c r="G1014" s="524"/>
      <c r="H1014" s="446"/>
      <c r="I1014" s="458"/>
      <c r="J1014" s="271" t="b">
        <f>Age_Sex22[[#This Row],[Total Spending After Applying Truncation at the Member Level]]+Age_Sex22[[#This Row],[Total Dollars Excluded from Spending After Applying Truncation at the Member Level]]=Age_Sex22[[#This Row],[Total Spending before Truncation is Applied]]</f>
        <v>1</v>
      </c>
    </row>
    <row r="1015" spans="1:10" x14ac:dyDescent="0.25">
      <c r="A1015" s="449"/>
      <c r="B1015" s="443"/>
      <c r="C1015" s="444"/>
      <c r="D1015" s="520"/>
      <c r="E1015" s="445"/>
      <c r="F1015" s="446"/>
      <c r="G1015" s="524"/>
      <c r="H1015" s="446"/>
      <c r="I1015" s="458"/>
      <c r="J1015" s="271" t="b">
        <f>Age_Sex22[[#This Row],[Total Spending After Applying Truncation at the Member Level]]+Age_Sex22[[#This Row],[Total Dollars Excluded from Spending After Applying Truncation at the Member Level]]=Age_Sex22[[#This Row],[Total Spending before Truncation is Applied]]</f>
        <v>1</v>
      </c>
    </row>
    <row r="1016" spans="1:10" x14ac:dyDescent="0.25">
      <c r="A1016" s="449"/>
      <c r="B1016" s="443"/>
      <c r="C1016" s="444"/>
      <c r="D1016" s="520"/>
      <c r="E1016" s="445"/>
      <c r="F1016" s="446"/>
      <c r="G1016" s="524"/>
      <c r="H1016" s="446"/>
      <c r="I1016" s="458"/>
      <c r="J1016" s="271" t="b">
        <f>Age_Sex22[[#This Row],[Total Spending After Applying Truncation at the Member Level]]+Age_Sex22[[#This Row],[Total Dollars Excluded from Spending After Applying Truncation at the Member Level]]=Age_Sex22[[#This Row],[Total Spending before Truncation is Applied]]</f>
        <v>1</v>
      </c>
    </row>
    <row r="1017" spans="1:10" x14ac:dyDescent="0.25">
      <c r="A1017" s="449"/>
      <c r="B1017" s="443"/>
      <c r="C1017" s="444"/>
      <c r="D1017" s="520"/>
      <c r="E1017" s="445"/>
      <c r="F1017" s="446"/>
      <c r="G1017" s="524"/>
      <c r="H1017" s="446"/>
      <c r="I1017" s="458"/>
      <c r="J1017" s="271" t="b">
        <f>Age_Sex22[[#This Row],[Total Spending After Applying Truncation at the Member Level]]+Age_Sex22[[#This Row],[Total Dollars Excluded from Spending After Applying Truncation at the Member Level]]=Age_Sex22[[#This Row],[Total Spending before Truncation is Applied]]</f>
        <v>1</v>
      </c>
    </row>
    <row r="1018" spans="1:10" x14ac:dyDescent="0.25">
      <c r="A1018" s="449"/>
      <c r="B1018" s="443"/>
      <c r="C1018" s="444"/>
      <c r="D1018" s="520"/>
      <c r="E1018" s="445"/>
      <c r="F1018" s="446"/>
      <c r="G1018" s="524"/>
      <c r="H1018" s="446"/>
      <c r="I1018" s="458"/>
      <c r="J1018" s="271" t="b">
        <f>Age_Sex22[[#This Row],[Total Spending After Applying Truncation at the Member Level]]+Age_Sex22[[#This Row],[Total Dollars Excluded from Spending After Applying Truncation at the Member Level]]=Age_Sex22[[#This Row],[Total Spending before Truncation is Applied]]</f>
        <v>1</v>
      </c>
    </row>
    <row r="1019" spans="1:10" x14ac:dyDescent="0.25">
      <c r="A1019" s="449"/>
      <c r="B1019" s="443"/>
      <c r="C1019" s="444"/>
      <c r="D1019" s="520"/>
      <c r="E1019" s="445"/>
      <c r="F1019" s="446"/>
      <c r="G1019" s="524"/>
      <c r="H1019" s="446"/>
      <c r="I1019" s="458"/>
      <c r="J1019" s="271" t="b">
        <f>Age_Sex22[[#This Row],[Total Spending After Applying Truncation at the Member Level]]+Age_Sex22[[#This Row],[Total Dollars Excluded from Spending After Applying Truncation at the Member Level]]=Age_Sex22[[#This Row],[Total Spending before Truncation is Applied]]</f>
        <v>1</v>
      </c>
    </row>
    <row r="1020" spans="1:10" x14ac:dyDescent="0.25">
      <c r="A1020" s="449"/>
      <c r="B1020" s="443"/>
      <c r="C1020" s="444"/>
      <c r="D1020" s="520"/>
      <c r="E1020" s="445"/>
      <c r="F1020" s="446"/>
      <c r="G1020" s="524"/>
      <c r="H1020" s="446"/>
      <c r="I1020" s="458"/>
      <c r="J1020" s="271" t="b">
        <f>Age_Sex22[[#This Row],[Total Spending After Applying Truncation at the Member Level]]+Age_Sex22[[#This Row],[Total Dollars Excluded from Spending After Applying Truncation at the Member Level]]=Age_Sex22[[#This Row],[Total Spending before Truncation is Applied]]</f>
        <v>1</v>
      </c>
    </row>
    <row r="1021" spans="1:10" x14ac:dyDescent="0.25">
      <c r="A1021" s="449"/>
      <c r="B1021" s="443"/>
      <c r="C1021" s="444"/>
      <c r="D1021" s="520"/>
      <c r="E1021" s="445"/>
      <c r="F1021" s="446"/>
      <c r="G1021" s="524"/>
      <c r="H1021" s="446"/>
      <c r="I1021" s="458"/>
      <c r="J1021" s="271" t="b">
        <f>Age_Sex22[[#This Row],[Total Spending After Applying Truncation at the Member Level]]+Age_Sex22[[#This Row],[Total Dollars Excluded from Spending After Applying Truncation at the Member Level]]=Age_Sex22[[#This Row],[Total Spending before Truncation is Applied]]</f>
        <v>1</v>
      </c>
    </row>
    <row r="1022" spans="1:10" x14ac:dyDescent="0.25">
      <c r="A1022" s="449"/>
      <c r="B1022" s="443"/>
      <c r="C1022" s="444"/>
      <c r="D1022" s="520"/>
      <c r="E1022" s="445"/>
      <c r="F1022" s="446"/>
      <c r="G1022" s="524"/>
      <c r="H1022" s="446"/>
      <c r="I1022" s="458"/>
      <c r="J1022" s="271" t="b">
        <f>Age_Sex22[[#This Row],[Total Spending After Applying Truncation at the Member Level]]+Age_Sex22[[#This Row],[Total Dollars Excluded from Spending After Applying Truncation at the Member Level]]=Age_Sex22[[#This Row],[Total Spending before Truncation is Applied]]</f>
        <v>1</v>
      </c>
    </row>
    <row r="1023" spans="1:10" x14ac:dyDescent="0.25">
      <c r="A1023" s="449"/>
      <c r="B1023" s="443"/>
      <c r="C1023" s="444"/>
      <c r="D1023" s="520"/>
      <c r="E1023" s="445"/>
      <c r="F1023" s="446"/>
      <c r="G1023" s="524"/>
      <c r="H1023" s="446"/>
      <c r="I1023" s="458"/>
      <c r="J1023" s="271" t="b">
        <f>Age_Sex22[[#This Row],[Total Spending After Applying Truncation at the Member Level]]+Age_Sex22[[#This Row],[Total Dollars Excluded from Spending After Applying Truncation at the Member Level]]=Age_Sex22[[#This Row],[Total Spending before Truncation is Applied]]</f>
        <v>1</v>
      </c>
    </row>
    <row r="1024" spans="1:10" x14ac:dyDescent="0.25">
      <c r="A1024" s="449"/>
      <c r="B1024" s="443"/>
      <c r="C1024" s="444"/>
      <c r="D1024" s="520"/>
      <c r="E1024" s="445"/>
      <c r="F1024" s="446"/>
      <c r="G1024" s="524"/>
      <c r="H1024" s="446"/>
      <c r="I1024" s="458"/>
      <c r="J1024" s="271" t="b">
        <f>Age_Sex22[[#This Row],[Total Spending After Applying Truncation at the Member Level]]+Age_Sex22[[#This Row],[Total Dollars Excluded from Spending After Applying Truncation at the Member Level]]=Age_Sex22[[#This Row],[Total Spending before Truncation is Applied]]</f>
        <v>1</v>
      </c>
    </row>
    <row r="1025" spans="1:10" x14ac:dyDescent="0.25">
      <c r="A1025" s="449"/>
      <c r="B1025" s="443"/>
      <c r="C1025" s="444"/>
      <c r="D1025" s="520"/>
      <c r="E1025" s="445"/>
      <c r="F1025" s="446"/>
      <c r="G1025" s="524"/>
      <c r="H1025" s="446"/>
      <c r="I1025" s="458"/>
      <c r="J1025" s="271" t="b">
        <f>Age_Sex22[[#This Row],[Total Spending After Applying Truncation at the Member Level]]+Age_Sex22[[#This Row],[Total Dollars Excluded from Spending After Applying Truncation at the Member Level]]=Age_Sex22[[#This Row],[Total Spending before Truncation is Applied]]</f>
        <v>1</v>
      </c>
    </row>
    <row r="1026" spans="1:10" x14ac:dyDescent="0.25">
      <c r="A1026" s="449"/>
      <c r="B1026" s="443"/>
      <c r="C1026" s="444"/>
      <c r="D1026" s="520"/>
      <c r="E1026" s="445"/>
      <c r="F1026" s="446"/>
      <c r="G1026" s="524"/>
      <c r="H1026" s="446"/>
      <c r="I1026" s="458"/>
      <c r="J1026" s="271" t="b">
        <f>Age_Sex22[[#This Row],[Total Spending After Applying Truncation at the Member Level]]+Age_Sex22[[#This Row],[Total Dollars Excluded from Spending After Applying Truncation at the Member Level]]=Age_Sex22[[#This Row],[Total Spending before Truncation is Applied]]</f>
        <v>1</v>
      </c>
    </row>
    <row r="1027" spans="1:10" x14ac:dyDescent="0.25">
      <c r="A1027" s="449"/>
      <c r="B1027" s="443"/>
      <c r="C1027" s="444"/>
      <c r="D1027" s="520"/>
      <c r="E1027" s="445"/>
      <c r="F1027" s="446"/>
      <c r="G1027" s="524"/>
      <c r="H1027" s="446"/>
      <c r="I1027" s="458"/>
      <c r="J1027" s="271" t="b">
        <f>Age_Sex22[[#This Row],[Total Spending After Applying Truncation at the Member Level]]+Age_Sex22[[#This Row],[Total Dollars Excluded from Spending After Applying Truncation at the Member Level]]=Age_Sex22[[#This Row],[Total Spending before Truncation is Applied]]</f>
        <v>1</v>
      </c>
    </row>
    <row r="1028" spans="1:10" x14ac:dyDescent="0.25">
      <c r="A1028" s="449"/>
      <c r="B1028" s="443"/>
      <c r="C1028" s="444"/>
      <c r="D1028" s="520"/>
      <c r="E1028" s="445"/>
      <c r="F1028" s="446"/>
      <c r="G1028" s="524"/>
      <c r="H1028" s="446"/>
      <c r="I1028" s="458"/>
      <c r="J1028" s="271" t="b">
        <f>Age_Sex22[[#This Row],[Total Spending After Applying Truncation at the Member Level]]+Age_Sex22[[#This Row],[Total Dollars Excluded from Spending After Applying Truncation at the Member Level]]=Age_Sex22[[#This Row],[Total Spending before Truncation is Applied]]</f>
        <v>1</v>
      </c>
    </row>
    <row r="1029" spans="1:10" x14ac:dyDescent="0.25">
      <c r="A1029" s="449"/>
      <c r="B1029" s="443"/>
      <c r="C1029" s="444"/>
      <c r="D1029" s="520"/>
      <c r="E1029" s="445"/>
      <c r="F1029" s="446"/>
      <c r="G1029" s="524"/>
      <c r="H1029" s="446"/>
      <c r="I1029" s="458"/>
      <c r="J1029" s="271" t="b">
        <f>Age_Sex22[[#This Row],[Total Spending After Applying Truncation at the Member Level]]+Age_Sex22[[#This Row],[Total Dollars Excluded from Spending After Applying Truncation at the Member Level]]=Age_Sex22[[#This Row],[Total Spending before Truncation is Applied]]</f>
        <v>1</v>
      </c>
    </row>
    <row r="1030" spans="1:10" x14ac:dyDescent="0.25">
      <c r="A1030" s="449"/>
      <c r="B1030" s="443"/>
      <c r="C1030" s="444"/>
      <c r="D1030" s="520"/>
      <c r="E1030" s="445"/>
      <c r="F1030" s="446"/>
      <c r="G1030" s="524"/>
      <c r="H1030" s="446"/>
      <c r="I1030" s="458"/>
      <c r="J1030" s="271" t="b">
        <f>Age_Sex22[[#This Row],[Total Spending After Applying Truncation at the Member Level]]+Age_Sex22[[#This Row],[Total Dollars Excluded from Spending After Applying Truncation at the Member Level]]=Age_Sex22[[#This Row],[Total Spending before Truncation is Applied]]</f>
        <v>1</v>
      </c>
    </row>
    <row r="1031" spans="1:10" x14ac:dyDescent="0.25">
      <c r="A1031" s="449"/>
      <c r="B1031" s="443"/>
      <c r="C1031" s="444"/>
      <c r="D1031" s="520"/>
      <c r="E1031" s="445"/>
      <c r="F1031" s="446"/>
      <c r="G1031" s="524"/>
      <c r="H1031" s="446"/>
      <c r="I1031" s="458"/>
      <c r="J1031" s="271" t="b">
        <f>Age_Sex22[[#This Row],[Total Spending After Applying Truncation at the Member Level]]+Age_Sex22[[#This Row],[Total Dollars Excluded from Spending After Applying Truncation at the Member Level]]=Age_Sex22[[#This Row],[Total Spending before Truncation is Applied]]</f>
        <v>1</v>
      </c>
    </row>
    <row r="1032" spans="1:10" x14ac:dyDescent="0.25">
      <c r="A1032" s="449"/>
      <c r="B1032" s="443"/>
      <c r="C1032" s="444"/>
      <c r="D1032" s="520"/>
      <c r="E1032" s="445"/>
      <c r="F1032" s="446"/>
      <c r="G1032" s="524"/>
      <c r="H1032" s="446"/>
      <c r="I1032" s="458"/>
      <c r="J1032" s="271" t="b">
        <f>Age_Sex22[[#This Row],[Total Spending After Applying Truncation at the Member Level]]+Age_Sex22[[#This Row],[Total Dollars Excluded from Spending After Applying Truncation at the Member Level]]=Age_Sex22[[#This Row],[Total Spending before Truncation is Applied]]</f>
        <v>1</v>
      </c>
    </row>
    <row r="1033" spans="1:10" x14ac:dyDescent="0.25">
      <c r="A1033" s="449"/>
      <c r="B1033" s="443"/>
      <c r="C1033" s="444"/>
      <c r="D1033" s="520"/>
      <c r="E1033" s="445"/>
      <c r="F1033" s="446"/>
      <c r="G1033" s="524"/>
      <c r="H1033" s="446"/>
      <c r="I1033" s="458"/>
      <c r="J1033" s="271" t="b">
        <f>Age_Sex22[[#This Row],[Total Spending After Applying Truncation at the Member Level]]+Age_Sex22[[#This Row],[Total Dollars Excluded from Spending After Applying Truncation at the Member Level]]=Age_Sex22[[#This Row],[Total Spending before Truncation is Applied]]</f>
        <v>1</v>
      </c>
    </row>
    <row r="1034" spans="1:10" x14ac:dyDescent="0.25">
      <c r="A1034" s="449"/>
      <c r="B1034" s="443"/>
      <c r="C1034" s="444"/>
      <c r="D1034" s="520"/>
      <c r="E1034" s="445"/>
      <c r="F1034" s="446"/>
      <c r="G1034" s="524"/>
      <c r="H1034" s="446"/>
      <c r="I1034" s="458"/>
      <c r="J1034" s="271" t="b">
        <f>Age_Sex22[[#This Row],[Total Spending After Applying Truncation at the Member Level]]+Age_Sex22[[#This Row],[Total Dollars Excluded from Spending After Applying Truncation at the Member Level]]=Age_Sex22[[#This Row],[Total Spending before Truncation is Applied]]</f>
        <v>1</v>
      </c>
    </row>
    <row r="1035" spans="1:10" x14ac:dyDescent="0.25">
      <c r="A1035" s="449"/>
      <c r="B1035" s="443"/>
      <c r="C1035" s="444"/>
      <c r="D1035" s="520"/>
      <c r="E1035" s="445"/>
      <c r="F1035" s="446"/>
      <c r="G1035" s="524"/>
      <c r="H1035" s="446"/>
      <c r="I1035" s="458"/>
      <c r="J1035" s="271" t="b">
        <f>Age_Sex22[[#This Row],[Total Spending After Applying Truncation at the Member Level]]+Age_Sex22[[#This Row],[Total Dollars Excluded from Spending After Applying Truncation at the Member Level]]=Age_Sex22[[#This Row],[Total Spending before Truncation is Applied]]</f>
        <v>1</v>
      </c>
    </row>
    <row r="1036" spans="1:10" x14ac:dyDescent="0.25">
      <c r="A1036" s="449"/>
      <c r="B1036" s="443"/>
      <c r="C1036" s="444"/>
      <c r="D1036" s="520"/>
      <c r="E1036" s="445"/>
      <c r="F1036" s="446"/>
      <c r="G1036" s="524"/>
      <c r="H1036" s="446"/>
      <c r="I1036" s="458"/>
      <c r="J1036" s="271" t="b">
        <f>Age_Sex22[[#This Row],[Total Spending After Applying Truncation at the Member Level]]+Age_Sex22[[#This Row],[Total Dollars Excluded from Spending After Applying Truncation at the Member Level]]=Age_Sex22[[#This Row],[Total Spending before Truncation is Applied]]</f>
        <v>1</v>
      </c>
    </row>
    <row r="1037" spans="1:10" x14ac:dyDescent="0.25">
      <c r="A1037" s="449"/>
      <c r="B1037" s="443"/>
      <c r="C1037" s="444"/>
      <c r="D1037" s="520"/>
      <c r="E1037" s="445"/>
      <c r="F1037" s="446"/>
      <c r="G1037" s="524"/>
      <c r="H1037" s="446"/>
      <c r="I1037" s="458"/>
      <c r="J1037" s="271" t="b">
        <f>Age_Sex22[[#This Row],[Total Spending After Applying Truncation at the Member Level]]+Age_Sex22[[#This Row],[Total Dollars Excluded from Spending After Applying Truncation at the Member Level]]=Age_Sex22[[#This Row],[Total Spending before Truncation is Applied]]</f>
        <v>1</v>
      </c>
    </row>
    <row r="1038" spans="1:10" x14ac:dyDescent="0.25">
      <c r="A1038" s="449"/>
      <c r="B1038" s="443"/>
      <c r="C1038" s="444"/>
      <c r="D1038" s="520"/>
      <c r="E1038" s="445"/>
      <c r="F1038" s="446"/>
      <c r="G1038" s="524"/>
      <c r="H1038" s="446"/>
      <c r="I1038" s="458"/>
      <c r="J1038" s="271" t="b">
        <f>Age_Sex22[[#This Row],[Total Spending After Applying Truncation at the Member Level]]+Age_Sex22[[#This Row],[Total Dollars Excluded from Spending After Applying Truncation at the Member Level]]=Age_Sex22[[#This Row],[Total Spending before Truncation is Applied]]</f>
        <v>1</v>
      </c>
    </row>
    <row r="1039" spans="1:10" x14ac:dyDescent="0.25">
      <c r="A1039" s="449"/>
      <c r="B1039" s="443"/>
      <c r="C1039" s="444"/>
      <c r="D1039" s="520"/>
      <c r="E1039" s="445"/>
      <c r="F1039" s="446"/>
      <c r="G1039" s="524"/>
      <c r="H1039" s="446"/>
      <c r="I1039" s="458"/>
      <c r="J1039" s="271" t="b">
        <f>Age_Sex22[[#This Row],[Total Spending After Applying Truncation at the Member Level]]+Age_Sex22[[#This Row],[Total Dollars Excluded from Spending After Applying Truncation at the Member Level]]=Age_Sex22[[#This Row],[Total Spending before Truncation is Applied]]</f>
        <v>1</v>
      </c>
    </row>
    <row r="1040" spans="1:10" x14ac:dyDescent="0.25">
      <c r="A1040" s="449"/>
      <c r="B1040" s="443"/>
      <c r="C1040" s="444"/>
      <c r="D1040" s="520"/>
      <c r="E1040" s="445"/>
      <c r="F1040" s="446"/>
      <c r="G1040" s="524"/>
      <c r="H1040" s="446"/>
      <c r="I1040" s="458"/>
      <c r="J1040" s="271" t="b">
        <f>Age_Sex22[[#This Row],[Total Spending After Applying Truncation at the Member Level]]+Age_Sex22[[#This Row],[Total Dollars Excluded from Spending After Applying Truncation at the Member Level]]=Age_Sex22[[#This Row],[Total Spending before Truncation is Applied]]</f>
        <v>1</v>
      </c>
    </row>
    <row r="1041" spans="1:10" x14ac:dyDescent="0.25">
      <c r="A1041" s="449"/>
      <c r="B1041" s="443"/>
      <c r="C1041" s="444"/>
      <c r="D1041" s="520"/>
      <c r="E1041" s="445"/>
      <c r="F1041" s="446"/>
      <c r="G1041" s="524"/>
      <c r="H1041" s="446"/>
      <c r="I1041" s="458"/>
      <c r="J1041" s="271" t="b">
        <f>Age_Sex22[[#This Row],[Total Spending After Applying Truncation at the Member Level]]+Age_Sex22[[#This Row],[Total Dollars Excluded from Spending After Applying Truncation at the Member Level]]=Age_Sex22[[#This Row],[Total Spending before Truncation is Applied]]</f>
        <v>1</v>
      </c>
    </row>
    <row r="1042" spans="1:10" x14ac:dyDescent="0.25">
      <c r="A1042" s="449"/>
      <c r="B1042" s="443"/>
      <c r="C1042" s="444"/>
      <c r="D1042" s="520"/>
      <c r="E1042" s="445"/>
      <c r="F1042" s="446"/>
      <c r="G1042" s="524"/>
      <c r="H1042" s="446"/>
      <c r="I1042" s="458"/>
      <c r="J1042" s="271" t="b">
        <f>Age_Sex22[[#This Row],[Total Spending After Applying Truncation at the Member Level]]+Age_Sex22[[#This Row],[Total Dollars Excluded from Spending After Applying Truncation at the Member Level]]=Age_Sex22[[#This Row],[Total Spending before Truncation is Applied]]</f>
        <v>1</v>
      </c>
    </row>
    <row r="1043" spans="1:10" x14ac:dyDescent="0.25">
      <c r="A1043" s="449"/>
      <c r="B1043" s="443"/>
      <c r="C1043" s="444"/>
      <c r="D1043" s="520"/>
      <c r="E1043" s="445"/>
      <c r="F1043" s="446"/>
      <c r="G1043" s="524"/>
      <c r="H1043" s="446"/>
      <c r="I1043" s="458"/>
      <c r="J1043" s="271" t="b">
        <f>Age_Sex22[[#This Row],[Total Spending After Applying Truncation at the Member Level]]+Age_Sex22[[#This Row],[Total Dollars Excluded from Spending After Applying Truncation at the Member Level]]=Age_Sex22[[#This Row],[Total Spending before Truncation is Applied]]</f>
        <v>1</v>
      </c>
    </row>
    <row r="1044" spans="1:10" x14ac:dyDescent="0.25">
      <c r="A1044" s="449"/>
      <c r="B1044" s="443"/>
      <c r="C1044" s="444"/>
      <c r="D1044" s="520"/>
      <c r="E1044" s="445"/>
      <c r="F1044" s="446"/>
      <c r="G1044" s="524"/>
      <c r="H1044" s="446"/>
      <c r="I1044" s="458"/>
      <c r="J1044" s="271" t="b">
        <f>Age_Sex22[[#This Row],[Total Spending After Applying Truncation at the Member Level]]+Age_Sex22[[#This Row],[Total Dollars Excluded from Spending After Applying Truncation at the Member Level]]=Age_Sex22[[#This Row],[Total Spending before Truncation is Applied]]</f>
        <v>1</v>
      </c>
    </row>
    <row r="1045" spans="1:10" x14ac:dyDescent="0.25">
      <c r="A1045" s="449"/>
      <c r="B1045" s="443"/>
      <c r="C1045" s="444"/>
      <c r="D1045" s="520"/>
      <c r="E1045" s="445"/>
      <c r="F1045" s="446"/>
      <c r="G1045" s="524"/>
      <c r="H1045" s="446"/>
      <c r="I1045" s="458"/>
      <c r="J1045" s="271" t="b">
        <f>Age_Sex22[[#This Row],[Total Spending After Applying Truncation at the Member Level]]+Age_Sex22[[#This Row],[Total Dollars Excluded from Spending After Applying Truncation at the Member Level]]=Age_Sex22[[#This Row],[Total Spending before Truncation is Applied]]</f>
        <v>1</v>
      </c>
    </row>
    <row r="1046" spans="1:10" x14ac:dyDescent="0.25">
      <c r="A1046" s="449"/>
      <c r="B1046" s="443"/>
      <c r="C1046" s="444"/>
      <c r="D1046" s="520"/>
      <c r="E1046" s="445"/>
      <c r="F1046" s="446"/>
      <c r="G1046" s="524"/>
      <c r="H1046" s="446"/>
      <c r="I1046" s="458"/>
      <c r="J1046" s="271" t="b">
        <f>Age_Sex22[[#This Row],[Total Spending After Applying Truncation at the Member Level]]+Age_Sex22[[#This Row],[Total Dollars Excluded from Spending After Applying Truncation at the Member Level]]=Age_Sex22[[#This Row],[Total Spending before Truncation is Applied]]</f>
        <v>1</v>
      </c>
    </row>
    <row r="1047" spans="1:10" x14ac:dyDescent="0.25">
      <c r="A1047" s="449"/>
      <c r="B1047" s="443"/>
      <c r="C1047" s="444"/>
      <c r="D1047" s="520"/>
      <c r="E1047" s="445"/>
      <c r="F1047" s="446"/>
      <c r="G1047" s="524"/>
      <c r="H1047" s="446"/>
      <c r="I1047" s="458"/>
      <c r="J1047" s="271" t="b">
        <f>Age_Sex22[[#This Row],[Total Spending After Applying Truncation at the Member Level]]+Age_Sex22[[#This Row],[Total Dollars Excluded from Spending After Applying Truncation at the Member Level]]=Age_Sex22[[#This Row],[Total Spending before Truncation is Applied]]</f>
        <v>1</v>
      </c>
    </row>
    <row r="1048" spans="1:10" x14ac:dyDescent="0.25">
      <c r="A1048" s="449"/>
      <c r="B1048" s="443"/>
      <c r="C1048" s="444"/>
      <c r="D1048" s="520"/>
      <c r="E1048" s="445"/>
      <c r="F1048" s="446"/>
      <c r="G1048" s="524"/>
      <c r="H1048" s="446"/>
      <c r="I1048" s="458"/>
      <c r="J1048" s="271" t="b">
        <f>Age_Sex22[[#This Row],[Total Spending After Applying Truncation at the Member Level]]+Age_Sex22[[#This Row],[Total Dollars Excluded from Spending After Applying Truncation at the Member Level]]=Age_Sex22[[#This Row],[Total Spending before Truncation is Applied]]</f>
        <v>1</v>
      </c>
    </row>
    <row r="1049" spans="1:10" x14ac:dyDescent="0.25">
      <c r="A1049" s="449"/>
      <c r="B1049" s="443"/>
      <c r="C1049" s="444"/>
      <c r="D1049" s="520"/>
      <c r="E1049" s="445"/>
      <c r="F1049" s="446"/>
      <c r="G1049" s="524"/>
      <c r="H1049" s="446"/>
      <c r="I1049" s="458"/>
      <c r="J1049" s="271" t="b">
        <f>Age_Sex22[[#This Row],[Total Spending After Applying Truncation at the Member Level]]+Age_Sex22[[#This Row],[Total Dollars Excluded from Spending After Applying Truncation at the Member Level]]=Age_Sex22[[#This Row],[Total Spending before Truncation is Applied]]</f>
        <v>1</v>
      </c>
    </row>
    <row r="1050" spans="1:10" x14ac:dyDescent="0.25">
      <c r="A1050" s="449"/>
      <c r="B1050" s="443"/>
      <c r="C1050" s="444"/>
      <c r="D1050" s="520"/>
      <c r="E1050" s="445"/>
      <c r="F1050" s="446"/>
      <c r="G1050" s="524"/>
      <c r="H1050" s="446"/>
      <c r="I1050" s="458"/>
      <c r="J1050" s="271" t="b">
        <f>Age_Sex22[[#This Row],[Total Spending After Applying Truncation at the Member Level]]+Age_Sex22[[#This Row],[Total Dollars Excluded from Spending After Applying Truncation at the Member Level]]=Age_Sex22[[#This Row],[Total Spending before Truncation is Applied]]</f>
        <v>1</v>
      </c>
    </row>
    <row r="1051" spans="1:10" x14ac:dyDescent="0.25">
      <c r="A1051" s="449"/>
      <c r="B1051" s="443"/>
      <c r="C1051" s="444"/>
      <c r="D1051" s="520"/>
      <c r="E1051" s="445"/>
      <c r="F1051" s="446"/>
      <c r="G1051" s="524"/>
      <c r="H1051" s="446"/>
      <c r="I1051" s="458"/>
      <c r="J1051" s="271" t="b">
        <f>Age_Sex22[[#This Row],[Total Spending After Applying Truncation at the Member Level]]+Age_Sex22[[#This Row],[Total Dollars Excluded from Spending After Applying Truncation at the Member Level]]=Age_Sex22[[#This Row],[Total Spending before Truncation is Applied]]</f>
        <v>1</v>
      </c>
    </row>
    <row r="1052" spans="1:10" x14ac:dyDescent="0.25">
      <c r="A1052" s="449"/>
      <c r="B1052" s="443"/>
      <c r="C1052" s="444"/>
      <c r="D1052" s="520"/>
      <c r="E1052" s="445"/>
      <c r="F1052" s="446"/>
      <c r="G1052" s="524"/>
      <c r="H1052" s="446"/>
      <c r="I1052" s="458"/>
      <c r="J1052" s="271" t="b">
        <f>Age_Sex22[[#This Row],[Total Spending After Applying Truncation at the Member Level]]+Age_Sex22[[#This Row],[Total Dollars Excluded from Spending After Applying Truncation at the Member Level]]=Age_Sex22[[#This Row],[Total Spending before Truncation is Applied]]</f>
        <v>1</v>
      </c>
    </row>
    <row r="1053" spans="1:10" x14ac:dyDescent="0.25">
      <c r="A1053" s="449"/>
      <c r="B1053" s="443"/>
      <c r="C1053" s="444"/>
      <c r="D1053" s="520"/>
      <c r="E1053" s="445"/>
      <c r="F1053" s="446"/>
      <c r="G1053" s="524"/>
      <c r="H1053" s="446"/>
      <c r="I1053" s="458"/>
      <c r="J1053" s="271" t="b">
        <f>Age_Sex22[[#This Row],[Total Spending After Applying Truncation at the Member Level]]+Age_Sex22[[#This Row],[Total Dollars Excluded from Spending After Applying Truncation at the Member Level]]=Age_Sex22[[#This Row],[Total Spending before Truncation is Applied]]</f>
        <v>1</v>
      </c>
    </row>
    <row r="1054" spans="1:10" x14ac:dyDescent="0.25">
      <c r="A1054" s="449"/>
      <c r="B1054" s="443"/>
      <c r="C1054" s="444"/>
      <c r="D1054" s="520"/>
      <c r="E1054" s="445"/>
      <c r="F1054" s="446"/>
      <c r="G1054" s="524"/>
      <c r="H1054" s="446"/>
      <c r="I1054" s="458"/>
      <c r="J1054" s="271" t="b">
        <f>Age_Sex22[[#This Row],[Total Spending After Applying Truncation at the Member Level]]+Age_Sex22[[#This Row],[Total Dollars Excluded from Spending After Applying Truncation at the Member Level]]=Age_Sex22[[#This Row],[Total Spending before Truncation is Applied]]</f>
        <v>1</v>
      </c>
    </row>
    <row r="1055" spans="1:10" x14ac:dyDescent="0.25">
      <c r="A1055" s="449"/>
      <c r="B1055" s="443"/>
      <c r="C1055" s="444"/>
      <c r="D1055" s="520"/>
      <c r="E1055" s="445"/>
      <c r="F1055" s="446"/>
      <c r="G1055" s="524"/>
      <c r="H1055" s="446"/>
      <c r="I1055" s="458"/>
      <c r="J1055" s="271" t="b">
        <f>Age_Sex22[[#This Row],[Total Spending After Applying Truncation at the Member Level]]+Age_Sex22[[#This Row],[Total Dollars Excluded from Spending After Applying Truncation at the Member Level]]=Age_Sex22[[#This Row],[Total Spending before Truncation is Applied]]</f>
        <v>1</v>
      </c>
    </row>
    <row r="1056" spans="1:10" x14ac:dyDescent="0.25">
      <c r="A1056" s="449"/>
      <c r="B1056" s="443"/>
      <c r="C1056" s="444"/>
      <c r="D1056" s="520"/>
      <c r="E1056" s="445"/>
      <c r="F1056" s="446"/>
      <c r="G1056" s="524"/>
      <c r="H1056" s="446"/>
      <c r="I1056" s="458"/>
      <c r="J1056" s="271" t="b">
        <f>Age_Sex22[[#This Row],[Total Spending After Applying Truncation at the Member Level]]+Age_Sex22[[#This Row],[Total Dollars Excluded from Spending After Applying Truncation at the Member Level]]=Age_Sex22[[#This Row],[Total Spending before Truncation is Applied]]</f>
        <v>1</v>
      </c>
    </row>
    <row r="1057" spans="1:10" x14ac:dyDescent="0.25">
      <c r="A1057" s="449"/>
      <c r="B1057" s="443"/>
      <c r="C1057" s="444"/>
      <c r="D1057" s="520"/>
      <c r="E1057" s="445"/>
      <c r="F1057" s="446"/>
      <c r="G1057" s="524"/>
      <c r="H1057" s="446"/>
      <c r="I1057" s="458"/>
      <c r="J1057" s="271" t="b">
        <f>Age_Sex22[[#This Row],[Total Spending After Applying Truncation at the Member Level]]+Age_Sex22[[#This Row],[Total Dollars Excluded from Spending After Applying Truncation at the Member Level]]=Age_Sex22[[#This Row],[Total Spending before Truncation is Applied]]</f>
        <v>1</v>
      </c>
    </row>
    <row r="1058" spans="1:10" x14ac:dyDescent="0.25">
      <c r="A1058" s="449"/>
      <c r="B1058" s="443"/>
      <c r="C1058" s="444"/>
      <c r="D1058" s="520"/>
      <c r="E1058" s="445"/>
      <c r="F1058" s="446"/>
      <c r="G1058" s="524"/>
      <c r="H1058" s="446"/>
      <c r="I1058" s="458"/>
      <c r="J1058" s="271" t="b">
        <f>Age_Sex22[[#This Row],[Total Spending After Applying Truncation at the Member Level]]+Age_Sex22[[#This Row],[Total Dollars Excluded from Spending After Applying Truncation at the Member Level]]=Age_Sex22[[#This Row],[Total Spending before Truncation is Applied]]</f>
        <v>1</v>
      </c>
    </row>
    <row r="1059" spans="1:10" x14ac:dyDescent="0.25">
      <c r="A1059" s="449"/>
      <c r="B1059" s="443"/>
      <c r="C1059" s="444"/>
      <c r="D1059" s="520"/>
      <c r="E1059" s="445"/>
      <c r="F1059" s="446"/>
      <c r="G1059" s="524"/>
      <c r="H1059" s="446"/>
      <c r="I1059" s="458"/>
      <c r="J1059" s="271" t="b">
        <f>Age_Sex22[[#This Row],[Total Spending After Applying Truncation at the Member Level]]+Age_Sex22[[#This Row],[Total Dollars Excluded from Spending After Applying Truncation at the Member Level]]=Age_Sex22[[#This Row],[Total Spending before Truncation is Applied]]</f>
        <v>1</v>
      </c>
    </row>
    <row r="1060" spans="1:10" x14ac:dyDescent="0.25">
      <c r="A1060" s="449"/>
      <c r="B1060" s="443"/>
      <c r="C1060" s="444"/>
      <c r="D1060" s="520"/>
      <c r="E1060" s="445"/>
      <c r="F1060" s="446"/>
      <c r="G1060" s="524"/>
      <c r="H1060" s="446"/>
      <c r="I1060" s="458"/>
      <c r="J1060" s="271" t="b">
        <f>Age_Sex22[[#This Row],[Total Spending After Applying Truncation at the Member Level]]+Age_Sex22[[#This Row],[Total Dollars Excluded from Spending After Applying Truncation at the Member Level]]=Age_Sex22[[#This Row],[Total Spending before Truncation is Applied]]</f>
        <v>1</v>
      </c>
    </row>
    <row r="1061" spans="1:10" x14ac:dyDescent="0.25">
      <c r="A1061" s="449"/>
      <c r="B1061" s="443"/>
      <c r="C1061" s="444"/>
      <c r="D1061" s="520"/>
      <c r="E1061" s="445"/>
      <c r="F1061" s="446"/>
      <c r="G1061" s="524"/>
      <c r="H1061" s="446"/>
      <c r="I1061" s="458"/>
      <c r="J1061" s="271" t="b">
        <f>Age_Sex22[[#This Row],[Total Spending After Applying Truncation at the Member Level]]+Age_Sex22[[#This Row],[Total Dollars Excluded from Spending After Applying Truncation at the Member Level]]=Age_Sex22[[#This Row],[Total Spending before Truncation is Applied]]</f>
        <v>1</v>
      </c>
    </row>
    <row r="1062" spans="1:10" x14ac:dyDescent="0.25">
      <c r="A1062" s="449"/>
      <c r="B1062" s="443"/>
      <c r="C1062" s="444"/>
      <c r="D1062" s="520"/>
      <c r="E1062" s="445"/>
      <c r="F1062" s="446"/>
      <c r="G1062" s="524"/>
      <c r="H1062" s="446"/>
      <c r="I1062" s="458"/>
      <c r="J1062" s="271" t="b">
        <f>Age_Sex22[[#This Row],[Total Spending After Applying Truncation at the Member Level]]+Age_Sex22[[#This Row],[Total Dollars Excluded from Spending After Applying Truncation at the Member Level]]=Age_Sex22[[#This Row],[Total Spending before Truncation is Applied]]</f>
        <v>1</v>
      </c>
    </row>
    <row r="1063" spans="1:10" x14ac:dyDescent="0.25">
      <c r="A1063" s="449"/>
      <c r="B1063" s="443"/>
      <c r="C1063" s="444"/>
      <c r="D1063" s="520"/>
      <c r="E1063" s="445"/>
      <c r="F1063" s="446"/>
      <c r="G1063" s="524"/>
      <c r="H1063" s="446"/>
      <c r="I1063" s="458"/>
      <c r="J1063" s="271" t="b">
        <f>Age_Sex22[[#This Row],[Total Spending After Applying Truncation at the Member Level]]+Age_Sex22[[#This Row],[Total Dollars Excluded from Spending After Applying Truncation at the Member Level]]=Age_Sex22[[#This Row],[Total Spending before Truncation is Applied]]</f>
        <v>1</v>
      </c>
    </row>
    <row r="1064" spans="1:10" x14ac:dyDescent="0.25">
      <c r="A1064" s="449"/>
      <c r="B1064" s="443"/>
      <c r="C1064" s="444"/>
      <c r="D1064" s="520"/>
      <c r="E1064" s="445"/>
      <c r="F1064" s="446"/>
      <c r="G1064" s="524"/>
      <c r="H1064" s="446"/>
      <c r="I1064" s="458"/>
      <c r="J1064" s="271" t="b">
        <f>Age_Sex22[[#This Row],[Total Spending After Applying Truncation at the Member Level]]+Age_Sex22[[#This Row],[Total Dollars Excluded from Spending After Applying Truncation at the Member Level]]=Age_Sex22[[#This Row],[Total Spending before Truncation is Applied]]</f>
        <v>1</v>
      </c>
    </row>
    <row r="1065" spans="1:10" x14ac:dyDescent="0.25">
      <c r="A1065" s="449"/>
      <c r="B1065" s="443"/>
      <c r="C1065" s="444"/>
      <c r="D1065" s="520"/>
      <c r="E1065" s="445"/>
      <c r="F1065" s="446"/>
      <c r="G1065" s="524"/>
      <c r="H1065" s="446"/>
      <c r="I1065" s="458"/>
      <c r="J1065" s="271" t="b">
        <f>Age_Sex22[[#This Row],[Total Spending After Applying Truncation at the Member Level]]+Age_Sex22[[#This Row],[Total Dollars Excluded from Spending After Applying Truncation at the Member Level]]=Age_Sex22[[#This Row],[Total Spending before Truncation is Applied]]</f>
        <v>1</v>
      </c>
    </row>
    <row r="1066" spans="1:10" x14ac:dyDescent="0.25">
      <c r="A1066" s="449"/>
      <c r="B1066" s="443"/>
      <c r="C1066" s="444"/>
      <c r="D1066" s="520"/>
      <c r="E1066" s="445"/>
      <c r="F1066" s="446"/>
      <c r="G1066" s="524"/>
      <c r="H1066" s="446"/>
      <c r="I1066" s="458"/>
      <c r="J1066" s="271" t="b">
        <f>Age_Sex22[[#This Row],[Total Spending After Applying Truncation at the Member Level]]+Age_Sex22[[#This Row],[Total Dollars Excluded from Spending After Applying Truncation at the Member Level]]=Age_Sex22[[#This Row],[Total Spending before Truncation is Applied]]</f>
        <v>1</v>
      </c>
    </row>
    <row r="1067" spans="1:10" x14ac:dyDescent="0.25">
      <c r="A1067" s="449"/>
      <c r="B1067" s="443"/>
      <c r="C1067" s="444"/>
      <c r="D1067" s="520"/>
      <c r="E1067" s="445"/>
      <c r="F1067" s="446"/>
      <c r="G1067" s="524"/>
      <c r="H1067" s="446"/>
      <c r="I1067" s="458"/>
      <c r="J1067" s="271" t="b">
        <f>Age_Sex22[[#This Row],[Total Spending After Applying Truncation at the Member Level]]+Age_Sex22[[#This Row],[Total Dollars Excluded from Spending After Applying Truncation at the Member Level]]=Age_Sex22[[#This Row],[Total Spending before Truncation is Applied]]</f>
        <v>1</v>
      </c>
    </row>
    <row r="1068" spans="1:10" x14ac:dyDescent="0.25">
      <c r="A1068" s="449"/>
      <c r="B1068" s="443"/>
      <c r="C1068" s="444"/>
      <c r="D1068" s="520"/>
      <c r="E1068" s="445"/>
      <c r="F1068" s="446"/>
      <c r="G1068" s="524"/>
      <c r="H1068" s="446"/>
      <c r="I1068" s="458"/>
      <c r="J1068" s="271" t="b">
        <f>Age_Sex22[[#This Row],[Total Spending After Applying Truncation at the Member Level]]+Age_Sex22[[#This Row],[Total Dollars Excluded from Spending After Applying Truncation at the Member Level]]=Age_Sex22[[#This Row],[Total Spending before Truncation is Applied]]</f>
        <v>1</v>
      </c>
    </row>
    <row r="1069" spans="1:10" x14ac:dyDescent="0.25">
      <c r="A1069" s="449"/>
      <c r="B1069" s="443"/>
      <c r="C1069" s="444"/>
      <c r="D1069" s="520"/>
      <c r="E1069" s="445"/>
      <c r="F1069" s="446"/>
      <c r="G1069" s="524"/>
      <c r="H1069" s="446"/>
      <c r="I1069" s="458"/>
      <c r="J1069" s="271" t="b">
        <f>Age_Sex22[[#This Row],[Total Spending After Applying Truncation at the Member Level]]+Age_Sex22[[#This Row],[Total Dollars Excluded from Spending After Applying Truncation at the Member Level]]=Age_Sex22[[#This Row],[Total Spending before Truncation is Applied]]</f>
        <v>1</v>
      </c>
    </row>
    <row r="1070" spans="1:10" x14ac:dyDescent="0.25">
      <c r="A1070" s="449"/>
      <c r="B1070" s="443"/>
      <c r="C1070" s="444"/>
      <c r="D1070" s="520"/>
      <c r="E1070" s="445"/>
      <c r="F1070" s="446"/>
      <c r="G1070" s="524"/>
      <c r="H1070" s="446"/>
      <c r="I1070" s="458"/>
      <c r="J1070" s="271" t="b">
        <f>Age_Sex22[[#This Row],[Total Spending After Applying Truncation at the Member Level]]+Age_Sex22[[#This Row],[Total Dollars Excluded from Spending After Applying Truncation at the Member Level]]=Age_Sex22[[#This Row],[Total Spending before Truncation is Applied]]</f>
        <v>1</v>
      </c>
    </row>
    <row r="1071" spans="1:10" x14ac:dyDescent="0.25">
      <c r="A1071" s="449"/>
      <c r="B1071" s="443"/>
      <c r="C1071" s="444"/>
      <c r="D1071" s="520"/>
      <c r="E1071" s="445"/>
      <c r="F1071" s="446"/>
      <c r="G1071" s="524"/>
      <c r="H1071" s="446"/>
      <c r="I1071" s="458"/>
      <c r="J1071" s="271" t="b">
        <f>Age_Sex22[[#This Row],[Total Spending After Applying Truncation at the Member Level]]+Age_Sex22[[#This Row],[Total Dollars Excluded from Spending After Applying Truncation at the Member Level]]=Age_Sex22[[#This Row],[Total Spending before Truncation is Applied]]</f>
        <v>1</v>
      </c>
    </row>
    <row r="1072" spans="1:10" x14ac:dyDescent="0.25">
      <c r="A1072" s="449"/>
      <c r="B1072" s="443"/>
      <c r="C1072" s="444"/>
      <c r="D1072" s="520"/>
      <c r="E1072" s="445"/>
      <c r="F1072" s="446"/>
      <c r="G1072" s="524"/>
      <c r="H1072" s="446"/>
      <c r="I1072" s="458"/>
      <c r="J1072" s="271" t="b">
        <f>Age_Sex22[[#This Row],[Total Spending After Applying Truncation at the Member Level]]+Age_Sex22[[#This Row],[Total Dollars Excluded from Spending After Applying Truncation at the Member Level]]=Age_Sex22[[#This Row],[Total Spending before Truncation is Applied]]</f>
        <v>1</v>
      </c>
    </row>
    <row r="1073" spans="1:10" x14ac:dyDescent="0.25">
      <c r="A1073" s="449"/>
      <c r="B1073" s="443"/>
      <c r="C1073" s="444"/>
      <c r="D1073" s="520"/>
      <c r="E1073" s="445"/>
      <c r="F1073" s="446"/>
      <c r="G1073" s="524"/>
      <c r="H1073" s="446"/>
      <c r="I1073" s="458"/>
      <c r="J1073" s="271" t="b">
        <f>Age_Sex22[[#This Row],[Total Spending After Applying Truncation at the Member Level]]+Age_Sex22[[#This Row],[Total Dollars Excluded from Spending After Applying Truncation at the Member Level]]=Age_Sex22[[#This Row],[Total Spending before Truncation is Applied]]</f>
        <v>1</v>
      </c>
    </row>
    <row r="1074" spans="1:10" x14ac:dyDescent="0.25">
      <c r="A1074" s="449"/>
      <c r="B1074" s="443"/>
      <c r="C1074" s="444"/>
      <c r="D1074" s="520"/>
      <c r="E1074" s="445"/>
      <c r="F1074" s="446"/>
      <c r="G1074" s="524"/>
      <c r="H1074" s="446"/>
      <c r="I1074" s="458"/>
      <c r="J1074" s="271" t="b">
        <f>Age_Sex22[[#This Row],[Total Spending After Applying Truncation at the Member Level]]+Age_Sex22[[#This Row],[Total Dollars Excluded from Spending After Applying Truncation at the Member Level]]=Age_Sex22[[#This Row],[Total Spending before Truncation is Applied]]</f>
        <v>1</v>
      </c>
    </row>
    <row r="1075" spans="1:10" x14ac:dyDescent="0.25">
      <c r="A1075" s="449"/>
      <c r="B1075" s="443"/>
      <c r="C1075" s="444"/>
      <c r="D1075" s="520"/>
      <c r="E1075" s="445"/>
      <c r="F1075" s="446"/>
      <c r="G1075" s="524"/>
      <c r="H1075" s="446"/>
      <c r="I1075" s="458"/>
      <c r="J1075" s="271" t="b">
        <f>Age_Sex22[[#This Row],[Total Spending After Applying Truncation at the Member Level]]+Age_Sex22[[#This Row],[Total Dollars Excluded from Spending After Applying Truncation at the Member Level]]=Age_Sex22[[#This Row],[Total Spending before Truncation is Applied]]</f>
        <v>1</v>
      </c>
    </row>
    <row r="1076" spans="1:10" x14ac:dyDescent="0.25">
      <c r="A1076" s="449"/>
      <c r="B1076" s="443"/>
      <c r="C1076" s="444"/>
      <c r="D1076" s="520"/>
      <c r="E1076" s="445"/>
      <c r="F1076" s="446"/>
      <c r="G1076" s="524"/>
      <c r="H1076" s="446"/>
      <c r="I1076" s="458"/>
      <c r="J1076" s="271" t="b">
        <f>Age_Sex22[[#This Row],[Total Spending After Applying Truncation at the Member Level]]+Age_Sex22[[#This Row],[Total Dollars Excluded from Spending After Applying Truncation at the Member Level]]=Age_Sex22[[#This Row],[Total Spending before Truncation is Applied]]</f>
        <v>1</v>
      </c>
    </row>
    <row r="1077" spans="1:10" x14ac:dyDescent="0.25">
      <c r="A1077" s="449"/>
      <c r="B1077" s="443"/>
      <c r="C1077" s="444"/>
      <c r="D1077" s="520"/>
      <c r="E1077" s="445"/>
      <c r="F1077" s="446"/>
      <c r="G1077" s="524"/>
      <c r="H1077" s="446"/>
      <c r="I1077" s="458"/>
      <c r="J1077" s="271" t="b">
        <f>Age_Sex22[[#This Row],[Total Spending After Applying Truncation at the Member Level]]+Age_Sex22[[#This Row],[Total Dollars Excluded from Spending After Applying Truncation at the Member Level]]=Age_Sex22[[#This Row],[Total Spending before Truncation is Applied]]</f>
        <v>1</v>
      </c>
    </row>
    <row r="1078" spans="1:10" x14ac:dyDescent="0.25">
      <c r="A1078" s="449"/>
      <c r="B1078" s="443"/>
      <c r="C1078" s="444"/>
      <c r="D1078" s="520"/>
      <c r="E1078" s="445"/>
      <c r="F1078" s="446"/>
      <c r="G1078" s="524"/>
      <c r="H1078" s="446"/>
      <c r="I1078" s="458"/>
      <c r="J1078" s="271" t="b">
        <f>Age_Sex22[[#This Row],[Total Spending After Applying Truncation at the Member Level]]+Age_Sex22[[#This Row],[Total Dollars Excluded from Spending After Applying Truncation at the Member Level]]=Age_Sex22[[#This Row],[Total Spending before Truncation is Applied]]</f>
        <v>1</v>
      </c>
    </row>
    <row r="1079" spans="1:10" x14ac:dyDescent="0.25">
      <c r="A1079" s="449"/>
      <c r="B1079" s="443"/>
      <c r="C1079" s="444"/>
      <c r="D1079" s="520"/>
      <c r="E1079" s="445"/>
      <c r="F1079" s="446"/>
      <c r="G1079" s="524"/>
      <c r="H1079" s="446"/>
      <c r="I1079" s="458"/>
      <c r="J1079" s="271" t="b">
        <f>Age_Sex22[[#This Row],[Total Spending After Applying Truncation at the Member Level]]+Age_Sex22[[#This Row],[Total Dollars Excluded from Spending After Applying Truncation at the Member Level]]=Age_Sex22[[#This Row],[Total Spending before Truncation is Applied]]</f>
        <v>1</v>
      </c>
    </row>
    <row r="1080" spans="1:10" x14ac:dyDescent="0.25">
      <c r="A1080" s="449"/>
      <c r="B1080" s="443"/>
      <c r="C1080" s="444"/>
      <c r="D1080" s="520"/>
      <c r="E1080" s="445"/>
      <c r="F1080" s="446"/>
      <c r="G1080" s="524"/>
      <c r="H1080" s="446"/>
      <c r="I1080" s="458"/>
      <c r="J1080" s="271" t="b">
        <f>Age_Sex22[[#This Row],[Total Spending After Applying Truncation at the Member Level]]+Age_Sex22[[#This Row],[Total Dollars Excluded from Spending After Applying Truncation at the Member Level]]=Age_Sex22[[#This Row],[Total Spending before Truncation is Applied]]</f>
        <v>1</v>
      </c>
    </row>
    <row r="1081" spans="1:10" x14ac:dyDescent="0.25">
      <c r="A1081" s="449"/>
      <c r="B1081" s="443"/>
      <c r="C1081" s="444"/>
      <c r="D1081" s="520"/>
      <c r="E1081" s="445"/>
      <c r="F1081" s="446"/>
      <c r="G1081" s="524"/>
      <c r="H1081" s="446"/>
      <c r="I1081" s="458"/>
      <c r="J1081" s="271" t="b">
        <f>Age_Sex22[[#This Row],[Total Spending After Applying Truncation at the Member Level]]+Age_Sex22[[#This Row],[Total Dollars Excluded from Spending After Applying Truncation at the Member Level]]=Age_Sex22[[#This Row],[Total Spending before Truncation is Applied]]</f>
        <v>1</v>
      </c>
    </row>
    <row r="1082" spans="1:10" x14ac:dyDescent="0.25">
      <c r="A1082" s="449"/>
      <c r="B1082" s="443"/>
      <c r="C1082" s="444"/>
      <c r="D1082" s="520"/>
      <c r="E1082" s="445"/>
      <c r="F1082" s="446"/>
      <c r="G1082" s="524"/>
      <c r="H1082" s="446"/>
      <c r="I1082" s="458"/>
      <c r="J1082" s="271" t="b">
        <f>Age_Sex22[[#This Row],[Total Spending After Applying Truncation at the Member Level]]+Age_Sex22[[#This Row],[Total Dollars Excluded from Spending After Applying Truncation at the Member Level]]=Age_Sex22[[#This Row],[Total Spending before Truncation is Applied]]</f>
        <v>1</v>
      </c>
    </row>
    <row r="1083" spans="1:10" x14ac:dyDescent="0.25">
      <c r="A1083" s="449"/>
      <c r="B1083" s="443"/>
      <c r="C1083" s="444"/>
      <c r="D1083" s="520"/>
      <c r="E1083" s="445"/>
      <c r="F1083" s="446"/>
      <c r="G1083" s="524"/>
      <c r="H1083" s="446"/>
      <c r="I1083" s="458"/>
      <c r="J1083" s="271" t="b">
        <f>Age_Sex22[[#This Row],[Total Spending After Applying Truncation at the Member Level]]+Age_Sex22[[#This Row],[Total Dollars Excluded from Spending After Applying Truncation at the Member Level]]=Age_Sex22[[#This Row],[Total Spending before Truncation is Applied]]</f>
        <v>1</v>
      </c>
    </row>
    <row r="1084" spans="1:10" x14ac:dyDescent="0.25">
      <c r="A1084" s="449"/>
      <c r="B1084" s="443"/>
      <c r="C1084" s="444"/>
      <c r="D1084" s="520"/>
      <c r="E1084" s="445"/>
      <c r="F1084" s="446"/>
      <c r="G1084" s="524"/>
      <c r="H1084" s="446"/>
      <c r="I1084" s="458"/>
      <c r="J1084" s="271" t="b">
        <f>Age_Sex22[[#This Row],[Total Spending After Applying Truncation at the Member Level]]+Age_Sex22[[#This Row],[Total Dollars Excluded from Spending After Applying Truncation at the Member Level]]=Age_Sex22[[#This Row],[Total Spending before Truncation is Applied]]</f>
        <v>1</v>
      </c>
    </row>
    <row r="1085" spans="1:10" x14ac:dyDescent="0.25">
      <c r="A1085" s="449"/>
      <c r="B1085" s="443"/>
      <c r="C1085" s="444"/>
      <c r="D1085" s="520"/>
      <c r="E1085" s="445"/>
      <c r="F1085" s="446"/>
      <c r="G1085" s="524"/>
      <c r="H1085" s="446"/>
      <c r="I1085" s="458"/>
      <c r="J1085" s="271" t="b">
        <f>Age_Sex22[[#This Row],[Total Spending After Applying Truncation at the Member Level]]+Age_Sex22[[#This Row],[Total Dollars Excluded from Spending After Applying Truncation at the Member Level]]=Age_Sex22[[#This Row],[Total Spending before Truncation is Applied]]</f>
        <v>1</v>
      </c>
    </row>
    <row r="1086" spans="1:10" x14ac:dyDescent="0.25">
      <c r="A1086" s="449"/>
      <c r="B1086" s="443"/>
      <c r="C1086" s="444"/>
      <c r="D1086" s="520"/>
      <c r="E1086" s="445"/>
      <c r="F1086" s="446"/>
      <c r="G1086" s="524"/>
      <c r="H1086" s="446"/>
      <c r="I1086" s="458"/>
      <c r="J1086" s="271" t="b">
        <f>Age_Sex22[[#This Row],[Total Spending After Applying Truncation at the Member Level]]+Age_Sex22[[#This Row],[Total Dollars Excluded from Spending After Applying Truncation at the Member Level]]=Age_Sex22[[#This Row],[Total Spending before Truncation is Applied]]</f>
        <v>1</v>
      </c>
    </row>
    <row r="1087" spans="1:10" x14ac:dyDescent="0.25">
      <c r="A1087" s="449"/>
      <c r="B1087" s="443"/>
      <c r="C1087" s="444"/>
      <c r="D1087" s="520"/>
      <c r="E1087" s="445"/>
      <c r="F1087" s="446"/>
      <c r="G1087" s="524"/>
      <c r="H1087" s="446"/>
      <c r="I1087" s="458"/>
      <c r="J1087" s="271" t="b">
        <f>Age_Sex22[[#This Row],[Total Spending After Applying Truncation at the Member Level]]+Age_Sex22[[#This Row],[Total Dollars Excluded from Spending After Applying Truncation at the Member Level]]=Age_Sex22[[#This Row],[Total Spending before Truncation is Applied]]</f>
        <v>1</v>
      </c>
    </row>
    <row r="1088" spans="1:10" x14ac:dyDescent="0.25">
      <c r="A1088" s="449"/>
      <c r="B1088" s="443"/>
      <c r="C1088" s="444"/>
      <c r="D1088" s="520"/>
      <c r="E1088" s="445"/>
      <c r="F1088" s="446"/>
      <c r="G1088" s="524"/>
      <c r="H1088" s="446"/>
      <c r="I1088" s="458"/>
      <c r="J1088" s="271" t="b">
        <f>Age_Sex22[[#This Row],[Total Spending After Applying Truncation at the Member Level]]+Age_Sex22[[#This Row],[Total Dollars Excluded from Spending After Applying Truncation at the Member Level]]=Age_Sex22[[#This Row],[Total Spending before Truncation is Applied]]</f>
        <v>1</v>
      </c>
    </row>
    <row r="1089" spans="1:10" x14ac:dyDescent="0.25">
      <c r="A1089" s="449"/>
      <c r="B1089" s="443"/>
      <c r="C1089" s="444"/>
      <c r="D1089" s="520"/>
      <c r="E1089" s="445"/>
      <c r="F1089" s="446"/>
      <c r="G1089" s="524"/>
      <c r="H1089" s="446"/>
      <c r="I1089" s="458"/>
      <c r="J1089" s="271" t="b">
        <f>Age_Sex22[[#This Row],[Total Spending After Applying Truncation at the Member Level]]+Age_Sex22[[#This Row],[Total Dollars Excluded from Spending After Applying Truncation at the Member Level]]=Age_Sex22[[#This Row],[Total Spending before Truncation is Applied]]</f>
        <v>1</v>
      </c>
    </row>
    <row r="1090" spans="1:10" x14ac:dyDescent="0.25">
      <c r="A1090" s="449"/>
      <c r="B1090" s="443"/>
      <c r="C1090" s="444"/>
      <c r="D1090" s="520"/>
      <c r="E1090" s="445"/>
      <c r="F1090" s="446"/>
      <c r="G1090" s="524"/>
      <c r="H1090" s="446"/>
      <c r="I1090" s="458"/>
      <c r="J1090" s="271" t="b">
        <f>Age_Sex22[[#This Row],[Total Spending After Applying Truncation at the Member Level]]+Age_Sex22[[#This Row],[Total Dollars Excluded from Spending After Applying Truncation at the Member Level]]=Age_Sex22[[#This Row],[Total Spending before Truncation is Applied]]</f>
        <v>1</v>
      </c>
    </row>
    <row r="1091" spans="1:10" x14ac:dyDescent="0.25">
      <c r="A1091" s="449"/>
      <c r="B1091" s="443"/>
      <c r="C1091" s="444"/>
      <c r="D1091" s="520"/>
      <c r="E1091" s="445"/>
      <c r="F1091" s="446"/>
      <c r="G1091" s="524"/>
      <c r="H1091" s="446"/>
      <c r="I1091" s="458"/>
      <c r="J1091" s="271" t="b">
        <f>Age_Sex22[[#This Row],[Total Spending After Applying Truncation at the Member Level]]+Age_Sex22[[#This Row],[Total Dollars Excluded from Spending After Applying Truncation at the Member Level]]=Age_Sex22[[#This Row],[Total Spending before Truncation is Applied]]</f>
        <v>1</v>
      </c>
    </row>
    <row r="1092" spans="1:10" x14ac:dyDescent="0.25">
      <c r="A1092" s="449"/>
      <c r="B1092" s="443"/>
      <c r="C1092" s="444"/>
      <c r="D1092" s="520"/>
      <c r="E1092" s="445"/>
      <c r="F1092" s="446"/>
      <c r="G1092" s="524"/>
      <c r="H1092" s="446"/>
      <c r="I1092" s="458"/>
      <c r="J1092" s="271" t="b">
        <f>Age_Sex22[[#This Row],[Total Spending After Applying Truncation at the Member Level]]+Age_Sex22[[#This Row],[Total Dollars Excluded from Spending After Applying Truncation at the Member Level]]=Age_Sex22[[#This Row],[Total Spending before Truncation is Applied]]</f>
        <v>1</v>
      </c>
    </row>
    <row r="1093" spans="1:10" x14ac:dyDescent="0.25">
      <c r="A1093" s="449"/>
      <c r="B1093" s="443"/>
      <c r="C1093" s="444"/>
      <c r="D1093" s="520"/>
      <c r="E1093" s="445"/>
      <c r="F1093" s="446"/>
      <c r="G1093" s="524"/>
      <c r="H1093" s="446"/>
      <c r="I1093" s="458"/>
      <c r="J1093" s="271" t="b">
        <f>Age_Sex22[[#This Row],[Total Spending After Applying Truncation at the Member Level]]+Age_Sex22[[#This Row],[Total Dollars Excluded from Spending After Applying Truncation at the Member Level]]=Age_Sex22[[#This Row],[Total Spending before Truncation is Applied]]</f>
        <v>1</v>
      </c>
    </row>
    <row r="1094" spans="1:10" x14ac:dyDescent="0.25">
      <c r="A1094" s="449"/>
      <c r="B1094" s="443"/>
      <c r="C1094" s="444"/>
      <c r="D1094" s="520"/>
      <c r="E1094" s="445"/>
      <c r="F1094" s="446"/>
      <c r="G1094" s="524"/>
      <c r="H1094" s="446"/>
      <c r="I1094" s="458"/>
      <c r="J1094" s="271" t="b">
        <f>Age_Sex22[[#This Row],[Total Spending After Applying Truncation at the Member Level]]+Age_Sex22[[#This Row],[Total Dollars Excluded from Spending After Applying Truncation at the Member Level]]=Age_Sex22[[#This Row],[Total Spending before Truncation is Applied]]</f>
        <v>1</v>
      </c>
    </row>
    <row r="1095" spans="1:10" x14ac:dyDescent="0.25">
      <c r="A1095" s="449"/>
      <c r="B1095" s="443"/>
      <c r="C1095" s="444"/>
      <c r="D1095" s="520"/>
      <c r="E1095" s="445"/>
      <c r="F1095" s="446"/>
      <c r="G1095" s="524"/>
      <c r="H1095" s="446"/>
      <c r="I1095" s="458"/>
      <c r="J1095" s="271" t="b">
        <f>Age_Sex22[[#This Row],[Total Spending After Applying Truncation at the Member Level]]+Age_Sex22[[#This Row],[Total Dollars Excluded from Spending After Applying Truncation at the Member Level]]=Age_Sex22[[#This Row],[Total Spending before Truncation is Applied]]</f>
        <v>1</v>
      </c>
    </row>
    <row r="1096" spans="1:10" x14ac:dyDescent="0.25">
      <c r="A1096" s="449"/>
      <c r="B1096" s="443"/>
      <c r="C1096" s="444"/>
      <c r="D1096" s="520"/>
      <c r="E1096" s="445"/>
      <c r="F1096" s="446"/>
      <c r="G1096" s="524"/>
      <c r="H1096" s="446"/>
      <c r="I1096" s="458"/>
      <c r="J1096" s="271" t="b">
        <f>Age_Sex22[[#This Row],[Total Spending After Applying Truncation at the Member Level]]+Age_Sex22[[#This Row],[Total Dollars Excluded from Spending After Applying Truncation at the Member Level]]=Age_Sex22[[#This Row],[Total Spending before Truncation is Applied]]</f>
        <v>1</v>
      </c>
    </row>
    <row r="1097" spans="1:10" x14ac:dyDescent="0.25">
      <c r="A1097" s="449"/>
      <c r="B1097" s="443"/>
      <c r="C1097" s="444"/>
      <c r="D1097" s="520"/>
      <c r="E1097" s="445"/>
      <c r="F1097" s="446"/>
      <c r="G1097" s="524"/>
      <c r="H1097" s="446"/>
      <c r="I1097" s="458"/>
      <c r="J1097" s="271" t="b">
        <f>Age_Sex22[[#This Row],[Total Spending After Applying Truncation at the Member Level]]+Age_Sex22[[#This Row],[Total Dollars Excluded from Spending After Applying Truncation at the Member Level]]=Age_Sex22[[#This Row],[Total Spending before Truncation is Applied]]</f>
        <v>1</v>
      </c>
    </row>
    <row r="1098" spans="1:10" x14ac:dyDescent="0.25">
      <c r="A1098" s="449"/>
      <c r="B1098" s="443"/>
      <c r="C1098" s="444"/>
      <c r="D1098" s="520"/>
      <c r="E1098" s="445"/>
      <c r="F1098" s="446"/>
      <c r="G1098" s="524"/>
      <c r="H1098" s="446"/>
      <c r="I1098" s="458"/>
      <c r="J1098" s="271" t="b">
        <f>Age_Sex22[[#This Row],[Total Spending After Applying Truncation at the Member Level]]+Age_Sex22[[#This Row],[Total Dollars Excluded from Spending After Applying Truncation at the Member Level]]=Age_Sex22[[#This Row],[Total Spending before Truncation is Applied]]</f>
        <v>1</v>
      </c>
    </row>
    <row r="1099" spans="1:10" x14ac:dyDescent="0.25">
      <c r="A1099" s="449"/>
      <c r="B1099" s="443"/>
      <c r="C1099" s="444"/>
      <c r="D1099" s="520"/>
      <c r="E1099" s="445"/>
      <c r="F1099" s="446"/>
      <c r="G1099" s="524"/>
      <c r="H1099" s="446"/>
      <c r="I1099" s="458"/>
      <c r="J1099" s="271" t="b">
        <f>Age_Sex22[[#This Row],[Total Spending After Applying Truncation at the Member Level]]+Age_Sex22[[#This Row],[Total Dollars Excluded from Spending After Applying Truncation at the Member Level]]=Age_Sex22[[#This Row],[Total Spending before Truncation is Applied]]</f>
        <v>1</v>
      </c>
    </row>
    <row r="1100" spans="1:10" x14ac:dyDescent="0.25">
      <c r="A1100" s="449"/>
      <c r="B1100" s="443"/>
      <c r="C1100" s="444"/>
      <c r="D1100" s="520"/>
      <c r="E1100" s="445"/>
      <c r="F1100" s="446"/>
      <c r="G1100" s="524"/>
      <c r="H1100" s="446"/>
      <c r="I1100" s="458"/>
      <c r="J1100" s="271" t="b">
        <f>Age_Sex22[[#This Row],[Total Spending After Applying Truncation at the Member Level]]+Age_Sex22[[#This Row],[Total Dollars Excluded from Spending After Applying Truncation at the Member Level]]=Age_Sex22[[#This Row],[Total Spending before Truncation is Applied]]</f>
        <v>1</v>
      </c>
    </row>
    <row r="1101" spans="1:10" x14ac:dyDescent="0.25">
      <c r="A1101" s="449"/>
      <c r="B1101" s="443"/>
      <c r="C1101" s="444"/>
      <c r="D1101" s="520"/>
      <c r="E1101" s="445"/>
      <c r="F1101" s="446"/>
      <c r="G1101" s="524"/>
      <c r="H1101" s="446"/>
      <c r="I1101" s="458"/>
      <c r="J1101" s="271" t="b">
        <f>Age_Sex22[[#This Row],[Total Spending After Applying Truncation at the Member Level]]+Age_Sex22[[#This Row],[Total Dollars Excluded from Spending After Applying Truncation at the Member Level]]=Age_Sex22[[#This Row],[Total Spending before Truncation is Applied]]</f>
        <v>1</v>
      </c>
    </row>
    <row r="1102" spans="1:10" x14ac:dyDescent="0.25">
      <c r="A1102" s="449"/>
      <c r="B1102" s="443"/>
      <c r="C1102" s="444"/>
      <c r="D1102" s="520"/>
      <c r="E1102" s="445"/>
      <c r="F1102" s="446"/>
      <c r="G1102" s="524"/>
      <c r="H1102" s="446"/>
      <c r="I1102" s="458"/>
      <c r="J1102" s="271" t="b">
        <f>Age_Sex22[[#This Row],[Total Spending After Applying Truncation at the Member Level]]+Age_Sex22[[#This Row],[Total Dollars Excluded from Spending After Applying Truncation at the Member Level]]=Age_Sex22[[#This Row],[Total Spending before Truncation is Applied]]</f>
        <v>1</v>
      </c>
    </row>
    <row r="1103" spans="1:10" x14ac:dyDescent="0.25">
      <c r="A1103" s="449"/>
      <c r="B1103" s="443"/>
      <c r="C1103" s="444"/>
      <c r="D1103" s="520"/>
      <c r="E1103" s="445"/>
      <c r="F1103" s="446"/>
      <c r="G1103" s="524"/>
      <c r="H1103" s="446"/>
      <c r="I1103" s="458"/>
      <c r="J1103" s="271" t="b">
        <f>Age_Sex22[[#This Row],[Total Spending After Applying Truncation at the Member Level]]+Age_Sex22[[#This Row],[Total Dollars Excluded from Spending After Applying Truncation at the Member Level]]=Age_Sex22[[#This Row],[Total Spending before Truncation is Applied]]</f>
        <v>1</v>
      </c>
    </row>
    <row r="1104" spans="1:10" x14ac:dyDescent="0.25">
      <c r="A1104" s="449"/>
      <c r="B1104" s="443"/>
      <c r="C1104" s="444"/>
      <c r="D1104" s="520"/>
      <c r="E1104" s="445"/>
      <c r="F1104" s="446"/>
      <c r="G1104" s="524"/>
      <c r="H1104" s="446"/>
      <c r="I1104" s="458"/>
      <c r="J1104" s="271" t="b">
        <f>Age_Sex22[[#This Row],[Total Spending After Applying Truncation at the Member Level]]+Age_Sex22[[#This Row],[Total Dollars Excluded from Spending After Applying Truncation at the Member Level]]=Age_Sex22[[#This Row],[Total Spending before Truncation is Applied]]</f>
        <v>1</v>
      </c>
    </row>
    <row r="1105" spans="1:10" x14ac:dyDescent="0.25">
      <c r="A1105" s="449"/>
      <c r="B1105" s="443"/>
      <c r="C1105" s="444"/>
      <c r="D1105" s="520"/>
      <c r="E1105" s="445"/>
      <c r="F1105" s="446"/>
      <c r="G1105" s="524"/>
      <c r="H1105" s="446"/>
      <c r="I1105" s="458"/>
      <c r="J1105" s="271" t="b">
        <f>Age_Sex22[[#This Row],[Total Spending After Applying Truncation at the Member Level]]+Age_Sex22[[#This Row],[Total Dollars Excluded from Spending After Applying Truncation at the Member Level]]=Age_Sex22[[#This Row],[Total Spending before Truncation is Applied]]</f>
        <v>1</v>
      </c>
    </row>
    <row r="1106" spans="1:10" x14ac:dyDescent="0.25">
      <c r="A1106" s="450"/>
      <c r="B1106" s="451"/>
      <c r="C1106" s="452"/>
      <c r="D1106" s="521"/>
      <c r="E1106" s="453"/>
      <c r="F1106" s="454"/>
      <c r="G1106" s="525"/>
      <c r="H1106" s="454"/>
      <c r="I1106" s="459"/>
      <c r="J1106" s="271" t="b">
        <f>Age_Sex22[[#This Row],[Total Spending After Applying Truncation at the Member Level]]+Age_Sex22[[#This Row],[Total Dollars Excluded from Spending After Applying Truncation at the Member Level]]=Age_Sex22[[#This Row],[Total Spending before Truncation is Applied]]</f>
        <v>1</v>
      </c>
    </row>
    <row r="1107" spans="1:10" x14ac:dyDescent="0.25">
      <c r="A1107" s="449"/>
      <c r="B1107" s="443"/>
      <c r="C1107" s="444"/>
      <c r="D1107" s="520"/>
      <c r="E1107" s="445"/>
      <c r="F1107" s="446"/>
      <c r="G1107" s="524"/>
      <c r="H1107" s="446"/>
      <c r="I1107" s="458"/>
      <c r="J1107" s="271" t="b">
        <f>Age_Sex22[[#This Row],[Total Spending After Applying Truncation at the Member Level]]+Age_Sex22[[#This Row],[Total Dollars Excluded from Spending After Applying Truncation at the Member Level]]=Age_Sex22[[#This Row],[Total Spending before Truncation is Applied]]</f>
        <v>1</v>
      </c>
    </row>
    <row r="1108" spans="1:10" x14ac:dyDescent="0.25">
      <c r="A1108" s="450"/>
      <c r="B1108" s="451"/>
      <c r="C1108" s="452"/>
      <c r="D1108" s="521"/>
      <c r="E1108" s="453"/>
      <c r="F1108" s="454"/>
      <c r="G1108" s="525"/>
      <c r="H1108" s="454"/>
      <c r="I1108" s="459"/>
      <c r="J1108" s="271" t="b">
        <f>Age_Sex22[[#This Row],[Total Spending After Applying Truncation at the Member Level]]+Age_Sex22[[#This Row],[Total Dollars Excluded from Spending After Applying Truncation at the Member Level]]=Age_Sex22[[#This Row],[Total Spending before Truncation is Applied]]</f>
        <v>1</v>
      </c>
    </row>
    <row r="1109" spans="1:10" x14ac:dyDescent="0.25">
      <c r="A1109" s="449"/>
      <c r="B1109" s="443"/>
      <c r="C1109" s="444"/>
      <c r="D1109" s="520"/>
      <c r="E1109" s="445"/>
      <c r="F1109" s="446"/>
      <c r="G1109" s="524"/>
      <c r="H1109" s="446"/>
      <c r="I1109" s="458"/>
      <c r="J1109" s="271" t="b">
        <f>Age_Sex22[[#This Row],[Total Spending After Applying Truncation at the Member Level]]+Age_Sex22[[#This Row],[Total Dollars Excluded from Spending After Applying Truncation at the Member Level]]=Age_Sex22[[#This Row],[Total Spending before Truncation is Applied]]</f>
        <v>1</v>
      </c>
    </row>
    <row r="1110" spans="1:10" x14ac:dyDescent="0.25">
      <c r="A1110" s="450"/>
      <c r="B1110" s="451"/>
      <c r="C1110" s="452"/>
      <c r="D1110" s="521"/>
      <c r="E1110" s="453"/>
      <c r="F1110" s="454"/>
      <c r="G1110" s="525"/>
      <c r="H1110" s="454"/>
      <c r="I1110" s="459"/>
      <c r="J1110" s="271" t="b">
        <f>Age_Sex22[[#This Row],[Total Spending After Applying Truncation at the Member Level]]+Age_Sex22[[#This Row],[Total Dollars Excluded from Spending After Applying Truncation at the Member Level]]=Age_Sex22[[#This Row],[Total Spending before Truncation is Applied]]</f>
        <v>1</v>
      </c>
    </row>
    <row r="1111" spans="1:10" x14ac:dyDescent="0.25">
      <c r="A1111" s="449"/>
      <c r="B1111" s="443"/>
      <c r="C1111" s="444"/>
      <c r="D1111" s="520"/>
      <c r="E1111" s="445"/>
      <c r="F1111" s="446"/>
      <c r="G1111" s="524"/>
      <c r="H1111" s="446"/>
      <c r="I1111" s="458"/>
      <c r="J1111" s="271" t="b">
        <f>Age_Sex22[[#This Row],[Total Spending After Applying Truncation at the Member Level]]+Age_Sex22[[#This Row],[Total Dollars Excluded from Spending After Applying Truncation at the Member Level]]=Age_Sex22[[#This Row],[Total Spending before Truncation is Applied]]</f>
        <v>1</v>
      </c>
    </row>
    <row r="1112" spans="1:10" x14ac:dyDescent="0.25">
      <c r="A1112" s="450"/>
      <c r="B1112" s="451"/>
      <c r="C1112" s="452"/>
      <c r="D1112" s="521"/>
      <c r="E1112" s="453"/>
      <c r="F1112" s="454"/>
      <c r="G1112" s="525"/>
      <c r="H1112" s="454"/>
      <c r="I1112" s="459"/>
      <c r="J1112" s="271" t="b">
        <f>Age_Sex22[[#This Row],[Total Spending After Applying Truncation at the Member Level]]+Age_Sex22[[#This Row],[Total Dollars Excluded from Spending After Applying Truncation at the Member Level]]=Age_Sex22[[#This Row],[Total Spending before Truncation is Applied]]</f>
        <v>1</v>
      </c>
    </row>
    <row r="1113" spans="1:10" x14ac:dyDescent="0.25">
      <c r="A1113" s="449"/>
      <c r="B1113" s="443"/>
      <c r="C1113" s="444"/>
      <c r="D1113" s="520"/>
      <c r="E1113" s="445"/>
      <c r="F1113" s="446"/>
      <c r="G1113" s="524"/>
      <c r="H1113" s="446"/>
      <c r="I1113" s="458"/>
      <c r="J1113" s="271" t="b">
        <f>Age_Sex22[[#This Row],[Total Spending After Applying Truncation at the Member Level]]+Age_Sex22[[#This Row],[Total Dollars Excluded from Spending After Applying Truncation at the Member Level]]=Age_Sex22[[#This Row],[Total Spending before Truncation is Applied]]</f>
        <v>1</v>
      </c>
    </row>
    <row r="1114" spans="1:10" x14ac:dyDescent="0.25">
      <c r="A1114" s="450"/>
      <c r="B1114" s="451"/>
      <c r="C1114" s="452"/>
      <c r="D1114" s="521"/>
      <c r="E1114" s="453"/>
      <c r="F1114" s="454"/>
      <c r="G1114" s="525"/>
      <c r="H1114" s="454"/>
      <c r="I1114" s="459"/>
      <c r="J1114" s="271" t="b">
        <f>Age_Sex22[[#This Row],[Total Spending After Applying Truncation at the Member Level]]+Age_Sex22[[#This Row],[Total Dollars Excluded from Spending After Applying Truncation at the Member Level]]=Age_Sex22[[#This Row],[Total Spending before Truncation is Applied]]</f>
        <v>1</v>
      </c>
    </row>
    <row r="1115" spans="1:10" x14ac:dyDescent="0.25">
      <c r="A1115" s="449"/>
      <c r="B1115" s="443"/>
      <c r="C1115" s="444"/>
      <c r="D1115" s="520"/>
      <c r="E1115" s="445"/>
      <c r="F1115" s="446"/>
      <c r="G1115" s="524"/>
      <c r="H1115" s="446"/>
      <c r="I1115" s="458"/>
      <c r="J1115" s="271" t="b">
        <f>Age_Sex22[[#This Row],[Total Spending After Applying Truncation at the Member Level]]+Age_Sex22[[#This Row],[Total Dollars Excluded from Spending After Applying Truncation at the Member Level]]=Age_Sex22[[#This Row],[Total Spending before Truncation is Applied]]</f>
        <v>1</v>
      </c>
    </row>
    <row r="1116" spans="1:10" x14ac:dyDescent="0.25">
      <c r="A1116" s="450"/>
      <c r="B1116" s="451"/>
      <c r="C1116" s="452"/>
      <c r="D1116" s="521"/>
      <c r="E1116" s="453"/>
      <c r="F1116" s="454"/>
      <c r="G1116" s="525"/>
      <c r="H1116" s="454"/>
      <c r="I1116" s="459"/>
      <c r="J1116" s="271" t="b">
        <f>Age_Sex22[[#This Row],[Total Spending After Applying Truncation at the Member Level]]+Age_Sex22[[#This Row],[Total Dollars Excluded from Spending After Applying Truncation at the Member Level]]=Age_Sex22[[#This Row],[Total Spending before Truncation is Applied]]</f>
        <v>1</v>
      </c>
    </row>
    <row r="1117" spans="1:10" x14ac:dyDescent="0.25">
      <c r="A1117" s="449"/>
      <c r="B1117" s="443"/>
      <c r="C1117" s="444"/>
      <c r="D1117" s="520"/>
      <c r="E1117" s="445"/>
      <c r="F1117" s="446"/>
      <c r="G1117" s="524"/>
      <c r="H1117" s="446"/>
      <c r="I1117" s="458"/>
      <c r="J1117" s="271" t="b">
        <f>Age_Sex22[[#This Row],[Total Spending After Applying Truncation at the Member Level]]+Age_Sex22[[#This Row],[Total Dollars Excluded from Spending After Applying Truncation at the Member Level]]=Age_Sex22[[#This Row],[Total Spending before Truncation is Applied]]</f>
        <v>1</v>
      </c>
    </row>
    <row r="1118" spans="1:10" x14ac:dyDescent="0.25">
      <c r="A1118" s="450"/>
      <c r="B1118" s="451"/>
      <c r="C1118" s="452"/>
      <c r="D1118" s="521"/>
      <c r="E1118" s="453"/>
      <c r="F1118" s="454"/>
      <c r="G1118" s="525"/>
      <c r="H1118" s="454"/>
      <c r="I1118" s="459"/>
      <c r="J1118" s="271" t="b">
        <f>Age_Sex22[[#This Row],[Total Spending After Applying Truncation at the Member Level]]+Age_Sex22[[#This Row],[Total Dollars Excluded from Spending After Applying Truncation at the Member Level]]=Age_Sex22[[#This Row],[Total Spending before Truncation is Applied]]</f>
        <v>1</v>
      </c>
    </row>
    <row r="1119" spans="1:10" x14ac:dyDescent="0.25">
      <c r="A1119" s="449"/>
      <c r="B1119" s="443"/>
      <c r="C1119" s="444"/>
      <c r="D1119" s="520"/>
      <c r="E1119" s="445"/>
      <c r="F1119" s="446"/>
      <c r="G1119" s="524"/>
      <c r="H1119" s="446"/>
      <c r="I1119" s="458"/>
      <c r="J1119" s="271" t="b">
        <f>Age_Sex22[[#This Row],[Total Spending After Applying Truncation at the Member Level]]+Age_Sex22[[#This Row],[Total Dollars Excluded from Spending After Applying Truncation at the Member Level]]=Age_Sex22[[#This Row],[Total Spending before Truncation is Applied]]</f>
        <v>1</v>
      </c>
    </row>
    <row r="1120" spans="1:10" x14ac:dyDescent="0.25">
      <c r="A1120" s="450"/>
      <c r="B1120" s="451"/>
      <c r="C1120" s="452"/>
      <c r="D1120" s="521"/>
      <c r="E1120" s="453"/>
      <c r="F1120" s="454"/>
      <c r="G1120" s="525"/>
      <c r="H1120" s="454"/>
      <c r="I1120" s="459"/>
      <c r="J1120" s="271" t="b">
        <f>Age_Sex22[[#This Row],[Total Spending After Applying Truncation at the Member Level]]+Age_Sex22[[#This Row],[Total Dollars Excluded from Spending After Applying Truncation at the Member Level]]=Age_Sex22[[#This Row],[Total Spending before Truncation is Applied]]</f>
        <v>1</v>
      </c>
    </row>
    <row r="1121" spans="1:10" x14ac:dyDescent="0.25">
      <c r="A1121" s="449"/>
      <c r="B1121" s="443"/>
      <c r="C1121" s="444"/>
      <c r="D1121" s="520"/>
      <c r="E1121" s="445"/>
      <c r="F1121" s="446"/>
      <c r="G1121" s="524"/>
      <c r="H1121" s="446"/>
      <c r="I1121" s="458"/>
      <c r="J1121" s="271" t="b">
        <f>Age_Sex22[[#This Row],[Total Spending After Applying Truncation at the Member Level]]+Age_Sex22[[#This Row],[Total Dollars Excluded from Spending After Applying Truncation at the Member Level]]=Age_Sex22[[#This Row],[Total Spending before Truncation is Applied]]</f>
        <v>1</v>
      </c>
    </row>
    <row r="1122" spans="1:10" x14ac:dyDescent="0.25">
      <c r="A1122" s="450"/>
      <c r="B1122" s="451"/>
      <c r="C1122" s="452"/>
      <c r="D1122" s="521"/>
      <c r="E1122" s="453"/>
      <c r="F1122" s="454"/>
      <c r="G1122" s="525"/>
      <c r="H1122" s="454"/>
      <c r="I1122" s="459"/>
      <c r="J1122" s="271" t="b">
        <f>Age_Sex22[[#This Row],[Total Spending After Applying Truncation at the Member Level]]+Age_Sex22[[#This Row],[Total Dollars Excluded from Spending After Applying Truncation at the Member Level]]=Age_Sex22[[#This Row],[Total Spending before Truncation is Applied]]</f>
        <v>1</v>
      </c>
    </row>
    <row r="1123" spans="1:10" x14ac:dyDescent="0.25">
      <c r="A1123" s="449"/>
      <c r="B1123" s="443"/>
      <c r="C1123" s="444"/>
      <c r="D1123" s="520"/>
      <c r="E1123" s="445"/>
      <c r="F1123" s="446"/>
      <c r="G1123" s="524"/>
      <c r="H1123" s="446"/>
      <c r="I1123" s="458"/>
      <c r="J1123" s="271" t="b">
        <f>Age_Sex22[[#This Row],[Total Spending After Applying Truncation at the Member Level]]+Age_Sex22[[#This Row],[Total Dollars Excluded from Spending After Applying Truncation at the Member Level]]=Age_Sex22[[#This Row],[Total Spending before Truncation is Applied]]</f>
        <v>1</v>
      </c>
    </row>
    <row r="1124" spans="1:10" x14ac:dyDescent="0.25">
      <c r="A1124" s="450"/>
      <c r="B1124" s="451"/>
      <c r="C1124" s="452"/>
      <c r="D1124" s="521"/>
      <c r="E1124" s="453"/>
      <c r="F1124" s="454"/>
      <c r="G1124" s="525"/>
      <c r="H1124" s="454"/>
      <c r="I1124" s="459"/>
      <c r="J1124" s="271" t="b">
        <f>Age_Sex22[[#This Row],[Total Spending After Applying Truncation at the Member Level]]+Age_Sex22[[#This Row],[Total Dollars Excluded from Spending After Applying Truncation at the Member Level]]=Age_Sex22[[#This Row],[Total Spending before Truncation is Applied]]</f>
        <v>1</v>
      </c>
    </row>
    <row r="1125" spans="1:10" x14ac:dyDescent="0.25">
      <c r="A1125" s="449"/>
      <c r="B1125" s="443"/>
      <c r="C1125" s="444"/>
      <c r="D1125" s="520"/>
      <c r="E1125" s="445"/>
      <c r="F1125" s="446"/>
      <c r="G1125" s="524"/>
      <c r="H1125" s="446"/>
      <c r="I1125" s="458"/>
      <c r="J1125" s="271" t="b">
        <f>Age_Sex22[[#This Row],[Total Spending After Applying Truncation at the Member Level]]+Age_Sex22[[#This Row],[Total Dollars Excluded from Spending After Applying Truncation at the Member Level]]=Age_Sex22[[#This Row],[Total Spending before Truncation is Applied]]</f>
        <v>1</v>
      </c>
    </row>
    <row r="1126" spans="1:10" x14ac:dyDescent="0.25">
      <c r="A1126" s="450"/>
      <c r="B1126" s="451"/>
      <c r="C1126" s="452"/>
      <c r="D1126" s="521"/>
      <c r="E1126" s="453"/>
      <c r="F1126" s="454"/>
      <c r="G1126" s="525"/>
      <c r="H1126" s="454"/>
      <c r="I1126" s="459"/>
      <c r="J1126" s="271" t="b">
        <f>Age_Sex22[[#This Row],[Total Spending After Applying Truncation at the Member Level]]+Age_Sex22[[#This Row],[Total Dollars Excluded from Spending After Applying Truncation at the Member Level]]=Age_Sex22[[#This Row],[Total Spending before Truncation is Applied]]</f>
        <v>1</v>
      </c>
    </row>
    <row r="1127" spans="1:10" x14ac:dyDescent="0.25">
      <c r="A1127" s="449"/>
      <c r="B1127" s="443"/>
      <c r="C1127" s="444"/>
      <c r="D1127" s="520"/>
      <c r="E1127" s="445"/>
      <c r="F1127" s="446"/>
      <c r="G1127" s="524"/>
      <c r="H1127" s="446"/>
      <c r="I1127" s="458"/>
      <c r="J1127" s="271" t="b">
        <f>Age_Sex22[[#This Row],[Total Spending After Applying Truncation at the Member Level]]+Age_Sex22[[#This Row],[Total Dollars Excluded from Spending After Applying Truncation at the Member Level]]=Age_Sex22[[#This Row],[Total Spending before Truncation is Applied]]</f>
        <v>1</v>
      </c>
    </row>
    <row r="1128" spans="1:10" x14ac:dyDescent="0.25">
      <c r="A1128" s="450"/>
      <c r="B1128" s="451"/>
      <c r="C1128" s="452"/>
      <c r="D1128" s="521"/>
      <c r="E1128" s="453"/>
      <c r="F1128" s="454"/>
      <c r="G1128" s="525"/>
      <c r="H1128" s="454"/>
      <c r="I1128" s="459"/>
      <c r="J1128" s="271" t="b">
        <f>Age_Sex22[[#This Row],[Total Spending After Applying Truncation at the Member Level]]+Age_Sex22[[#This Row],[Total Dollars Excluded from Spending After Applying Truncation at the Member Level]]=Age_Sex22[[#This Row],[Total Spending before Truncation is Applied]]</f>
        <v>1</v>
      </c>
    </row>
    <row r="1129" spans="1:10" x14ac:dyDescent="0.25">
      <c r="A1129" s="449"/>
      <c r="B1129" s="443"/>
      <c r="C1129" s="444"/>
      <c r="D1129" s="520"/>
      <c r="E1129" s="445"/>
      <c r="F1129" s="446"/>
      <c r="G1129" s="524"/>
      <c r="H1129" s="446"/>
      <c r="I1129" s="458"/>
      <c r="J1129" s="271" t="b">
        <f>Age_Sex22[[#This Row],[Total Spending After Applying Truncation at the Member Level]]+Age_Sex22[[#This Row],[Total Dollars Excluded from Spending After Applying Truncation at the Member Level]]=Age_Sex22[[#This Row],[Total Spending before Truncation is Applied]]</f>
        <v>1</v>
      </c>
    </row>
    <row r="1130" spans="1:10" x14ac:dyDescent="0.25">
      <c r="A1130" s="450"/>
      <c r="B1130" s="451"/>
      <c r="C1130" s="452"/>
      <c r="D1130" s="521"/>
      <c r="E1130" s="453"/>
      <c r="F1130" s="454"/>
      <c r="G1130" s="525"/>
      <c r="H1130" s="454"/>
      <c r="I1130" s="459"/>
      <c r="J1130" s="271" t="b">
        <f>Age_Sex22[[#This Row],[Total Spending After Applying Truncation at the Member Level]]+Age_Sex22[[#This Row],[Total Dollars Excluded from Spending After Applying Truncation at the Member Level]]=Age_Sex22[[#This Row],[Total Spending before Truncation is Applied]]</f>
        <v>1</v>
      </c>
    </row>
    <row r="1131" spans="1:10" x14ac:dyDescent="0.25">
      <c r="A1131" s="449"/>
      <c r="B1131" s="443"/>
      <c r="C1131" s="444"/>
      <c r="D1131" s="520"/>
      <c r="E1131" s="445"/>
      <c r="F1131" s="446"/>
      <c r="G1131" s="524"/>
      <c r="H1131" s="446"/>
      <c r="I1131" s="458"/>
      <c r="J1131" s="271" t="b">
        <f>Age_Sex22[[#This Row],[Total Spending After Applying Truncation at the Member Level]]+Age_Sex22[[#This Row],[Total Dollars Excluded from Spending After Applying Truncation at the Member Level]]=Age_Sex22[[#This Row],[Total Spending before Truncation is Applied]]</f>
        <v>1</v>
      </c>
    </row>
    <row r="1132" spans="1:10" x14ac:dyDescent="0.25">
      <c r="A1132" s="450"/>
      <c r="B1132" s="451"/>
      <c r="C1132" s="452"/>
      <c r="D1132" s="521"/>
      <c r="E1132" s="453"/>
      <c r="F1132" s="454"/>
      <c r="G1132" s="525"/>
      <c r="H1132" s="454"/>
      <c r="I1132" s="459"/>
      <c r="J1132" s="271" t="b">
        <f>Age_Sex22[[#This Row],[Total Spending After Applying Truncation at the Member Level]]+Age_Sex22[[#This Row],[Total Dollars Excluded from Spending After Applying Truncation at the Member Level]]=Age_Sex22[[#This Row],[Total Spending before Truncation is Applied]]</f>
        <v>1</v>
      </c>
    </row>
    <row r="1133" spans="1:10" x14ac:dyDescent="0.25">
      <c r="A1133" s="449"/>
      <c r="B1133" s="443"/>
      <c r="C1133" s="444"/>
      <c r="D1133" s="520"/>
      <c r="E1133" s="445"/>
      <c r="F1133" s="446"/>
      <c r="G1133" s="524"/>
      <c r="H1133" s="446"/>
      <c r="I1133" s="458"/>
      <c r="J1133" s="271" t="b">
        <f>Age_Sex22[[#This Row],[Total Spending After Applying Truncation at the Member Level]]+Age_Sex22[[#This Row],[Total Dollars Excluded from Spending After Applying Truncation at the Member Level]]=Age_Sex22[[#This Row],[Total Spending before Truncation is Applied]]</f>
        <v>1</v>
      </c>
    </row>
    <row r="1134" spans="1:10" x14ac:dyDescent="0.25">
      <c r="A1134" s="450"/>
      <c r="B1134" s="451"/>
      <c r="C1134" s="452"/>
      <c r="D1134" s="521"/>
      <c r="E1134" s="453"/>
      <c r="F1134" s="454"/>
      <c r="G1134" s="525"/>
      <c r="H1134" s="454"/>
      <c r="I1134" s="459"/>
      <c r="J1134" s="271" t="b">
        <f>Age_Sex22[[#This Row],[Total Spending After Applying Truncation at the Member Level]]+Age_Sex22[[#This Row],[Total Dollars Excluded from Spending After Applying Truncation at the Member Level]]=Age_Sex22[[#This Row],[Total Spending before Truncation is Applied]]</f>
        <v>1</v>
      </c>
    </row>
    <row r="1135" spans="1:10" x14ac:dyDescent="0.25">
      <c r="A1135" s="449"/>
      <c r="B1135" s="443"/>
      <c r="C1135" s="444"/>
      <c r="D1135" s="520"/>
      <c r="E1135" s="445"/>
      <c r="F1135" s="446"/>
      <c r="G1135" s="524"/>
      <c r="H1135" s="446"/>
      <c r="I1135" s="458"/>
      <c r="J1135" s="271" t="b">
        <f>Age_Sex22[[#This Row],[Total Spending After Applying Truncation at the Member Level]]+Age_Sex22[[#This Row],[Total Dollars Excluded from Spending After Applying Truncation at the Member Level]]=Age_Sex22[[#This Row],[Total Spending before Truncation is Applied]]</f>
        <v>1</v>
      </c>
    </row>
    <row r="1136" spans="1:10" x14ac:dyDescent="0.25">
      <c r="A1136" s="450"/>
      <c r="B1136" s="451"/>
      <c r="C1136" s="452"/>
      <c r="D1136" s="521"/>
      <c r="E1136" s="453"/>
      <c r="F1136" s="454"/>
      <c r="G1136" s="525"/>
      <c r="H1136" s="454"/>
      <c r="I1136" s="459"/>
      <c r="J1136" s="271" t="b">
        <f>Age_Sex22[[#This Row],[Total Spending After Applying Truncation at the Member Level]]+Age_Sex22[[#This Row],[Total Dollars Excluded from Spending After Applying Truncation at the Member Level]]=Age_Sex22[[#This Row],[Total Spending before Truncation is Applied]]</f>
        <v>1</v>
      </c>
    </row>
    <row r="1137" spans="1:10" x14ac:dyDescent="0.25">
      <c r="A1137" s="449"/>
      <c r="B1137" s="443"/>
      <c r="C1137" s="444"/>
      <c r="D1137" s="520"/>
      <c r="E1137" s="445"/>
      <c r="F1137" s="446"/>
      <c r="G1137" s="524"/>
      <c r="H1137" s="446"/>
      <c r="I1137" s="458"/>
      <c r="J1137" s="271" t="b">
        <f>Age_Sex22[[#This Row],[Total Spending After Applying Truncation at the Member Level]]+Age_Sex22[[#This Row],[Total Dollars Excluded from Spending After Applying Truncation at the Member Level]]=Age_Sex22[[#This Row],[Total Spending before Truncation is Applied]]</f>
        <v>1</v>
      </c>
    </row>
    <row r="1138" spans="1:10" x14ac:dyDescent="0.25">
      <c r="A1138" s="450"/>
      <c r="B1138" s="451"/>
      <c r="C1138" s="452"/>
      <c r="D1138" s="521"/>
      <c r="E1138" s="453"/>
      <c r="F1138" s="454"/>
      <c r="G1138" s="525"/>
      <c r="H1138" s="454"/>
      <c r="I1138" s="459"/>
      <c r="J1138" s="271" t="b">
        <f>Age_Sex22[[#This Row],[Total Spending After Applying Truncation at the Member Level]]+Age_Sex22[[#This Row],[Total Dollars Excluded from Spending After Applying Truncation at the Member Level]]=Age_Sex22[[#This Row],[Total Spending before Truncation is Applied]]</f>
        <v>1</v>
      </c>
    </row>
    <row r="1139" spans="1:10" x14ac:dyDescent="0.25">
      <c r="A1139" s="449"/>
      <c r="B1139" s="443"/>
      <c r="C1139" s="444"/>
      <c r="D1139" s="520"/>
      <c r="E1139" s="445"/>
      <c r="F1139" s="446"/>
      <c r="G1139" s="524"/>
      <c r="H1139" s="446"/>
      <c r="I1139" s="458"/>
      <c r="J1139" s="271" t="b">
        <f>Age_Sex22[[#This Row],[Total Spending After Applying Truncation at the Member Level]]+Age_Sex22[[#This Row],[Total Dollars Excluded from Spending After Applying Truncation at the Member Level]]=Age_Sex22[[#This Row],[Total Spending before Truncation is Applied]]</f>
        <v>1</v>
      </c>
    </row>
    <row r="1140" spans="1:10" x14ac:dyDescent="0.25">
      <c r="A1140" s="450"/>
      <c r="B1140" s="451"/>
      <c r="C1140" s="452"/>
      <c r="D1140" s="521"/>
      <c r="E1140" s="453"/>
      <c r="F1140" s="454"/>
      <c r="G1140" s="525"/>
      <c r="H1140" s="454"/>
      <c r="I1140" s="459"/>
      <c r="J1140" s="271" t="b">
        <f>Age_Sex22[[#This Row],[Total Spending After Applying Truncation at the Member Level]]+Age_Sex22[[#This Row],[Total Dollars Excluded from Spending After Applying Truncation at the Member Level]]=Age_Sex22[[#This Row],[Total Spending before Truncation is Applied]]</f>
        <v>1</v>
      </c>
    </row>
    <row r="1141" spans="1:10" x14ac:dyDescent="0.25">
      <c r="A1141" s="449"/>
      <c r="B1141" s="443"/>
      <c r="C1141" s="444"/>
      <c r="D1141" s="520"/>
      <c r="E1141" s="445"/>
      <c r="F1141" s="446"/>
      <c r="G1141" s="524"/>
      <c r="H1141" s="446"/>
      <c r="I1141" s="458"/>
      <c r="J1141" s="271" t="b">
        <f>Age_Sex22[[#This Row],[Total Spending After Applying Truncation at the Member Level]]+Age_Sex22[[#This Row],[Total Dollars Excluded from Spending After Applying Truncation at the Member Level]]=Age_Sex22[[#This Row],[Total Spending before Truncation is Applied]]</f>
        <v>1</v>
      </c>
    </row>
    <row r="1142" spans="1:10" x14ac:dyDescent="0.25">
      <c r="A1142" s="450"/>
      <c r="B1142" s="451"/>
      <c r="C1142" s="452"/>
      <c r="D1142" s="521"/>
      <c r="E1142" s="453"/>
      <c r="F1142" s="454"/>
      <c r="G1142" s="525"/>
      <c r="H1142" s="454"/>
      <c r="I1142" s="459"/>
      <c r="J1142" s="271" t="b">
        <f>Age_Sex22[[#This Row],[Total Spending After Applying Truncation at the Member Level]]+Age_Sex22[[#This Row],[Total Dollars Excluded from Spending After Applying Truncation at the Member Level]]=Age_Sex22[[#This Row],[Total Spending before Truncation is Applied]]</f>
        <v>1</v>
      </c>
    </row>
    <row r="1143" spans="1:10" x14ac:dyDescent="0.25">
      <c r="A1143" s="449"/>
      <c r="B1143" s="443"/>
      <c r="C1143" s="444"/>
      <c r="D1143" s="520"/>
      <c r="E1143" s="445"/>
      <c r="F1143" s="446"/>
      <c r="G1143" s="524"/>
      <c r="H1143" s="446"/>
      <c r="I1143" s="458"/>
      <c r="J1143" s="271" t="b">
        <f>Age_Sex22[[#This Row],[Total Spending After Applying Truncation at the Member Level]]+Age_Sex22[[#This Row],[Total Dollars Excluded from Spending After Applying Truncation at the Member Level]]=Age_Sex22[[#This Row],[Total Spending before Truncation is Applied]]</f>
        <v>1</v>
      </c>
    </row>
    <row r="1144" spans="1:10" x14ac:dyDescent="0.25">
      <c r="A1144" s="450"/>
      <c r="B1144" s="451"/>
      <c r="C1144" s="452"/>
      <c r="D1144" s="521"/>
      <c r="E1144" s="453"/>
      <c r="F1144" s="454"/>
      <c r="G1144" s="525"/>
      <c r="H1144" s="454"/>
      <c r="I1144" s="459"/>
      <c r="J1144" s="271" t="b">
        <f>Age_Sex22[[#This Row],[Total Spending After Applying Truncation at the Member Level]]+Age_Sex22[[#This Row],[Total Dollars Excluded from Spending After Applying Truncation at the Member Level]]=Age_Sex22[[#This Row],[Total Spending before Truncation is Applied]]</f>
        <v>1</v>
      </c>
    </row>
    <row r="1145" spans="1:10" x14ac:dyDescent="0.25">
      <c r="A1145" s="449"/>
      <c r="B1145" s="443"/>
      <c r="C1145" s="444"/>
      <c r="D1145" s="520"/>
      <c r="E1145" s="445"/>
      <c r="F1145" s="446"/>
      <c r="G1145" s="524"/>
      <c r="H1145" s="446"/>
      <c r="I1145" s="458"/>
      <c r="J1145" s="271" t="b">
        <f>Age_Sex22[[#This Row],[Total Spending After Applying Truncation at the Member Level]]+Age_Sex22[[#This Row],[Total Dollars Excluded from Spending After Applying Truncation at the Member Level]]=Age_Sex22[[#This Row],[Total Spending before Truncation is Applied]]</f>
        <v>1</v>
      </c>
    </row>
    <row r="1146" spans="1:10" x14ac:dyDescent="0.25">
      <c r="A1146" s="450"/>
      <c r="B1146" s="451"/>
      <c r="C1146" s="452"/>
      <c r="D1146" s="521"/>
      <c r="E1146" s="453"/>
      <c r="F1146" s="454"/>
      <c r="G1146" s="525"/>
      <c r="H1146" s="454"/>
      <c r="I1146" s="459"/>
      <c r="J1146" s="271" t="b">
        <f>Age_Sex22[[#This Row],[Total Spending After Applying Truncation at the Member Level]]+Age_Sex22[[#This Row],[Total Dollars Excluded from Spending After Applying Truncation at the Member Level]]=Age_Sex22[[#This Row],[Total Spending before Truncation is Applied]]</f>
        <v>1</v>
      </c>
    </row>
    <row r="1147" spans="1:10" x14ac:dyDescent="0.25">
      <c r="A1147" s="449"/>
      <c r="B1147" s="443"/>
      <c r="C1147" s="444"/>
      <c r="D1147" s="520"/>
      <c r="E1147" s="445"/>
      <c r="F1147" s="446"/>
      <c r="G1147" s="524"/>
      <c r="H1147" s="446"/>
      <c r="I1147" s="458"/>
      <c r="J1147" s="271" t="b">
        <f>Age_Sex22[[#This Row],[Total Spending After Applying Truncation at the Member Level]]+Age_Sex22[[#This Row],[Total Dollars Excluded from Spending After Applying Truncation at the Member Level]]=Age_Sex22[[#This Row],[Total Spending before Truncation is Applied]]</f>
        <v>1</v>
      </c>
    </row>
    <row r="1148" spans="1:10" x14ac:dyDescent="0.25">
      <c r="A1148" s="450"/>
      <c r="B1148" s="451"/>
      <c r="C1148" s="452"/>
      <c r="D1148" s="521"/>
      <c r="E1148" s="453"/>
      <c r="F1148" s="454"/>
      <c r="G1148" s="525"/>
      <c r="H1148" s="454"/>
      <c r="I1148" s="459"/>
      <c r="J1148" s="271" t="b">
        <f>Age_Sex22[[#This Row],[Total Spending After Applying Truncation at the Member Level]]+Age_Sex22[[#This Row],[Total Dollars Excluded from Spending After Applying Truncation at the Member Level]]=Age_Sex22[[#This Row],[Total Spending before Truncation is Applied]]</f>
        <v>1</v>
      </c>
    </row>
    <row r="1149" spans="1:10" x14ac:dyDescent="0.25">
      <c r="A1149" s="449"/>
      <c r="B1149" s="443"/>
      <c r="C1149" s="444"/>
      <c r="D1149" s="520"/>
      <c r="E1149" s="445"/>
      <c r="F1149" s="446"/>
      <c r="G1149" s="524"/>
      <c r="H1149" s="446"/>
      <c r="I1149" s="458"/>
      <c r="J1149" s="271" t="b">
        <f>Age_Sex22[[#This Row],[Total Spending After Applying Truncation at the Member Level]]+Age_Sex22[[#This Row],[Total Dollars Excluded from Spending After Applying Truncation at the Member Level]]=Age_Sex22[[#This Row],[Total Spending before Truncation is Applied]]</f>
        <v>1</v>
      </c>
    </row>
    <row r="1150" spans="1:10" x14ac:dyDescent="0.25">
      <c r="A1150" s="450"/>
      <c r="B1150" s="451"/>
      <c r="C1150" s="452"/>
      <c r="D1150" s="521"/>
      <c r="E1150" s="453"/>
      <c r="F1150" s="454"/>
      <c r="G1150" s="525"/>
      <c r="H1150" s="454"/>
      <c r="I1150" s="459"/>
      <c r="J1150" s="271" t="b">
        <f>Age_Sex22[[#This Row],[Total Spending After Applying Truncation at the Member Level]]+Age_Sex22[[#This Row],[Total Dollars Excluded from Spending After Applying Truncation at the Member Level]]=Age_Sex22[[#This Row],[Total Spending before Truncation is Applied]]</f>
        <v>1</v>
      </c>
    </row>
    <row r="1151" spans="1:10" x14ac:dyDescent="0.25">
      <c r="A1151" s="449"/>
      <c r="B1151" s="443"/>
      <c r="C1151" s="444"/>
      <c r="D1151" s="520"/>
      <c r="E1151" s="445"/>
      <c r="F1151" s="446"/>
      <c r="G1151" s="524"/>
      <c r="H1151" s="446"/>
      <c r="I1151" s="458"/>
      <c r="J1151" s="271" t="b">
        <f>Age_Sex22[[#This Row],[Total Spending After Applying Truncation at the Member Level]]+Age_Sex22[[#This Row],[Total Dollars Excluded from Spending After Applying Truncation at the Member Level]]=Age_Sex22[[#This Row],[Total Spending before Truncation is Applied]]</f>
        <v>1</v>
      </c>
    </row>
    <row r="1152" spans="1:10" x14ac:dyDescent="0.25">
      <c r="A1152" s="450"/>
      <c r="B1152" s="451"/>
      <c r="C1152" s="452"/>
      <c r="D1152" s="521"/>
      <c r="E1152" s="453"/>
      <c r="F1152" s="454"/>
      <c r="G1152" s="525"/>
      <c r="H1152" s="454"/>
      <c r="I1152" s="459"/>
      <c r="J1152" s="271" t="b">
        <f>Age_Sex22[[#This Row],[Total Spending After Applying Truncation at the Member Level]]+Age_Sex22[[#This Row],[Total Dollars Excluded from Spending After Applying Truncation at the Member Level]]=Age_Sex22[[#This Row],[Total Spending before Truncation is Applied]]</f>
        <v>1</v>
      </c>
    </row>
    <row r="1153" spans="1:10" x14ac:dyDescent="0.25">
      <c r="A1153" s="449"/>
      <c r="B1153" s="443"/>
      <c r="C1153" s="444"/>
      <c r="D1153" s="520"/>
      <c r="E1153" s="445"/>
      <c r="F1153" s="446"/>
      <c r="G1153" s="524"/>
      <c r="H1153" s="446"/>
      <c r="I1153" s="458"/>
      <c r="J1153" s="271" t="b">
        <f>Age_Sex22[[#This Row],[Total Spending After Applying Truncation at the Member Level]]+Age_Sex22[[#This Row],[Total Dollars Excluded from Spending After Applying Truncation at the Member Level]]=Age_Sex22[[#This Row],[Total Spending before Truncation is Applied]]</f>
        <v>1</v>
      </c>
    </row>
    <row r="1154" spans="1:10" x14ac:dyDescent="0.25">
      <c r="A1154" s="450"/>
      <c r="B1154" s="451"/>
      <c r="C1154" s="452"/>
      <c r="D1154" s="521"/>
      <c r="E1154" s="453"/>
      <c r="F1154" s="454"/>
      <c r="G1154" s="525"/>
      <c r="H1154" s="454"/>
      <c r="I1154" s="459"/>
      <c r="J1154" s="271" t="b">
        <f>Age_Sex22[[#This Row],[Total Spending After Applying Truncation at the Member Level]]+Age_Sex22[[#This Row],[Total Dollars Excluded from Spending After Applying Truncation at the Member Level]]=Age_Sex22[[#This Row],[Total Spending before Truncation is Applied]]</f>
        <v>1</v>
      </c>
    </row>
    <row r="1155" spans="1:10" x14ac:dyDescent="0.25">
      <c r="A1155" s="449"/>
      <c r="B1155" s="443"/>
      <c r="C1155" s="444"/>
      <c r="D1155" s="520"/>
      <c r="E1155" s="445"/>
      <c r="F1155" s="446"/>
      <c r="G1155" s="524"/>
      <c r="H1155" s="446"/>
      <c r="I1155" s="458"/>
      <c r="J1155" s="271" t="b">
        <f>Age_Sex22[[#This Row],[Total Spending After Applying Truncation at the Member Level]]+Age_Sex22[[#This Row],[Total Dollars Excluded from Spending After Applying Truncation at the Member Level]]=Age_Sex22[[#This Row],[Total Spending before Truncation is Applied]]</f>
        <v>1</v>
      </c>
    </row>
    <row r="1156" spans="1:10" x14ac:dyDescent="0.25">
      <c r="A1156" s="450"/>
      <c r="B1156" s="451"/>
      <c r="C1156" s="452"/>
      <c r="D1156" s="521"/>
      <c r="E1156" s="453"/>
      <c r="F1156" s="454"/>
      <c r="G1156" s="525"/>
      <c r="H1156" s="454"/>
      <c r="I1156" s="459"/>
      <c r="J1156" s="271" t="b">
        <f>Age_Sex22[[#This Row],[Total Spending After Applying Truncation at the Member Level]]+Age_Sex22[[#This Row],[Total Dollars Excluded from Spending After Applying Truncation at the Member Level]]=Age_Sex22[[#This Row],[Total Spending before Truncation is Applied]]</f>
        <v>1</v>
      </c>
    </row>
    <row r="1157" spans="1:10" x14ac:dyDescent="0.25">
      <c r="A1157" s="449"/>
      <c r="B1157" s="443"/>
      <c r="C1157" s="444"/>
      <c r="D1157" s="520"/>
      <c r="E1157" s="445"/>
      <c r="F1157" s="446"/>
      <c r="G1157" s="524"/>
      <c r="H1157" s="446"/>
      <c r="I1157" s="458"/>
      <c r="J1157" s="271" t="b">
        <f>Age_Sex22[[#This Row],[Total Spending After Applying Truncation at the Member Level]]+Age_Sex22[[#This Row],[Total Dollars Excluded from Spending After Applying Truncation at the Member Level]]=Age_Sex22[[#This Row],[Total Spending before Truncation is Applied]]</f>
        <v>1</v>
      </c>
    </row>
    <row r="1158" spans="1:10" x14ac:dyDescent="0.25">
      <c r="A1158" s="450"/>
      <c r="B1158" s="451"/>
      <c r="C1158" s="452"/>
      <c r="D1158" s="521"/>
      <c r="E1158" s="453"/>
      <c r="F1158" s="454"/>
      <c r="G1158" s="525"/>
      <c r="H1158" s="454"/>
      <c r="I1158" s="459"/>
      <c r="J1158" s="271" t="b">
        <f>Age_Sex22[[#This Row],[Total Spending After Applying Truncation at the Member Level]]+Age_Sex22[[#This Row],[Total Dollars Excluded from Spending After Applying Truncation at the Member Level]]=Age_Sex22[[#This Row],[Total Spending before Truncation is Applied]]</f>
        <v>1</v>
      </c>
    </row>
    <row r="1159" spans="1:10" x14ac:dyDescent="0.25">
      <c r="A1159" s="449"/>
      <c r="B1159" s="443"/>
      <c r="C1159" s="444"/>
      <c r="D1159" s="520"/>
      <c r="E1159" s="445"/>
      <c r="F1159" s="446"/>
      <c r="G1159" s="524"/>
      <c r="H1159" s="446"/>
      <c r="I1159" s="458"/>
      <c r="J1159" s="271" t="b">
        <f>Age_Sex22[[#This Row],[Total Spending After Applying Truncation at the Member Level]]+Age_Sex22[[#This Row],[Total Dollars Excluded from Spending After Applying Truncation at the Member Level]]=Age_Sex22[[#This Row],[Total Spending before Truncation is Applied]]</f>
        <v>1</v>
      </c>
    </row>
    <row r="1160" spans="1:10" x14ac:dyDescent="0.25">
      <c r="A1160" s="450"/>
      <c r="B1160" s="451"/>
      <c r="C1160" s="452"/>
      <c r="D1160" s="521"/>
      <c r="E1160" s="453"/>
      <c r="F1160" s="454"/>
      <c r="G1160" s="525"/>
      <c r="H1160" s="454"/>
      <c r="I1160" s="459"/>
      <c r="J1160" s="271" t="b">
        <f>Age_Sex22[[#This Row],[Total Spending After Applying Truncation at the Member Level]]+Age_Sex22[[#This Row],[Total Dollars Excluded from Spending After Applying Truncation at the Member Level]]=Age_Sex22[[#This Row],[Total Spending before Truncation is Applied]]</f>
        <v>1</v>
      </c>
    </row>
    <row r="1161" spans="1:10" x14ac:dyDescent="0.25">
      <c r="A1161" s="449"/>
      <c r="B1161" s="443"/>
      <c r="C1161" s="444"/>
      <c r="D1161" s="520"/>
      <c r="E1161" s="445"/>
      <c r="F1161" s="446"/>
      <c r="G1161" s="524"/>
      <c r="H1161" s="446"/>
      <c r="I1161" s="458"/>
      <c r="J1161" s="271" t="b">
        <f>Age_Sex22[[#This Row],[Total Spending After Applying Truncation at the Member Level]]+Age_Sex22[[#This Row],[Total Dollars Excluded from Spending After Applying Truncation at the Member Level]]=Age_Sex22[[#This Row],[Total Spending before Truncation is Applied]]</f>
        <v>1</v>
      </c>
    </row>
    <row r="1162" spans="1:10" x14ac:dyDescent="0.25">
      <c r="A1162" s="450"/>
      <c r="B1162" s="451"/>
      <c r="C1162" s="452"/>
      <c r="D1162" s="521"/>
      <c r="E1162" s="453"/>
      <c r="F1162" s="454"/>
      <c r="G1162" s="525"/>
      <c r="H1162" s="454"/>
      <c r="I1162" s="459"/>
      <c r="J1162" s="271" t="b">
        <f>Age_Sex22[[#This Row],[Total Spending After Applying Truncation at the Member Level]]+Age_Sex22[[#This Row],[Total Dollars Excluded from Spending After Applying Truncation at the Member Level]]=Age_Sex22[[#This Row],[Total Spending before Truncation is Applied]]</f>
        <v>1</v>
      </c>
    </row>
    <row r="1163" spans="1:10" x14ac:dyDescent="0.25">
      <c r="A1163" s="449"/>
      <c r="B1163" s="443"/>
      <c r="C1163" s="444"/>
      <c r="D1163" s="520"/>
      <c r="E1163" s="445"/>
      <c r="F1163" s="446"/>
      <c r="G1163" s="524"/>
      <c r="H1163" s="446"/>
      <c r="I1163" s="458"/>
      <c r="J1163" s="271" t="b">
        <f>Age_Sex22[[#This Row],[Total Spending After Applying Truncation at the Member Level]]+Age_Sex22[[#This Row],[Total Dollars Excluded from Spending After Applying Truncation at the Member Level]]=Age_Sex22[[#This Row],[Total Spending before Truncation is Applied]]</f>
        <v>1</v>
      </c>
    </row>
    <row r="1164" spans="1:10" x14ac:dyDescent="0.25">
      <c r="A1164" s="450"/>
      <c r="B1164" s="451"/>
      <c r="C1164" s="452"/>
      <c r="D1164" s="521"/>
      <c r="E1164" s="453"/>
      <c r="F1164" s="454"/>
      <c r="G1164" s="525"/>
      <c r="H1164" s="454"/>
      <c r="I1164" s="459"/>
      <c r="J1164" s="271" t="b">
        <f>Age_Sex22[[#This Row],[Total Spending After Applying Truncation at the Member Level]]+Age_Sex22[[#This Row],[Total Dollars Excluded from Spending After Applying Truncation at the Member Level]]=Age_Sex22[[#This Row],[Total Spending before Truncation is Applied]]</f>
        <v>1</v>
      </c>
    </row>
    <row r="1165" spans="1:10" x14ac:dyDescent="0.25">
      <c r="A1165" s="449"/>
      <c r="B1165" s="443"/>
      <c r="C1165" s="444"/>
      <c r="D1165" s="520"/>
      <c r="E1165" s="445"/>
      <c r="F1165" s="446"/>
      <c r="G1165" s="524"/>
      <c r="H1165" s="446"/>
      <c r="I1165" s="458"/>
      <c r="J1165" s="271" t="b">
        <f>Age_Sex22[[#This Row],[Total Spending After Applying Truncation at the Member Level]]+Age_Sex22[[#This Row],[Total Dollars Excluded from Spending After Applying Truncation at the Member Level]]=Age_Sex22[[#This Row],[Total Spending before Truncation is Applied]]</f>
        <v>1</v>
      </c>
    </row>
    <row r="1166" spans="1:10" x14ac:dyDescent="0.25">
      <c r="A1166" s="450"/>
      <c r="B1166" s="451"/>
      <c r="C1166" s="452"/>
      <c r="D1166" s="521"/>
      <c r="E1166" s="453"/>
      <c r="F1166" s="454"/>
      <c r="G1166" s="525"/>
      <c r="H1166" s="454"/>
      <c r="I1166" s="459"/>
      <c r="J1166" s="271" t="b">
        <f>Age_Sex22[[#This Row],[Total Spending After Applying Truncation at the Member Level]]+Age_Sex22[[#This Row],[Total Dollars Excluded from Spending After Applying Truncation at the Member Level]]=Age_Sex22[[#This Row],[Total Spending before Truncation is Applied]]</f>
        <v>1</v>
      </c>
    </row>
    <row r="1167" spans="1:10" x14ac:dyDescent="0.25">
      <c r="A1167" s="449"/>
      <c r="B1167" s="443"/>
      <c r="C1167" s="444"/>
      <c r="D1167" s="520"/>
      <c r="E1167" s="445"/>
      <c r="F1167" s="446"/>
      <c r="G1167" s="524"/>
      <c r="H1167" s="446"/>
      <c r="I1167" s="458"/>
      <c r="J1167" s="271" t="b">
        <f>Age_Sex22[[#This Row],[Total Spending After Applying Truncation at the Member Level]]+Age_Sex22[[#This Row],[Total Dollars Excluded from Spending After Applying Truncation at the Member Level]]=Age_Sex22[[#This Row],[Total Spending before Truncation is Applied]]</f>
        <v>1</v>
      </c>
    </row>
    <row r="1168" spans="1:10" x14ac:dyDescent="0.25">
      <c r="A1168" s="450"/>
      <c r="B1168" s="451"/>
      <c r="C1168" s="452"/>
      <c r="D1168" s="521"/>
      <c r="E1168" s="453"/>
      <c r="F1168" s="454"/>
      <c r="G1168" s="525"/>
      <c r="H1168" s="454"/>
      <c r="I1168" s="459"/>
      <c r="J1168" s="271" t="b">
        <f>Age_Sex22[[#This Row],[Total Spending After Applying Truncation at the Member Level]]+Age_Sex22[[#This Row],[Total Dollars Excluded from Spending After Applying Truncation at the Member Level]]=Age_Sex22[[#This Row],[Total Spending before Truncation is Applied]]</f>
        <v>1</v>
      </c>
    </row>
    <row r="1169" spans="1:10" x14ac:dyDescent="0.25">
      <c r="A1169" s="449"/>
      <c r="B1169" s="443"/>
      <c r="C1169" s="444"/>
      <c r="D1169" s="520"/>
      <c r="E1169" s="445"/>
      <c r="F1169" s="446"/>
      <c r="G1169" s="524"/>
      <c r="H1169" s="446"/>
      <c r="I1169" s="458"/>
      <c r="J1169" s="271" t="b">
        <f>Age_Sex22[[#This Row],[Total Spending After Applying Truncation at the Member Level]]+Age_Sex22[[#This Row],[Total Dollars Excluded from Spending After Applying Truncation at the Member Level]]=Age_Sex22[[#This Row],[Total Spending before Truncation is Applied]]</f>
        <v>1</v>
      </c>
    </row>
    <row r="1170" spans="1:10" x14ac:dyDescent="0.25">
      <c r="A1170" s="450"/>
      <c r="B1170" s="451"/>
      <c r="C1170" s="452"/>
      <c r="D1170" s="521"/>
      <c r="E1170" s="453"/>
      <c r="F1170" s="454"/>
      <c r="G1170" s="525"/>
      <c r="H1170" s="454"/>
      <c r="I1170" s="459"/>
      <c r="J1170" s="271" t="b">
        <f>Age_Sex22[[#This Row],[Total Spending After Applying Truncation at the Member Level]]+Age_Sex22[[#This Row],[Total Dollars Excluded from Spending After Applying Truncation at the Member Level]]=Age_Sex22[[#This Row],[Total Spending before Truncation is Applied]]</f>
        <v>1</v>
      </c>
    </row>
    <row r="1171" spans="1:10" x14ac:dyDescent="0.25">
      <c r="A1171" s="449"/>
      <c r="B1171" s="443"/>
      <c r="C1171" s="444"/>
      <c r="D1171" s="520"/>
      <c r="E1171" s="445"/>
      <c r="F1171" s="446"/>
      <c r="G1171" s="524"/>
      <c r="H1171" s="446"/>
      <c r="I1171" s="458"/>
      <c r="J1171" s="271" t="b">
        <f>Age_Sex22[[#This Row],[Total Spending After Applying Truncation at the Member Level]]+Age_Sex22[[#This Row],[Total Dollars Excluded from Spending After Applying Truncation at the Member Level]]=Age_Sex22[[#This Row],[Total Spending before Truncation is Applied]]</f>
        <v>1</v>
      </c>
    </row>
    <row r="1172" spans="1:10" x14ac:dyDescent="0.25">
      <c r="A1172" s="450"/>
      <c r="B1172" s="451"/>
      <c r="C1172" s="452"/>
      <c r="D1172" s="521"/>
      <c r="E1172" s="453"/>
      <c r="F1172" s="454"/>
      <c r="G1172" s="525"/>
      <c r="H1172" s="454"/>
      <c r="I1172" s="459"/>
      <c r="J1172" s="271" t="b">
        <f>Age_Sex22[[#This Row],[Total Spending After Applying Truncation at the Member Level]]+Age_Sex22[[#This Row],[Total Dollars Excluded from Spending After Applying Truncation at the Member Level]]=Age_Sex22[[#This Row],[Total Spending before Truncation is Applied]]</f>
        <v>1</v>
      </c>
    </row>
    <row r="1173" spans="1:10" x14ac:dyDescent="0.25">
      <c r="A1173" s="449"/>
      <c r="B1173" s="443"/>
      <c r="C1173" s="444"/>
      <c r="D1173" s="520"/>
      <c r="E1173" s="445"/>
      <c r="F1173" s="446"/>
      <c r="G1173" s="524"/>
      <c r="H1173" s="446"/>
      <c r="I1173" s="458"/>
      <c r="J1173" s="271" t="b">
        <f>Age_Sex22[[#This Row],[Total Spending After Applying Truncation at the Member Level]]+Age_Sex22[[#This Row],[Total Dollars Excluded from Spending After Applying Truncation at the Member Level]]=Age_Sex22[[#This Row],[Total Spending before Truncation is Applied]]</f>
        <v>1</v>
      </c>
    </row>
    <row r="1174" spans="1:10" x14ac:dyDescent="0.25">
      <c r="A1174" s="450"/>
      <c r="B1174" s="451"/>
      <c r="C1174" s="452"/>
      <c r="D1174" s="521"/>
      <c r="E1174" s="453"/>
      <c r="F1174" s="454"/>
      <c r="G1174" s="525"/>
      <c r="H1174" s="454"/>
      <c r="I1174" s="459"/>
      <c r="J1174" s="271" t="b">
        <f>Age_Sex22[[#This Row],[Total Spending After Applying Truncation at the Member Level]]+Age_Sex22[[#This Row],[Total Dollars Excluded from Spending After Applying Truncation at the Member Level]]=Age_Sex22[[#This Row],[Total Spending before Truncation is Applied]]</f>
        <v>1</v>
      </c>
    </row>
    <row r="1175" spans="1:10" x14ac:dyDescent="0.25">
      <c r="A1175" s="449"/>
      <c r="B1175" s="443"/>
      <c r="C1175" s="444"/>
      <c r="D1175" s="520"/>
      <c r="E1175" s="445"/>
      <c r="F1175" s="446"/>
      <c r="G1175" s="524"/>
      <c r="H1175" s="446"/>
      <c r="I1175" s="458"/>
      <c r="J1175" s="271" t="b">
        <f>Age_Sex22[[#This Row],[Total Spending After Applying Truncation at the Member Level]]+Age_Sex22[[#This Row],[Total Dollars Excluded from Spending After Applying Truncation at the Member Level]]=Age_Sex22[[#This Row],[Total Spending before Truncation is Applied]]</f>
        <v>1</v>
      </c>
    </row>
    <row r="1176" spans="1:10" x14ac:dyDescent="0.25">
      <c r="A1176" s="450"/>
      <c r="B1176" s="451"/>
      <c r="C1176" s="452"/>
      <c r="D1176" s="521"/>
      <c r="E1176" s="453"/>
      <c r="F1176" s="454"/>
      <c r="G1176" s="525"/>
      <c r="H1176" s="454"/>
      <c r="I1176" s="459"/>
      <c r="J1176" s="271" t="b">
        <f>Age_Sex22[[#This Row],[Total Spending After Applying Truncation at the Member Level]]+Age_Sex22[[#This Row],[Total Dollars Excluded from Spending After Applying Truncation at the Member Level]]=Age_Sex22[[#This Row],[Total Spending before Truncation is Applied]]</f>
        <v>1</v>
      </c>
    </row>
    <row r="1177" spans="1:10" x14ac:dyDescent="0.25">
      <c r="A1177" s="449"/>
      <c r="B1177" s="443"/>
      <c r="C1177" s="444"/>
      <c r="D1177" s="520"/>
      <c r="E1177" s="445"/>
      <c r="F1177" s="446"/>
      <c r="G1177" s="524"/>
      <c r="H1177" s="446"/>
      <c r="I1177" s="458"/>
      <c r="J1177" s="271" t="b">
        <f>Age_Sex22[[#This Row],[Total Spending After Applying Truncation at the Member Level]]+Age_Sex22[[#This Row],[Total Dollars Excluded from Spending After Applying Truncation at the Member Level]]=Age_Sex22[[#This Row],[Total Spending before Truncation is Applied]]</f>
        <v>1</v>
      </c>
    </row>
    <row r="1178" spans="1:10" x14ac:dyDescent="0.25">
      <c r="A1178" s="450"/>
      <c r="B1178" s="451"/>
      <c r="C1178" s="452"/>
      <c r="D1178" s="521"/>
      <c r="E1178" s="453"/>
      <c r="F1178" s="454"/>
      <c r="G1178" s="525"/>
      <c r="H1178" s="454"/>
      <c r="I1178" s="459"/>
      <c r="J1178" s="271" t="b">
        <f>Age_Sex22[[#This Row],[Total Spending After Applying Truncation at the Member Level]]+Age_Sex22[[#This Row],[Total Dollars Excluded from Spending After Applying Truncation at the Member Level]]=Age_Sex22[[#This Row],[Total Spending before Truncation is Applied]]</f>
        <v>1</v>
      </c>
    </row>
    <row r="1179" spans="1:10" x14ac:dyDescent="0.25">
      <c r="A1179" s="449"/>
      <c r="B1179" s="443"/>
      <c r="C1179" s="444"/>
      <c r="D1179" s="520"/>
      <c r="E1179" s="445"/>
      <c r="F1179" s="446"/>
      <c r="G1179" s="524"/>
      <c r="H1179" s="446"/>
      <c r="I1179" s="458"/>
      <c r="J1179" s="271" t="b">
        <f>Age_Sex22[[#This Row],[Total Spending After Applying Truncation at the Member Level]]+Age_Sex22[[#This Row],[Total Dollars Excluded from Spending After Applying Truncation at the Member Level]]=Age_Sex22[[#This Row],[Total Spending before Truncation is Applied]]</f>
        <v>1</v>
      </c>
    </row>
    <row r="1180" spans="1:10" x14ac:dyDescent="0.25">
      <c r="A1180" s="450"/>
      <c r="B1180" s="451"/>
      <c r="C1180" s="452"/>
      <c r="D1180" s="521"/>
      <c r="E1180" s="453"/>
      <c r="F1180" s="454"/>
      <c r="G1180" s="525"/>
      <c r="H1180" s="454"/>
      <c r="I1180" s="459"/>
      <c r="J1180" s="271" t="b">
        <f>Age_Sex22[[#This Row],[Total Spending After Applying Truncation at the Member Level]]+Age_Sex22[[#This Row],[Total Dollars Excluded from Spending After Applying Truncation at the Member Level]]=Age_Sex22[[#This Row],[Total Spending before Truncation is Applied]]</f>
        <v>1</v>
      </c>
    </row>
    <row r="1181" spans="1:10" x14ac:dyDescent="0.25">
      <c r="A1181" s="449"/>
      <c r="B1181" s="443"/>
      <c r="C1181" s="444"/>
      <c r="D1181" s="520"/>
      <c r="E1181" s="445"/>
      <c r="F1181" s="446"/>
      <c r="G1181" s="524"/>
      <c r="H1181" s="446"/>
      <c r="I1181" s="458"/>
      <c r="J1181" s="271" t="b">
        <f>Age_Sex22[[#This Row],[Total Spending After Applying Truncation at the Member Level]]+Age_Sex22[[#This Row],[Total Dollars Excluded from Spending After Applying Truncation at the Member Level]]=Age_Sex22[[#This Row],[Total Spending before Truncation is Applied]]</f>
        <v>1</v>
      </c>
    </row>
    <row r="1182" spans="1:10" x14ac:dyDescent="0.25">
      <c r="A1182" s="450"/>
      <c r="B1182" s="451"/>
      <c r="C1182" s="452"/>
      <c r="D1182" s="521"/>
      <c r="E1182" s="453"/>
      <c r="F1182" s="454"/>
      <c r="G1182" s="525"/>
      <c r="H1182" s="454"/>
      <c r="I1182" s="459"/>
      <c r="J1182" s="271" t="b">
        <f>Age_Sex22[[#This Row],[Total Spending After Applying Truncation at the Member Level]]+Age_Sex22[[#This Row],[Total Dollars Excluded from Spending After Applying Truncation at the Member Level]]=Age_Sex22[[#This Row],[Total Spending before Truncation is Applied]]</f>
        <v>1</v>
      </c>
    </row>
    <row r="1183" spans="1:10" x14ac:dyDescent="0.25">
      <c r="A1183" s="449"/>
      <c r="B1183" s="443"/>
      <c r="C1183" s="444"/>
      <c r="D1183" s="520"/>
      <c r="E1183" s="445"/>
      <c r="F1183" s="446"/>
      <c r="G1183" s="524"/>
      <c r="H1183" s="446"/>
      <c r="I1183" s="458"/>
      <c r="J1183" s="271" t="b">
        <f>Age_Sex22[[#This Row],[Total Spending After Applying Truncation at the Member Level]]+Age_Sex22[[#This Row],[Total Dollars Excluded from Spending After Applying Truncation at the Member Level]]=Age_Sex22[[#This Row],[Total Spending before Truncation is Applied]]</f>
        <v>1</v>
      </c>
    </row>
    <row r="1184" spans="1:10" x14ac:dyDescent="0.25">
      <c r="A1184" s="450"/>
      <c r="B1184" s="451"/>
      <c r="C1184" s="452"/>
      <c r="D1184" s="521"/>
      <c r="E1184" s="453"/>
      <c r="F1184" s="454"/>
      <c r="G1184" s="525"/>
      <c r="H1184" s="454"/>
      <c r="I1184" s="459"/>
      <c r="J1184" s="271" t="b">
        <f>Age_Sex22[[#This Row],[Total Spending After Applying Truncation at the Member Level]]+Age_Sex22[[#This Row],[Total Dollars Excluded from Spending After Applying Truncation at the Member Level]]=Age_Sex22[[#This Row],[Total Spending before Truncation is Applied]]</f>
        <v>1</v>
      </c>
    </row>
    <row r="1185" spans="1:10" x14ac:dyDescent="0.25">
      <c r="A1185" s="449"/>
      <c r="B1185" s="443"/>
      <c r="C1185" s="444"/>
      <c r="D1185" s="520"/>
      <c r="E1185" s="445"/>
      <c r="F1185" s="446"/>
      <c r="G1185" s="524"/>
      <c r="H1185" s="446"/>
      <c r="I1185" s="458"/>
      <c r="J1185" s="271" t="b">
        <f>Age_Sex22[[#This Row],[Total Spending After Applying Truncation at the Member Level]]+Age_Sex22[[#This Row],[Total Dollars Excluded from Spending After Applying Truncation at the Member Level]]=Age_Sex22[[#This Row],[Total Spending before Truncation is Applied]]</f>
        <v>1</v>
      </c>
    </row>
    <row r="1186" spans="1:10" x14ac:dyDescent="0.25">
      <c r="A1186" s="450"/>
      <c r="B1186" s="451"/>
      <c r="C1186" s="452"/>
      <c r="D1186" s="521"/>
      <c r="E1186" s="453"/>
      <c r="F1186" s="454"/>
      <c r="G1186" s="525"/>
      <c r="H1186" s="454"/>
      <c r="I1186" s="459"/>
      <c r="J1186" s="271" t="b">
        <f>Age_Sex22[[#This Row],[Total Spending After Applying Truncation at the Member Level]]+Age_Sex22[[#This Row],[Total Dollars Excluded from Spending After Applying Truncation at the Member Level]]=Age_Sex22[[#This Row],[Total Spending before Truncation is Applied]]</f>
        <v>1</v>
      </c>
    </row>
    <row r="1187" spans="1:10" x14ac:dyDescent="0.25">
      <c r="A1187" s="449"/>
      <c r="B1187" s="443"/>
      <c r="C1187" s="444"/>
      <c r="D1187" s="520"/>
      <c r="E1187" s="445"/>
      <c r="F1187" s="446"/>
      <c r="G1187" s="524"/>
      <c r="H1187" s="446"/>
      <c r="I1187" s="458"/>
      <c r="J1187" s="271" t="b">
        <f>Age_Sex22[[#This Row],[Total Spending After Applying Truncation at the Member Level]]+Age_Sex22[[#This Row],[Total Dollars Excluded from Spending After Applying Truncation at the Member Level]]=Age_Sex22[[#This Row],[Total Spending before Truncation is Applied]]</f>
        <v>1</v>
      </c>
    </row>
    <row r="1188" spans="1:10" x14ac:dyDescent="0.25">
      <c r="A1188" s="450"/>
      <c r="B1188" s="451"/>
      <c r="C1188" s="452"/>
      <c r="D1188" s="521"/>
      <c r="E1188" s="453"/>
      <c r="F1188" s="454"/>
      <c r="G1188" s="525"/>
      <c r="H1188" s="454"/>
      <c r="I1188" s="459"/>
      <c r="J1188" s="271" t="b">
        <f>Age_Sex22[[#This Row],[Total Spending After Applying Truncation at the Member Level]]+Age_Sex22[[#This Row],[Total Dollars Excluded from Spending After Applying Truncation at the Member Level]]=Age_Sex22[[#This Row],[Total Spending before Truncation is Applied]]</f>
        <v>1</v>
      </c>
    </row>
    <row r="1189" spans="1:10" x14ac:dyDescent="0.25">
      <c r="A1189" s="449"/>
      <c r="B1189" s="443"/>
      <c r="C1189" s="444"/>
      <c r="D1189" s="520"/>
      <c r="E1189" s="445"/>
      <c r="F1189" s="446"/>
      <c r="G1189" s="524"/>
      <c r="H1189" s="446"/>
      <c r="I1189" s="458"/>
      <c r="J1189" s="271" t="b">
        <f>Age_Sex22[[#This Row],[Total Spending After Applying Truncation at the Member Level]]+Age_Sex22[[#This Row],[Total Dollars Excluded from Spending After Applying Truncation at the Member Level]]=Age_Sex22[[#This Row],[Total Spending before Truncation is Applied]]</f>
        <v>1</v>
      </c>
    </row>
    <row r="1190" spans="1:10" x14ac:dyDescent="0.25">
      <c r="A1190" s="450"/>
      <c r="B1190" s="451"/>
      <c r="C1190" s="452"/>
      <c r="D1190" s="521"/>
      <c r="E1190" s="453"/>
      <c r="F1190" s="454"/>
      <c r="G1190" s="525"/>
      <c r="H1190" s="454"/>
      <c r="I1190" s="459"/>
      <c r="J1190" s="271" t="b">
        <f>Age_Sex22[[#This Row],[Total Spending After Applying Truncation at the Member Level]]+Age_Sex22[[#This Row],[Total Dollars Excluded from Spending After Applying Truncation at the Member Level]]=Age_Sex22[[#This Row],[Total Spending before Truncation is Applied]]</f>
        <v>1</v>
      </c>
    </row>
    <row r="1191" spans="1:10" x14ac:dyDescent="0.25">
      <c r="A1191" s="449"/>
      <c r="B1191" s="443"/>
      <c r="C1191" s="444"/>
      <c r="D1191" s="520"/>
      <c r="E1191" s="445"/>
      <c r="F1191" s="446"/>
      <c r="G1191" s="524"/>
      <c r="H1191" s="446"/>
      <c r="I1191" s="458"/>
      <c r="J1191" s="271" t="b">
        <f>Age_Sex22[[#This Row],[Total Spending After Applying Truncation at the Member Level]]+Age_Sex22[[#This Row],[Total Dollars Excluded from Spending After Applying Truncation at the Member Level]]=Age_Sex22[[#This Row],[Total Spending before Truncation is Applied]]</f>
        <v>1</v>
      </c>
    </row>
    <row r="1192" spans="1:10" x14ac:dyDescent="0.25">
      <c r="A1192" s="450"/>
      <c r="B1192" s="451"/>
      <c r="C1192" s="452"/>
      <c r="D1192" s="521"/>
      <c r="E1192" s="453"/>
      <c r="F1192" s="454"/>
      <c r="G1192" s="525"/>
      <c r="H1192" s="454"/>
      <c r="I1192" s="459"/>
      <c r="J1192" s="271" t="b">
        <f>Age_Sex22[[#This Row],[Total Spending After Applying Truncation at the Member Level]]+Age_Sex22[[#This Row],[Total Dollars Excluded from Spending After Applying Truncation at the Member Level]]=Age_Sex22[[#This Row],[Total Spending before Truncation is Applied]]</f>
        <v>1</v>
      </c>
    </row>
    <row r="1193" spans="1:10" x14ac:dyDescent="0.25">
      <c r="A1193" s="449"/>
      <c r="B1193" s="443"/>
      <c r="C1193" s="444"/>
      <c r="D1193" s="520"/>
      <c r="E1193" s="445"/>
      <c r="F1193" s="446"/>
      <c r="G1193" s="524"/>
      <c r="H1193" s="446"/>
      <c r="I1193" s="458"/>
      <c r="J1193" s="271" t="b">
        <f>Age_Sex22[[#This Row],[Total Spending After Applying Truncation at the Member Level]]+Age_Sex22[[#This Row],[Total Dollars Excluded from Spending After Applying Truncation at the Member Level]]=Age_Sex22[[#This Row],[Total Spending before Truncation is Applied]]</f>
        <v>1</v>
      </c>
    </row>
    <row r="1194" spans="1:10" x14ac:dyDescent="0.25">
      <c r="A1194" s="450"/>
      <c r="B1194" s="451"/>
      <c r="C1194" s="452"/>
      <c r="D1194" s="521"/>
      <c r="E1194" s="453"/>
      <c r="F1194" s="454"/>
      <c r="G1194" s="525"/>
      <c r="H1194" s="454"/>
      <c r="I1194" s="459"/>
      <c r="J1194" s="271" t="b">
        <f>Age_Sex22[[#This Row],[Total Spending After Applying Truncation at the Member Level]]+Age_Sex22[[#This Row],[Total Dollars Excluded from Spending After Applying Truncation at the Member Level]]=Age_Sex22[[#This Row],[Total Spending before Truncation is Applied]]</f>
        <v>1</v>
      </c>
    </row>
    <row r="1195" spans="1:10" x14ac:dyDescent="0.25">
      <c r="A1195" s="449"/>
      <c r="B1195" s="443"/>
      <c r="C1195" s="444"/>
      <c r="D1195" s="520"/>
      <c r="E1195" s="445"/>
      <c r="F1195" s="446"/>
      <c r="G1195" s="524"/>
      <c r="H1195" s="446"/>
      <c r="I1195" s="458"/>
      <c r="J1195" s="271" t="b">
        <f>Age_Sex22[[#This Row],[Total Spending After Applying Truncation at the Member Level]]+Age_Sex22[[#This Row],[Total Dollars Excluded from Spending After Applying Truncation at the Member Level]]=Age_Sex22[[#This Row],[Total Spending before Truncation is Applied]]</f>
        <v>1</v>
      </c>
    </row>
    <row r="1196" spans="1:10" x14ac:dyDescent="0.25">
      <c r="A1196" s="450"/>
      <c r="B1196" s="451"/>
      <c r="C1196" s="452"/>
      <c r="D1196" s="521"/>
      <c r="E1196" s="453"/>
      <c r="F1196" s="454"/>
      <c r="G1196" s="525"/>
      <c r="H1196" s="454"/>
      <c r="I1196" s="459"/>
      <c r="J1196" s="271" t="b">
        <f>Age_Sex22[[#This Row],[Total Spending After Applying Truncation at the Member Level]]+Age_Sex22[[#This Row],[Total Dollars Excluded from Spending After Applying Truncation at the Member Level]]=Age_Sex22[[#This Row],[Total Spending before Truncation is Applied]]</f>
        <v>1</v>
      </c>
    </row>
    <row r="1197" spans="1:10" x14ac:dyDescent="0.25">
      <c r="A1197" s="449"/>
      <c r="B1197" s="443"/>
      <c r="C1197" s="444"/>
      <c r="D1197" s="520"/>
      <c r="E1197" s="445"/>
      <c r="F1197" s="446"/>
      <c r="G1197" s="524"/>
      <c r="H1197" s="446"/>
      <c r="I1197" s="458"/>
      <c r="J1197" s="271" t="b">
        <f>Age_Sex22[[#This Row],[Total Spending After Applying Truncation at the Member Level]]+Age_Sex22[[#This Row],[Total Dollars Excluded from Spending After Applying Truncation at the Member Level]]=Age_Sex22[[#This Row],[Total Spending before Truncation is Applied]]</f>
        <v>1</v>
      </c>
    </row>
    <row r="1198" spans="1:10" x14ac:dyDescent="0.25">
      <c r="A1198" s="450"/>
      <c r="B1198" s="451"/>
      <c r="C1198" s="452"/>
      <c r="D1198" s="521"/>
      <c r="E1198" s="453"/>
      <c r="F1198" s="454"/>
      <c r="G1198" s="525"/>
      <c r="H1198" s="454"/>
      <c r="I1198" s="459"/>
      <c r="J1198" s="271" t="b">
        <f>Age_Sex22[[#This Row],[Total Spending After Applying Truncation at the Member Level]]+Age_Sex22[[#This Row],[Total Dollars Excluded from Spending After Applying Truncation at the Member Level]]=Age_Sex22[[#This Row],[Total Spending before Truncation is Applied]]</f>
        <v>1</v>
      </c>
    </row>
    <row r="1199" spans="1:10" x14ac:dyDescent="0.25">
      <c r="A1199" s="449"/>
      <c r="B1199" s="443"/>
      <c r="C1199" s="444"/>
      <c r="D1199" s="520"/>
      <c r="E1199" s="445"/>
      <c r="F1199" s="446"/>
      <c r="G1199" s="524"/>
      <c r="H1199" s="446"/>
      <c r="I1199" s="458"/>
      <c r="J1199" s="271" t="b">
        <f>Age_Sex22[[#This Row],[Total Spending After Applying Truncation at the Member Level]]+Age_Sex22[[#This Row],[Total Dollars Excluded from Spending After Applying Truncation at the Member Level]]=Age_Sex22[[#This Row],[Total Spending before Truncation is Applied]]</f>
        <v>1</v>
      </c>
    </row>
    <row r="1200" spans="1:10" x14ac:dyDescent="0.25">
      <c r="A1200" s="450"/>
      <c r="B1200" s="451"/>
      <c r="C1200" s="452"/>
      <c r="D1200" s="521"/>
      <c r="E1200" s="453"/>
      <c r="F1200" s="454"/>
      <c r="G1200" s="525"/>
      <c r="H1200" s="454"/>
      <c r="I1200" s="459"/>
      <c r="J1200" s="271" t="b">
        <f>Age_Sex22[[#This Row],[Total Spending After Applying Truncation at the Member Level]]+Age_Sex22[[#This Row],[Total Dollars Excluded from Spending After Applying Truncation at the Member Level]]=Age_Sex22[[#This Row],[Total Spending before Truncation is Applied]]</f>
        <v>1</v>
      </c>
    </row>
    <row r="1201" spans="1:10" x14ac:dyDescent="0.25">
      <c r="A1201" s="449"/>
      <c r="B1201" s="443"/>
      <c r="C1201" s="444"/>
      <c r="D1201" s="520"/>
      <c r="E1201" s="445"/>
      <c r="F1201" s="446"/>
      <c r="G1201" s="524"/>
      <c r="H1201" s="446"/>
      <c r="I1201" s="458"/>
      <c r="J1201" s="271" t="b">
        <f>Age_Sex22[[#This Row],[Total Spending After Applying Truncation at the Member Level]]+Age_Sex22[[#This Row],[Total Dollars Excluded from Spending After Applying Truncation at the Member Level]]=Age_Sex22[[#This Row],[Total Spending before Truncation is Applied]]</f>
        <v>1</v>
      </c>
    </row>
    <row r="1202" spans="1:10" x14ac:dyDescent="0.25">
      <c r="A1202" s="450"/>
      <c r="B1202" s="451"/>
      <c r="C1202" s="452"/>
      <c r="D1202" s="521"/>
      <c r="E1202" s="453"/>
      <c r="F1202" s="454"/>
      <c r="G1202" s="525"/>
      <c r="H1202" s="454"/>
      <c r="I1202" s="459"/>
      <c r="J1202" s="271" t="b">
        <f>Age_Sex22[[#This Row],[Total Spending After Applying Truncation at the Member Level]]+Age_Sex22[[#This Row],[Total Dollars Excluded from Spending After Applying Truncation at the Member Level]]=Age_Sex22[[#This Row],[Total Spending before Truncation is Applied]]</f>
        <v>1</v>
      </c>
    </row>
    <row r="1203" spans="1:10" x14ac:dyDescent="0.25">
      <c r="A1203" s="449"/>
      <c r="B1203" s="443"/>
      <c r="C1203" s="444"/>
      <c r="D1203" s="520"/>
      <c r="E1203" s="445"/>
      <c r="F1203" s="446"/>
      <c r="G1203" s="524"/>
      <c r="H1203" s="446"/>
      <c r="I1203" s="458"/>
      <c r="J1203" s="271" t="b">
        <f>Age_Sex22[[#This Row],[Total Spending After Applying Truncation at the Member Level]]+Age_Sex22[[#This Row],[Total Dollars Excluded from Spending After Applying Truncation at the Member Level]]=Age_Sex22[[#This Row],[Total Spending before Truncation is Applied]]</f>
        <v>1</v>
      </c>
    </row>
    <row r="1204" spans="1:10" x14ac:dyDescent="0.25">
      <c r="A1204" s="450"/>
      <c r="B1204" s="451"/>
      <c r="C1204" s="452"/>
      <c r="D1204" s="521"/>
      <c r="E1204" s="453"/>
      <c r="F1204" s="454"/>
      <c r="G1204" s="525"/>
      <c r="H1204" s="454"/>
      <c r="I1204" s="459"/>
      <c r="J1204" s="271" t="b">
        <f>Age_Sex22[[#This Row],[Total Spending After Applying Truncation at the Member Level]]+Age_Sex22[[#This Row],[Total Dollars Excluded from Spending After Applying Truncation at the Member Level]]=Age_Sex22[[#This Row],[Total Spending before Truncation is Applied]]</f>
        <v>1</v>
      </c>
    </row>
    <row r="1205" spans="1:10" x14ac:dyDescent="0.25">
      <c r="A1205" s="449"/>
      <c r="B1205" s="443"/>
      <c r="C1205" s="444"/>
      <c r="D1205" s="520"/>
      <c r="E1205" s="445"/>
      <c r="F1205" s="446"/>
      <c r="G1205" s="524"/>
      <c r="H1205" s="446"/>
      <c r="I1205" s="458"/>
      <c r="J1205" s="271" t="b">
        <f>Age_Sex22[[#This Row],[Total Spending After Applying Truncation at the Member Level]]+Age_Sex22[[#This Row],[Total Dollars Excluded from Spending After Applying Truncation at the Member Level]]=Age_Sex22[[#This Row],[Total Spending before Truncation is Applied]]</f>
        <v>1</v>
      </c>
    </row>
    <row r="1206" spans="1:10" x14ac:dyDescent="0.25">
      <c r="A1206" s="450"/>
      <c r="B1206" s="451"/>
      <c r="C1206" s="452"/>
      <c r="D1206" s="521"/>
      <c r="E1206" s="453"/>
      <c r="F1206" s="454"/>
      <c r="G1206" s="525"/>
      <c r="H1206" s="454"/>
      <c r="I1206" s="459"/>
      <c r="J1206" s="271" t="b">
        <f>Age_Sex22[[#This Row],[Total Spending After Applying Truncation at the Member Level]]+Age_Sex22[[#This Row],[Total Dollars Excluded from Spending After Applying Truncation at the Member Level]]=Age_Sex22[[#This Row],[Total Spending before Truncation is Applied]]</f>
        <v>1</v>
      </c>
    </row>
    <row r="1207" spans="1:10" x14ac:dyDescent="0.25">
      <c r="A1207" s="449"/>
      <c r="B1207" s="443"/>
      <c r="C1207" s="444"/>
      <c r="D1207" s="520"/>
      <c r="E1207" s="445"/>
      <c r="F1207" s="446"/>
      <c r="G1207" s="524"/>
      <c r="H1207" s="446"/>
      <c r="I1207" s="458"/>
      <c r="J1207" s="271" t="b">
        <f>Age_Sex22[[#This Row],[Total Spending After Applying Truncation at the Member Level]]+Age_Sex22[[#This Row],[Total Dollars Excluded from Spending After Applying Truncation at the Member Level]]=Age_Sex22[[#This Row],[Total Spending before Truncation is Applied]]</f>
        <v>1</v>
      </c>
    </row>
    <row r="1208" spans="1:10" x14ac:dyDescent="0.25">
      <c r="A1208" s="450"/>
      <c r="B1208" s="451"/>
      <c r="C1208" s="452"/>
      <c r="D1208" s="521"/>
      <c r="E1208" s="453"/>
      <c r="F1208" s="454"/>
      <c r="G1208" s="525"/>
      <c r="H1208" s="454"/>
      <c r="I1208" s="459"/>
      <c r="J1208" s="271" t="b">
        <f>Age_Sex22[[#This Row],[Total Spending After Applying Truncation at the Member Level]]+Age_Sex22[[#This Row],[Total Dollars Excluded from Spending After Applying Truncation at the Member Level]]=Age_Sex22[[#This Row],[Total Spending before Truncation is Applied]]</f>
        <v>1</v>
      </c>
    </row>
    <row r="1209" spans="1:10" x14ac:dyDescent="0.25">
      <c r="A1209" s="449"/>
      <c r="B1209" s="443"/>
      <c r="C1209" s="444"/>
      <c r="D1209" s="520"/>
      <c r="E1209" s="445"/>
      <c r="F1209" s="446"/>
      <c r="G1209" s="524"/>
      <c r="H1209" s="446"/>
      <c r="I1209" s="458"/>
      <c r="J1209" s="271" t="b">
        <f>Age_Sex22[[#This Row],[Total Spending After Applying Truncation at the Member Level]]+Age_Sex22[[#This Row],[Total Dollars Excluded from Spending After Applying Truncation at the Member Level]]=Age_Sex22[[#This Row],[Total Spending before Truncation is Applied]]</f>
        <v>1</v>
      </c>
    </row>
    <row r="1210" spans="1:10" x14ac:dyDescent="0.25">
      <c r="A1210" s="450"/>
      <c r="B1210" s="451"/>
      <c r="C1210" s="452"/>
      <c r="D1210" s="521"/>
      <c r="E1210" s="453"/>
      <c r="F1210" s="454"/>
      <c r="G1210" s="525"/>
      <c r="H1210" s="454"/>
      <c r="I1210" s="459"/>
      <c r="J1210" s="271" t="b">
        <f>Age_Sex22[[#This Row],[Total Spending After Applying Truncation at the Member Level]]+Age_Sex22[[#This Row],[Total Dollars Excluded from Spending After Applying Truncation at the Member Level]]=Age_Sex22[[#This Row],[Total Spending before Truncation is Applied]]</f>
        <v>1</v>
      </c>
    </row>
    <row r="1211" spans="1:10" x14ac:dyDescent="0.25">
      <c r="A1211" s="449"/>
      <c r="B1211" s="443"/>
      <c r="C1211" s="444"/>
      <c r="D1211" s="520"/>
      <c r="E1211" s="445"/>
      <c r="F1211" s="446"/>
      <c r="G1211" s="524"/>
      <c r="H1211" s="446"/>
      <c r="I1211" s="458"/>
      <c r="J1211" s="271" t="b">
        <f>Age_Sex22[[#This Row],[Total Spending After Applying Truncation at the Member Level]]+Age_Sex22[[#This Row],[Total Dollars Excluded from Spending After Applying Truncation at the Member Level]]=Age_Sex22[[#This Row],[Total Spending before Truncation is Applied]]</f>
        <v>1</v>
      </c>
    </row>
    <row r="1212" spans="1:10" x14ac:dyDescent="0.25">
      <c r="A1212" s="450"/>
      <c r="B1212" s="451"/>
      <c r="C1212" s="452"/>
      <c r="D1212" s="521"/>
      <c r="E1212" s="453"/>
      <c r="F1212" s="454"/>
      <c r="G1212" s="525"/>
      <c r="H1212" s="454"/>
      <c r="I1212" s="459"/>
      <c r="J1212" s="271" t="b">
        <f>Age_Sex22[[#This Row],[Total Spending After Applying Truncation at the Member Level]]+Age_Sex22[[#This Row],[Total Dollars Excluded from Spending After Applying Truncation at the Member Level]]=Age_Sex22[[#This Row],[Total Spending before Truncation is Applied]]</f>
        <v>1</v>
      </c>
    </row>
    <row r="1213" spans="1:10" x14ac:dyDescent="0.25">
      <c r="A1213" s="449"/>
      <c r="B1213" s="443"/>
      <c r="C1213" s="444"/>
      <c r="D1213" s="520"/>
      <c r="E1213" s="445"/>
      <c r="F1213" s="446"/>
      <c r="G1213" s="524"/>
      <c r="H1213" s="446"/>
      <c r="I1213" s="458"/>
      <c r="J1213" s="271" t="b">
        <f>Age_Sex22[[#This Row],[Total Spending After Applying Truncation at the Member Level]]+Age_Sex22[[#This Row],[Total Dollars Excluded from Spending After Applying Truncation at the Member Level]]=Age_Sex22[[#This Row],[Total Spending before Truncation is Applied]]</f>
        <v>1</v>
      </c>
    </row>
    <row r="1214" spans="1:10" x14ac:dyDescent="0.25">
      <c r="A1214" s="450"/>
      <c r="B1214" s="451"/>
      <c r="C1214" s="452"/>
      <c r="D1214" s="521"/>
      <c r="E1214" s="453"/>
      <c r="F1214" s="454"/>
      <c r="G1214" s="525"/>
      <c r="H1214" s="454"/>
      <c r="I1214" s="459"/>
      <c r="J1214" s="271" t="b">
        <f>Age_Sex22[[#This Row],[Total Spending After Applying Truncation at the Member Level]]+Age_Sex22[[#This Row],[Total Dollars Excluded from Spending After Applying Truncation at the Member Level]]=Age_Sex22[[#This Row],[Total Spending before Truncation is Applied]]</f>
        <v>1</v>
      </c>
    </row>
    <row r="1215" spans="1:10" x14ac:dyDescent="0.25">
      <c r="A1215" s="449"/>
      <c r="B1215" s="443"/>
      <c r="C1215" s="444"/>
      <c r="D1215" s="520"/>
      <c r="E1215" s="445"/>
      <c r="F1215" s="446"/>
      <c r="G1215" s="524"/>
      <c r="H1215" s="446"/>
      <c r="I1215" s="458"/>
      <c r="J1215" s="271" t="b">
        <f>Age_Sex22[[#This Row],[Total Spending After Applying Truncation at the Member Level]]+Age_Sex22[[#This Row],[Total Dollars Excluded from Spending After Applying Truncation at the Member Level]]=Age_Sex22[[#This Row],[Total Spending before Truncation is Applied]]</f>
        <v>1</v>
      </c>
    </row>
    <row r="1216" spans="1:10" x14ac:dyDescent="0.25">
      <c r="A1216" s="450"/>
      <c r="B1216" s="451"/>
      <c r="C1216" s="452"/>
      <c r="D1216" s="521"/>
      <c r="E1216" s="453"/>
      <c r="F1216" s="454"/>
      <c r="G1216" s="525"/>
      <c r="H1216" s="454"/>
      <c r="I1216" s="459"/>
      <c r="J1216" s="271" t="b">
        <f>Age_Sex22[[#This Row],[Total Spending After Applying Truncation at the Member Level]]+Age_Sex22[[#This Row],[Total Dollars Excluded from Spending After Applying Truncation at the Member Level]]=Age_Sex22[[#This Row],[Total Spending before Truncation is Applied]]</f>
        <v>1</v>
      </c>
    </row>
    <row r="1217" spans="1:10" x14ac:dyDescent="0.25">
      <c r="A1217" s="449"/>
      <c r="B1217" s="443"/>
      <c r="C1217" s="444"/>
      <c r="D1217" s="520"/>
      <c r="E1217" s="445"/>
      <c r="F1217" s="446"/>
      <c r="G1217" s="524"/>
      <c r="H1217" s="446"/>
      <c r="I1217" s="458"/>
      <c r="J1217" s="271" t="b">
        <f>Age_Sex22[[#This Row],[Total Spending After Applying Truncation at the Member Level]]+Age_Sex22[[#This Row],[Total Dollars Excluded from Spending After Applying Truncation at the Member Level]]=Age_Sex22[[#This Row],[Total Spending before Truncation is Applied]]</f>
        <v>1</v>
      </c>
    </row>
    <row r="1218" spans="1:10" x14ac:dyDescent="0.25">
      <c r="A1218" s="450"/>
      <c r="B1218" s="451"/>
      <c r="C1218" s="452"/>
      <c r="D1218" s="521"/>
      <c r="E1218" s="453"/>
      <c r="F1218" s="454"/>
      <c r="G1218" s="525"/>
      <c r="H1218" s="454"/>
      <c r="I1218" s="459"/>
      <c r="J1218" s="271" t="b">
        <f>Age_Sex22[[#This Row],[Total Spending After Applying Truncation at the Member Level]]+Age_Sex22[[#This Row],[Total Dollars Excluded from Spending After Applying Truncation at the Member Level]]=Age_Sex22[[#This Row],[Total Spending before Truncation is Applied]]</f>
        <v>1</v>
      </c>
    </row>
    <row r="1219" spans="1:10" x14ac:dyDescent="0.25">
      <c r="A1219" s="449"/>
      <c r="B1219" s="443"/>
      <c r="C1219" s="444"/>
      <c r="D1219" s="520"/>
      <c r="E1219" s="445"/>
      <c r="F1219" s="446"/>
      <c r="G1219" s="524"/>
      <c r="H1219" s="446"/>
      <c r="I1219" s="458"/>
      <c r="J1219" s="271" t="b">
        <f>Age_Sex22[[#This Row],[Total Spending After Applying Truncation at the Member Level]]+Age_Sex22[[#This Row],[Total Dollars Excluded from Spending After Applying Truncation at the Member Level]]=Age_Sex22[[#This Row],[Total Spending before Truncation is Applied]]</f>
        <v>1</v>
      </c>
    </row>
    <row r="1220" spans="1:10" x14ac:dyDescent="0.25">
      <c r="A1220" s="450"/>
      <c r="B1220" s="451"/>
      <c r="C1220" s="452"/>
      <c r="D1220" s="521"/>
      <c r="E1220" s="453"/>
      <c r="F1220" s="454"/>
      <c r="G1220" s="525"/>
      <c r="H1220" s="454"/>
      <c r="I1220" s="459"/>
      <c r="J1220" s="271" t="b">
        <f>Age_Sex22[[#This Row],[Total Spending After Applying Truncation at the Member Level]]+Age_Sex22[[#This Row],[Total Dollars Excluded from Spending After Applying Truncation at the Member Level]]=Age_Sex22[[#This Row],[Total Spending before Truncation is Applied]]</f>
        <v>1</v>
      </c>
    </row>
    <row r="1221" spans="1:10" x14ac:dyDescent="0.25">
      <c r="A1221" s="449"/>
      <c r="B1221" s="443"/>
      <c r="C1221" s="444"/>
      <c r="D1221" s="520"/>
      <c r="E1221" s="445"/>
      <c r="F1221" s="446"/>
      <c r="G1221" s="524"/>
      <c r="H1221" s="446"/>
      <c r="I1221" s="458"/>
      <c r="J1221" s="271" t="b">
        <f>Age_Sex22[[#This Row],[Total Spending After Applying Truncation at the Member Level]]+Age_Sex22[[#This Row],[Total Dollars Excluded from Spending After Applying Truncation at the Member Level]]=Age_Sex22[[#This Row],[Total Spending before Truncation is Applied]]</f>
        <v>1</v>
      </c>
    </row>
    <row r="1222" spans="1:10" x14ac:dyDescent="0.25">
      <c r="A1222" s="450"/>
      <c r="B1222" s="451"/>
      <c r="C1222" s="452"/>
      <c r="D1222" s="521"/>
      <c r="E1222" s="453"/>
      <c r="F1222" s="454"/>
      <c r="G1222" s="525"/>
      <c r="H1222" s="454"/>
      <c r="I1222" s="459"/>
      <c r="J1222" s="271" t="b">
        <f>Age_Sex22[[#This Row],[Total Spending After Applying Truncation at the Member Level]]+Age_Sex22[[#This Row],[Total Dollars Excluded from Spending After Applying Truncation at the Member Level]]=Age_Sex22[[#This Row],[Total Spending before Truncation is Applied]]</f>
        <v>1</v>
      </c>
    </row>
    <row r="1223" spans="1:10" x14ac:dyDescent="0.25">
      <c r="A1223" s="449"/>
      <c r="B1223" s="443"/>
      <c r="C1223" s="444"/>
      <c r="D1223" s="520"/>
      <c r="E1223" s="445"/>
      <c r="F1223" s="446"/>
      <c r="G1223" s="524"/>
      <c r="H1223" s="446"/>
      <c r="I1223" s="458"/>
      <c r="J1223" s="271" t="b">
        <f>Age_Sex22[[#This Row],[Total Spending After Applying Truncation at the Member Level]]+Age_Sex22[[#This Row],[Total Dollars Excluded from Spending After Applying Truncation at the Member Level]]=Age_Sex22[[#This Row],[Total Spending before Truncation is Applied]]</f>
        <v>1</v>
      </c>
    </row>
    <row r="1224" spans="1:10" x14ac:dyDescent="0.25">
      <c r="A1224" s="450"/>
      <c r="B1224" s="451"/>
      <c r="C1224" s="452"/>
      <c r="D1224" s="521"/>
      <c r="E1224" s="453"/>
      <c r="F1224" s="454"/>
      <c r="G1224" s="525"/>
      <c r="H1224" s="454"/>
      <c r="I1224" s="459"/>
      <c r="J1224" s="271" t="b">
        <f>Age_Sex22[[#This Row],[Total Spending After Applying Truncation at the Member Level]]+Age_Sex22[[#This Row],[Total Dollars Excluded from Spending After Applying Truncation at the Member Level]]=Age_Sex22[[#This Row],[Total Spending before Truncation is Applied]]</f>
        <v>1</v>
      </c>
    </row>
    <row r="1225" spans="1:10" x14ac:dyDescent="0.25">
      <c r="A1225" s="449"/>
      <c r="B1225" s="443"/>
      <c r="C1225" s="444"/>
      <c r="D1225" s="520"/>
      <c r="E1225" s="445"/>
      <c r="F1225" s="446"/>
      <c r="G1225" s="524"/>
      <c r="H1225" s="446"/>
      <c r="I1225" s="458"/>
      <c r="J1225" s="271" t="b">
        <f>Age_Sex22[[#This Row],[Total Spending After Applying Truncation at the Member Level]]+Age_Sex22[[#This Row],[Total Dollars Excluded from Spending After Applying Truncation at the Member Level]]=Age_Sex22[[#This Row],[Total Spending before Truncation is Applied]]</f>
        <v>1</v>
      </c>
    </row>
    <row r="1226" spans="1:10" x14ac:dyDescent="0.25">
      <c r="A1226" s="450"/>
      <c r="B1226" s="451"/>
      <c r="C1226" s="452"/>
      <c r="D1226" s="521"/>
      <c r="E1226" s="453"/>
      <c r="F1226" s="454"/>
      <c r="G1226" s="525"/>
      <c r="H1226" s="454"/>
      <c r="I1226" s="459"/>
      <c r="J1226" s="271" t="b">
        <f>Age_Sex22[[#This Row],[Total Spending After Applying Truncation at the Member Level]]+Age_Sex22[[#This Row],[Total Dollars Excluded from Spending After Applying Truncation at the Member Level]]=Age_Sex22[[#This Row],[Total Spending before Truncation is Applied]]</f>
        <v>1</v>
      </c>
    </row>
    <row r="1227" spans="1:10" x14ac:dyDescent="0.25">
      <c r="A1227" s="449"/>
      <c r="B1227" s="443"/>
      <c r="C1227" s="444"/>
      <c r="D1227" s="520"/>
      <c r="E1227" s="445"/>
      <c r="F1227" s="446"/>
      <c r="G1227" s="524"/>
      <c r="H1227" s="446"/>
      <c r="I1227" s="458"/>
      <c r="J1227" s="271" t="b">
        <f>Age_Sex22[[#This Row],[Total Spending After Applying Truncation at the Member Level]]+Age_Sex22[[#This Row],[Total Dollars Excluded from Spending After Applying Truncation at the Member Level]]=Age_Sex22[[#This Row],[Total Spending before Truncation is Applied]]</f>
        <v>1</v>
      </c>
    </row>
    <row r="1228" spans="1:10" x14ac:dyDescent="0.25">
      <c r="A1228" s="450"/>
      <c r="B1228" s="451"/>
      <c r="C1228" s="452"/>
      <c r="D1228" s="521"/>
      <c r="E1228" s="453"/>
      <c r="F1228" s="454"/>
      <c r="G1228" s="525"/>
      <c r="H1228" s="454"/>
      <c r="I1228" s="459"/>
      <c r="J1228" s="271" t="b">
        <f>Age_Sex22[[#This Row],[Total Spending After Applying Truncation at the Member Level]]+Age_Sex22[[#This Row],[Total Dollars Excluded from Spending After Applying Truncation at the Member Level]]=Age_Sex22[[#This Row],[Total Spending before Truncation is Applied]]</f>
        <v>1</v>
      </c>
    </row>
    <row r="1229" spans="1:10" x14ac:dyDescent="0.25">
      <c r="A1229" s="449"/>
      <c r="B1229" s="443"/>
      <c r="C1229" s="444"/>
      <c r="D1229" s="520"/>
      <c r="E1229" s="445"/>
      <c r="F1229" s="446"/>
      <c r="G1229" s="524"/>
      <c r="H1229" s="446"/>
      <c r="I1229" s="458"/>
      <c r="J1229" s="271" t="b">
        <f>Age_Sex22[[#This Row],[Total Spending After Applying Truncation at the Member Level]]+Age_Sex22[[#This Row],[Total Dollars Excluded from Spending After Applying Truncation at the Member Level]]=Age_Sex22[[#This Row],[Total Spending before Truncation is Applied]]</f>
        <v>1</v>
      </c>
    </row>
    <row r="1230" spans="1:10" x14ac:dyDescent="0.25">
      <c r="A1230" s="450"/>
      <c r="B1230" s="451"/>
      <c r="C1230" s="452"/>
      <c r="D1230" s="521"/>
      <c r="E1230" s="453"/>
      <c r="F1230" s="454"/>
      <c r="G1230" s="525"/>
      <c r="H1230" s="454"/>
      <c r="I1230" s="459"/>
      <c r="J1230" s="271" t="b">
        <f>Age_Sex22[[#This Row],[Total Spending After Applying Truncation at the Member Level]]+Age_Sex22[[#This Row],[Total Dollars Excluded from Spending After Applying Truncation at the Member Level]]=Age_Sex22[[#This Row],[Total Spending before Truncation is Applied]]</f>
        <v>1</v>
      </c>
    </row>
    <row r="1231" spans="1:10" x14ac:dyDescent="0.25">
      <c r="A1231" s="449"/>
      <c r="B1231" s="443"/>
      <c r="C1231" s="444"/>
      <c r="D1231" s="520"/>
      <c r="E1231" s="445"/>
      <c r="F1231" s="446"/>
      <c r="G1231" s="524"/>
      <c r="H1231" s="446"/>
      <c r="I1231" s="458"/>
      <c r="J1231" s="271" t="b">
        <f>Age_Sex22[[#This Row],[Total Spending After Applying Truncation at the Member Level]]+Age_Sex22[[#This Row],[Total Dollars Excluded from Spending After Applying Truncation at the Member Level]]=Age_Sex22[[#This Row],[Total Spending before Truncation is Applied]]</f>
        <v>1</v>
      </c>
    </row>
    <row r="1232" spans="1:10" x14ac:dyDescent="0.25">
      <c r="A1232" s="450"/>
      <c r="B1232" s="451"/>
      <c r="C1232" s="452"/>
      <c r="D1232" s="521"/>
      <c r="E1232" s="453"/>
      <c r="F1232" s="454"/>
      <c r="G1232" s="525"/>
      <c r="H1232" s="454"/>
      <c r="I1232" s="459"/>
      <c r="J1232" s="271" t="b">
        <f>Age_Sex22[[#This Row],[Total Spending After Applying Truncation at the Member Level]]+Age_Sex22[[#This Row],[Total Dollars Excluded from Spending After Applying Truncation at the Member Level]]=Age_Sex22[[#This Row],[Total Spending before Truncation is Applied]]</f>
        <v>1</v>
      </c>
    </row>
    <row r="1233" spans="1:10" x14ac:dyDescent="0.25">
      <c r="A1233" s="449"/>
      <c r="B1233" s="443"/>
      <c r="C1233" s="444"/>
      <c r="D1233" s="520"/>
      <c r="E1233" s="445"/>
      <c r="F1233" s="446"/>
      <c r="G1233" s="524"/>
      <c r="H1233" s="446"/>
      <c r="I1233" s="458"/>
      <c r="J1233" s="271" t="b">
        <f>Age_Sex22[[#This Row],[Total Spending After Applying Truncation at the Member Level]]+Age_Sex22[[#This Row],[Total Dollars Excluded from Spending After Applying Truncation at the Member Level]]=Age_Sex22[[#This Row],[Total Spending before Truncation is Applied]]</f>
        <v>1</v>
      </c>
    </row>
    <row r="1234" spans="1:10" x14ac:dyDescent="0.25">
      <c r="A1234" s="450"/>
      <c r="B1234" s="451"/>
      <c r="C1234" s="452"/>
      <c r="D1234" s="521"/>
      <c r="E1234" s="453"/>
      <c r="F1234" s="454"/>
      <c r="G1234" s="525"/>
      <c r="H1234" s="454"/>
      <c r="I1234" s="459"/>
      <c r="J1234" s="271" t="b">
        <f>Age_Sex22[[#This Row],[Total Spending After Applying Truncation at the Member Level]]+Age_Sex22[[#This Row],[Total Dollars Excluded from Spending After Applying Truncation at the Member Level]]=Age_Sex22[[#This Row],[Total Spending before Truncation is Applied]]</f>
        <v>1</v>
      </c>
    </row>
    <row r="1235" spans="1:10" x14ac:dyDescent="0.25">
      <c r="A1235" s="449"/>
      <c r="B1235" s="443"/>
      <c r="C1235" s="444"/>
      <c r="D1235" s="520"/>
      <c r="E1235" s="445"/>
      <c r="F1235" s="446"/>
      <c r="G1235" s="524"/>
      <c r="H1235" s="446"/>
      <c r="I1235" s="458"/>
      <c r="J1235" s="271" t="b">
        <f>Age_Sex22[[#This Row],[Total Spending After Applying Truncation at the Member Level]]+Age_Sex22[[#This Row],[Total Dollars Excluded from Spending After Applying Truncation at the Member Level]]=Age_Sex22[[#This Row],[Total Spending before Truncation is Applied]]</f>
        <v>1</v>
      </c>
    </row>
    <row r="1236" spans="1:10" x14ac:dyDescent="0.25">
      <c r="A1236" s="450"/>
      <c r="B1236" s="451"/>
      <c r="C1236" s="452"/>
      <c r="D1236" s="521"/>
      <c r="E1236" s="453"/>
      <c r="F1236" s="454"/>
      <c r="G1236" s="525"/>
      <c r="H1236" s="454"/>
      <c r="I1236" s="459"/>
      <c r="J1236" s="271" t="b">
        <f>Age_Sex22[[#This Row],[Total Spending After Applying Truncation at the Member Level]]+Age_Sex22[[#This Row],[Total Dollars Excluded from Spending After Applying Truncation at the Member Level]]=Age_Sex22[[#This Row],[Total Spending before Truncation is Applied]]</f>
        <v>1</v>
      </c>
    </row>
    <row r="1237" spans="1:10" x14ac:dyDescent="0.25">
      <c r="A1237" s="449"/>
      <c r="B1237" s="443"/>
      <c r="C1237" s="444"/>
      <c r="D1237" s="520"/>
      <c r="E1237" s="445"/>
      <c r="F1237" s="446"/>
      <c r="G1237" s="524"/>
      <c r="H1237" s="446"/>
      <c r="I1237" s="458"/>
      <c r="J1237" s="271" t="b">
        <f>Age_Sex22[[#This Row],[Total Spending After Applying Truncation at the Member Level]]+Age_Sex22[[#This Row],[Total Dollars Excluded from Spending After Applying Truncation at the Member Level]]=Age_Sex22[[#This Row],[Total Spending before Truncation is Applied]]</f>
        <v>1</v>
      </c>
    </row>
    <row r="1238" spans="1:10" x14ac:dyDescent="0.25">
      <c r="A1238" s="450"/>
      <c r="B1238" s="451"/>
      <c r="C1238" s="452"/>
      <c r="D1238" s="521"/>
      <c r="E1238" s="453"/>
      <c r="F1238" s="454"/>
      <c r="G1238" s="525"/>
      <c r="H1238" s="454"/>
      <c r="I1238" s="459"/>
      <c r="J1238" s="271" t="b">
        <f>Age_Sex22[[#This Row],[Total Spending After Applying Truncation at the Member Level]]+Age_Sex22[[#This Row],[Total Dollars Excluded from Spending After Applying Truncation at the Member Level]]=Age_Sex22[[#This Row],[Total Spending before Truncation is Applied]]</f>
        <v>1</v>
      </c>
    </row>
    <row r="1239" spans="1:10" x14ac:dyDescent="0.25">
      <c r="A1239" s="449"/>
      <c r="B1239" s="443"/>
      <c r="C1239" s="444"/>
      <c r="D1239" s="520"/>
      <c r="E1239" s="445"/>
      <c r="F1239" s="446"/>
      <c r="G1239" s="524"/>
      <c r="H1239" s="446"/>
      <c r="I1239" s="458"/>
      <c r="J1239" s="271" t="b">
        <f>Age_Sex22[[#This Row],[Total Spending After Applying Truncation at the Member Level]]+Age_Sex22[[#This Row],[Total Dollars Excluded from Spending After Applying Truncation at the Member Level]]=Age_Sex22[[#This Row],[Total Spending before Truncation is Applied]]</f>
        <v>1</v>
      </c>
    </row>
    <row r="1240" spans="1:10" x14ac:dyDescent="0.25">
      <c r="A1240" s="450"/>
      <c r="B1240" s="451"/>
      <c r="C1240" s="452"/>
      <c r="D1240" s="521"/>
      <c r="E1240" s="453"/>
      <c r="F1240" s="454"/>
      <c r="G1240" s="525"/>
      <c r="H1240" s="454"/>
      <c r="I1240" s="459"/>
      <c r="J1240" s="271" t="b">
        <f>Age_Sex22[[#This Row],[Total Spending After Applying Truncation at the Member Level]]+Age_Sex22[[#This Row],[Total Dollars Excluded from Spending After Applying Truncation at the Member Level]]=Age_Sex22[[#This Row],[Total Spending before Truncation is Applied]]</f>
        <v>1</v>
      </c>
    </row>
    <row r="1241" spans="1:10" x14ac:dyDescent="0.25">
      <c r="A1241" s="449"/>
      <c r="B1241" s="443"/>
      <c r="C1241" s="444"/>
      <c r="D1241" s="520"/>
      <c r="E1241" s="445"/>
      <c r="F1241" s="446"/>
      <c r="G1241" s="524"/>
      <c r="H1241" s="446"/>
      <c r="I1241" s="458"/>
      <c r="J1241" s="271" t="b">
        <f>Age_Sex22[[#This Row],[Total Spending After Applying Truncation at the Member Level]]+Age_Sex22[[#This Row],[Total Dollars Excluded from Spending After Applying Truncation at the Member Level]]=Age_Sex22[[#This Row],[Total Spending before Truncation is Applied]]</f>
        <v>1</v>
      </c>
    </row>
    <row r="1242" spans="1:10" x14ac:dyDescent="0.25">
      <c r="A1242" s="450"/>
      <c r="B1242" s="451"/>
      <c r="C1242" s="452"/>
      <c r="D1242" s="521"/>
      <c r="E1242" s="453"/>
      <c r="F1242" s="454"/>
      <c r="G1242" s="525"/>
      <c r="H1242" s="454"/>
      <c r="I1242" s="459"/>
      <c r="J1242" s="271" t="b">
        <f>Age_Sex22[[#This Row],[Total Spending After Applying Truncation at the Member Level]]+Age_Sex22[[#This Row],[Total Dollars Excluded from Spending After Applying Truncation at the Member Level]]=Age_Sex22[[#This Row],[Total Spending before Truncation is Applied]]</f>
        <v>1</v>
      </c>
    </row>
    <row r="1243" spans="1:10" x14ac:dyDescent="0.25">
      <c r="A1243" s="449"/>
      <c r="B1243" s="443"/>
      <c r="C1243" s="444"/>
      <c r="D1243" s="520"/>
      <c r="E1243" s="445"/>
      <c r="F1243" s="446"/>
      <c r="G1243" s="524"/>
      <c r="H1243" s="446"/>
      <c r="I1243" s="458"/>
      <c r="J1243" s="271" t="b">
        <f>Age_Sex22[[#This Row],[Total Spending After Applying Truncation at the Member Level]]+Age_Sex22[[#This Row],[Total Dollars Excluded from Spending After Applying Truncation at the Member Level]]=Age_Sex22[[#This Row],[Total Spending before Truncation is Applied]]</f>
        <v>1</v>
      </c>
    </row>
    <row r="1244" spans="1:10" x14ac:dyDescent="0.25">
      <c r="A1244" s="450"/>
      <c r="B1244" s="451"/>
      <c r="C1244" s="452"/>
      <c r="D1244" s="521"/>
      <c r="E1244" s="453"/>
      <c r="F1244" s="454"/>
      <c r="G1244" s="525"/>
      <c r="H1244" s="454"/>
      <c r="I1244" s="459"/>
      <c r="J1244" s="271" t="b">
        <f>Age_Sex22[[#This Row],[Total Spending After Applying Truncation at the Member Level]]+Age_Sex22[[#This Row],[Total Dollars Excluded from Spending After Applying Truncation at the Member Level]]=Age_Sex22[[#This Row],[Total Spending before Truncation is Applied]]</f>
        <v>1</v>
      </c>
    </row>
    <row r="1245" spans="1:10" x14ac:dyDescent="0.25">
      <c r="A1245" s="449"/>
      <c r="B1245" s="443"/>
      <c r="C1245" s="444"/>
      <c r="D1245" s="520"/>
      <c r="E1245" s="445"/>
      <c r="F1245" s="446"/>
      <c r="G1245" s="524"/>
      <c r="H1245" s="446"/>
      <c r="I1245" s="458"/>
      <c r="J1245" s="271" t="b">
        <f>Age_Sex22[[#This Row],[Total Spending After Applying Truncation at the Member Level]]+Age_Sex22[[#This Row],[Total Dollars Excluded from Spending After Applying Truncation at the Member Level]]=Age_Sex22[[#This Row],[Total Spending before Truncation is Applied]]</f>
        <v>1</v>
      </c>
    </row>
    <row r="1246" spans="1:10" x14ac:dyDescent="0.25">
      <c r="A1246" s="450"/>
      <c r="B1246" s="451"/>
      <c r="C1246" s="452"/>
      <c r="D1246" s="521"/>
      <c r="E1246" s="453"/>
      <c r="F1246" s="454"/>
      <c r="G1246" s="525"/>
      <c r="H1246" s="454"/>
      <c r="I1246" s="459"/>
      <c r="J1246" s="271" t="b">
        <f>Age_Sex22[[#This Row],[Total Spending After Applying Truncation at the Member Level]]+Age_Sex22[[#This Row],[Total Dollars Excluded from Spending After Applying Truncation at the Member Level]]=Age_Sex22[[#This Row],[Total Spending before Truncation is Applied]]</f>
        <v>1</v>
      </c>
    </row>
    <row r="1247" spans="1:10" x14ac:dyDescent="0.25">
      <c r="A1247" s="449"/>
      <c r="B1247" s="443"/>
      <c r="C1247" s="444"/>
      <c r="D1247" s="520"/>
      <c r="E1247" s="445"/>
      <c r="F1247" s="446"/>
      <c r="G1247" s="524"/>
      <c r="H1247" s="446"/>
      <c r="I1247" s="458"/>
      <c r="J1247" s="271" t="b">
        <f>Age_Sex22[[#This Row],[Total Spending After Applying Truncation at the Member Level]]+Age_Sex22[[#This Row],[Total Dollars Excluded from Spending After Applying Truncation at the Member Level]]=Age_Sex22[[#This Row],[Total Spending before Truncation is Applied]]</f>
        <v>1</v>
      </c>
    </row>
    <row r="1248" spans="1:10" x14ac:dyDescent="0.25">
      <c r="A1248" s="450"/>
      <c r="B1248" s="451"/>
      <c r="C1248" s="452"/>
      <c r="D1248" s="521"/>
      <c r="E1248" s="453"/>
      <c r="F1248" s="454"/>
      <c r="G1248" s="525"/>
      <c r="H1248" s="454"/>
      <c r="I1248" s="459"/>
      <c r="J1248" s="271" t="b">
        <f>Age_Sex22[[#This Row],[Total Spending After Applying Truncation at the Member Level]]+Age_Sex22[[#This Row],[Total Dollars Excluded from Spending After Applying Truncation at the Member Level]]=Age_Sex22[[#This Row],[Total Spending before Truncation is Applied]]</f>
        <v>1</v>
      </c>
    </row>
    <row r="1249" spans="1:10" x14ac:dyDescent="0.25">
      <c r="A1249" s="449"/>
      <c r="B1249" s="443"/>
      <c r="C1249" s="444"/>
      <c r="D1249" s="520"/>
      <c r="E1249" s="445"/>
      <c r="F1249" s="446"/>
      <c r="G1249" s="524"/>
      <c r="H1249" s="446"/>
      <c r="I1249" s="458"/>
      <c r="J1249" s="271" t="b">
        <f>Age_Sex22[[#This Row],[Total Spending After Applying Truncation at the Member Level]]+Age_Sex22[[#This Row],[Total Dollars Excluded from Spending After Applying Truncation at the Member Level]]=Age_Sex22[[#This Row],[Total Spending before Truncation is Applied]]</f>
        <v>1</v>
      </c>
    </row>
    <row r="1250" spans="1:10" x14ac:dyDescent="0.25">
      <c r="A1250" s="450"/>
      <c r="B1250" s="451"/>
      <c r="C1250" s="452"/>
      <c r="D1250" s="521"/>
      <c r="E1250" s="453"/>
      <c r="F1250" s="454"/>
      <c r="G1250" s="525"/>
      <c r="H1250" s="454"/>
      <c r="I1250" s="459"/>
      <c r="J1250" s="271" t="b">
        <f>Age_Sex22[[#This Row],[Total Spending After Applying Truncation at the Member Level]]+Age_Sex22[[#This Row],[Total Dollars Excluded from Spending After Applying Truncation at the Member Level]]=Age_Sex22[[#This Row],[Total Spending before Truncation is Applied]]</f>
        <v>1</v>
      </c>
    </row>
    <row r="1251" spans="1:10" x14ac:dyDescent="0.25">
      <c r="A1251" s="449"/>
      <c r="B1251" s="443"/>
      <c r="C1251" s="444"/>
      <c r="D1251" s="520"/>
      <c r="E1251" s="445"/>
      <c r="F1251" s="446"/>
      <c r="G1251" s="524"/>
      <c r="H1251" s="446"/>
      <c r="I1251" s="458"/>
      <c r="J1251" s="271" t="b">
        <f>Age_Sex22[[#This Row],[Total Spending After Applying Truncation at the Member Level]]+Age_Sex22[[#This Row],[Total Dollars Excluded from Spending After Applying Truncation at the Member Level]]=Age_Sex22[[#This Row],[Total Spending before Truncation is Applied]]</f>
        <v>1</v>
      </c>
    </row>
    <row r="1252" spans="1:10" x14ac:dyDescent="0.25">
      <c r="A1252" s="450"/>
      <c r="B1252" s="451"/>
      <c r="C1252" s="452"/>
      <c r="D1252" s="521"/>
      <c r="E1252" s="453"/>
      <c r="F1252" s="454"/>
      <c r="G1252" s="525"/>
      <c r="H1252" s="454"/>
      <c r="I1252" s="459"/>
      <c r="J1252" s="271" t="b">
        <f>Age_Sex22[[#This Row],[Total Spending After Applying Truncation at the Member Level]]+Age_Sex22[[#This Row],[Total Dollars Excluded from Spending After Applying Truncation at the Member Level]]=Age_Sex22[[#This Row],[Total Spending before Truncation is Applied]]</f>
        <v>1</v>
      </c>
    </row>
    <row r="1253" spans="1:10" x14ac:dyDescent="0.25">
      <c r="A1253" s="449"/>
      <c r="B1253" s="443"/>
      <c r="C1253" s="444"/>
      <c r="D1253" s="520"/>
      <c r="E1253" s="445"/>
      <c r="F1253" s="446"/>
      <c r="G1253" s="524"/>
      <c r="H1253" s="446"/>
      <c r="I1253" s="458"/>
      <c r="J1253" s="271" t="b">
        <f>Age_Sex22[[#This Row],[Total Spending After Applying Truncation at the Member Level]]+Age_Sex22[[#This Row],[Total Dollars Excluded from Spending After Applying Truncation at the Member Level]]=Age_Sex22[[#This Row],[Total Spending before Truncation is Applied]]</f>
        <v>1</v>
      </c>
    </row>
    <row r="1254" spans="1:10" x14ac:dyDescent="0.25">
      <c r="A1254" s="450"/>
      <c r="B1254" s="451"/>
      <c r="C1254" s="452"/>
      <c r="D1254" s="521"/>
      <c r="E1254" s="453"/>
      <c r="F1254" s="454"/>
      <c r="G1254" s="525"/>
      <c r="H1254" s="454"/>
      <c r="I1254" s="459"/>
      <c r="J1254" s="271" t="b">
        <f>Age_Sex22[[#This Row],[Total Spending After Applying Truncation at the Member Level]]+Age_Sex22[[#This Row],[Total Dollars Excluded from Spending After Applying Truncation at the Member Level]]=Age_Sex22[[#This Row],[Total Spending before Truncation is Applied]]</f>
        <v>1</v>
      </c>
    </row>
    <row r="1255" spans="1:10" x14ac:dyDescent="0.25">
      <c r="A1255" s="449"/>
      <c r="B1255" s="443"/>
      <c r="C1255" s="444"/>
      <c r="D1255" s="520"/>
      <c r="E1255" s="445"/>
      <c r="F1255" s="446"/>
      <c r="G1255" s="524"/>
      <c r="H1255" s="446"/>
      <c r="I1255" s="458"/>
      <c r="J1255" s="271" t="b">
        <f>Age_Sex22[[#This Row],[Total Spending After Applying Truncation at the Member Level]]+Age_Sex22[[#This Row],[Total Dollars Excluded from Spending After Applying Truncation at the Member Level]]=Age_Sex22[[#This Row],[Total Spending before Truncation is Applied]]</f>
        <v>1</v>
      </c>
    </row>
    <row r="1256" spans="1:10" x14ac:dyDescent="0.25">
      <c r="A1256" s="450"/>
      <c r="B1256" s="451"/>
      <c r="C1256" s="452"/>
      <c r="D1256" s="521"/>
      <c r="E1256" s="453"/>
      <c r="F1256" s="454"/>
      <c r="G1256" s="525"/>
      <c r="H1256" s="454"/>
      <c r="I1256" s="459"/>
      <c r="J1256" s="271" t="b">
        <f>Age_Sex22[[#This Row],[Total Spending After Applying Truncation at the Member Level]]+Age_Sex22[[#This Row],[Total Dollars Excluded from Spending After Applying Truncation at the Member Level]]=Age_Sex22[[#This Row],[Total Spending before Truncation is Applied]]</f>
        <v>1</v>
      </c>
    </row>
    <row r="1257" spans="1:10" x14ac:dyDescent="0.25">
      <c r="A1257" s="449"/>
      <c r="B1257" s="443"/>
      <c r="C1257" s="444"/>
      <c r="D1257" s="520"/>
      <c r="E1257" s="445"/>
      <c r="F1257" s="446"/>
      <c r="G1257" s="524"/>
      <c r="H1257" s="446"/>
      <c r="I1257" s="458"/>
      <c r="J1257" s="271" t="b">
        <f>Age_Sex22[[#This Row],[Total Spending After Applying Truncation at the Member Level]]+Age_Sex22[[#This Row],[Total Dollars Excluded from Spending After Applying Truncation at the Member Level]]=Age_Sex22[[#This Row],[Total Spending before Truncation is Applied]]</f>
        <v>1</v>
      </c>
    </row>
    <row r="1258" spans="1:10" x14ac:dyDescent="0.25">
      <c r="A1258" s="450"/>
      <c r="B1258" s="451"/>
      <c r="C1258" s="452"/>
      <c r="D1258" s="521"/>
      <c r="E1258" s="453"/>
      <c r="F1258" s="454"/>
      <c r="G1258" s="525"/>
      <c r="H1258" s="454"/>
      <c r="I1258" s="459"/>
      <c r="J1258" s="271" t="b">
        <f>Age_Sex22[[#This Row],[Total Spending After Applying Truncation at the Member Level]]+Age_Sex22[[#This Row],[Total Dollars Excluded from Spending After Applying Truncation at the Member Level]]=Age_Sex22[[#This Row],[Total Spending before Truncation is Applied]]</f>
        <v>1</v>
      </c>
    </row>
    <row r="1259" spans="1:10" x14ac:dyDescent="0.25">
      <c r="A1259" s="449"/>
      <c r="B1259" s="443"/>
      <c r="C1259" s="444"/>
      <c r="D1259" s="520"/>
      <c r="E1259" s="445"/>
      <c r="F1259" s="446"/>
      <c r="G1259" s="524"/>
      <c r="H1259" s="446"/>
      <c r="I1259" s="458"/>
      <c r="J1259" s="271" t="b">
        <f>Age_Sex22[[#This Row],[Total Spending After Applying Truncation at the Member Level]]+Age_Sex22[[#This Row],[Total Dollars Excluded from Spending After Applying Truncation at the Member Level]]=Age_Sex22[[#This Row],[Total Spending before Truncation is Applied]]</f>
        <v>1</v>
      </c>
    </row>
    <row r="1260" spans="1:10" x14ac:dyDescent="0.25">
      <c r="A1260" s="450"/>
      <c r="B1260" s="451"/>
      <c r="C1260" s="452"/>
      <c r="D1260" s="521"/>
      <c r="E1260" s="453"/>
      <c r="F1260" s="454"/>
      <c r="G1260" s="525"/>
      <c r="H1260" s="454"/>
      <c r="I1260" s="459"/>
      <c r="J1260" s="271" t="b">
        <f>Age_Sex22[[#This Row],[Total Spending After Applying Truncation at the Member Level]]+Age_Sex22[[#This Row],[Total Dollars Excluded from Spending After Applying Truncation at the Member Level]]=Age_Sex22[[#This Row],[Total Spending before Truncation is Applied]]</f>
        <v>1</v>
      </c>
    </row>
    <row r="1261" spans="1:10" x14ac:dyDescent="0.25">
      <c r="A1261" s="449"/>
      <c r="B1261" s="443"/>
      <c r="C1261" s="444"/>
      <c r="D1261" s="520"/>
      <c r="E1261" s="445"/>
      <c r="F1261" s="446"/>
      <c r="G1261" s="524"/>
      <c r="H1261" s="446"/>
      <c r="I1261" s="458"/>
      <c r="J1261" s="271" t="b">
        <f>Age_Sex22[[#This Row],[Total Spending After Applying Truncation at the Member Level]]+Age_Sex22[[#This Row],[Total Dollars Excluded from Spending After Applying Truncation at the Member Level]]=Age_Sex22[[#This Row],[Total Spending before Truncation is Applied]]</f>
        <v>1</v>
      </c>
    </row>
    <row r="1262" spans="1:10" x14ac:dyDescent="0.25">
      <c r="A1262" s="450"/>
      <c r="B1262" s="451"/>
      <c r="C1262" s="452"/>
      <c r="D1262" s="521"/>
      <c r="E1262" s="453"/>
      <c r="F1262" s="454"/>
      <c r="G1262" s="525"/>
      <c r="H1262" s="454"/>
      <c r="I1262" s="459"/>
      <c r="J1262" s="271" t="b">
        <f>Age_Sex22[[#This Row],[Total Spending After Applying Truncation at the Member Level]]+Age_Sex22[[#This Row],[Total Dollars Excluded from Spending After Applying Truncation at the Member Level]]=Age_Sex22[[#This Row],[Total Spending before Truncation is Applied]]</f>
        <v>1</v>
      </c>
    </row>
    <row r="1263" spans="1:10" x14ac:dyDescent="0.25">
      <c r="A1263" s="449"/>
      <c r="B1263" s="443"/>
      <c r="C1263" s="444"/>
      <c r="D1263" s="520"/>
      <c r="E1263" s="445"/>
      <c r="F1263" s="446"/>
      <c r="G1263" s="524"/>
      <c r="H1263" s="446"/>
      <c r="I1263" s="458"/>
      <c r="J1263" s="271" t="b">
        <f>Age_Sex22[[#This Row],[Total Spending After Applying Truncation at the Member Level]]+Age_Sex22[[#This Row],[Total Dollars Excluded from Spending After Applying Truncation at the Member Level]]=Age_Sex22[[#This Row],[Total Spending before Truncation is Applied]]</f>
        <v>1</v>
      </c>
    </row>
    <row r="1264" spans="1:10" x14ac:dyDescent="0.25">
      <c r="A1264" s="450"/>
      <c r="B1264" s="451"/>
      <c r="C1264" s="452"/>
      <c r="D1264" s="521"/>
      <c r="E1264" s="453"/>
      <c r="F1264" s="454"/>
      <c r="G1264" s="525"/>
      <c r="H1264" s="454"/>
      <c r="I1264" s="459"/>
      <c r="J1264" s="271" t="b">
        <f>Age_Sex22[[#This Row],[Total Spending After Applying Truncation at the Member Level]]+Age_Sex22[[#This Row],[Total Dollars Excluded from Spending After Applying Truncation at the Member Level]]=Age_Sex22[[#This Row],[Total Spending before Truncation is Applied]]</f>
        <v>1</v>
      </c>
    </row>
    <row r="1265" spans="1:10" x14ac:dyDescent="0.25">
      <c r="A1265" s="449"/>
      <c r="B1265" s="443"/>
      <c r="C1265" s="444"/>
      <c r="D1265" s="520"/>
      <c r="E1265" s="445"/>
      <c r="F1265" s="446"/>
      <c r="G1265" s="524"/>
      <c r="H1265" s="446"/>
      <c r="I1265" s="458"/>
      <c r="J1265" s="271" t="b">
        <f>Age_Sex22[[#This Row],[Total Spending After Applying Truncation at the Member Level]]+Age_Sex22[[#This Row],[Total Dollars Excluded from Spending After Applying Truncation at the Member Level]]=Age_Sex22[[#This Row],[Total Spending before Truncation is Applied]]</f>
        <v>1</v>
      </c>
    </row>
    <row r="1266" spans="1:10" x14ac:dyDescent="0.25">
      <c r="A1266" s="450"/>
      <c r="B1266" s="451"/>
      <c r="C1266" s="452"/>
      <c r="D1266" s="521"/>
      <c r="E1266" s="453"/>
      <c r="F1266" s="454"/>
      <c r="G1266" s="525"/>
      <c r="H1266" s="454"/>
      <c r="I1266" s="459"/>
      <c r="J1266" s="271" t="b">
        <f>Age_Sex22[[#This Row],[Total Spending After Applying Truncation at the Member Level]]+Age_Sex22[[#This Row],[Total Dollars Excluded from Spending After Applying Truncation at the Member Level]]=Age_Sex22[[#This Row],[Total Spending before Truncation is Applied]]</f>
        <v>1</v>
      </c>
    </row>
    <row r="1267" spans="1:10" x14ac:dyDescent="0.25">
      <c r="A1267" s="449"/>
      <c r="B1267" s="443"/>
      <c r="C1267" s="444"/>
      <c r="D1267" s="520"/>
      <c r="E1267" s="445"/>
      <c r="F1267" s="446"/>
      <c r="G1267" s="524"/>
      <c r="H1267" s="446"/>
      <c r="I1267" s="458"/>
      <c r="J1267" s="271" t="b">
        <f>Age_Sex22[[#This Row],[Total Spending After Applying Truncation at the Member Level]]+Age_Sex22[[#This Row],[Total Dollars Excluded from Spending After Applying Truncation at the Member Level]]=Age_Sex22[[#This Row],[Total Spending before Truncation is Applied]]</f>
        <v>1</v>
      </c>
    </row>
    <row r="1268" spans="1:10" x14ac:dyDescent="0.25">
      <c r="A1268" s="450"/>
      <c r="B1268" s="451"/>
      <c r="C1268" s="452"/>
      <c r="D1268" s="521"/>
      <c r="E1268" s="453"/>
      <c r="F1268" s="454"/>
      <c r="G1268" s="525"/>
      <c r="H1268" s="454"/>
      <c r="I1268" s="459"/>
      <c r="J1268" s="271" t="b">
        <f>Age_Sex22[[#This Row],[Total Spending After Applying Truncation at the Member Level]]+Age_Sex22[[#This Row],[Total Dollars Excluded from Spending After Applying Truncation at the Member Level]]=Age_Sex22[[#This Row],[Total Spending before Truncation is Applied]]</f>
        <v>1</v>
      </c>
    </row>
    <row r="1269" spans="1:10" x14ac:dyDescent="0.25">
      <c r="A1269" s="449"/>
      <c r="B1269" s="443"/>
      <c r="C1269" s="444"/>
      <c r="D1269" s="520"/>
      <c r="E1269" s="445"/>
      <c r="F1269" s="446"/>
      <c r="G1269" s="524"/>
      <c r="H1269" s="446"/>
      <c r="I1269" s="458"/>
      <c r="J1269" s="271" t="b">
        <f>Age_Sex22[[#This Row],[Total Spending After Applying Truncation at the Member Level]]+Age_Sex22[[#This Row],[Total Dollars Excluded from Spending After Applying Truncation at the Member Level]]=Age_Sex22[[#This Row],[Total Spending before Truncation is Applied]]</f>
        <v>1</v>
      </c>
    </row>
    <row r="1270" spans="1:10" x14ac:dyDescent="0.25">
      <c r="A1270" s="450"/>
      <c r="B1270" s="451"/>
      <c r="C1270" s="452"/>
      <c r="D1270" s="521"/>
      <c r="E1270" s="453"/>
      <c r="F1270" s="454"/>
      <c r="G1270" s="525"/>
      <c r="H1270" s="454"/>
      <c r="I1270" s="459"/>
      <c r="J1270" s="271" t="b">
        <f>Age_Sex22[[#This Row],[Total Spending After Applying Truncation at the Member Level]]+Age_Sex22[[#This Row],[Total Dollars Excluded from Spending After Applying Truncation at the Member Level]]=Age_Sex22[[#This Row],[Total Spending before Truncation is Applied]]</f>
        <v>1</v>
      </c>
    </row>
    <row r="1271" spans="1:10" x14ac:dyDescent="0.25">
      <c r="A1271" s="449"/>
      <c r="B1271" s="443"/>
      <c r="C1271" s="444"/>
      <c r="D1271" s="520"/>
      <c r="E1271" s="445"/>
      <c r="F1271" s="446"/>
      <c r="G1271" s="524"/>
      <c r="H1271" s="446"/>
      <c r="I1271" s="458"/>
      <c r="J1271" s="271" t="b">
        <f>Age_Sex22[[#This Row],[Total Spending After Applying Truncation at the Member Level]]+Age_Sex22[[#This Row],[Total Dollars Excluded from Spending After Applying Truncation at the Member Level]]=Age_Sex22[[#This Row],[Total Spending before Truncation is Applied]]</f>
        <v>1</v>
      </c>
    </row>
    <row r="1272" spans="1:10" x14ac:dyDescent="0.25">
      <c r="A1272" s="450"/>
      <c r="B1272" s="451"/>
      <c r="C1272" s="452"/>
      <c r="D1272" s="521"/>
      <c r="E1272" s="453"/>
      <c r="F1272" s="454"/>
      <c r="G1272" s="525"/>
      <c r="H1272" s="454"/>
      <c r="I1272" s="459"/>
      <c r="J1272" s="271" t="b">
        <f>Age_Sex22[[#This Row],[Total Spending After Applying Truncation at the Member Level]]+Age_Sex22[[#This Row],[Total Dollars Excluded from Spending After Applying Truncation at the Member Level]]=Age_Sex22[[#This Row],[Total Spending before Truncation is Applied]]</f>
        <v>1</v>
      </c>
    </row>
    <row r="1273" spans="1:10" x14ac:dyDescent="0.25">
      <c r="A1273" s="449"/>
      <c r="B1273" s="443"/>
      <c r="C1273" s="444"/>
      <c r="D1273" s="520"/>
      <c r="E1273" s="445"/>
      <c r="F1273" s="446"/>
      <c r="G1273" s="524"/>
      <c r="H1273" s="446"/>
      <c r="I1273" s="458"/>
      <c r="J1273" s="271" t="b">
        <f>Age_Sex22[[#This Row],[Total Spending After Applying Truncation at the Member Level]]+Age_Sex22[[#This Row],[Total Dollars Excluded from Spending After Applying Truncation at the Member Level]]=Age_Sex22[[#This Row],[Total Spending before Truncation is Applied]]</f>
        <v>1</v>
      </c>
    </row>
    <row r="1274" spans="1:10" x14ac:dyDescent="0.25">
      <c r="A1274" s="450"/>
      <c r="B1274" s="451"/>
      <c r="C1274" s="452"/>
      <c r="D1274" s="521"/>
      <c r="E1274" s="453"/>
      <c r="F1274" s="454"/>
      <c r="G1274" s="525"/>
      <c r="H1274" s="454"/>
      <c r="I1274" s="459"/>
      <c r="J1274" s="271" t="b">
        <f>Age_Sex22[[#This Row],[Total Spending After Applying Truncation at the Member Level]]+Age_Sex22[[#This Row],[Total Dollars Excluded from Spending After Applying Truncation at the Member Level]]=Age_Sex22[[#This Row],[Total Spending before Truncation is Applied]]</f>
        <v>1</v>
      </c>
    </row>
    <row r="1275" spans="1:10" x14ac:dyDescent="0.25">
      <c r="A1275" s="449"/>
      <c r="B1275" s="443"/>
      <c r="C1275" s="444"/>
      <c r="D1275" s="520"/>
      <c r="E1275" s="445"/>
      <c r="F1275" s="446"/>
      <c r="G1275" s="524"/>
      <c r="H1275" s="446"/>
      <c r="I1275" s="458"/>
      <c r="J1275" s="271" t="b">
        <f>Age_Sex22[[#This Row],[Total Spending After Applying Truncation at the Member Level]]+Age_Sex22[[#This Row],[Total Dollars Excluded from Spending After Applying Truncation at the Member Level]]=Age_Sex22[[#This Row],[Total Spending before Truncation is Applied]]</f>
        <v>1</v>
      </c>
    </row>
    <row r="1276" spans="1:10" x14ac:dyDescent="0.25">
      <c r="A1276" s="450"/>
      <c r="B1276" s="451"/>
      <c r="C1276" s="452"/>
      <c r="D1276" s="521"/>
      <c r="E1276" s="453"/>
      <c r="F1276" s="454"/>
      <c r="G1276" s="525"/>
      <c r="H1276" s="454"/>
      <c r="I1276" s="459"/>
      <c r="J1276" s="271" t="b">
        <f>Age_Sex22[[#This Row],[Total Spending After Applying Truncation at the Member Level]]+Age_Sex22[[#This Row],[Total Dollars Excluded from Spending After Applying Truncation at the Member Level]]=Age_Sex22[[#This Row],[Total Spending before Truncation is Applied]]</f>
        <v>1</v>
      </c>
    </row>
    <row r="1277" spans="1:10" x14ac:dyDescent="0.25">
      <c r="A1277" s="449"/>
      <c r="B1277" s="443"/>
      <c r="C1277" s="444"/>
      <c r="D1277" s="520"/>
      <c r="E1277" s="445"/>
      <c r="F1277" s="446"/>
      <c r="G1277" s="524"/>
      <c r="H1277" s="446"/>
      <c r="I1277" s="458"/>
      <c r="J1277" s="271" t="b">
        <f>Age_Sex22[[#This Row],[Total Spending After Applying Truncation at the Member Level]]+Age_Sex22[[#This Row],[Total Dollars Excluded from Spending After Applying Truncation at the Member Level]]=Age_Sex22[[#This Row],[Total Spending before Truncation is Applied]]</f>
        <v>1</v>
      </c>
    </row>
    <row r="1278" spans="1:10" x14ac:dyDescent="0.25">
      <c r="A1278" s="450"/>
      <c r="B1278" s="451"/>
      <c r="C1278" s="452"/>
      <c r="D1278" s="521"/>
      <c r="E1278" s="453"/>
      <c r="F1278" s="454"/>
      <c r="G1278" s="525"/>
      <c r="H1278" s="454"/>
      <c r="I1278" s="459"/>
      <c r="J1278" s="271" t="b">
        <f>Age_Sex22[[#This Row],[Total Spending After Applying Truncation at the Member Level]]+Age_Sex22[[#This Row],[Total Dollars Excluded from Spending After Applying Truncation at the Member Level]]=Age_Sex22[[#This Row],[Total Spending before Truncation is Applied]]</f>
        <v>1</v>
      </c>
    </row>
    <row r="1279" spans="1:10" x14ac:dyDescent="0.25">
      <c r="A1279" s="449"/>
      <c r="B1279" s="443"/>
      <c r="C1279" s="444"/>
      <c r="D1279" s="520"/>
      <c r="E1279" s="445"/>
      <c r="F1279" s="446"/>
      <c r="G1279" s="524"/>
      <c r="H1279" s="446"/>
      <c r="I1279" s="458"/>
      <c r="J1279" s="271" t="b">
        <f>Age_Sex22[[#This Row],[Total Spending After Applying Truncation at the Member Level]]+Age_Sex22[[#This Row],[Total Dollars Excluded from Spending After Applying Truncation at the Member Level]]=Age_Sex22[[#This Row],[Total Spending before Truncation is Applied]]</f>
        <v>1</v>
      </c>
    </row>
    <row r="1280" spans="1:10" x14ac:dyDescent="0.25">
      <c r="A1280" s="450"/>
      <c r="B1280" s="451"/>
      <c r="C1280" s="452"/>
      <c r="D1280" s="521"/>
      <c r="E1280" s="453"/>
      <c r="F1280" s="454"/>
      <c r="G1280" s="525"/>
      <c r="H1280" s="454"/>
      <c r="I1280" s="459"/>
      <c r="J1280" s="271" t="b">
        <f>Age_Sex22[[#This Row],[Total Spending After Applying Truncation at the Member Level]]+Age_Sex22[[#This Row],[Total Dollars Excluded from Spending After Applying Truncation at the Member Level]]=Age_Sex22[[#This Row],[Total Spending before Truncation is Applied]]</f>
        <v>1</v>
      </c>
    </row>
    <row r="1281" spans="1:10" x14ac:dyDescent="0.25">
      <c r="A1281" s="449"/>
      <c r="B1281" s="443"/>
      <c r="C1281" s="444"/>
      <c r="D1281" s="520"/>
      <c r="E1281" s="445"/>
      <c r="F1281" s="446"/>
      <c r="G1281" s="524"/>
      <c r="H1281" s="446"/>
      <c r="I1281" s="458"/>
      <c r="J1281" s="271" t="b">
        <f>Age_Sex22[[#This Row],[Total Spending After Applying Truncation at the Member Level]]+Age_Sex22[[#This Row],[Total Dollars Excluded from Spending After Applying Truncation at the Member Level]]=Age_Sex22[[#This Row],[Total Spending before Truncation is Applied]]</f>
        <v>1</v>
      </c>
    </row>
    <row r="1282" spans="1:10" x14ac:dyDescent="0.25">
      <c r="A1282" s="450"/>
      <c r="B1282" s="451"/>
      <c r="C1282" s="452"/>
      <c r="D1282" s="521"/>
      <c r="E1282" s="453"/>
      <c r="F1282" s="454"/>
      <c r="G1282" s="525"/>
      <c r="H1282" s="454"/>
      <c r="I1282" s="459"/>
      <c r="J1282" s="271" t="b">
        <f>Age_Sex22[[#This Row],[Total Spending After Applying Truncation at the Member Level]]+Age_Sex22[[#This Row],[Total Dollars Excluded from Spending After Applying Truncation at the Member Level]]=Age_Sex22[[#This Row],[Total Spending before Truncation is Applied]]</f>
        <v>1</v>
      </c>
    </row>
    <row r="1283" spans="1:10" x14ac:dyDescent="0.25">
      <c r="A1283" s="449"/>
      <c r="B1283" s="443"/>
      <c r="C1283" s="444"/>
      <c r="D1283" s="520"/>
      <c r="E1283" s="445"/>
      <c r="F1283" s="446"/>
      <c r="G1283" s="524"/>
      <c r="H1283" s="446"/>
      <c r="I1283" s="458"/>
      <c r="J1283" s="271" t="b">
        <f>Age_Sex22[[#This Row],[Total Spending After Applying Truncation at the Member Level]]+Age_Sex22[[#This Row],[Total Dollars Excluded from Spending After Applying Truncation at the Member Level]]=Age_Sex22[[#This Row],[Total Spending before Truncation is Applied]]</f>
        <v>1</v>
      </c>
    </row>
    <row r="1284" spans="1:10" x14ac:dyDescent="0.25">
      <c r="A1284" s="450"/>
      <c r="B1284" s="451"/>
      <c r="C1284" s="452"/>
      <c r="D1284" s="521"/>
      <c r="E1284" s="453"/>
      <c r="F1284" s="454"/>
      <c r="G1284" s="525"/>
      <c r="H1284" s="454"/>
      <c r="I1284" s="459"/>
      <c r="J1284" s="271" t="b">
        <f>Age_Sex22[[#This Row],[Total Spending After Applying Truncation at the Member Level]]+Age_Sex22[[#This Row],[Total Dollars Excluded from Spending After Applying Truncation at the Member Level]]=Age_Sex22[[#This Row],[Total Spending before Truncation is Applied]]</f>
        <v>1</v>
      </c>
    </row>
    <row r="1285" spans="1:10" x14ac:dyDescent="0.25">
      <c r="A1285" s="449"/>
      <c r="B1285" s="443"/>
      <c r="C1285" s="444"/>
      <c r="D1285" s="520"/>
      <c r="E1285" s="445"/>
      <c r="F1285" s="446"/>
      <c r="G1285" s="524"/>
      <c r="H1285" s="446"/>
      <c r="I1285" s="458"/>
      <c r="J1285" s="271" t="b">
        <f>Age_Sex22[[#This Row],[Total Spending After Applying Truncation at the Member Level]]+Age_Sex22[[#This Row],[Total Dollars Excluded from Spending After Applying Truncation at the Member Level]]=Age_Sex22[[#This Row],[Total Spending before Truncation is Applied]]</f>
        <v>1</v>
      </c>
    </row>
    <row r="1286" spans="1:10" x14ac:dyDescent="0.25">
      <c r="A1286" s="450"/>
      <c r="B1286" s="451"/>
      <c r="C1286" s="452"/>
      <c r="D1286" s="521"/>
      <c r="E1286" s="453"/>
      <c r="F1286" s="454"/>
      <c r="G1286" s="525"/>
      <c r="H1286" s="454"/>
      <c r="I1286" s="459"/>
      <c r="J1286" s="271" t="b">
        <f>Age_Sex22[[#This Row],[Total Spending After Applying Truncation at the Member Level]]+Age_Sex22[[#This Row],[Total Dollars Excluded from Spending After Applying Truncation at the Member Level]]=Age_Sex22[[#This Row],[Total Spending before Truncation is Applied]]</f>
        <v>1</v>
      </c>
    </row>
    <row r="1287" spans="1:10" x14ac:dyDescent="0.25">
      <c r="A1287" s="449"/>
      <c r="B1287" s="443"/>
      <c r="C1287" s="444"/>
      <c r="D1287" s="520"/>
      <c r="E1287" s="445"/>
      <c r="F1287" s="446"/>
      <c r="G1287" s="524"/>
      <c r="H1287" s="446"/>
      <c r="I1287" s="458"/>
      <c r="J1287" s="271" t="b">
        <f>Age_Sex22[[#This Row],[Total Spending After Applying Truncation at the Member Level]]+Age_Sex22[[#This Row],[Total Dollars Excluded from Spending After Applying Truncation at the Member Level]]=Age_Sex22[[#This Row],[Total Spending before Truncation is Applied]]</f>
        <v>1</v>
      </c>
    </row>
    <row r="1288" spans="1:10" x14ac:dyDescent="0.25">
      <c r="A1288" s="450"/>
      <c r="B1288" s="451"/>
      <c r="C1288" s="452"/>
      <c r="D1288" s="521"/>
      <c r="E1288" s="453"/>
      <c r="F1288" s="454"/>
      <c r="G1288" s="525"/>
      <c r="H1288" s="454"/>
      <c r="I1288" s="459"/>
      <c r="J1288" s="271" t="b">
        <f>Age_Sex22[[#This Row],[Total Spending After Applying Truncation at the Member Level]]+Age_Sex22[[#This Row],[Total Dollars Excluded from Spending After Applying Truncation at the Member Level]]=Age_Sex22[[#This Row],[Total Spending before Truncation is Applied]]</f>
        <v>1</v>
      </c>
    </row>
    <row r="1289" spans="1:10" x14ac:dyDescent="0.25">
      <c r="A1289" s="449"/>
      <c r="B1289" s="443"/>
      <c r="C1289" s="444"/>
      <c r="D1289" s="520"/>
      <c r="E1289" s="445"/>
      <c r="F1289" s="446"/>
      <c r="G1289" s="524"/>
      <c r="H1289" s="446"/>
      <c r="I1289" s="458"/>
      <c r="J1289" s="271" t="b">
        <f>Age_Sex22[[#This Row],[Total Spending After Applying Truncation at the Member Level]]+Age_Sex22[[#This Row],[Total Dollars Excluded from Spending After Applying Truncation at the Member Level]]=Age_Sex22[[#This Row],[Total Spending before Truncation is Applied]]</f>
        <v>1</v>
      </c>
    </row>
    <row r="1290" spans="1:10" x14ac:dyDescent="0.25">
      <c r="A1290" s="450"/>
      <c r="B1290" s="451"/>
      <c r="C1290" s="452"/>
      <c r="D1290" s="521"/>
      <c r="E1290" s="453"/>
      <c r="F1290" s="454"/>
      <c r="G1290" s="525"/>
      <c r="H1290" s="454"/>
      <c r="I1290" s="459"/>
      <c r="J1290" s="271" t="b">
        <f>Age_Sex22[[#This Row],[Total Spending After Applying Truncation at the Member Level]]+Age_Sex22[[#This Row],[Total Dollars Excluded from Spending After Applying Truncation at the Member Level]]=Age_Sex22[[#This Row],[Total Spending before Truncation is Applied]]</f>
        <v>1</v>
      </c>
    </row>
    <row r="1291" spans="1:10" x14ac:dyDescent="0.25">
      <c r="A1291" s="449"/>
      <c r="B1291" s="443"/>
      <c r="C1291" s="444"/>
      <c r="D1291" s="520"/>
      <c r="E1291" s="445"/>
      <c r="F1291" s="446"/>
      <c r="G1291" s="524"/>
      <c r="H1291" s="446"/>
      <c r="I1291" s="458"/>
      <c r="J1291" s="271" t="b">
        <f>Age_Sex22[[#This Row],[Total Spending After Applying Truncation at the Member Level]]+Age_Sex22[[#This Row],[Total Dollars Excluded from Spending After Applying Truncation at the Member Level]]=Age_Sex22[[#This Row],[Total Spending before Truncation is Applied]]</f>
        <v>1</v>
      </c>
    </row>
    <row r="1292" spans="1:10" x14ac:dyDescent="0.25">
      <c r="A1292" s="450"/>
      <c r="B1292" s="451"/>
      <c r="C1292" s="452"/>
      <c r="D1292" s="521"/>
      <c r="E1292" s="453"/>
      <c r="F1292" s="454"/>
      <c r="G1292" s="525"/>
      <c r="H1292" s="454"/>
      <c r="I1292" s="459"/>
      <c r="J1292" s="271" t="b">
        <f>Age_Sex22[[#This Row],[Total Spending After Applying Truncation at the Member Level]]+Age_Sex22[[#This Row],[Total Dollars Excluded from Spending After Applying Truncation at the Member Level]]=Age_Sex22[[#This Row],[Total Spending before Truncation is Applied]]</f>
        <v>1</v>
      </c>
    </row>
    <row r="1293" spans="1:10" x14ac:dyDescent="0.25">
      <c r="A1293" s="449"/>
      <c r="B1293" s="443"/>
      <c r="C1293" s="444"/>
      <c r="D1293" s="520"/>
      <c r="E1293" s="445"/>
      <c r="F1293" s="446"/>
      <c r="G1293" s="524"/>
      <c r="H1293" s="446"/>
      <c r="I1293" s="458"/>
      <c r="J1293" s="271" t="b">
        <f>Age_Sex22[[#This Row],[Total Spending After Applying Truncation at the Member Level]]+Age_Sex22[[#This Row],[Total Dollars Excluded from Spending After Applying Truncation at the Member Level]]=Age_Sex22[[#This Row],[Total Spending before Truncation is Applied]]</f>
        <v>1</v>
      </c>
    </row>
    <row r="1294" spans="1:10" x14ac:dyDescent="0.25">
      <c r="A1294" s="450"/>
      <c r="B1294" s="451"/>
      <c r="C1294" s="452"/>
      <c r="D1294" s="521"/>
      <c r="E1294" s="453"/>
      <c r="F1294" s="454"/>
      <c r="G1294" s="525"/>
      <c r="H1294" s="454"/>
      <c r="I1294" s="459"/>
      <c r="J1294" s="271" t="b">
        <f>Age_Sex22[[#This Row],[Total Spending After Applying Truncation at the Member Level]]+Age_Sex22[[#This Row],[Total Dollars Excluded from Spending After Applying Truncation at the Member Level]]=Age_Sex22[[#This Row],[Total Spending before Truncation is Applied]]</f>
        <v>1</v>
      </c>
    </row>
    <row r="1295" spans="1:10" x14ac:dyDescent="0.25">
      <c r="A1295" s="449"/>
      <c r="B1295" s="443"/>
      <c r="C1295" s="444"/>
      <c r="D1295" s="520"/>
      <c r="E1295" s="445"/>
      <c r="F1295" s="446"/>
      <c r="G1295" s="524"/>
      <c r="H1295" s="446"/>
      <c r="I1295" s="458"/>
      <c r="J1295" s="271" t="b">
        <f>Age_Sex22[[#This Row],[Total Spending After Applying Truncation at the Member Level]]+Age_Sex22[[#This Row],[Total Dollars Excluded from Spending After Applying Truncation at the Member Level]]=Age_Sex22[[#This Row],[Total Spending before Truncation is Applied]]</f>
        <v>1</v>
      </c>
    </row>
    <row r="1296" spans="1:10" x14ac:dyDescent="0.25">
      <c r="A1296" s="450"/>
      <c r="B1296" s="451"/>
      <c r="C1296" s="452"/>
      <c r="D1296" s="521"/>
      <c r="E1296" s="453"/>
      <c r="F1296" s="454"/>
      <c r="G1296" s="525"/>
      <c r="H1296" s="454"/>
      <c r="I1296" s="459"/>
      <c r="J1296" s="271" t="b">
        <f>Age_Sex22[[#This Row],[Total Spending After Applying Truncation at the Member Level]]+Age_Sex22[[#This Row],[Total Dollars Excluded from Spending After Applying Truncation at the Member Level]]=Age_Sex22[[#This Row],[Total Spending before Truncation is Applied]]</f>
        <v>1</v>
      </c>
    </row>
    <row r="1297" spans="1:10" x14ac:dyDescent="0.25">
      <c r="A1297" s="449"/>
      <c r="B1297" s="443"/>
      <c r="C1297" s="444"/>
      <c r="D1297" s="520"/>
      <c r="E1297" s="445"/>
      <c r="F1297" s="446"/>
      <c r="G1297" s="524"/>
      <c r="H1297" s="446"/>
      <c r="I1297" s="458"/>
      <c r="J1297" s="271" t="b">
        <f>Age_Sex22[[#This Row],[Total Spending After Applying Truncation at the Member Level]]+Age_Sex22[[#This Row],[Total Dollars Excluded from Spending After Applying Truncation at the Member Level]]=Age_Sex22[[#This Row],[Total Spending before Truncation is Applied]]</f>
        <v>1</v>
      </c>
    </row>
    <row r="1298" spans="1:10" x14ac:dyDescent="0.25">
      <c r="A1298" s="450"/>
      <c r="B1298" s="451"/>
      <c r="C1298" s="452"/>
      <c r="D1298" s="521"/>
      <c r="E1298" s="453"/>
      <c r="F1298" s="454"/>
      <c r="G1298" s="525"/>
      <c r="H1298" s="454"/>
      <c r="I1298" s="459"/>
      <c r="J1298" s="271" t="b">
        <f>Age_Sex22[[#This Row],[Total Spending After Applying Truncation at the Member Level]]+Age_Sex22[[#This Row],[Total Dollars Excluded from Spending After Applying Truncation at the Member Level]]=Age_Sex22[[#This Row],[Total Spending before Truncation is Applied]]</f>
        <v>1</v>
      </c>
    </row>
    <row r="1299" spans="1:10" x14ac:dyDescent="0.25">
      <c r="A1299" s="449"/>
      <c r="B1299" s="443"/>
      <c r="C1299" s="444"/>
      <c r="D1299" s="520"/>
      <c r="E1299" s="445"/>
      <c r="F1299" s="446"/>
      <c r="G1299" s="524"/>
      <c r="H1299" s="446"/>
      <c r="I1299" s="458"/>
      <c r="J1299" s="271" t="b">
        <f>Age_Sex22[[#This Row],[Total Spending After Applying Truncation at the Member Level]]+Age_Sex22[[#This Row],[Total Dollars Excluded from Spending After Applying Truncation at the Member Level]]=Age_Sex22[[#This Row],[Total Spending before Truncation is Applied]]</f>
        <v>1</v>
      </c>
    </row>
    <row r="1300" spans="1:10" x14ac:dyDescent="0.25">
      <c r="A1300" s="450"/>
      <c r="B1300" s="451"/>
      <c r="C1300" s="452"/>
      <c r="D1300" s="521"/>
      <c r="E1300" s="453"/>
      <c r="F1300" s="454"/>
      <c r="G1300" s="525"/>
      <c r="H1300" s="454"/>
      <c r="I1300" s="459"/>
      <c r="J1300" s="271" t="b">
        <f>Age_Sex22[[#This Row],[Total Spending After Applying Truncation at the Member Level]]+Age_Sex22[[#This Row],[Total Dollars Excluded from Spending After Applying Truncation at the Member Level]]=Age_Sex22[[#This Row],[Total Spending before Truncation is Applied]]</f>
        <v>1</v>
      </c>
    </row>
    <row r="1301" spans="1:10" x14ac:dyDescent="0.25">
      <c r="A1301" s="449"/>
      <c r="B1301" s="443"/>
      <c r="C1301" s="444"/>
      <c r="D1301" s="520"/>
      <c r="E1301" s="445"/>
      <c r="F1301" s="446"/>
      <c r="G1301" s="524"/>
      <c r="H1301" s="446"/>
      <c r="I1301" s="458"/>
      <c r="J1301" s="271" t="b">
        <f>Age_Sex22[[#This Row],[Total Spending After Applying Truncation at the Member Level]]+Age_Sex22[[#This Row],[Total Dollars Excluded from Spending After Applying Truncation at the Member Level]]=Age_Sex22[[#This Row],[Total Spending before Truncation is Applied]]</f>
        <v>1</v>
      </c>
    </row>
    <row r="1302" spans="1:10" x14ac:dyDescent="0.25">
      <c r="A1302" s="450"/>
      <c r="B1302" s="451"/>
      <c r="C1302" s="452"/>
      <c r="D1302" s="521"/>
      <c r="E1302" s="453"/>
      <c r="F1302" s="454"/>
      <c r="G1302" s="525"/>
      <c r="H1302" s="454"/>
      <c r="I1302" s="459"/>
      <c r="J1302" s="271" t="b">
        <f>Age_Sex22[[#This Row],[Total Spending After Applying Truncation at the Member Level]]+Age_Sex22[[#This Row],[Total Dollars Excluded from Spending After Applying Truncation at the Member Level]]=Age_Sex22[[#This Row],[Total Spending before Truncation is Applied]]</f>
        <v>1</v>
      </c>
    </row>
    <row r="1303" spans="1:10" x14ac:dyDescent="0.25">
      <c r="A1303" s="449"/>
      <c r="B1303" s="443"/>
      <c r="C1303" s="444"/>
      <c r="D1303" s="520"/>
      <c r="E1303" s="445"/>
      <c r="F1303" s="446"/>
      <c r="G1303" s="524"/>
      <c r="H1303" s="446"/>
      <c r="I1303" s="458"/>
      <c r="J1303" s="271" t="b">
        <f>Age_Sex22[[#This Row],[Total Spending After Applying Truncation at the Member Level]]+Age_Sex22[[#This Row],[Total Dollars Excluded from Spending After Applying Truncation at the Member Level]]=Age_Sex22[[#This Row],[Total Spending before Truncation is Applied]]</f>
        <v>1</v>
      </c>
    </row>
    <row r="1304" spans="1:10" x14ac:dyDescent="0.25">
      <c r="A1304" s="450"/>
      <c r="B1304" s="451"/>
      <c r="C1304" s="452"/>
      <c r="D1304" s="521"/>
      <c r="E1304" s="453"/>
      <c r="F1304" s="454"/>
      <c r="G1304" s="525"/>
      <c r="H1304" s="454"/>
      <c r="I1304" s="459"/>
      <c r="J1304" s="271" t="b">
        <f>Age_Sex22[[#This Row],[Total Spending After Applying Truncation at the Member Level]]+Age_Sex22[[#This Row],[Total Dollars Excluded from Spending After Applying Truncation at the Member Level]]=Age_Sex22[[#This Row],[Total Spending before Truncation is Applied]]</f>
        <v>1</v>
      </c>
    </row>
    <row r="1305" spans="1:10" x14ac:dyDescent="0.25">
      <c r="A1305" s="449"/>
      <c r="B1305" s="443"/>
      <c r="C1305" s="444"/>
      <c r="D1305" s="520"/>
      <c r="E1305" s="445"/>
      <c r="F1305" s="446"/>
      <c r="G1305" s="524"/>
      <c r="H1305" s="446"/>
      <c r="I1305" s="458"/>
      <c r="J1305" s="271" t="b">
        <f>Age_Sex22[[#This Row],[Total Spending After Applying Truncation at the Member Level]]+Age_Sex22[[#This Row],[Total Dollars Excluded from Spending After Applying Truncation at the Member Level]]=Age_Sex22[[#This Row],[Total Spending before Truncation is Applied]]</f>
        <v>1</v>
      </c>
    </row>
    <row r="1306" spans="1:10" x14ac:dyDescent="0.25">
      <c r="A1306" s="450"/>
      <c r="B1306" s="451"/>
      <c r="C1306" s="452"/>
      <c r="D1306" s="521"/>
      <c r="E1306" s="453"/>
      <c r="F1306" s="454"/>
      <c r="G1306" s="525"/>
      <c r="H1306" s="454"/>
      <c r="I1306" s="459"/>
      <c r="J1306" s="271" t="b">
        <f>Age_Sex22[[#This Row],[Total Spending After Applying Truncation at the Member Level]]+Age_Sex22[[#This Row],[Total Dollars Excluded from Spending After Applying Truncation at the Member Level]]=Age_Sex22[[#This Row],[Total Spending before Truncation is Applied]]</f>
        <v>1</v>
      </c>
    </row>
    <row r="1307" spans="1:10" x14ac:dyDescent="0.25">
      <c r="A1307" s="449"/>
      <c r="B1307" s="443"/>
      <c r="C1307" s="444"/>
      <c r="D1307" s="520"/>
      <c r="E1307" s="445"/>
      <c r="F1307" s="446"/>
      <c r="G1307" s="524"/>
      <c r="H1307" s="446"/>
      <c r="I1307" s="458"/>
      <c r="J1307" s="271" t="b">
        <f>Age_Sex22[[#This Row],[Total Spending After Applying Truncation at the Member Level]]+Age_Sex22[[#This Row],[Total Dollars Excluded from Spending After Applying Truncation at the Member Level]]=Age_Sex22[[#This Row],[Total Spending before Truncation is Applied]]</f>
        <v>1</v>
      </c>
    </row>
    <row r="1308" spans="1:10" x14ac:dyDescent="0.25">
      <c r="A1308" s="450"/>
      <c r="B1308" s="451"/>
      <c r="C1308" s="452"/>
      <c r="D1308" s="521"/>
      <c r="E1308" s="453"/>
      <c r="F1308" s="454"/>
      <c r="G1308" s="525"/>
      <c r="H1308" s="454"/>
      <c r="I1308" s="459"/>
      <c r="J1308" s="271" t="b">
        <f>Age_Sex22[[#This Row],[Total Spending After Applying Truncation at the Member Level]]+Age_Sex22[[#This Row],[Total Dollars Excluded from Spending After Applying Truncation at the Member Level]]=Age_Sex22[[#This Row],[Total Spending before Truncation is Applied]]</f>
        <v>1</v>
      </c>
    </row>
    <row r="1309" spans="1:10" x14ac:dyDescent="0.25">
      <c r="A1309" s="449"/>
      <c r="B1309" s="443"/>
      <c r="C1309" s="444"/>
      <c r="D1309" s="520"/>
      <c r="E1309" s="445"/>
      <c r="F1309" s="446"/>
      <c r="G1309" s="524"/>
      <c r="H1309" s="446"/>
      <c r="I1309" s="458"/>
      <c r="J1309" s="271" t="b">
        <f>Age_Sex22[[#This Row],[Total Spending After Applying Truncation at the Member Level]]+Age_Sex22[[#This Row],[Total Dollars Excluded from Spending After Applying Truncation at the Member Level]]=Age_Sex22[[#This Row],[Total Spending before Truncation is Applied]]</f>
        <v>1</v>
      </c>
    </row>
    <row r="1310" spans="1:10" x14ac:dyDescent="0.25">
      <c r="A1310" s="450"/>
      <c r="B1310" s="451"/>
      <c r="C1310" s="452"/>
      <c r="D1310" s="521"/>
      <c r="E1310" s="453"/>
      <c r="F1310" s="454"/>
      <c r="G1310" s="525"/>
      <c r="H1310" s="454"/>
      <c r="I1310" s="459"/>
      <c r="J1310" s="271" t="b">
        <f>Age_Sex22[[#This Row],[Total Spending After Applying Truncation at the Member Level]]+Age_Sex22[[#This Row],[Total Dollars Excluded from Spending After Applying Truncation at the Member Level]]=Age_Sex22[[#This Row],[Total Spending before Truncation is Applied]]</f>
        <v>1</v>
      </c>
    </row>
    <row r="1311" spans="1:10" x14ac:dyDescent="0.25">
      <c r="A1311" s="449"/>
      <c r="B1311" s="443"/>
      <c r="C1311" s="444"/>
      <c r="D1311" s="520"/>
      <c r="E1311" s="445"/>
      <c r="F1311" s="446"/>
      <c r="G1311" s="524"/>
      <c r="H1311" s="446"/>
      <c r="I1311" s="458"/>
      <c r="J1311" s="271" t="b">
        <f>Age_Sex22[[#This Row],[Total Spending After Applying Truncation at the Member Level]]+Age_Sex22[[#This Row],[Total Dollars Excluded from Spending After Applying Truncation at the Member Level]]=Age_Sex22[[#This Row],[Total Spending before Truncation is Applied]]</f>
        <v>1</v>
      </c>
    </row>
    <row r="1312" spans="1:10" x14ac:dyDescent="0.25">
      <c r="A1312" s="450"/>
      <c r="B1312" s="451"/>
      <c r="C1312" s="452"/>
      <c r="D1312" s="521"/>
      <c r="E1312" s="453"/>
      <c r="F1312" s="454"/>
      <c r="G1312" s="525"/>
      <c r="H1312" s="454"/>
      <c r="I1312" s="459"/>
      <c r="J1312" s="271" t="b">
        <f>Age_Sex22[[#This Row],[Total Spending After Applying Truncation at the Member Level]]+Age_Sex22[[#This Row],[Total Dollars Excluded from Spending After Applying Truncation at the Member Level]]=Age_Sex22[[#This Row],[Total Spending before Truncation is Applied]]</f>
        <v>1</v>
      </c>
    </row>
    <row r="1313" spans="1:10" x14ac:dyDescent="0.25">
      <c r="A1313" s="449"/>
      <c r="B1313" s="443"/>
      <c r="C1313" s="444"/>
      <c r="D1313" s="520"/>
      <c r="E1313" s="445"/>
      <c r="F1313" s="446"/>
      <c r="G1313" s="524"/>
      <c r="H1313" s="446"/>
      <c r="I1313" s="458"/>
      <c r="J1313" s="271" t="b">
        <f>Age_Sex22[[#This Row],[Total Spending After Applying Truncation at the Member Level]]+Age_Sex22[[#This Row],[Total Dollars Excluded from Spending After Applying Truncation at the Member Level]]=Age_Sex22[[#This Row],[Total Spending before Truncation is Applied]]</f>
        <v>1</v>
      </c>
    </row>
    <row r="1314" spans="1:10" x14ac:dyDescent="0.25">
      <c r="A1314" s="450"/>
      <c r="B1314" s="451"/>
      <c r="C1314" s="452"/>
      <c r="D1314" s="521"/>
      <c r="E1314" s="453"/>
      <c r="F1314" s="454"/>
      <c r="G1314" s="525"/>
      <c r="H1314" s="454"/>
      <c r="I1314" s="459"/>
      <c r="J1314" s="271" t="b">
        <f>Age_Sex22[[#This Row],[Total Spending After Applying Truncation at the Member Level]]+Age_Sex22[[#This Row],[Total Dollars Excluded from Spending After Applying Truncation at the Member Level]]=Age_Sex22[[#This Row],[Total Spending before Truncation is Applied]]</f>
        <v>1</v>
      </c>
    </row>
    <row r="1315" spans="1:10" x14ac:dyDescent="0.25">
      <c r="A1315" s="449"/>
      <c r="B1315" s="443"/>
      <c r="C1315" s="444"/>
      <c r="D1315" s="520"/>
      <c r="E1315" s="445"/>
      <c r="F1315" s="446"/>
      <c r="G1315" s="524"/>
      <c r="H1315" s="446"/>
      <c r="I1315" s="458"/>
      <c r="J1315" s="271" t="b">
        <f>Age_Sex22[[#This Row],[Total Spending After Applying Truncation at the Member Level]]+Age_Sex22[[#This Row],[Total Dollars Excluded from Spending After Applying Truncation at the Member Level]]=Age_Sex22[[#This Row],[Total Spending before Truncation is Applied]]</f>
        <v>1</v>
      </c>
    </row>
    <row r="1316" spans="1:10" x14ac:dyDescent="0.25">
      <c r="A1316" s="450"/>
      <c r="B1316" s="451"/>
      <c r="C1316" s="452"/>
      <c r="D1316" s="521"/>
      <c r="E1316" s="453"/>
      <c r="F1316" s="454"/>
      <c r="G1316" s="525"/>
      <c r="H1316" s="454"/>
      <c r="I1316" s="459"/>
      <c r="J1316" s="271" t="b">
        <f>Age_Sex22[[#This Row],[Total Spending After Applying Truncation at the Member Level]]+Age_Sex22[[#This Row],[Total Dollars Excluded from Spending After Applying Truncation at the Member Level]]=Age_Sex22[[#This Row],[Total Spending before Truncation is Applied]]</f>
        <v>1</v>
      </c>
    </row>
    <row r="1317" spans="1:10" x14ac:dyDescent="0.25">
      <c r="A1317" s="449"/>
      <c r="B1317" s="443"/>
      <c r="C1317" s="444"/>
      <c r="D1317" s="520"/>
      <c r="E1317" s="445"/>
      <c r="F1317" s="446"/>
      <c r="G1317" s="524"/>
      <c r="H1317" s="446"/>
      <c r="I1317" s="458"/>
      <c r="J1317" s="271" t="b">
        <f>Age_Sex22[[#This Row],[Total Spending After Applying Truncation at the Member Level]]+Age_Sex22[[#This Row],[Total Dollars Excluded from Spending After Applying Truncation at the Member Level]]=Age_Sex22[[#This Row],[Total Spending before Truncation is Applied]]</f>
        <v>1</v>
      </c>
    </row>
    <row r="1318" spans="1:10" x14ac:dyDescent="0.25">
      <c r="A1318" s="450"/>
      <c r="B1318" s="451"/>
      <c r="C1318" s="452"/>
      <c r="D1318" s="521"/>
      <c r="E1318" s="453"/>
      <c r="F1318" s="454"/>
      <c r="G1318" s="525"/>
      <c r="H1318" s="454"/>
      <c r="I1318" s="459"/>
      <c r="J1318" s="271" t="b">
        <f>Age_Sex22[[#This Row],[Total Spending After Applying Truncation at the Member Level]]+Age_Sex22[[#This Row],[Total Dollars Excluded from Spending After Applying Truncation at the Member Level]]=Age_Sex22[[#This Row],[Total Spending before Truncation is Applied]]</f>
        <v>1</v>
      </c>
    </row>
    <row r="1319" spans="1:10" x14ac:dyDescent="0.25">
      <c r="A1319" s="449"/>
      <c r="B1319" s="443"/>
      <c r="C1319" s="444"/>
      <c r="D1319" s="520"/>
      <c r="E1319" s="445"/>
      <c r="F1319" s="446"/>
      <c r="G1319" s="524"/>
      <c r="H1319" s="446"/>
      <c r="I1319" s="458"/>
      <c r="J1319" s="271" t="b">
        <f>Age_Sex22[[#This Row],[Total Spending After Applying Truncation at the Member Level]]+Age_Sex22[[#This Row],[Total Dollars Excluded from Spending After Applying Truncation at the Member Level]]=Age_Sex22[[#This Row],[Total Spending before Truncation is Applied]]</f>
        <v>1</v>
      </c>
    </row>
    <row r="1320" spans="1:10" x14ac:dyDescent="0.25">
      <c r="A1320" s="450"/>
      <c r="B1320" s="451"/>
      <c r="C1320" s="452"/>
      <c r="D1320" s="521"/>
      <c r="E1320" s="453"/>
      <c r="F1320" s="454"/>
      <c r="G1320" s="525"/>
      <c r="H1320" s="454"/>
      <c r="I1320" s="459"/>
      <c r="J1320" s="271" t="b">
        <f>Age_Sex22[[#This Row],[Total Spending After Applying Truncation at the Member Level]]+Age_Sex22[[#This Row],[Total Dollars Excluded from Spending After Applying Truncation at the Member Level]]=Age_Sex22[[#This Row],[Total Spending before Truncation is Applied]]</f>
        <v>1</v>
      </c>
    </row>
    <row r="1321" spans="1:10" x14ac:dyDescent="0.25">
      <c r="A1321" s="449"/>
      <c r="B1321" s="443"/>
      <c r="C1321" s="444"/>
      <c r="D1321" s="520"/>
      <c r="E1321" s="445"/>
      <c r="F1321" s="446"/>
      <c r="G1321" s="524"/>
      <c r="H1321" s="446"/>
      <c r="I1321" s="458"/>
      <c r="J1321" s="271" t="b">
        <f>Age_Sex22[[#This Row],[Total Spending After Applying Truncation at the Member Level]]+Age_Sex22[[#This Row],[Total Dollars Excluded from Spending After Applying Truncation at the Member Level]]=Age_Sex22[[#This Row],[Total Spending before Truncation is Applied]]</f>
        <v>1</v>
      </c>
    </row>
    <row r="1322" spans="1:10" x14ac:dyDescent="0.25">
      <c r="A1322" s="450"/>
      <c r="B1322" s="451"/>
      <c r="C1322" s="452"/>
      <c r="D1322" s="521"/>
      <c r="E1322" s="453"/>
      <c r="F1322" s="454"/>
      <c r="G1322" s="525"/>
      <c r="H1322" s="454"/>
      <c r="I1322" s="459"/>
      <c r="J1322" s="271" t="b">
        <f>Age_Sex22[[#This Row],[Total Spending After Applying Truncation at the Member Level]]+Age_Sex22[[#This Row],[Total Dollars Excluded from Spending After Applying Truncation at the Member Level]]=Age_Sex22[[#This Row],[Total Spending before Truncation is Applied]]</f>
        <v>1</v>
      </c>
    </row>
    <row r="1323" spans="1:10" x14ac:dyDescent="0.25">
      <c r="A1323" s="449"/>
      <c r="B1323" s="443"/>
      <c r="C1323" s="444"/>
      <c r="D1323" s="520"/>
      <c r="E1323" s="445"/>
      <c r="F1323" s="446"/>
      <c r="G1323" s="524"/>
      <c r="H1323" s="446"/>
      <c r="I1323" s="458"/>
      <c r="J1323" s="271" t="b">
        <f>Age_Sex22[[#This Row],[Total Spending After Applying Truncation at the Member Level]]+Age_Sex22[[#This Row],[Total Dollars Excluded from Spending After Applying Truncation at the Member Level]]=Age_Sex22[[#This Row],[Total Spending before Truncation is Applied]]</f>
        <v>1</v>
      </c>
    </row>
    <row r="1324" spans="1:10" x14ac:dyDescent="0.25">
      <c r="A1324" s="450"/>
      <c r="B1324" s="451"/>
      <c r="C1324" s="452"/>
      <c r="D1324" s="521"/>
      <c r="E1324" s="453"/>
      <c r="F1324" s="454"/>
      <c r="G1324" s="525"/>
      <c r="H1324" s="454"/>
      <c r="I1324" s="459"/>
      <c r="J1324" s="271" t="b">
        <f>Age_Sex22[[#This Row],[Total Spending After Applying Truncation at the Member Level]]+Age_Sex22[[#This Row],[Total Dollars Excluded from Spending After Applying Truncation at the Member Level]]=Age_Sex22[[#This Row],[Total Spending before Truncation is Applied]]</f>
        <v>1</v>
      </c>
    </row>
    <row r="1325" spans="1:10" x14ac:dyDescent="0.25">
      <c r="A1325" s="449"/>
      <c r="B1325" s="443"/>
      <c r="C1325" s="444"/>
      <c r="D1325" s="520"/>
      <c r="E1325" s="445"/>
      <c r="F1325" s="446"/>
      <c r="G1325" s="524"/>
      <c r="H1325" s="446"/>
      <c r="I1325" s="458"/>
      <c r="J1325" s="271" t="b">
        <f>Age_Sex22[[#This Row],[Total Spending After Applying Truncation at the Member Level]]+Age_Sex22[[#This Row],[Total Dollars Excluded from Spending After Applying Truncation at the Member Level]]=Age_Sex22[[#This Row],[Total Spending before Truncation is Applied]]</f>
        <v>1</v>
      </c>
    </row>
    <row r="1326" spans="1:10" x14ac:dyDescent="0.25">
      <c r="A1326" s="450"/>
      <c r="B1326" s="451"/>
      <c r="C1326" s="452"/>
      <c r="D1326" s="521"/>
      <c r="E1326" s="453"/>
      <c r="F1326" s="454"/>
      <c r="G1326" s="525"/>
      <c r="H1326" s="454"/>
      <c r="I1326" s="459"/>
      <c r="J1326" s="271" t="b">
        <f>Age_Sex22[[#This Row],[Total Spending After Applying Truncation at the Member Level]]+Age_Sex22[[#This Row],[Total Dollars Excluded from Spending After Applying Truncation at the Member Level]]=Age_Sex22[[#This Row],[Total Spending before Truncation is Applied]]</f>
        <v>1</v>
      </c>
    </row>
    <row r="1327" spans="1:10" x14ac:dyDescent="0.25">
      <c r="A1327" s="449"/>
      <c r="B1327" s="443"/>
      <c r="C1327" s="444"/>
      <c r="D1327" s="520"/>
      <c r="E1327" s="445"/>
      <c r="F1327" s="446"/>
      <c r="G1327" s="524"/>
      <c r="H1327" s="446"/>
      <c r="I1327" s="458"/>
      <c r="J1327" s="271" t="b">
        <f>Age_Sex22[[#This Row],[Total Spending After Applying Truncation at the Member Level]]+Age_Sex22[[#This Row],[Total Dollars Excluded from Spending After Applying Truncation at the Member Level]]=Age_Sex22[[#This Row],[Total Spending before Truncation is Applied]]</f>
        <v>1</v>
      </c>
    </row>
    <row r="1328" spans="1:10" x14ac:dyDescent="0.25">
      <c r="A1328" s="450"/>
      <c r="B1328" s="451"/>
      <c r="C1328" s="452"/>
      <c r="D1328" s="521"/>
      <c r="E1328" s="453"/>
      <c r="F1328" s="454"/>
      <c r="G1328" s="525"/>
      <c r="H1328" s="454"/>
      <c r="I1328" s="459"/>
      <c r="J1328" s="271" t="b">
        <f>Age_Sex22[[#This Row],[Total Spending After Applying Truncation at the Member Level]]+Age_Sex22[[#This Row],[Total Dollars Excluded from Spending After Applying Truncation at the Member Level]]=Age_Sex22[[#This Row],[Total Spending before Truncation is Applied]]</f>
        <v>1</v>
      </c>
    </row>
    <row r="1329" spans="1:10" x14ac:dyDescent="0.25">
      <c r="A1329" s="449"/>
      <c r="B1329" s="443"/>
      <c r="C1329" s="444"/>
      <c r="D1329" s="520"/>
      <c r="E1329" s="445"/>
      <c r="F1329" s="446"/>
      <c r="G1329" s="524"/>
      <c r="H1329" s="446"/>
      <c r="I1329" s="458"/>
      <c r="J1329" s="271" t="b">
        <f>Age_Sex22[[#This Row],[Total Spending After Applying Truncation at the Member Level]]+Age_Sex22[[#This Row],[Total Dollars Excluded from Spending After Applying Truncation at the Member Level]]=Age_Sex22[[#This Row],[Total Spending before Truncation is Applied]]</f>
        <v>1</v>
      </c>
    </row>
    <row r="1330" spans="1:10" x14ac:dyDescent="0.25">
      <c r="A1330" s="450"/>
      <c r="B1330" s="451"/>
      <c r="C1330" s="452"/>
      <c r="D1330" s="521"/>
      <c r="E1330" s="453"/>
      <c r="F1330" s="454"/>
      <c r="G1330" s="525"/>
      <c r="H1330" s="454"/>
      <c r="I1330" s="459"/>
      <c r="J1330" s="271" t="b">
        <f>Age_Sex22[[#This Row],[Total Spending After Applying Truncation at the Member Level]]+Age_Sex22[[#This Row],[Total Dollars Excluded from Spending After Applying Truncation at the Member Level]]=Age_Sex22[[#This Row],[Total Spending before Truncation is Applied]]</f>
        <v>1</v>
      </c>
    </row>
    <row r="1331" spans="1:10" x14ac:dyDescent="0.25">
      <c r="A1331" s="449"/>
      <c r="B1331" s="443"/>
      <c r="C1331" s="444"/>
      <c r="D1331" s="520"/>
      <c r="E1331" s="445"/>
      <c r="F1331" s="446"/>
      <c r="G1331" s="524"/>
      <c r="H1331" s="446"/>
      <c r="I1331" s="458"/>
      <c r="J1331" s="271" t="b">
        <f>Age_Sex22[[#This Row],[Total Spending After Applying Truncation at the Member Level]]+Age_Sex22[[#This Row],[Total Dollars Excluded from Spending After Applying Truncation at the Member Level]]=Age_Sex22[[#This Row],[Total Spending before Truncation is Applied]]</f>
        <v>1</v>
      </c>
    </row>
    <row r="1332" spans="1:10" x14ac:dyDescent="0.25">
      <c r="A1332" s="450"/>
      <c r="B1332" s="451"/>
      <c r="C1332" s="452"/>
      <c r="D1332" s="521"/>
      <c r="E1332" s="453"/>
      <c r="F1332" s="454"/>
      <c r="G1332" s="525"/>
      <c r="H1332" s="454"/>
      <c r="I1332" s="459"/>
      <c r="J1332" s="271" t="b">
        <f>Age_Sex22[[#This Row],[Total Spending After Applying Truncation at the Member Level]]+Age_Sex22[[#This Row],[Total Dollars Excluded from Spending After Applying Truncation at the Member Level]]=Age_Sex22[[#This Row],[Total Spending before Truncation is Applied]]</f>
        <v>1</v>
      </c>
    </row>
    <row r="1333" spans="1:10" x14ac:dyDescent="0.25">
      <c r="A1333" s="449"/>
      <c r="B1333" s="443"/>
      <c r="C1333" s="444"/>
      <c r="D1333" s="520"/>
      <c r="E1333" s="445"/>
      <c r="F1333" s="446"/>
      <c r="G1333" s="524"/>
      <c r="H1333" s="446"/>
      <c r="I1333" s="458"/>
      <c r="J1333" s="271" t="b">
        <f>Age_Sex22[[#This Row],[Total Spending After Applying Truncation at the Member Level]]+Age_Sex22[[#This Row],[Total Dollars Excluded from Spending After Applying Truncation at the Member Level]]=Age_Sex22[[#This Row],[Total Spending before Truncation is Applied]]</f>
        <v>1</v>
      </c>
    </row>
    <row r="1334" spans="1:10" x14ac:dyDescent="0.25">
      <c r="A1334" s="450"/>
      <c r="B1334" s="451"/>
      <c r="C1334" s="452"/>
      <c r="D1334" s="521"/>
      <c r="E1334" s="453"/>
      <c r="F1334" s="454"/>
      <c r="G1334" s="525"/>
      <c r="H1334" s="454"/>
      <c r="I1334" s="459"/>
      <c r="J1334" s="271" t="b">
        <f>Age_Sex22[[#This Row],[Total Spending After Applying Truncation at the Member Level]]+Age_Sex22[[#This Row],[Total Dollars Excluded from Spending After Applying Truncation at the Member Level]]=Age_Sex22[[#This Row],[Total Spending before Truncation is Applied]]</f>
        <v>1</v>
      </c>
    </row>
    <row r="1335" spans="1:10" x14ac:dyDescent="0.25">
      <c r="A1335" s="449"/>
      <c r="B1335" s="443"/>
      <c r="C1335" s="444"/>
      <c r="D1335" s="520"/>
      <c r="E1335" s="445"/>
      <c r="F1335" s="446"/>
      <c r="G1335" s="524"/>
      <c r="H1335" s="446"/>
      <c r="I1335" s="458"/>
      <c r="J1335" s="271" t="b">
        <f>Age_Sex22[[#This Row],[Total Spending After Applying Truncation at the Member Level]]+Age_Sex22[[#This Row],[Total Dollars Excluded from Spending After Applying Truncation at the Member Level]]=Age_Sex22[[#This Row],[Total Spending before Truncation is Applied]]</f>
        <v>1</v>
      </c>
    </row>
    <row r="1336" spans="1:10" x14ac:dyDescent="0.25">
      <c r="A1336" s="450"/>
      <c r="B1336" s="451"/>
      <c r="C1336" s="452"/>
      <c r="D1336" s="521"/>
      <c r="E1336" s="453"/>
      <c r="F1336" s="454"/>
      <c r="G1336" s="525"/>
      <c r="H1336" s="454"/>
      <c r="I1336" s="459"/>
      <c r="J1336" s="271" t="b">
        <f>Age_Sex22[[#This Row],[Total Spending After Applying Truncation at the Member Level]]+Age_Sex22[[#This Row],[Total Dollars Excluded from Spending After Applying Truncation at the Member Level]]=Age_Sex22[[#This Row],[Total Spending before Truncation is Applied]]</f>
        <v>1</v>
      </c>
    </row>
    <row r="1337" spans="1:10" x14ac:dyDescent="0.25">
      <c r="A1337" s="449"/>
      <c r="B1337" s="443"/>
      <c r="C1337" s="444"/>
      <c r="D1337" s="520"/>
      <c r="E1337" s="445"/>
      <c r="F1337" s="446"/>
      <c r="G1337" s="524"/>
      <c r="H1337" s="446"/>
      <c r="I1337" s="458"/>
      <c r="J1337" s="271" t="b">
        <f>Age_Sex22[[#This Row],[Total Spending After Applying Truncation at the Member Level]]+Age_Sex22[[#This Row],[Total Dollars Excluded from Spending After Applying Truncation at the Member Level]]=Age_Sex22[[#This Row],[Total Spending before Truncation is Applied]]</f>
        <v>1</v>
      </c>
    </row>
    <row r="1338" spans="1:10" x14ac:dyDescent="0.25">
      <c r="A1338" s="450"/>
      <c r="B1338" s="451"/>
      <c r="C1338" s="452"/>
      <c r="D1338" s="521"/>
      <c r="E1338" s="453"/>
      <c r="F1338" s="454"/>
      <c r="G1338" s="525"/>
      <c r="H1338" s="454"/>
      <c r="I1338" s="459"/>
      <c r="J1338" s="271" t="b">
        <f>Age_Sex22[[#This Row],[Total Spending After Applying Truncation at the Member Level]]+Age_Sex22[[#This Row],[Total Dollars Excluded from Spending After Applying Truncation at the Member Level]]=Age_Sex22[[#This Row],[Total Spending before Truncation is Applied]]</f>
        <v>1</v>
      </c>
    </row>
    <row r="1339" spans="1:10" x14ac:dyDescent="0.25">
      <c r="A1339" s="449"/>
      <c r="B1339" s="443"/>
      <c r="C1339" s="444"/>
      <c r="D1339" s="520"/>
      <c r="E1339" s="445"/>
      <c r="F1339" s="446"/>
      <c r="G1339" s="524"/>
      <c r="H1339" s="446"/>
      <c r="I1339" s="458"/>
      <c r="J1339" s="271" t="b">
        <f>Age_Sex22[[#This Row],[Total Spending After Applying Truncation at the Member Level]]+Age_Sex22[[#This Row],[Total Dollars Excluded from Spending After Applying Truncation at the Member Level]]=Age_Sex22[[#This Row],[Total Spending before Truncation is Applied]]</f>
        <v>1</v>
      </c>
    </row>
    <row r="1340" spans="1:10" x14ac:dyDescent="0.25">
      <c r="A1340" s="450"/>
      <c r="B1340" s="451"/>
      <c r="C1340" s="452"/>
      <c r="D1340" s="521"/>
      <c r="E1340" s="453"/>
      <c r="F1340" s="454"/>
      <c r="G1340" s="525"/>
      <c r="H1340" s="454"/>
      <c r="I1340" s="459"/>
      <c r="J1340" s="271" t="b">
        <f>Age_Sex22[[#This Row],[Total Spending After Applying Truncation at the Member Level]]+Age_Sex22[[#This Row],[Total Dollars Excluded from Spending After Applying Truncation at the Member Level]]=Age_Sex22[[#This Row],[Total Spending before Truncation is Applied]]</f>
        <v>1</v>
      </c>
    </row>
    <row r="1341" spans="1:10" x14ac:dyDescent="0.25">
      <c r="A1341" s="449"/>
      <c r="B1341" s="443"/>
      <c r="C1341" s="444"/>
      <c r="D1341" s="520"/>
      <c r="E1341" s="445"/>
      <c r="F1341" s="446"/>
      <c r="G1341" s="524"/>
      <c r="H1341" s="446"/>
      <c r="I1341" s="458"/>
      <c r="J1341" s="271" t="b">
        <f>Age_Sex22[[#This Row],[Total Spending After Applying Truncation at the Member Level]]+Age_Sex22[[#This Row],[Total Dollars Excluded from Spending After Applying Truncation at the Member Level]]=Age_Sex22[[#This Row],[Total Spending before Truncation is Applied]]</f>
        <v>1</v>
      </c>
    </row>
    <row r="1342" spans="1:10" x14ac:dyDescent="0.25">
      <c r="A1342" s="450"/>
      <c r="B1342" s="451"/>
      <c r="C1342" s="452"/>
      <c r="D1342" s="521"/>
      <c r="E1342" s="453"/>
      <c r="F1342" s="454"/>
      <c r="G1342" s="525"/>
      <c r="H1342" s="454"/>
      <c r="I1342" s="459"/>
      <c r="J1342" s="271" t="b">
        <f>Age_Sex22[[#This Row],[Total Spending After Applying Truncation at the Member Level]]+Age_Sex22[[#This Row],[Total Dollars Excluded from Spending After Applying Truncation at the Member Level]]=Age_Sex22[[#This Row],[Total Spending before Truncation is Applied]]</f>
        <v>1</v>
      </c>
    </row>
    <row r="1343" spans="1:10" x14ac:dyDescent="0.25">
      <c r="A1343" s="449"/>
      <c r="B1343" s="443"/>
      <c r="C1343" s="444"/>
      <c r="D1343" s="520"/>
      <c r="E1343" s="445"/>
      <c r="F1343" s="446"/>
      <c r="G1343" s="524"/>
      <c r="H1343" s="446"/>
      <c r="I1343" s="458"/>
      <c r="J1343" s="271" t="b">
        <f>Age_Sex22[[#This Row],[Total Spending After Applying Truncation at the Member Level]]+Age_Sex22[[#This Row],[Total Dollars Excluded from Spending After Applying Truncation at the Member Level]]=Age_Sex22[[#This Row],[Total Spending before Truncation is Applied]]</f>
        <v>1</v>
      </c>
    </row>
    <row r="1344" spans="1:10" x14ac:dyDescent="0.25">
      <c r="A1344" s="450"/>
      <c r="B1344" s="451"/>
      <c r="C1344" s="452"/>
      <c r="D1344" s="521"/>
      <c r="E1344" s="453"/>
      <c r="F1344" s="454"/>
      <c r="G1344" s="525"/>
      <c r="H1344" s="454"/>
      <c r="I1344" s="459"/>
      <c r="J1344" s="271" t="b">
        <f>Age_Sex22[[#This Row],[Total Spending After Applying Truncation at the Member Level]]+Age_Sex22[[#This Row],[Total Dollars Excluded from Spending After Applying Truncation at the Member Level]]=Age_Sex22[[#This Row],[Total Spending before Truncation is Applied]]</f>
        <v>1</v>
      </c>
    </row>
    <row r="1345" spans="1:10" x14ac:dyDescent="0.25">
      <c r="A1345" s="449"/>
      <c r="B1345" s="443"/>
      <c r="C1345" s="444"/>
      <c r="D1345" s="520"/>
      <c r="E1345" s="445"/>
      <c r="F1345" s="446"/>
      <c r="G1345" s="524"/>
      <c r="H1345" s="446"/>
      <c r="I1345" s="458"/>
      <c r="J1345" s="271" t="b">
        <f>Age_Sex22[[#This Row],[Total Spending After Applying Truncation at the Member Level]]+Age_Sex22[[#This Row],[Total Dollars Excluded from Spending After Applying Truncation at the Member Level]]=Age_Sex22[[#This Row],[Total Spending before Truncation is Applied]]</f>
        <v>1</v>
      </c>
    </row>
    <row r="1346" spans="1:10" x14ac:dyDescent="0.25">
      <c r="A1346" s="450"/>
      <c r="B1346" s="451"/>
      <c r="C1346" s="452"/>
      <c r="D1346" s="521"/>
      <c r="E1346" s="453"/>
      <c r="F1346" s="454"/>
      <c r="G1346" s="525"/>
      <c r="H1346" s="454"/>
      <c r="I1346" s="459"/>
      <c r="J1346" s="271" t="b">
        <f>Age_Sex22[[#This Row],[Total Spending After Applying Truncation at the Member Level]]+Age_Sex22[[#This Row],[Total Dollars Excluded from Spending After Applying Truncation at the Member Level]]=Age_Sex22[[#This Row],[Total Spending before Truncation is Applied]]</f>
        <v>1</v>
      </c>
    </row>
    <row r="1347" spans="1:10" x14ac:dyDescent="0.25">
      <c r="A1347" s="449"/>
      <c r="B1347" s="443"/>
      <c r="C1347" s="444"/>
      <c r="D1347" s="520"/>
      <c r="E1347" s="445"/>
      <c r="F1347" s="446"/>
      <c r="G1347" s="524"/>
      <c r="H1347" s="446"/>
      <c r="I1347" s="458"/>
      <c r="J1347" s="271" t="b">
        <f>Age_Sex22[[#This Row],[Total Spending After Applying Truncation at the Member Level]]+Age_Sex22[[#This Row],[Total Dollars Excluded from Spending After Applying Truncation at the Member Level]]=Age_Sex22[[#This Row],[Total Spending before Truncation is Applied]]</f>
        <v>1</v>
      </c>
    </row>
    <row r="1348" spans="1:10" x14ac:dyDescent="0.25">
      <c r="A1348" s="450"/>
      <c r="B1348" s="451"/>
      <c r="C1348" s="452"/>
      <c r="D1348" s="521"/>
      <c r="E1348" s="453"/>
      <c r="F1348" s="454"/>
      <c r="G1348" s="525"/>
      <c r="H1348" s="454"/>
      <c r="I1348" s="459"/>
      <c r="J1348" s="271" t="b">
        <f>Age_Sex22[[#This Row],[Total Spending After Applying Truncation at the Member Level]]+Age_Sex22[[#This Row],[Total Dollars Excluded from Spending After Applying Truncation at the Member Level]]=Age_Sex22[[#This Row],[Total Spending before Truncation is Applied]]</f>
        <v>1</v>
      </c>
    </row>
    <row r="1349" spans="1:10" x14ac:dyDescent="0.25">
      <c r="A1349" s="449"/>
      <c r="B1349" s="443"/>
      <c r="C1349" s="444"/>
      <c r="D1349" s="520"/>
      <c r="E1349" s="445"/>
      <c r="F1349" s="446"/>
      <c r="G1349" s="524"/>
      <c r="H1349" s="446"/>
      <c r="I1349" s="458"/>
      <c r="J1349" s="271" t="b">
        <f>Age_Sex22[[#This Row],[Total Spending After Applying Truncation at the Member Level]]+Age_Sex22[[#This Row],[Total Dollars Excluded from Spending After Applying Truncation at the Member Level]]=Age_Sex22[[#This Row],[Total Spending before Truncation is Applied]]</f>
        <v>1</v>
      </c>
    </row>
    <row r="1350" spans="1:10" x14ac:dyDescent="0.25">
      <c r="A1350" s="450"/>
      <c r="B1350" s="451"/>
      <c r="C1350" s="452"/>
      <c r="D1350" s="521"/>
      <c r="E1350" s="453"/>
      <c r="F1350" s="454"/>
      <c r="G1350" s="525"/>
      <c r="H1350" s="454"/>
      <c r="I1350" s="459"/>
      <c r="J1350" s="271" t="b">
        <f>Age_Sex22[[#This Row],[Total Spending After Applying Truncation at the Member Level]]+Age_Sex22[[#This Row],[Total Dollars Excluded from Spending After Applying Truncation at the Member Level]]=Age_Sex22[[#This Row],[Total Spending before Truncation is Applied]]</f>
        <v>1</v>
      </c>
    </row>
    <row r="1351" spans="1:10" x14ac:dyDescent="0.25">
      <c r="A1351" s="449"/>
      <c r="B1351" s="443"/>
      <c r="C1351" s="444"/>
      <c r="D1351" s="520"/>
      <c r="E1351" s="445"/>
      <c r="F1351" s="446"/>
      <c r="G1351" s="524"/>
      <c r="H1351" s="446"/>
      <c r="I1351" s="458"/>
      <c r="J1351" s="271" t="b">
        <f>Age_Sex22[[#This Row],[Total Spending After Applying Truncation at the Member Level]]+Age_Sex22[[#This Row],[Total Dollars Excluded from Spending After Applying Truncation at the Member Level]]=Age_Sex22[[#This Row],[Total Spending before Truncation is Applied]]</f>
        <v>1</v>
      </c>
    </row>
    <row r="1352" spans="1:10" x14ac:dyDescent="0.25">
      <c r="A1352" s="450"/>
      <c r="B1352" s="451"/>
      <c r="C1352" s="452"/>
      <c r="D1352" s="521"/>
      <c r="E1352" s="453"/>
      <c r="F1352" s="454"/>
      <c r="G1352" s="525"/>
      <c r="H1352" s="454"/>
      <c r="I1352" s="459"/>
      <c r="J1352" s="271" t="b">
        <f>Age_Sex22[[#This Row],[Total Spending After Applying Truncation at the Member Level]]+Age_Sex22[[#This Row],[Total Dollars Excluded from Spending After Applying Truncation at the Member Level]]=Age_Sex22[[#This Row],[Total Spending before Truncation is Applied]]</f>
        <v>1</v>
      </c>
    </row>
    <row r="1353" spans="1:10" x14ac:dyDescent="0.25">
      <c r="A1353" s="449"/>
      <c r="B1353" s="443"/>
      <c r="C1353" s="444"/>
      <c r="D1353" s="520"/>
      <c r="E1353" s="445"/>
      <c r="F1353" s="446"/>
      <c r="G1353" s="524"/>
      <c r="H1353" s="446"/>
      <c r="I1353" s="458"/>
      <c r="J1353" s="271" t="b">
        <f>Age_Sex22[[#This Row],[Total Spending After Applying Truncation at the Member Level]]+Age_Sex22[[#This Row],[Total Dollars Excluded from Spending After Applying Truncation at the Member Level]]=Age_Sex22[[#This Row],[Total Spending before Truncation is Applied]]</f>
        <v>1</v>
      </c>
    </row>
    <row r="1354" spans="1:10" x14ac:dyDescent="0.25">
      <c r="A1354" s="450"/>
      <c r="B1354" s="451"/>
      <c r="C1354" s="452"/>
      <c r="D1354" s="521"/>
      <c r="E1354" s="453"/>
      <c r="F1354" s="454"/>
      <c r="G1354" s="525"/>
      <c r="H1354" s="454"/>
      <c r="I1354" s="459"/>
      <c r="J1354" s="271" t="b">
        <f>Age_Sex22[[#This Row],[Total Spending After Applying Truncation at the Member Level]]+Age_Sex22[[#This Row],[Total Dollars Excluded from Spending After Applying Truncation at the Member Level]]=Age_Sex22[[#This Row],[Total Spending before Truncation is Applied]]</f>
        <v>1</v>
      </c>
    </row>
    <row r="1355" spans="1:10" x14ac:dyDescent="0.25">
      <c r="A1355" s="449"/>
      <c r="B1355" s="443"/>
      <c r="C1355" s="444"/>
      <c r="D1355" s="520"/>
      <c r="E1355" s="445"/>
      <c r="F1355" s="446"/>
      <c r="G1355" s="524"/>
      <c r="H1355" s="446"/>
      <c r="I1355" s="458"/>
      <c r="J1355" s="271" t="b">
        <f>Age_Sex22[[#This Row],[Total Spending After Applying Truncation at the Member Level]]+Age_Sex22[[#This Row],[Total Dollars Excluded from Spending After Applying Truncation at the Member Level]]=Age_Sex22[[#This Row],[Total Spending before Truncation is Applied]]</f>
        <v>1</v>
      </c>
    </row>
    <row r="1356" spans="1:10" x14ac:dyDescent="0.25">
      <c r="A1356" s="450"/>
      <c r="B1356" s="451"/>
      <c r="C1356" s="452"/>
      <c r="D1356" s="521"/>
      <c r="E1356" s="453"/>
      <c r="F1356" s="454"/>
      <c r="G1356" s="525"/>
      <c r="H1356" s="454"/>
      <c r="I1356" s="459"/>
      <c r="J1356" s="271" t="b">
        <f>Age_Sex22[[#This Row],[Total Spending After Applying Truncation at the Member Level]]+Age_Sex22[[#This Row],[Total Dollars Excluded from Spending After Applying Truncation at the Member Level]]=Age_Sex22[[#This Row],[Total Spending before Truncation is Applied]]</f>
        <v>1</v>
      </c>
    </row>
    <row r="1357" spans="1:10" x14ac:dyDescent="0.25">
      <c r="A1357" s="449"/>
      <c r="B1357" s="443"/>
      <c r="C1357" s="444"/>
      <c r="D1357" s="520"/>
      <c r="E1357" s="445"/>
      <c r="F1357" s="446"/>
      <c r="G1357" s="524"/>
      <c r="H1357" s="446"/>
      <c r="I1357" s="458"/>
      <c r="J1357" s="271" t="b">
        <f>Age_Sex22[[#This Row],[Total Spending After Applying Truncation at the Member Level]]+Age_Sex22[[#This Row],[Total Dollars Excluded from Spending After Applying Truncation at the Member Level]]=Age_Sex22[[#This Row],[Total Spending before Truncation is Applied]]</f>
        <v>1</v>
      </c>
    </row>
    <row r="1358" spans="1:10" x14ac:dyDescent="0.25">
      <c r="A1358" s="450"/>
      <c r="B1358" s="451"/>
      <c r="C1358" s="452"/>
      <c r="D1358" s="521"/>
      <c r="E1358" s="453"/>
      <c r="F1358" s="454"/>
      <c r="G1358" s="525"/>
      <c r="H1358" s="454"/>
      <c r="I1358" s="459"/>
      <c r="J1358" s="271" t="b">
        <f>Age_Sex22[[#This Row],[Total Spending After Applying Truncation at the Member Level]]+Age_Sex22[[#This Row],[Total Dollars Excluded from Spending After Applying Truncation at the Member Level]]=Age_Sex22[[#This Row],[Total Spending before Truncation is Applied]]</f>
        <v>1</v>
      </c>
    </row>
    <row r="1359" spans="1:10" x14ac:dyDescent="0.25">
      <c r="A1359" s="449"/>
      <c r="B1359" s="443"/>
      <c r="C1359" s="444"/>
      <c r="D1359" s="520"/>
      <c r="E1359" s="445"/>
      <c r="F1359" s="446"/>
      <c r="G1359" s="524"/>
      <c r="H1359" s="446"/>
      <c r="I1359" s="458"/>
      <c r="J1359" s="271" t="b">
        <f>Age_Sex22[[#This Row],[Total Spending After Applying Truncation at the Member Level]]+Age_Sex22[[#This Row],[Total Dollars Excluded from Spending After Applying Truncation at the Member Level]]=Age_Sex22[[#This Row],[Total Spending before Truncation is Applied]]</f>
        <v>1</v>
      </c>
    </row>
    <row r="1360" spans="1:10" x14ac:dyDescent="0.25">
      <c r="A1360" s="450"/>
      <c r="B1360" s="451"/>
      <c r="C1360" s="452"/>
      <c r="D1360" s="521"/>
      <c r="E1360" s="453"/>
      <c r="F1360" s="454"/>
      <c r="G1360" s="525"/>
      <c r="H1360" s="454"/>
      <c r="I1360" s="459"/>
      <c r="J1360" s="271" t="b">
        <f>Age_Sex22[[#This Row],[Total Spending After Applying Truncation at the Member Level]]+Age_Sex22[[#This Row],[Total Dollars Excluded from Spending After Applying Truncation at the Member Level]]=Age_Sex22[[#This Row],[Total Spending before Truncation is Applied]]</f>
        <v>1</v>
      </c>
    </row>
    <row r="1361" spans="1:10" x14ac:dyDescent="0.25">
      <c r="A1361" s="449"/>
      <c r="B1361" s="443"/>
      <c r="C1361" s="444"/>
      <c r="D1361" s="520"/>
      <c r="E1361" s="445"/>
      <c r="F1361" s="446"/>
      <c r="G1361" s="524"/>
      <c r="H1361" s="446"/>
      <c r="I1361" s="458"/>
      <c r="J1361" s="271" t="b">
        <f>Age_Sex22[[#This Row],[Total Spending After Applying Truncation at the Member Level]]+Age_Sex22[[#This Row],[Total Dollars Excluded from Spending After Applying Truncation at the Member Level]]=Age_Sex22[[#This Row],[Total Spending before Truncation is Applied]]</f>
        <v>1</v>
      </c>
    </row>
    <row r="1362" spans="1:10" x14ac:dyDescent="0.25">
      <c r="A1362" s="450"/>
      <c r="B1362" s="451"/>
      <c r="C1362" s="452"/>
      <c r="D1362" s="521"/>
      <c r="E1362" s="453"/>
      <c r="F1362" s="454"/>
      <c r="G1362" s="525"/>
      <c r="H1362" s="454"/>
      <c r="I1362" s="459"/>
      <c r="J1362" s="271" t="b">
        <f>Age_Sex22[[#This Row],[Total Spending After Applying Truncation at the Member Level]]+Age_Sex22[[#This Row],[Total Dollars Excluded from Spending After Applying Truncation at the Member Level]]=Age_Sex22[[#This Row],[Total Spending before Truncation is Applied]]</f>
        <v>1</v>
      </c>
    </row>
    <row r="1363" spans="1:10" x14ac:dyDescent="0.25">
      <c r="A1363" s="449"/>
      <c r="B1363" s="443"/>
      <c r="C1363" s="444"/>
      <c r="D1363" s="520"/>
      <c r="E1363" s="445"/>
      <c r="F1363" s="446"/>
      <c r="G1363" s="524"/>
      <c r="H1363" s="446"/>
      <c r="I1363" s="458"/>
      <c r="J1363" s="271" t="b">
        <f>Age_Sex22[[#This Row],[Total Spending After Applying Truncation at the Member Level]]+Age_Sex22[[#This Row],[Total Dollars Excluded from Spending After Applying Truncation at the Member Level]]=Age_Sex22[[#This Row],[Total Spending before Truncation is Applied]]</f>
        <v>1</v>
      </c>
    </row>
    <row r="1364" spans="1:10" x14ac:dyDescent="0.25">
      <c r="A1364" s="450"/>
      <c r="B1364" s="451"/>
      <c r="C1364" s="452"/>
      <c r="D1364" s="521"/>
      <c r="E1364" s="453"/>
      <c r="F1364" s="454"/>
      <c r="G1364" s="525"/>
      <c r="H1364" s="454"/>
      <c r="I1364" s="459"/>
      <c r="J1364" s="271" t="b">
        <f>Age_Sex22[[#This Row],[Total Spending After Applying Truncation at the Member Level]]+Age_Sex22[[#This Row],[Total Dollars Excluded from Spending After Applying Truncation at the Member Level]]=Age_Sex22[[#This Row],[Total Spending before Truncation is Applied]]</f>
        <v>1</v>
      </c>
    </row>
    <row r="1365" spans="1:10" x14ac:dyDescent="0.25">
      <c r="A1365" s="449"/>
      <c r="B1365" s="443"/>
      <c r="C1365" s="444"/>
      <c r="D1365" s="520"/>
      <c r="E1365" s="445"/>
      <c r="F1365" s="446"/>
      <c r="G1365" s="524"/>
      <c r="H1365" s="446"/>
      <c r="I1365" s="458"/>
      <c r="J1365" s="271" t="b">
        <f>Age_Sex22[[#This Row],[Total Spending After Applying Truncation at the Member Level]]+Age_Sex22[[#This Row],[Total Dollars Excluded from Spending After Applying Truncation at the Member Level]]=Age_Sex22[[#This Row],[Total Spending before Truncation is Applied]]</f>
        <v>1</v>
      </c>
    </row>
    <row r="1366" spans="1:10" x14ac:dyDescent="0.25">
      <c r="A1366" s="450"/>
      <c r="B1366" s="451"/>
      <c r="C1366" s="452"/>
      <c r="D1366" s="521"/>
      <c r="E1366" s="453"/>
      <c r="F1366" s="454"/>
      <c r="G1366" s="525"/>
      <c r="H1366" s="454"/>
      <c r="I1366" s="459"/>
      <c r="J1366" s="271" t="b">
        <f>Age_Sex22[[#This Row],[Total Spending After Applying Truncation at the Member Level]]+Age_Sex22[[#This Row],[Total Dollars Excluded from Spending After Applying Truncation at the Member Level]]=Age_Sex22[[#This Row],[Total Spending before Truncation is Applied]]</f>
        <v>1</v>
      </c>
    </row>
    <row r="1367" spans="1:10" x14ac:dyDescent="0.25">
      <c r="A1367" s="449"/>
      <c r="B1367" s="443"/>
      <c r="C1367" s="444"/>
      <c r="D1367" s="520"/>
      <c r="E1367" s="445"/>
      <c r="F1367" s="446"/>
      <c r="G1367" s="524"/>
      <c r="H1367" s="446"/>
      <c r="I1367" s="458"/>
      <c r="J1367" s="271" t="b">
        <f>Age_Sex22[[#This Row],[Total Spending After Applying Truncation at the Member Level]]+Age_Sex22[[#This Row],[Total Dollars Excluded from Spending After Applying Truncation at the Member Level]]=Age_Sex22[[#This Row],[Total Spending before Truncation is Applied]]</f>
        <v>1</v>
      </c>
    </row>
    <row r="1368" spans="1:10" x14ac:dyDescent="0.25">
      <c r="A1368" s="450"/>
      <c r="B1368" s="451"/>
      <c r="C1368" s="452"/>
      <c r="D1368" s="521"/>
      <c r="E1368" s="453"/>
      <c r="F1368" s="454"/>
      <c r="G1368" s="525"/>
      <c r="H1368" s="454"/>
      <c r="I1368" s="459"/>
      <c r="J1368" s="271" t="b">
        <f>Age_Sex22[[#This Row],[Total Spending After Applying Truncation at the Member Level]]+Age_Sex22[[#This Row],[Total Dollars Excluded from Spending After Applying Truncation at the Member Level]]=Age_Sex22[[#This Row],[Total Spending before Truncation is Applied]]</f>
        <v>1</v>
      </c>
    </row>
    <row r="1369" spans="1:10" x14ac:dyDescent="0.25">
      <c r="A1369" s="449"/>
      <c r="B1369" s="443"/>
      <c r="C1369" s="444"/>
      <c r="D1369" s="520"/>
      <c r="E1369" s="445"/>
      <c r="F1369" s="446"/>
      <c r="G1369" s="524"/>
      <c r="H1369" s="446"/>
      <c r="I1369" s="458"/>
      <c r="J1369" s="271" t="b">
        <f>Age_Sex22[[#This Row],[Total Spending After Applying Truncation at the Member Level]]+Age_Sex22[[#This Row],[Total Dollars Excluded from Spending After Applying Truncation at the Member Level]]=Age_Sex22[[#This Row],[Total Spending before Truncation is Applied]]</f>
        <v>1</v>
      </c>
    </row>
    <row r="1370" spans="1:10" x14ac:dyDescent="0.25">
      <c r="A1370" s="450"/>
      <c r="B1370" s="451"/>
      <c r="C1370" s="452"/>
      <c r="D1370" s="521"/>
      <c r="E1370" s="453"/>
      <c r="F1370" s="454"/>
      <c r="G1370" s="525"/>
      <c r="H1370" s="454"/>
      <c r="I1370" s="459"/>
      <c r="J1370" s="271" t="b">
        <f>Age_Sex22[[#This Row],[Total Spending After Applying Truncation at the Member Level]]+Age_Sex22[[#This Row],[Total Dollars Excluded from Spending After Applying Truncation at the Member Level]]=Age_Sex22[[#This Row],[Total Spending before Truncation is Applied]]</f>
        <v>1</v>
      </c>
    </row>
    <row r="1371" spans="1:10" x14ac:dyDescent="0.25">
      <c r="A1371" s="449"/>
      <c r="B1371" s="443"/>
      <c r="C1371" s="444"/>
      <c r="D1371" s="520"/>
      <c r="E1371" s="445"/>
      <c r="F1371" s="446"/>
      <c r="G1371" s="524"/>
      <c r="H1371" s="446"/>
      <c r="I1371" s="458"/>
      <c r="J1371" s="271" t="b">
        <f>Age_Sex22[[#This Row],[Total Spending After Applying Truncation at the Member Level]]+Age_Sex22[[#This Row],[Total Dollars Excluded from Spending After Applying Truncation at the Member Level]]=Age_Sex22[[#This Row],[Total Spending before Truncation is Applied]]</f>
        <v>1</v>
      </c>
    </row>
    <row r="1372" spans="1:10" x14ac:dyDescent="0.25">
      <c r="A1372" s="450"/>
      <c r="B1372" s="451"/>
      <c r="C1372" s="452"/>
      <c r="D1372" s="521"/>
      <c r="E1372" s="453"/>
      <c r="F1372" s="454"/>
      <c r="G1372" s="525"/>
      <c r="H1372" s="454"/>
      <c r="I1372" s="459"/>
      <c r="J1372" s="271" t="b">
        <f>Age_Sex22[[#This Row],[Total Spending After Applying Truncation at the Member Level]]+Age_Sex22[[#This Row],[Total Dollars Excluded from Spending After Applying Truncation at the Member Level]]=Age_Sex22[[#This Row],[Total Spending before Truncation is Applied]]</f>
        <v>1</v>
      </c>
    </row>
    <row r="1373" spans="1:10" x14ac:dyDescent="0.25">
      <c r="A1373" s="449"/>
      <c r="B1373" s="443"/>
      <c r="C1373" s="444"/>
      <c r="D1373" s="520"/>
      <c r="E1373" s="445"/>
      <c r="F1373" s="446"/>
      <c r="G1373" s="524"/>
      <c r="H1373" s="446"/>
      <c r="I1373" s="458"/>
      <c r="J1373" s="271" t="b">
        <f>Age_Sex22[[#This Row],[Total Spending After Applying Truncation at the Member Level]]+Age_Sex22[[#This Row],[Total Dollars Excluded from Spending After Applying Truncation at the Member Level]]=Age_Sex22[[#This Row],[Total Spending before Truncation is Applied]]</f>
        <v>1</v>
      </c>
    </row>
    <row r="1374" spans="1:10" x14ac:dyDescent="0.25">
      <c r="A1374" s="450"/>
      <c r="B1374" s="451"/>
      <c r="C1374" s="452"/>
      <c r="D1374" s="521"/>
      <c r="E1374" s="453"/>
      <c r="F1374" s="454"/>
      <c r="G1374" s="525"/>
      <c r="H1374" s="454"/>
      <c r="I1374" s="459"/>
      <c r="J1374" s="271" t="b">
        <f>Age_Sex22[[#This Row],[Total Spending After Applying Truncation at the Member Level]]+Age_Sex22[[#This Row],[Total Dollars Excluded from Spending After Applying Truncation at the Member Level]]=Age_Sex22[[#This Row],[Total Spending before Truncation is Applied]]</f>
        <v>1</v>
      </c>
    </row>
    <row r="1375" spans="1:10" x14ac:dyDescent="0.25">
      <c r="A1375" s="449"/>
      <c r="B1375" s="443"/>
      <c r="C1375" s="444"/>
      <c r="D1375" s="520"/>
      <c r="E1375" s="445"/>
      <c r="F1375" s="446"/>
      <c r="G1375" s="524"/>
      <c r="H1375" s="446"/>
      <c r="I1375" s="458"/>
      <c r="J1375" s="271" t="b">
        <f>Age_Sex22[[#This Row],[Total Spending After Applying Truncation at the Member Level]]+Age_Sex22[[#This Row],[Total Dollars Excluded from Spending After Applying Truncation at the Member Level]]=Age_Sex22[[#This Row],[Total Spending before Truncation is Applied]]</f>
        <v>1</v>
      </c>
    </row>
    <row r="1376" spans="1:10" x14ac:dyDescent="0.25">
      <c r="A1376" s="450"/>
      <c r="B1376" s="451"/>
      <c r="C1376" s="452"/>
      <c r="D1376" s="521"/>
      <c r="E1376" s="453"/>
      <c r="F1376" s="454"/>
      <c r="G1376" s="525"/>
      <c r="H1376" s="454"/>
      <c r="I1376" s="459"/>
      <c r="J1376" s="271" t="b">
        <f>Age_Sex22[[#This Row],[Total Spending After Applying Truncation at the Member Level]]+Age_Sex22[[#This Row],[Total Dollars Excluded from Spending After Applying Truncation at the Member Level]]=Age_Sex22[[#This Row],[Total Spending before Truncation is Applied]]</f>
        <v>1</v>
      </c>
    </row>
    <row r="1377" spans="1:10" x14ac:dyDescent="0.25">
      <c r="A1377" s="449"/>
      <c r="B1377" s="443"/>
      <c r="C1377" s="444"/>
      <c r="D1377" s="520"/>
      <c r="E1377" s="445"/>
      <c r="F1377" s="446"/>
      <c r="G1377" s="524"/>
      <c r="H1377" s="446"/>
      <c r="I1377" s="458"/>
      <c r="J1377" s="271" t="b">
        <f>Age_Sex22[[#This Row],[Total Spending After Applying Truncation at the Member Level]]+Age_Sex22[[#This Row],[Total Dollars Excluded from Spending After Applying Truncation at the Member Level]]=Age_Sex22[[#This Row],[Total Spending before Truncation is Applied]]</f>
        <v>1</v>
      </c>
    </row>
    <row r="1378" spans="1:10" x14ac:dyDescent="0.25">
      <c r="A1378" s="450"/>
      <c r="B1378" s="451"/>
      <c r="C1378" s="452"/>
      <c r="D1378" s="521"/>
      <c r="E1378" s="453"/>
      <c r="F1378" s="454"/>
      <c r="G1378" s="525"/>
      <c r="H1378" s="454"/>
      <c r="I1378" s="459"/>
      <c r="J1378" s="271" t="b">
        <f>Age_Sex22[[#This Row],[Total Spending After Applying Truncation at the Member Level]]+Age_Sex22[[#This Row],[Total Dollars Excluded from Spending After Applying Truncation at the Member Level]]=Age_Sex22[[#This Row],[Total Spending before Truncation is Applied]]</f>
        <v>1</v>
      </c>
    </row>
    <row r="1379" spans="1:10" x14ac:dyDescent="0.25">
      <c r="A1379" s="449"/>
      <c r="B1379" s="443"/>
      <c r="C1379" s="444"/>
      <c r="D1379" s="520"/>
      <c r="E1379" s="445"/>
      <c r="F1379" s="446"/>
      <c r="G1379" s="524"/>
      <c r="H1379" s="446"/>
      <c r="I1379" s="458"/>
      <c r="J1379" s="271" t="b">
        <f>Age_Sex22[[#This Row],[Total Spending After Applying Truncation at the Member Level]]+Age_Sex22[[#This Row],[Total Dollars Excluded from Spending After Applying Truncation at the Member Level]]=Age_Sex22[[#This Row],[Total Spending before Truncation is Applied]]</f>
        <v>1</v>
      </c>
    </row>
    <row r="1380" spans="1:10" x14ac:dyDescent="0.25">
      <c r="A1380" s="450"/>
      <c r="B1380" s="451"/>
      <c r="C1380" s="452"/>
      <c r="D1380" s="521"/>
      <c r="E1380" s="453"/>
      <c r="F1380" s="454"/>
      <c r="G1380" s="525"/>
      <c r="H1380" s="454"/>
      <c r="I1380" s="459"/>
      <c r="J1380" s="271" t="b">
        <f>Age_Sex22[[#This Row],[Total Spending After Applying Truncation at the Member Level]]+Age_Sex22[[#This Row],[Total Dollars Excluded from Spending After Applying Truncation at the Member Level]]=Age_Sex22[[#This Row],[Total Spending before Truncation is Applied]]</f>
        <v>1</v>
      </c>
    </row>
    <row r="1381" spans="1:10" x14ac:dyDescent="0.25">
      <c r="A1381" s="449"/>
      <c r="B1381" s="443"/>
      <c r="C1381" s="444"/>
      <c r="D1381" s="520"/>
      <c r="E1381" s="445"/>
      <c r="F1381" s="446"/>
      <c r="G1381" s="524"/>
      <c r="H1381" s="446"/>
      <c r="I1381" s="458"/>
      <c r="J1381" s="271" t="b">
        <f>Age_Sex22[[#This Row],[Total Spending After Applying Truncation at the Member Level]]+Age_Sex22[[#This Row],[Total Dollars Excluded from Spending After Applying Truncation at the Member Level]]=Age_Sex22[[#This Row],[Total Spending before Truncation is Applied]]</f>
        <v>1</v>
      </c>
    </row>
    <row r="1382" spans="1:10" x14ac:dyDescent="0.25">
      <c r="A1382" s="450"/>
      <c r="B1382" s="451"/>
      <c r="C1382" s="452"/>
      <c r="D1382" s="521"/>
      <c r="E1382" s="453"/>
      <c r="F1382" s="454"/>
      <c r="G1382" s="525"/>
      <c r="H1382" s="454"/>
      <c r="I1382" s="459"/>
      <c r="J1382" s="271" t="b">
        <f>Age_Sex22[[#This Row],[Total Spending After Applying Truncation at the Member Level]]+Age_Sex22[[#This Row],[Total Dollars Excluded from Spending After Applying Truncation at the Member Level]]=Age_Sex22[[#This Row],[Total Spending before Truncation is Applied]]</f>
        <v>1</v>
      </c>
    </row>
    <row r="1383" spans="1:10" x14ac:dyDescent="0.25">
      <c r="A1383" s="449"/>
      <c r="B1383" s="443"/>
      <c r="C1383" s="444"/>
      <c r="D1383" s="520"/>
      <c r="E1383" s="445"/>
      <c r="F1383" s="446"/>
      <c r="G1383" s="524"/>
      <c r="H1383" s="446"/>
      <c r="I1383" s="458"/>
      <c r="J1383" s="271" t="b">
        <f>Age_Sex22[[#This Row],[Total Spending After Applying Truncation at the Member Level]]+Age_Sex22[[#This Row],[Total Dollars Excluded from Spending After Applying Truncation at the Member Level]]=Age_Sex22[[#This Row],[Total Spending before Truncation is Applied]]</f>
        <v>1</v>
      </c>
    </row>
    <row r="1384" spans="1:10" x14ac:dyDescent="0.25">
      <c r="A1384" s="450"/>
      <c r="B1384" s="451"/>
      <c r="C1384" s="452"/>
      <c r="D1384" s="521"/>
      <c r="E1384" s="453"/>
      <c r="F1384" s="454"/>
      <c r="G1384" s="525"/>
      <c r="H1384" s="454"/>
      <c r="I1384" s="459"/>
      <c r="J1384" s="271" t="b">
        <f>Age_Sex22[[#This Row],[Total Spending After Applying Truncation at the Member Level]]+Age_Sex22[[#This Row],[Total Dollars Excluded from Spending After Applying Truncation at the Member Level]]=Age_Sex22[[#This Row],[Total Spending before Truncation is Applied]]</f>
        <v>1</v>
      </c>
    </row>
    <row r="1385" spans="1:10" x14ac:dyDescent="0.25">
      <c r="A1385" s="449"/>
      <c r="B1385" s="443"/>
      <c r="C1385" s="444"/>
      <c r="D1385" s="520"/>
      <c r="E1385" s="445"/>
      <c r="F1385" s="446"/>
      <c r="G1385" s="524"/>
      <c r="H1385" s="446"/>
      <c r="I1385" s="458"/>
      <c r="J1385" s="271" t="b">
        <f>Age_Sex22[[#This Row],[Total Spending After Applying Truncation at the Member Level]]+Age_Sex22[[#This Row],[Total Dollars Excluded from Spending After Applying Truncation at the Member Level]]=Age_Sex22[[#This Row],[Total Spending before Truncation is Applied]]</f>
        <v>1</v>
      </c>
    </row>
    <row r="1386" spans="1:10" x14ac:dyDescent="0.25">
      <c r="A1386" s="450"/>
      <c r="B1386" s="451"/>
      <c r="C1386" s="452"/>
      <c r="D1386" s="521"/>
      <c r="E1386" s="453"/>
      <c r="F1386" s="454"/>
      <c r="G1386" s="525"/>
      <c r="H1386" s="454"/>
      <c r="I1386" s="459"/>
      <c r="J1386" s="271" t="b">
        <f>Age_Sex22[[#This Row],[Total Spending After Applying Truncation at the Member Level]]+Age_Sex22[[#This Row],[Total Dollars Excluded from Spending After Applying Truncation at the Member Level]]=Age_Sex22[[#This Row],[Total Spending before Truncation is Applied]]</f>
        <v>1</v>
      </c>
    </row>
    <row r="1387" spans="1:10" x14ac:dyDescent="0.25">
      <c r="A1387" s="449"/>
      <c r="B1387" s="443"/>
      <c r="C1387" s="444"/>
      <c r="D1387" s="520"/>
      <c r="E1387" s="445"/>
      <c r="F1387" s="446"/>
      <c r="G1387" s="524"/>
      <c r="H1387" s="446"/>
      <c r="I1387" s="458"/>
      <c r="J1387" s="271" t="b">
        <f>Age_Sex22[[#This Row],[Total Spending After Applying Truncation at the Member Level]]+Age_Sex22[[#This Row],[Total Dollars Excluded from Spending After Applying Truncation at the Member Level]]=Age_Sex22[[#This Row],[Total Spending before Truncation is Applied]]</f>
        <v>1</v>
      </c>
    </row>
    <row r="1388" spans="1:10" x14ac:dyDescent="0.25">
      <c r="A1388" s="450"/>
      <c r="B1388" s="451"/>
      <c r="C1388" s="452"/>
      <c r="D1388" s="521"/>
      <c r="E1388" s="453"/>
      <c r="F1388" s="454"/>
      <c r="G1388" s="525"/>
      <c r="H1388" s="454"/>
      <c r="I1388" s="459"/>
      <c r="J1388" s="271" t="b">
        <f>Age_Sex22[[#This Row],[Total Spending After Applying Truncation at the Member Level]]+Age_Sex22[[#This Row],[Total Dollars Excluded from Spending After Applying Truncation at the Member Level]]=Age_Sex22[[#This Row],[Total Spending before Truncation is Applied]]</f>
        <v>1</v>
      </c>
    </row>
    <row r="1389" spans="1:10" x14ac:dyDescent="0.25">
      <c r="A1389" s="449"/>
      <c r="B1389" s="443"/>
      <c r="C1389" s="444"/>
      <c r="D1389" s="520"/>
      <c r="E1389" s="445"/>
      <c r="F1389" s="446"/>
      <c r="G1389" s="524"/>
      <c r="H1389" s="446"/>
      <c r="I1389" s="458"/>
      <c r="J1389" s="271" t="b">
        <f>Age_Sex22[[#This Row],[Total Spending After Applying Truncation at the Member Level]]+Age_Sex22[[#This Row],[Total Dollars Excluded from Spending After Applying Truncation at the Member Level]]=Age_Sex22[[#This Row],[Total Spending before Truncation is Applied]]</f>
        <v>1</v>
      </c>
    </row>
    <row r="1390" spans="1:10" x14ac:dyDescent="0.25">
      <c r="A1390" s="450"/>
      <c r="B1390" s="451"/>
      <c r="C1390" s="452"/>
      <c r="D1390" s="521"/>
      <c r="E1390" s="453"/>
      <c r="F1390" s="454"/>
      <c r="G1390" s="525"/>
      <c r="H1390" s="454"/>
      <c r="I1390" s="459"/>
      <c r="J1390" s="271" t="b">
        <f>Age_Sex22[[#This Row],[Total Spending After Applying Truncation at the Member Level]]+Age_Sex22[[#This Row],[Total Dollars Excluded from Spending After Applying Truncation at the Member Level]]=Age_Sex22[[#This Row],[Total Spending before Truncation is Applied]]</f>
        <v>1</v>
      </c>
    </row>
    <row r="1391" spans="1:10" x14ac:dyDescent="0.25">
      <c r="A1391" s="449"/>
      <c r="B1391" s="443"/>
      <c r="C1391" s="444"/>
      <c r="D1391" s="520"/>
      <c r="E1391" s="445"/>
      <c r="F1391" s="446"/>
      <c r="G1391" s="524"/>
      <c r="H1391" s="446"/>
      <c r="I1391" s="458"/>
      <c r="J1391" s="271" t="b">
        <f>Age_Sex22[[#This Row],[Total Spending After Applying Truncation at the Member Level]]+Age_Sex22[[#This Row],[Total Dollars Excluded from Spending After Applying Truncation at the Member Level]]=Age_Sex22[[#This Row],[Total Spending before Truncation is Applied]]</f>
        <v>1</v>
      </c>
    </row>
    <row r="1392" spans="1:10" x14ac:dyDescent="0.25">
      <c r="A1392" s="450"/>
      <c r="B1392" s="451"/>
      <c r="C1392" s="452"/>
      <c r="D1392" s="521"/>
      <c r="E1392" s="453"/>
      <c r="F1392" s="454"/>
      <c r="G1392" s="525"/>
      <c r="H1392" s="454"/>
      <c r="I1392" s="459"/>
      <c r="J1392" s="271" t="b">
        <f>Age_Sex22[[#This Row],[Total Spending After Applying Truncation at the Member Level]]+Age_Sex22[[#This Row],[Total Dollars Excluded from Spending After Applying Truncation at the Member Level]]=Age_Sex22[[#This Row],[Total Spending before Truncation is Applied]]</f>
        <v>1</v>
      </c>
    </row>
    <row r="1393" spans="1:10" x14ac:dyDescent="0.25">
      <c r="A1393" s="449"/>
      <c r="B1393" s="443"/>
      <c r="C1393" s="444"/>
      <c r="D1393" s="520"/>
      <c r="E1393" s="445"/>
      <c r="F1393" s="446"/>
      <c r="G1393" s="524"/>
      <c r="H1393" s="446"/>
      <c r="I1393" s="458"/>
      <c r="J1393" s="271" t="b">
        <f>Age_Sex22[[#This Row],[Total Spending After Applying Truncation at the Member Level]]+Age_Sex22[[#This Row],[Total Dollars Excluded from Spending After Applying Truncation at the Member Level]]=Age_Sex22[[#This Row],[Total Spending before Truncation is Applied]]</f>
        <v>1</v>
      </c>
    </row>
    <row r="1394" spans="1:10" x14ac:dyDescent="0.25">
      <c r="A1394" s="450"/>
      <c r="B1394" s="451"/>
      <c r="C1394" s="452"/>
      <c r="D1394" s="521"/>
      <c r="E1394" s="453"/>
      <c r="F1394" s="454"/>
      <c r="G1394" s="525"/>
      <c r="H1394" s="454"/>
      <c r="I1394" s="459"/>
      <c r="J1394" s="271" t="b">
        <f>Age_Sex22[[#This Row],[Total Spending After Applying Truncation at the Member Level]]+Age_Sex22[[#This Row],[Total Dollars Excluded from Spending After Applying Truncation at the Member Level]]=Age_Sex22[[#This Row],[Total Spending before Truncation is Applied]]</f>
        <v>1</v>
      </c>
    </row>
    <row r="1395" spans="1:10" x14ac:dyDescent="0.25">
      <c r="A1395" s="449"/>
      <c r="B1395" s="443"/>
      <c r="C1395" s="444"/>
      <c r="D1395" s="520"/>
      <c r="E1395" s="445"/>
      <c r="F1395" s="446"/>
      <c r="G1395" s="524"/>
      <c r="H1395" s="446"/>
      <c r="I1395" s="458"/>
      <c r="J1395" s="271" t="b">
        <f>Age_Sex22[[#This Row],[Total Spending After Applying Truncation at the Member Level]]+Age_Sex22[[#This Row],[Total Dollars Excluded from Spending After Applying Truncation at the Member Level]]=Age_Sex22[[#This Row],[Total Spending before Truncation is Applied]]</f>
        <v>1</v>
      </c>
    </row>
    <row r="1396" spans="1:10" x14ac:dyDescent="0.25">
      <c r="A1396" s="450"/>
      <c r="B1396" s="451"/>
      <c r="C1396" s="452"/>
      <c r="D1396" s="521"/>
      <c r="E1396" s="453"/>
      <c r="F1396" s="454"/>
      <c r="G1396" s="525"/>
      <c r="H1396" s="454"/>
      <c r="I1396" s="459"/>
      <c r="J1396" s="271" t="b">
        <f>Age_Sex22[[#This Row],[Total Spending After Applying Truncation at the Member Level]]+Age_Sex22[[#This Row],[Total Dollars Excluded from Spending After Applying Truncation at the Member Level]]=Age_Sex22[[#This Row],[Total Spending before Truncation is Applied]]</f>
        <v>1</v>
      </c>
    </row>
    <row r="1397" spans="1:10" x14ac:dyDescent="0.25">
      <c r="A1397" s="449"/>
      <c r="B1397" s="443"/>
      <c r="C1397" s="444"/>
      <c r="D1397" s="520"/>
      <c r="E1397" s="445"/>
      <c r="F1397" s="446"/>
      <c r="G1397" s="524"/>
      <c r="H1397" s="446"/>
      <c r="I1397" s="458"/>
      <c r="J1397" s="271" t="b">
        <f>Age_Sex22[[#This Row],[Total Spending After Applying Truncation at the Member Level]]+Age_Sex22[[#This Row],[Total Dollars Excluded from Spending After Applying Truncation at the Member Level]]=Age_Sex22[[#This Row],[Total Spending before Truncation is Applied]]</f>
        <v>1</v>
      </c>
    </row>
    <row r="1398" spans="1:10" x14ac:dyDescent="0.25">
      <c r="A1398" s="450"/>
      <c r="B1398" s="451"/>
      <c r="C1398" s="452"/>
      <c r="D1398" s="521"/>
      <c r="E1398" s="453"/>
      <c r="F1398" s="454"/>
      <c r="G1398" s="525"/>
      <c r="H1398" s="454"/>
      <c r="I1398" s="459"/>
      <c r="J1398" s="271" t="b">
        <f>Age_Sex22[[#This Row],[Total Spending After Applying Truncation at the Member Level]]+Age_Sex22[[#This Row],[Total Dollars Excluded from Spending After Applying Truncation at the Member Level]]=Age_Sex22[[#This Row],[Total Spending before Truncation is Applied]]</f>
        <v>1</v>
      </c>
    </row>
    <row r="1399" spans="1:10" x14ac:dyDescent="0.25">
      <c r="A1399" s="449"/>
      <c r="B1399" s="443"/>
      <c r="C1399" s="444"/>
      <c r="D1399" s="520"/>
      <c r="E1399" s="445"/>
      <c r="F1399" s="446"/>
      <c r="G1399" s="524"/>
      <c r="H1399" s="446"/>
      <c r="I1399" s="458"/>
      <c r="J1399" s="271" t="b">
        <f>Age_Sex22[[#This Row],[Total Spending After Applying Truncation at the Member Level]]+Age_Sex22[[#This Row],[Total Dollars Excluded from Spending After Applying Truncation at the Member Level]]=Age_Sex22[[#This Row],[Total Spending before Truncation is Applied]]</f>
        <v>1</v>
      </c>
    </row>
    <row r="1400" spans="1:10" x14ac:dyDescent="0.25">
      <c r="A1400" s="450"/>
      <c r="B1400" s="451"/>
      <c r="C1400" s="452"/>
      <c r="D1400" s="521"/>
      <c r="E1400" s="453"/>
      <c r="F1400" s="454"/>
      <c r="G1400" s="525"/>
      <c r="H1400" s="454"/>
      <c r="I1400" s="459"/>
      <c r="J1400" s="271" t="b">
        <f>Age_Sex22[[#This Row],[Total Spending After Applying Truncation at the Member Level]]+Age_Sex22[[#This Row],[Total Dollars Excluded from Spending After Applying Truncation at the Member Level]]=Age_Sex22[[#This Row],[Total Spending before Truncation is Applied]]</f>
        <v>1</v>
      </c>
    </row>
    <row r="1401" spans="1:10" x14ac:dyDescent="0.25">
      <c r="A1401" s="449"/>
      <c r="B1401" s="443"/>
      <c r="C1401" s="444"/>
      <c r="D1401" s="520"/>
      <c r="E1401" s="445"/>
      <c r="F1401" s="446"/>
      <c r="G1401" s="524"/>
      <c r="H1401" s="446"/>
      <c r="I1401" s="458"/>
      <c r="J1401" s="271" t="b">
        <f>Age_Sex22[[#This Row],[Total Spending After Applying Truncation at the Member Level]]+Age_Sex22[[#This Row],[Total Dollars Excluded from Spending After Applying Truncation at the Member Level]]=Age_Sex22[[#This Row],[Total Spending before Truncation is Applied]]</f>
        <v>1</v>
      </c>
    </row>
    <row r="1402" spans="1:10" x14ac:dyDescent="0.25">
      <c r="A1402" s="450"/>
      <c r="B1402" s="451"/>
      <c r="C1402" s="452"/>
      <c r="D1402" s="521"/>
      <c r="E1402" s="453"/>
      <c r="F1402" s="454"/>
      <c r="G1402" s="525"/>
      <c r="H1402" s="454"/>
      <c r="I1402" s="459"/>
      <c r="J1402" s="271" t="b">
        <f>Age_Sex22[[#This Row],[Total Spending After Applying Truncation at the Member Level]]+Age_Sex22[[#This Row],[Total Dollars Excluded from Spending After Applying Truncation at the Member Level]]=Age_Sex22[[#This Row],[Total Spending before Truncation is Applied]]</f>
        <v>1</v>
      </c>
    </row>
    <row r="1403" spans="1:10" x14ac:dyDescent="0.25">
      <c r="A1403" s="449"/>
      <c r="B1403" s="443"/>
      <c r="C1403" s="444"/>
      <c r="D1403" s="520"/>
      <c r="E1403" s="445"/>
      <c r="F1403" s="446"/>
      <c r="G1403" s="524"/>
      <c r="H1403" s="446"/>
      <c r="I1403" s="458"/>
      <c r="J1403" s="271" t="b">
        <f>Age_Sex22[[#This Row],[Total Spending After Applying Truncation at the Member Level]]+Age_Sex22[[#This Row],[Total Dollars Excluded from Spending After Applying Truncation at the Member Level]]=Age_Sex22[[#This Row],[Total Spending before Truncation is Applied]]</f>
        <v>1</v>
      </c>
    </row>
    <row r="1404" spans="1:10" x14ac:dyDescent="0.25">
      <c r="A1404" s="450"/>
      <c r="B1404" s="451"/>
      <c r="C1404" s="452"/>
      <c r="D1404" s="521"/>
      <c r="E1404" s="453"/>
      <c r="F1404" s="454"/>
      <c r="G1404" s="525"/>
      <c r="H1404" s="454"/>
      <c r="I1404" s="459"/>
      <c r="J1404" s="271" t="b">
        <f>Age_Sex22[[#This Row],[Total Spending After Applying Truncation at the Member Level]]+Age_Sex22[[#This Row],[Total Dollars Excluded from Spending After Applying Truncation at the Member Level]]=Age_Sex22[[#This Row],[Total Spending before Truncation is Applied]]</f>
        <v>1</v>
      </c>
    </row>
    <row r="1405" spans="1:10" x14ac:dyDescent="0.25">
      <c r="A1405" s="449"/>
      <c r="B1405" s="443"/>
      <c r="C1405" s="444"/>
      <c r="D1405" s="520"/>
      <c r="E1405" s="445"/>
      <c r="F1405" s="446"/>
      <c r="G1405" s="524"/>
      <c r="H1405" s="446"/>
      <c r="I1405" s="458"/>
      <c r="J1405" s="271" t="b">
        <f>Age_Sex22[[#This Row],[Total Spending After Applying Truncation at the Member Level]]+Age_Sex22[[#This Row],[Total Dollars Excluded from Spending After Applying Truncation at the Member Level]]=Age_Sex22[[#This Row],[Total Spending before Truncation is Applied]]</f>
        <v>1</v>
      </c>
    </row>
    <row r="1406" spans="1:10" x14ac:dyDescent="0.25">
      <c r="A1406" s="450"/>
      <c r="B1406" s="451"/>
      <c r="C1406" s="452"/>
      <c r="D1406" s="521"/>
      <c r="E1406" s="453"/>
      <c r="F1406" s="454"/>
      <c r="G1406" s="525"/>
      <c r="H1406" s="454"/>
      <c r="I1406" s="459"/>
      <c r="J1406" s="271" t="b">
        <f>Age_Sex22[[#This Row],[Total Spending After Applying Truncation at the Member Level]]+Age_Sex22[[#This Row],[Total Dollars Excluded from Spending After Applying Truncation at the Member Level]]=Age_Sex22[[#This Row],[Total Spending before Truncation is Applied]]</f>
        <v>1</v>
      </c>
    </row>
    <row r="1407" spans="1:10" x14ac:dyDescent="0.25">
      <c r="A1407" s="449"/>
      <c r="B1407" s="443"/>
      <c r="C1407" s="444"/>
      <c r="D1407" s="520"/>
      <c r="E1407" s="445"/>
      <c r="F1407" s="446"/>
      <c r="G1407" s="524"/>
      <c r="H1407" s="446"/>
      <c r="I1407" s="458"/>
      <c r="J1407" s="271" t="b">
        <f>Age_Sex22[[#This Row],[Total Spending After Applying Truncation at the Member Level]]+Age_Sex22[[#This Row],[Total Dollars Excluded from Spending After Applying Truncation at the Member Level]]=Age_Sex22[[#This Row],[Total Spending before Truncation is Applied]]</f>
        <v>1</v>
      </c>
    </row>
    <row r="1408" spans="1:10" x14ac:dyDescent="0.25">
      <c r="A1408" s="450"/>
      <c r="B1408" s="451"/>
      <c r="C1408" s="452"/>
      <c r="D1408" s="521"/>
      <c r="E1408" s="453"/>
      <c r="F1408" s="454"/>
      <c r="G1408" s="525"/>
      <c r="H1408" s="454"/>
      <c r="I1408" s="459"/>
      <c r="J1408" s="271" t="b">
        <f>Age_Sex22[[#This Row],[Total Spending After Applying Truncation at the Member Level]]+Age_Sex22[[#This Row],[Total Dollars Excluded from Spending After Applying Truncation at the Member Level]]=Age_Sex22[[#This Row],[Total Spending before Truncation is Applied]]</f>
        <v>1</v>
      </c>
    </row>
    <row r="1409" spans="1:10" x14ac:dyDescent="0.25">
      <c r="A1409" s="449"/>
      <c r="B1409" s="443"/>
      <c r="C1409" s="444"/>
      <c r="D1409" s="520"/>
      <c r="E1409" s="445"/>
      <c r="F1409" s="446"/>
      <c r="G1409" s="524"/>
      <c r="H1409" s="446"/>
      <c r="I1409" s="458"/>
      <c r="J1409" s="271" t="b">
        <f>Age_Sex22[[#This Row],[Total Spending After Applying Truncation at the Member Level]]+Age_Sex22[[#This Row],[Total Dollars Excluded from Spending After Applying Truncation at the Member Level]]=Age_Sex22[[#This Row],[Total Spending before Truncation is Applied]]</f>
        <v>1</v>
      </c>
    </row>
    <row r="1410" spans="1:10" x14ac:dyDescent="0.25">
      <c r="A1410" s="450"/>
      <c r="B1410" s="451"/>
      <c r="C1410" s="452"/>
      <c r="D1410" s="521"/>
      <c r="E1410" s="453"/>
      <c r="F1410" s="454"/>
      <c r="G1410" s="525"/>
      <c r="H1410" s="454"/>
      <c r="I1410" s="459"/>
      <c r="J1410" s="271" t="b">
        <f>Age_Sex22[[#This Row],[Total Spending After Applying Truncation at the Member Level]]+Age_Sex22[[#This Row],[Total Dollars Excluded from Spending After Applying Truncation at the Member Level]]=Age_Sex22[[#This Row],[Total Spending before Truncation is Applied]]</f>
        <v>1</v>
      </c>
    </row>
    <row r="1411" spans="1:10" x14ac:dyDescent="0.25">
      <c r="A1411" s="449"/>
      <c r="B1411" s="443"/>
      <c r="C1411" s="444"/>
      <c r="D1411" s="520"/>
      <c r="E1411" s="445"/>
      <c r="F1411" s="446"/>
      <c r="G1411" s="524"/>
      <c r="H1411" s="446"/>
      <c r="I1411" s="458"/>
      <c r="J1411" s="271" t="b">
        <f>Age_Sex22[[#This Row],[Total Spending After Applying Truncation at the Member Level]]+Age_Sex22[[#This Row],[Total Dollars Excluded from Spending After Applying Truncation at the Member Level]]=Age_Sex22[[#This Row],[Total Spending before Truncation is Applied]]</f>
        <v>1</v>
      </c>
    </row>
    <row r="1412" spans="1:10" x14ac:dyDescent="0.25">
      <c r="A1412" s="450"/>
      <c r="B1412" s="451"/>
      <c r="C1412" s="452"/>
      <c r="D1412" s="521"/>
      <c r="E1412" s="453"/>
      <c r="F1412" s="454"/>
      <c r="G1412" s="525"/>
      <c r="H1412" s="454"/>
      <c r="I1412" s="459"/>
      <c r="J1412" s="271" t="b">
        <f>Age_Sex22[[#This Row],[Total Spending After Applying Truncation at the Member Level]]+Age_Sex22[[#This Row],[Total Dollars Excluded from Spending After Applying Truncation at the Member Level]]=Age_Sex22[[#This Row],[Total Spending before Truncation is Applied]]</f>
        <v>1</v>
      </c>
    </row>
    <row r="1413" spans="1:10" x14ac:dyDescent="0.25">
      <c r="A1413" s="449"/>
      <c r="B1413" s="443"/>
      <c r="C1413" s="444"/>
      <c r="D1413" s="520"/>
      <c r="E1413" s="445"/>
      <c r="F1413" s="446"/>
      <c r="G1413" s="524"/>
      <c r="H1413" s="446"/>
      <c r="I1413" s="458"/>
      <c r="J1413" s="271" t="b">
        <f>Age_Sex22[[#This Row],[Total Spending After Applying Truncation at the Member Level]]+Age_Sex22[[#This Row],[Total Dollars Excluded from Spending After Applying Truncation at the Member Level]]=Age_Sex22[[#This Row],[Total Spending before Truncation is Applied]]</f>
        <v>1</v>
      </c>
    </row>
    <row r="1414" spans="1:10" x14ac:dyDescent="0.25">
      <c r="A1414" s="450"/>
      <c r="B1414" s="451"/>
      <c r="C1414" s="452"/>
      <c r="D1414" s="521"/>
      <c r="E1414" s="453"/>
      <c r="F1414" s="454"/>
      <c r="G1414" s="525"/>
      <c r="H1414" s="454"/>
      <c r="I1414" s="459"/>
      <c r="J1414" s="271" t="b">
        <f>Age_Sex22[[#This Row],[Total Spending After Applying Truncation at the Member Level]]+Age_Sex22[[#This Row],[Total Dollars Excluded from Spending After Applying Truncation at the Member Level]]=Age_Sex22[[#This Row],[Total Spending before Truncation is Applied]]</f>
        <v>1</v>
      </c>
    </row>
    <row r="1415" spans="1:10" x14ac:dyDescent="0.25">
      <c r="A1415" s="449"/>
      <c r="B1415" s="443"/>
      <c r="C1415" s="444"/>
      <c r="D1415" s="520"/>
      <c r="E1415" s="445"/>
      <c r="F1415" s="446"/>
      <c r="G1415" s="524"/>
      <c r="H1415" s="446"/>
      <c r="I1415" s="458"/>
      <c r="J1415" s="271" t="b">
        <f>Age_Sex22[[#This Row],[Total Spending After Applying Truncation at the Member Level]]+Age_Sex22[[#This Row],[Total Dollars Excluded from Spending After Applying Truncation at the Member Level]]=Age_Sex22[[#This Row],[Total Spending before Truncation is Applied]]</f>
        <v>1</v>
      </c>
    </row>
    <row r="1416" spans="1:10" x14ac:dyDescent="0.25">
      <c r="A1416" s="450"/>
      <c r="B1416" s="451"/>
      <c r="C1416" s="452"/>
      <c r="D1416" s="521"/>
      <c r="E1416" s="453"/>
      <c r="F1416" s="454"/>
      <c r="G1416" s="525"/>
      <c r="H1416" s="454"/>
      <c r="I1416" s="459"/>
      <c r="J1416" s="271" t="b">
        <f>Age_Sex22[[#This Row],[Total Spending After Applying Truncation at the Member Level]]+Age_Sex22[[#This Row],[Total Dollars Excluded from Spending After Applying Truncation at the Member Level]]=Age_Sex22[[#This Row],[Total Spending before Truncation is Applied]]</f>
        <v>1</v>
      </c>
    </row>
    <row r="1417" spans="1:10" x14ac:dyDescent="0.25">
      <c r="A1417" s="449"/>
      <c r="B1417" s="443"/>
      <c r="C1417" s="444"/>
      <c r="D1417" s="520"/>
      <c r="E1417" s="445"/>
      <c r="F1417" s="446"/>
      <c r="G1417" s="524"/>
      <c r="H1417" s="446"/>
      <c r="I1417" s="458"/>
      <c r="J1417" s="271" t="b">
        <f>Age_Sex22[[#This Row],[Total Spending After Applying Truncation at the Member Level]]+Age_Sex22[[#This Row],[Total Dollars Excluded from Spending After Applying Truncation at the Member Level]]=Age_Sex22[[#This Row],[Total Spending before Truncation is Applied]]</f>
        <v>1</v>
      </c>
    </row>
    <row r="1418" spans="1:10" x14ac:dyDescent="0.25">
      <c r="A1418" s="450"/>
      <c r="B1418" s="451"/>
      <c r="C1418" s="452"/>
      <c r="D1418" s="521"/>
      <c r="E1418" s="453"/>
      <c r="F1418" s="454"/>
      <c r="G1418" s="525"/>
      <c r="H1418" s="454"/>
      <c r="I1418" s="459"/>
      <c r="J1418" s="271" t="b">
        <f>Age_Sex22[[#This Row],[Total Spending After Applying Truncation at the Member Level]]+Age_Sex22[[#This Row],[Total Dollars Excluded from Spending After Applying Truncation at the Member Level]]=Age_Sex22[[#This Row],[Total Spending before Truncation is Applied]]</f>
        <v>1</v>
      </c>
    </row>
    <row r="1419" spans="1:10" x14ac:dyDescent="0.25">
      <c r="A1419" s="449"/>
      <c r="B1419" s="443"/>
      <c r="C1419" s="444"/>
      <c r="D1419" s="520"/>
      <c r="E1419" s="445"/>
      <c r="F1419" s="446"/>
      <c r="G1419" s="524"/>
      <c r="H1419" s="446"/>
      <c r="I1419" s="458"/>
      <c r="J1419" s="271" t="b">
        <f>Age_Sex22[[#This Row],[Total Spending After Applying Truncation at the Member Level]]+Age_Sex22[[#This Row],[Total Dollars Excluded from Spending After Applying Truncation at the Member Level]]=Age_Sex22[[#This Row],[Total Spending before Truncation is Applied]]</f>
        <v>1</v>
      </c>
    </row>
    <row r="1420" spans="1:10" x14ac:dyDescent="0.25">
      <c r="A1420" s="450"/>
      <c r="B1420" s="451"/>
      <c r="C1420" s="452"/>
      <c r="D1420" s="521"/>
      <c r="E1420" s="453"/>
      <c r="F1420" s="454"/>
      <c r="G1420" s="525"/>
      <c r="H1420" s="454"/>
      <c r="I1420" s="459"/>
      <c r="J1420" s="271" t="b">
        <f>Age_Sex22[[#This Row],[Total Spending After Applying Truncation at the Member Level]]+Age_Sex22[[#This Row],[Total Dollars Excluded from Spending After Applying Truncation at the Member Level]]=Age_Sex22[[#This Row],[Total Spending before Truncation is Applied]]</f>
        <v>1</v>
      </c>
    </row>
    <row r="1421" spans="1:10" x14ac:dyDescent="0.25">
      <c r="A1421" s="449"/>
      <c r="B1421" s="443"/>
      <c r="C1421" s="444"/>
      <c r="D1421" s="520"/>
      <c r="E1421" s="445"/>
      <c r="F1421" s="446"/>
      <c r="G1421" s="524"/>
      <c r="H1421" s="446"/>
      <c r="I1421" s="458"/>
      <c r="J1421" s="271" t="b">
        <f>Age_Sex22[[#This Row],[Total Spending After Applying Truncation at the Member Level]]+Age_Sex22[[#This Row],[Total Dollars Excluded from Spending After Applying Truncation at the Member Level]]=Age_Sex22[[#This Row],[Total Spending before Truncation is Applied]]</f>
        <v>1</v>
      </c>
    </row>
    <row r="1422" spans="1:10" x14ac:dyDescent="0.25">
      <c r="A1422" s="450"/>
      <c r="B1422" s="451"/>
      <c r="C1422" s="452"/>
      <c r="D1422" s="521"/>
      <c r="E1422" s="453"/>
      <c r="F1422" s="454"/>
      <c r="G1422" s="525"/>
      <c r="H1422" s="454"/>
      <c r="I1422" s="459"/>
      <c r="J1422" s="271" t="b">
        <f>Age_Sex22[[#This Row],[Total Spending After Applying Truncation at the Member Level]]+Age_Sex22[[#This Row],[Total Dollars Excluded from Spending After Applying Truncation at the Member Level]]=Age_Sex22[[#This Row],[Total Spending before Truncation is Applied]]</f>
        <v>1</v>
      </c>
    </row>
    <row r="1423" spans="1:10" x14ac:dyDescent="0.25">
      <c r="A1423" s="449"/>
      <c r="B1423" s="443"/>
      <c r="C1423" s="444"/>
      <c r="D1423" s="520"/>
      <c r="E1423" s="445"/>
      <c r="F1423" s="446"/>
      <c r="G1423" s="524"/>
      <c r="H1423" s="446"/>
      <c r="I1423" s="458"/>
      <c r="J1423" s="271" t="b">
        <f>Age_Sex22[[#This Row],[Total Spending After Applying Truncation at the Member Level]]+Age_Sex22[[#This Row],[Total Dollars Excluded from Spending After Applying Truncation at the Member Level]]=Age_Sex22[[#This Row],[Total Spending before Truncation is Applied]]</f>
        <v>1</v>
      </c>
    </row>
    <row r="1424" spans="1:10" x14ac:dyDescent="0.25">
      <c r="A1424" s="450"/>
      <c r="B1424" s="451"/>
      <c r="C1424" s="452"/>
      <c r="D1424" s="521"/>
      <c r="E1424" s="453"/>
      <c r="F1424" s="454"/>
      <c r="G1424" s="525"/>
      <c r="H1424" s="454"/>
      <c r="I1424" s="459"/>
      <c r="J1424" s="271" t="b">
        <f>Age_Sex22[[#This Row],[Total Spending After Applying Truncation at the Member Level]]+Age_Sex22[[#This Row],[Total Dollars Excluded from Spending After Applying Truncation at the Member Level]]=Age_Sex22[[#This Row],[Total Spending before Truncation is Applied]]</f>
        <v>1</v>
      </c>
    </row>
    <row r="1425" spans="1:10" x14ac:dyDescent="0.25">
      <c r="A1425" s="449"/>
      <c r="B1425" s="443"/>
      <c r="C1425" s="444"/>
      <c r="D1425" s="520"/>
      <c r="E1425" s="445"/>
      <c r="F1425" s="446"/>
      <c r="G1425" s="524"/>
      <c r="H1425" s="446"/>
      <c r="I1425" s="458"/>
      <c r="J1425" s="271" t="b">
        <f>Age_Sex22[[#This Row],[Total Spending After Applying Truncation at the Member Level]]+Age_Sex22[[#This Row],[Total Dollars Excluded from Spending After Applying Truncation at the Member Level]]=Age_Sex22[[#This Row],[Total Spending before Truncation is Applied]]</f>
        <v>1</v>
      </c>
    </row>
    <row r="1426" spans="1:10" x14ac:dyDescent="0.25">
      <c r="A1426" s="450"/>
      <c r="B1426" s="451"/>
      <c r="C1426" s="452"/>
      <c r="D1426" s="521"/>
      <c r="E1426" s="453"/>
      <c r="F1426" s="454"/>
      <c r="G1426" s="525"/>
      <c r="H1426" s="454"/>
      <c r="I1426" s="459"/>
      <c r="J1426" s="271" t="b">
        <f>Age_Sex22[[#This Row],[Total Spending After Applying Truncation at the Member Level]]+Age_Sex22[[#This Row],[Total Dollars Excluded from Spending After Applying Truncation at the Member Level]]=Age_Sex22[[#This Row],[Total Spending before Truncation is Applied]]</f>
        <v>1</v>
      </c>
    </row>
    <row r="1427" spans="1:10" x14ac:dyDescent="0.25">
      <c r="A1427" s="449"/>
      <c r="B1427" s="443"/>
      <c r="C1427" s="444"/>
      <c r="D1427" s="520"/>
      <c r="E1427" s="445"/>
      <c r="F1427" s="446"/>
      <c r="G1427" s="524"/>
      <c r="H1427" s="446"/>
      <c r="I1427" s="458"/>
      <c r="J1427" s="271" t="b">
        <f>Age_Sex22[[#This Row],[Total Spending After Applying Truncation at the Member Level]]+Age_Sex22[[#This Row],[Total Dollars Excluded from Spending After Applying Truncation at the Member Level]]=Age_Sex22[[#This Row],[Total Spending before Truncation is Applied]]</f>
        <v>1</v>
      </c>
    </row>
    <row r="1428" spans="1:10" x14ac:dyDescent="0.25">
      <c r="A1428" s="450"/>
      <c r="B1428" s="451"/>
      <c r="C1428" s="452"/>
      <c r="D1428" s="521"/>
      <c r="E1428" s="453"/>
      <c r="F1428" s="454"/>
      <c r="G1428" s="525"/>
      <c r="H1428" s="454"/>
      <c r="I1428" s="459"/>
      <c r="J1428" s="271" t="b">
        <f>Age_Sex22[[#This Row],[Total Spending After Applying Truncation at the Member Level]]+Age_Sex22[[#This Row],[Total Dollars Excluded from Spending After Applying Truncation at the Member Level]]=Age_Sex22[[#This Row],[Total Spending before Truncation is Applied]]</f>
        <v>1</v>
      </c>
    </row>
    <row r="1429" spans="1:10" x14ac:dyDescent="0.25">
      <c r="A1429" s="449"/>
      <c r="B1429" s="443"/>
      <c r="C1429" s="444"/>
      <c r="D1429" s="520"/>
      <c r="E1429" s="445"/>
      <c r="F1429" s="446"/>
      <c r="G1429" s="524"/>
      <c r="H1429" s="446"/>
      <c r="I1429" s="458"/>
      <c r="J1429" s="271" t="b">
        <f>Age_Sex22[[#This Row],[Total Spending After Applying Truncation at the Member Level]]+Age_Sex22[[#This Row],[Total Dollars Excluded from Spending After Applying Truncation at the Member Level]]=Age_Sex22[[#This Row],[Total Spending before Truncation is Applied]]</f>
        <v>1</v>
      </c>
    </row>
    <row r="1430" spans="1:10" x14ac:dyDescent="0.25">
      <c r="A1430" s="450"/>
      <c r="B1430" s="451"/>
      <c r="C1430" s="452"/>
      <c r="D1430" s="521"/>
      <c r="E1430" s="453"/>
      <c r="F1430" s="454"/>
      <c r="G1430" s="525"/>
      <c r="H1430" s="454"/>
      <c r="I1430" s="459"/>
      <c r="J1430" s="271" t="b">
        <f>Age_Sex22[[#This Row],[Total Spending After Applying Truncation at the Member Level]]+Age_Sex22[[#This Row],[Total Dollars Excluded from Spending After Applying Truncation at the Member Level]]=Age_Sex22[[#This Row],[Total Spending before Truncation is Applied]]</f>
        <v>1</v>
      </c>
    </row>
    <row r="1431" spans="1:10" x14ac:dyDescent="0.25">
      <c r="A1431" s="449"/>
      <c r="B1431" s="443"/>
      <c r="C1431" s="444"/>
      <c r="D1431" s="520"/>
      <c r="E1431" s="445"/>
      <c r="F1431" s="446"/>
      <c r="G1431" s="524"/>
      <c r="H1431" s="446"/>
      <c r="I1431" s="458"/>
      <c r="J1431" s="271" t="b">
        <f>Age_Sex22[[#This Row],[Total Spending After Applying Truncation at the Member Level]]+Age_Sex22[[#This Row],[Total Dollars Excluded from Spending After Applying Truncation at the Member Level]]=Age_Sex22[[#This Row],[Total Spending before Truncation is Applied]]</f>
        <v>1</v>
      </c>
    </row>
    <row r="1432" spans="1:10" x14ac:dyDescent="0.25">
      <c r="A1432" s="450"/>
      <c r="B1432" s="451"/>
      <c r="C1432" s="452"/>
      <c r="D1432" s="521"/>
      <c r="E1432" s="453"/>
      <c r="F1432" s="454"/>
      <c r="G1432" s="525"/>
      <c r="H1432" s="454"/>
      <c r="I1432" s="459"/>
      <c r="J1432" s="271" t="b">
        <f>Age_Sex22[[#This Row],[Total Spending After Applying Truncation at the Member Level]]+Age_Sex22[[#This Row],[Total Dollars Excluded from Spending After Applying Truncation at the Member Level]]=Age_Sex22[[#This Row],[Total Spending before Truncation is Applied]]</f>
        <v>1</v>
      </c>
    </row>
    <row r="1433" spans="1:10" x14ac:dyDescent="0.25">
      <c r="A1433" s="449"/>
      <c r="B1433" s="443"/>
      <c r="C1433" s="444"/>
      <c r="D1433" s="520"/>
      <c r="E1433" s="445"/>
      <c r="F1433" s="446"/>
      <c r="G1433" s="524"/>
      <c r="H1433" s="446"/>
      <c r="I1433" s="458"/>
      <c r="J1433" s="271" t="b">
        <f>Age_Sex22[[#This Row],[Total Spending After Applying Truncation at the Member Level]]+Age_Sex22[[#This Row],[Total Dollars Excluded from Spending After Applying Truncation at the Member Level]]=Age_Sex22[[#This Row],[Total Spending before Truncation is Applied]]</f>
        <v>1</v>
      </c>
    </row>
    <row r="1434" spans="1:10" x14ac:dyDescent="0.25">
      <c r="A1434" s="450"/>
      <c r="B1434" s="451"/>
      <c r="C1434" s="452"/>
      <c r="D1434" s="521"/>
      <c r="E1434" s="453"/>
      <c r="F1434" s="454"/>
      <c r="G1434" s="525"/>
      <c r="H1434" s="454"/>
      <c r="I1434" s="459"/>
      <c r="J1434" s="271" t="b">
        <f>Age_Sex22[[#This Row],[Total Spending After Applying Truncation at the Member Level]]+Age_Sex22[[#This Row],[Total Dollars Excluded from Spending After Applying Truncation at the Member Level]]=Age_Sex22[[#This Row],[Total Spending before Truncation is Applied]]</f>
        <v>1</v>
      </c>
    </row>
    <row r="1435" spans="1:10" x14ac:dyDescent="0.25">
      <c r="A1435" s="449"/>
      <c r="B1435" s="443"/>
      <c r="C1435" s="444"/>
      <c r="D1435" s="520"/>
      <c r="E1435" s="445"/>
      <c r="F1435" s="446"/>
      <c r="G1435" s="524"/>
      <c r="H1435" s="446"/>
      <c r="I1435" s="458"/>
      <c r="J1435" s="271" t="b">
        <f>Age_Sex22[[#This Row],[Total Spending After Applying Truncation at the Member Level]]+Age_Sex22[[#This Row],[Total Dollars Excluded from Spending After Applying Truncation at the Member Level]]=Age_Sex22[[#This Row],[Total Spending before Truncation is Applied]]</f>
        <v>1</v>
      </c>
    </row>
    <row r="1436" spans="1:10" x14ac:dyDescent="0.25">
      <c r="A1436" s="450"/>
      <c r="B1436" s="451"/>
      <c r="C1436" s="452"/>
      <c r="D1436" s="521"/>
      <c r="E1436" s="453"/>
      <c r="F1436" s="454"/>
      <c r="G1436" s="525"/>
      <c r="H1436" s="454"/>
      <c r="I1436" s="459"/>
      <c r="J1436" s="271" t="b">
        <f>Age_Sex22[[#This Row],[Total Spending After Applying Truncation at the Member Level]]+Age_Sex22[[#This Row],[Total Dollars Excluded from Spending After Applying Truncation at the Member Level]]=Age_Sex22[[#This Row],[Total Spending before Truncation is Applied]]</f>
        <v>1</v>
      </c>
    </row>
    <row r="1437" spans="1:10" x14ac:dyDescent="0.25">
      <c r="A1437" s="449"/>
      <c r="B1437" s="443"/>
      <c r="C1437" s="444"/>
      <c r="D1437" s="520"/>
      <c r="E1437" s="445"/>
      <c r="F1437" s="446"/>
      <c r="G1437" s="524"/>
      <c r="H1437" s="446"/>
      <c r="I1437" s="458"/>
      <c r="J1437" s="271" t="b">
        <f>Age_Sex22[[#This Row],[Total Spending After Applying Truncation at the Member Level]]+Age_Sex22[[#This Row],[Total Dollars Excluded from Spending After Applying Truncation at the Member Level]]=Age_Sex22[[#This Row],[Total Spending before Truncation is Applied]]</f>
        <v>1</v>
      </c>
    </row>
    <row r="1438" spans="1:10" x14ac:dyDescent="0.25">
      <c r="A1438" s="450"/>
      <c r="B1438" s="451"/>
      <c r="C1438" s="452"/>
      <c r="D1438" s="521"/>
      <c r="E1438" s="453"/>
      <c r="F1438" s="454"/>
      <c r="G1438" s="525"/>
      <c r="H1438" s="454"/>
      <c r="I1438" s="459"/>
      <c r="J1438" s="271" t="b">
        <f>Age_Sex22[[#This Row],[Total Spending After Applying Truncation at the Member Level]]+Age_Sex22[[#This Row],[Total Dollars Excluded from Spending After Applying Truncation at the Member Level]]=Age_Sex22[[#This Row],[Total Spending before Truncation is Applied]]</f>
        <v>1</v>
      </c>
    </row>
    <row r="1439" spans="1:10" x14ac:dyDescent="0.25">
      <c r="A1439" s="449"/>
      <c r="B1439" s="443"/>
      <c r="C1439" s="444"/>
      <c r="D1439" s="520"/>
      <c r="E1439" s="445"/>
      <c r="F1439" s="446"/>
      <c r="G1439" s="524"/>
      <c r="H1439" s="446"/>
      <c r="I1439" s="458"/>
      <c r="J1439" s="271" t="b">
        <f>Age_Sex22[[#This Row],[Total Spending After Applying Truncation at the Member Level]]+Age_Sex22[[#This Row],[Total Dollars Excluded from Spending After Applying Truncation at the Member Level]]=Age_Sex22[[#This Row],[Total Spending before Truncation is Applied]]</f>
        <v>1</v>
      </c>
    </row>
    <row r="1440" spans="1:10" x14ac:dyDescent="0.25">
      <c r="A1440" s="450"/>
      <c r="B1440" s="451"/>
      <c r="C1440" s="452"/>
      <c r="D1440" s="521"/>
      <c r="E1440" s="453"/>
      <c r="F1440" s="454"/>
      <c r="G1440" s="525"/>
      <c r="H1440" s="454"/>
      <c r="I1440" s="459"/>
      <c r="J1440" s="271" t="b">
        <f>Age_Sex22[[#This Row],[Total Spending After Applying Truncation at the Member Level]]+Age_Sex22[[#This Row],[Total Dollars Excluded from Spending After Applying Truncation at the Member Level]]=Age_Sex22[[#This Row],[Total Spending before Truncation is Applied]]</f>
        <v>1</v>
      </c>
    </row>
    <row r="1441" spans="1:10" x14ac:dyDescent="0.25">
      <c r="A1441" s="449"/>
      <c r="B1441" s="443"/>
      <c r="C1441" s="444"/>
      <c r="D1441" s="520"/>
      <c r="E1441" s="445"/>
      <c r="F1441" s="446"/>
      <c r="G1441" s="524"/>
      <c r="H1441" s="446"/>
      <c r="I1441" s="458"/>
      <c r="J1441" s="271" t="b">
        <f>Age_Sex22[[#This Row],[Total Spending After Applying Truncation at the Member Level]]+Age_Sex22[[#This Row],[Total Dollars Excluded from Spending After Applying Truncation at the Member Level]]=Age_Sex22[[#This Row],[Total Spending before Truncation is Applied]]</f>
        <v>1</v>
      </c>
    </row>
    <row r="1442" spans="1:10" x14ac:dyDescent="0.25">
      <c r="A1442" s="450"/>
      <c r="B1442" s="451"/>
      <c r="C1442" s="452"/>
      <c r="D1442" s="521"/>
      <c r="E1442" s="453"/>
      <c r="F1442" s="454"/>
      <c r="G1442" s="525"/>
      <c r="H1442" s="454"/>
      <c r="I1442" s="459"/>
      <c r="J1442" s="271" t="b">
        <f>Age_Sex22[[#This Row],[Total Spending After Applying Truncation at the Member Level]]+Age_Sex22[[#This Row],[Total Dollars Excluded from Spending After Applying Truncation at the Member Level]]=Age_Sex22[[#This Row],[Total Spending before Truncation is Applied]]</f>
        <v>1</v>
      </c>
    </row>
    <row r="1443" spans="1:10" x14ac:dyDescent="0.25">
      <c r="A1443" s="449"/>
      <c r="B1443" s="443"/>
      <c r="C1443" s="444"/>
      <c r="D1443" s="520"/>
      <c r="E1443" s="445"/>
      <c r="F1443" s="446"/>
      <c r="G1443" s="524"/>
      <c r="H1443" s="446"/>
      <c r="I1443" s="458"/>
      <c r="J1443" s="271" t="b">
        <f>Age_Sex22[[#This Row],[Total Spending After Applying Truncation at the Member Level]]+Age_Sex22[[#This Row],[Total Dollars Excluded from Spending After Applying Truncation at the Member Level]]=Age_Sex22[[#This Row],[Total Spending before Truncation is Applied]]</f>
        <v>1</v>
      </c>
    </row>
    <row r="1444" spans="1:10" x14ac:dyDescent="0.25">
      <c r="A1444" s="450"/>
      <c r="B1444" s="451"/>
      <c r="C1444" s="452"/>
      <c r="D1444" s="521"/>
      <c r="E1444" s="453"/>
      <c r="F1444" s="454"/>
      <c r="G1444" s="525"/>
      <c r="H1444" s="454"/>
      <c r="I1444" s="459"/>
      <c r="J1444" s="271" t="b">
        <f>Age_Sex22[[#This Row],[Total Spending After Applying Truncation at the Member Level]]+Age_Sex22[[#This Row],[Total Dollars Excluded from Spending After Applying Truncation at the Member Level]]=Age_Sex22[[#This Row],[Total Spending before Truncation is Applied]]</f>
        <v>1</v>
      </c>
    </row>
    <row r="1445" spans="1:10" x14ac:dyDescent="0.25">
      <c r="A1445" s="449"/>
      <c r="B1445" s="443"/>
      <c r="C1445" s="444"/>
      <c r="D1445" s="520"/>
      <c r="E1445" s="445"/>
      <c r="F1445" s="446"/>
      <c r="G1445" s="524"/>
      <c r="H1445" s="446"/>
      <c r="I1445" s="458"/>
      <c r="J1445" s="271" t="b">
        <f>Age_Sex22[[#This Row],[Total Spending After Applying Truncation at the Member Level]]+Age_Sex22[[#This Row],[Total Dollars Excluded from Spending After Applying Truncation at the Member Level]]=Age_Sex22[[#This Row],[Total Spending before Truncation is Applied]]</f>
        <v>1</v>
      </c>
    </row>
    <row r="1446" spans="1:10" x14ac:dyDescent="0.25">
      <c r="A1446" s="450"/>
      <c r="B1446" s="451"/>
      <c r="C1446" s="452"/>
      <c r="D1446" s="521"/>
      <c r="E1446" s="453"/>
      <c r="F1446" s="454"/>
      <c r="G1446" s="525"/>
      <c r="H1446" s="454"/>
      <c r="I1446" s="459"/>
      <c r="J1446" s="271" t="b">
        <f>Age_Sex22[[#This Row],[Total Spending After Applying Truncation at the Member Level]]+Age_Sex22[[#This Row],[Total Dollars Excluded from Spending After Applying Truncation at the Member Level]]=Age_Sex22[[#This Row],[Total Spending before Truncation is Applied]]</f>
        <v>1</v>
      </c>
    </row>
    <row r="1447" spans="1:10" x14ac:dyDescent="0.25">
      <c r="A1447" s="449"/>
      <c r="B1447" s="443"/>
      <c r="C1447" s="444"/>
      <c r="D1447" s="520"/>
      <c r="E1447" s="445"/>
      <c r="F1447" s="446"/>
      <c r="G1447" s="524"/>
      <c r="H1447" s="446"/>
      <c r="I1447" s="458"/>
      <c r="J1447" s="271" t="b">
        <f>Age_Sex22[[#This Row],[Total Spending After Applying Truncation at the Member Level]]+Age_Sex22[[#This Row],[Total Dollars Excluded from Spending After Applying Truncation at the Member Level]]=Age_Sex22[[#This Row],[Total Spending before Truncation is Applied]]</f>
        <v>1</v>
      </c>
    </row>
    <row r="1448" spans="1:10" x14ac:dyDescent="0.25">
      <c r="A1448" s="450"/>
      <c r="B1448" s="451"/>
      <c r="C1448" s="452"/>
      <c r="D1448" s="521"/>
      <c r="E1448" s="453"/>
      <c r="F1448" s="454"/>
      <c r="G1448" s="525"/>
      <c r="H1448" s="454"/>
      <c r="I1448" s="459"/>
      <c r="J1448" s="271" t="b">
        <f>Age_Sex22[[#This Row],[Total Spending After Applying Truncation at the Member Level]]+Age_Sex22[[#This Row],[Total Dollars Excluded from Spending After Applying Truncation at the Member Level]]=Age_Sex22[[#This Row],[Total Spending before Truncation is Applied]]</f>
        <v>1</v>
      </c>
    </row>
    <row r="1449" spans="1:10" x14ac:dyDescent="0.25">
      <c r="A1449" s="449"/>
      <c r="B1449" s="443"/>
      <c r="C1449" s="444"/>
      <c r="D1449" s="520"/>
      <c r="E1449" s="445"/>
      <c r="F1449" s="446"/>
      <c r="G1449" s="524"/>
      <c r="H1449" s="446"/>
      <c r="I1449" s="458"/>
      <c r="J1449" s="271" t="b">
        <f>Age_Sex22[[#This Row],[Total Spending After Applying Truncation at the Member Level]]+Age_Sex22[[#This Row],[Total Dollars Excluded from Spending After Applying Truncation at the Member Level]]=Age_Sex22[[#This Row],[Total Spending before Truncation is Applied]]</f>
        <v>1</v>
      </c>
    </row>
    <row r="1450" spans="1:10" x14ac:dyDescent="0.25">
      <c r="A1450" s="450"/>
      <c r="B1450" s="451"/>
      <c r="C1450" s="452"/>
      <c r="D1450" s="521"/>
      <c r="E1450" s="453"/>
      <c r="F1450" s="454"/>
      <c r="G1450" s="525"/>
      <c r="H1450" s="454"/>
      <c r="I1450" s="459"/>
      <c r="J1450" s="271" t="b">
        <f>Age_Sex22[[#This Row],[Total Spending After Applying Truncation at the Member Level]]+Age_Sex22[[#This Row],[Total Dollars Excluded from Spending After Applying Truncation at the Member Level]]=Age_Sex22[[#This Row],[Total Spending before Truncation is Applied]]</f>
        <v>1</v>
      </c>
    </row>
    <row r="1451" spans="1:10" x14ac:dyDescent="0.25">
      <c r="A1451" s="449"/>
      <c r="B1451" s="443"/>
      <c r="C1451" s="444"/>
      <c r="D1451" s="520"/>
      <c r="E1451" s="445"/>
      <c r="F1451" s="446"/>
      <c r="G1451" s="524"/>
      <c r="H1451" s="446"/>
      <c r="I1451" s="458"/>
      <c r="J1451" s="271" t="b">
        <f>Age_Sex22[[#This Row],[Total Spending After Applying Truncation at the Member Level]]+Age_Sex22[[#This Row],[Total Dollars Excluded from Spending After Applying Truncation at the Member Level]]=Age_Sex22[[#This Row],[Total Spending before Truncation is Applied]]</f>
        <v>1</v>
      </c>
    </row>
    <row r="1452" spans="1:10" x14ac:dyDescent="0.25">
      <c r="A1452" s="450"/>
      <c r="B1452" s="451"/>
      <c r="C1452" s="452"/>
      <c r="D1452" s="521"/>
      <c r="E1452" s="453"/>
      <c r="F1452" s="454"/>
      <c r="G1452" s="525"/>
      <c r="H1452" s="454"/>
      <c r="I1452" s="459"/>
      <c r="J1452" s="271" t="b">
        <f>Age_Sex22[[#This Row],[Total Spending After Applying Truncation at the Member Level]]+Age_Sex22[[#This Row],[Total Dollars Excluded from Spending After Applying Truncation at the Member Level]]=Age_Sex22[[#This Row],[Total Spending before Truncation is Applied]]</f>
        <v>1</v>
      </c>
    </row>
    <row r="1453" spans="1:10" x14ac:dyDescent="0.25">
      <c r="A1453" s="449"/>
      <c r="B1453" s="443"/>
      <c r="C1453" s="444"/>
      <c r="D1453" s="520"/>
      <c r="E1453" s="445"/>
      <c r="F1453" s="446"/>
      <c r="G1453" s="524"/>
      <c r="H1453" s="446"/>
      <c r="I1453" s="458"/>
      <c r="J1453" s="271" t="b">
        <f>Age_Sex22[[#This Row],[Total Spending After Applying Truncation at the Member Level]]+Age_Sex22[[#This Row],[Total Dollars Excluded from Spending After Applying Truncation at the Member Level]]=Age_Sex22[[#This Row],[Total Spending before Truncation is Applied]]</f>
        <v>1</v>
      </c>
    </row>
    <row r="1454" spans="1:10" x14ac:dyDescent="0.25">
      <c r="A1454" s="450"/>
      <c r="B1454" s="451"/>
      <c r="C1454" s="452"/>
      <c r="D1454" s="521"/>
      <c r="E1454" s="453"/>
      <c r="F1454" s="454"/>
      <c r="G1454" s="525"/>
      <c r="H1454" s="454"/>
      <c r="I1454" s="459"/>
      <c r="J1454" s="271" t="b">
        <f>Age_Sex22[[#This Row],[Total Spending After Applying Truncation at the Member Level]]+Age_Sex22[[#This Row],[Total Dollars Excluded from Spending After Applying Truncation at the Member Level]]=Age_Sex22[[#This Row],[Total Spending before Truncation is Applied]]</f>
        <v>1</v>
      </c>
    </row>
    <row r="1455" spans="1:10" x14ac:dyDescent="0.25">
      <c r="A1455" s="449"/>
      <c r="B1455" s="443"/>
      <c r="C1455" s="444"/>
      <c r="D1455" s="520"/>
      <c r="E1455" s="445"/>
      <c r="F1455" s="446"/>
      <c r="G1455" s="524"/>
      <c r="H1455" s="446"/>
      <c r="I1455" s="458"/>
      <c r="J1455" s="271" t="b">
        <f>Age_Sex22[[#This Row],[Total Spending After Applying Truncation at the Member Level]]+Age_Sex22[[#This Row],[Total Dollars Excluded from Spending After Applying Truncation at the Member Level]]=Age_Sex22[[#This Row],[Total Spending before Truncation is Applied]]</f>
        <v>1</v>
      </c>
    </row>
    <row r="1456" spans="1:10" x14ac:dyDescent="0.25">
      <c r="A1456" s="450"/>
      <c r="B1456" s="451"/>
      <c r="C1456" s="452"/>
      <c r="D1456" s="521"/>
      <c r="E1456" s="453"/>
      <c r="F1456" s="454"/>
      <c r="G1456" s="525"/>
      <c r="H1456" s="454"/>
      <c r="I1456" s="459"/>
      <c r="J1456" s="271" t="b">
        <f>Age_Sex22[[#This Row],[Total Spending After Applying Truncation at the Member Level]]+Age_Sex22[[#This Row],[Total Dollars Excluded from Spending After Applying Truncation at the Member Level]]=Age_Sex22[[#This Row],[Total Spending before Truncation is Applied]]</f>
        <v>1</v>
      </c>
    </row>
    <row r="1457" spans="1:10" x14ac:dyDescent="0.25">
      <c r="A1457" s="449"/>
      <c r="B1457" s="443"/>
      <c r="C1457" s="444"/>
      <c r="D1457" s="520"/>
      <c r="E1457" s="445"/>
      <c r="F1457" s="446"/>
      <c r="G1457" s="524"/>
      <c r="H1457" s="446"/>
      <c r="I1457" s="458"/>
      <c r="J1457" s="271" t="b">
        <f>Age_Sex22[[#This Row],[Total Spending After Applying Truncation at the Member Level]]+Age_Sex22[[#This Row],[Total Dollars Excluded from Spending After Applying Truncation at the Member Level]]=Age_Sex22[[#This Row],[Total Spending before Truncation is Applied]]</f>
        <v>1</v>
      </c>
    </row>
    <row r="1458" spans="1:10" x14ac:dyDescent="0.25">
      <c r="A1458" s="450"/>
      <c r="B1458" s="451"/>
      <c r="C1458" s="452"/>
      <c r="D1458" s="521"/>
      <c r="E1458" s="453"/>
      <c r="F1458" s="454"/>
      <c r="G1458" s="525"/>
      <c r="H1458" s="454"/>
      <c r="I1458" s="459"/>
      <c r="J1458" s="271" t="b">
        <f>Age_Sex22[[#This Row],[Total Spending After Applying Truncation at the Member Level]]+Age_Sex22[[#This Row],[Total Dollars Excluded from Spending After Applying Truncation at the Member Level]]=Age_Sex22[[#This Row],[Total Spending before Truncation is Applied]]</f>
        <v>1</v>
      </c>
    </row>
    <row r="1459" spans="1:10" x14ac:dyDescent="0.25">
      <c r="A1459" s="449"/>
      <c r="B1459" s="443"/>
      <c r="C1459" s="444"/>
      <c r="D1459" s="520"/>
      <c r="E1459" s="445"/>
      <c r="F1459" s="446"/>
      <c r="G1459" s="524"/>
      <c r="H1459" s="446"/>
      <c r="I1459" s="458"/>
      <c r="J1459" s="271" t="b">
        <f>Age_Sex22[[#This Row],[Total Spending After Applying Truncation at the Member Level]]+Age_Sex22[[#This Row],[Total Dollars Excluded from Spending After Applying Truncation at the Member Level]]=Age_Sex22[[#This Row],[Total Spending before Truncation is Applied]]</f>
        <v>1</v>
      </c>
    </row>
    <row r="1460" spans="1:10" x14ac:dyDescent="0.25">
      <c r="A1460" s="450"/>
      <c r="B1460" s="451"/>
      <c r="C1460" s="452"/>
      <c r="D1460" s="521"/>
      <c r="E1460" s="453"/>
      <c r="F1460" s="454"/>
      <c r="G1460" s="525"/>
      <c r="H1460" s="454"/>
      <c r="I1460" s="459"/>
      <c r="J1460" s="271" t="b">
        <f>Age_Sex22[[#This Row],[Total Spending After Applying Truncation at the Member Level]]+Age_Sex22[[#This Row],[Total Dollars Excluded from Spending After Applying Truncation at the Member Level]]=Age_Sex22[[#This Row],[Total Spending before Truncation is Applied]]</f>
        <v>1</v>
      </c>
    </row>
    <row r="1461" spans="1:10" x14ac:dyDescent="0.25">
      <c r="A1461" s="449"/>
      <c r="B1461" s="443"/>
      <c r="C1461" s="444"/>
      <c r="D1461" s="520"/>
      <c r="E1461" s="445"/>
      <c r="F1461" s="446"/>
      <c r="G1461" s="524"/>
      <c r="H1461" s="446"/>
      <c r="I1461" s="458"/>
      <c r="J1461" s="271" t="b">
        <f>Age_Sex22[[#This Row],[Total Spending After Applying Truncation at the Member Level]]+Age_Sex22[[#This Row],[Total Dollars Excluded from Spending After Applying Truncation at the Member Level]]=Age_Sex22[[#This Row],[Total Spending before Truncation is Applied]]</f>
        <v>1</v>
      </c>
    </row>
    <row r="1462" spans="1:10" x14ac:dyDescent="0.25">
      <c r="A1462" s="450"/>
      <c r="B1462" s="451"/>
      <c r="C1462" s="452"/>
      <c r="D1462" s="521"/>
      <c r="E1462" s="453"/>
      <c r="F1462" s="454"/>
      <c r="G1462" s="525"/>
      <c r="H1462" s="454"/>
      <c r="I1462" s="459"/>
      <c r="J1462" s="271" t="b">
        <f>Age_Sex22[[#This Row],[Total Spending After Applying Truncation at the Member Level]]+Age_Sex22[[#This Row],[Total Dollars Excluded from Spending After Applying Truncation at the Member Level]]=Age_Sex22[[#This Row],[Total Spending before Truncation is Applied]]</f>
        <v>1</v>
      </c>
    </row>
    <row r="1463" spans="1:10" x14ac:dyDescent="0.25">
      <c r="A1463" s="449"/>
      <c r="B1463" s="443"/>
      <c r="C1463" s="444"/>
      <c r="D1463" s="520"/>
      <c r="E1463" s="445"/>
      <c r="F1463" s="446"/>
      <c r="G1463" s="524"/>
      <c r="H1463" s="446"/>
      <c r="I1463" s="458"/>
      <c r="J1463" s="271" t="b">
        <f>Age_Sex22[[#This Row],[Total Spending After Applying Truncation at the Member Level]]+Age_Sex22[[#This Row],[Total Dollars Excluded from Spending After Applying Truncation at the Member Level]]=Age_Sex22[[#This Row],[Total Spending before Truncation is Applied]]</f>
        <v>1</v>
      </c>
    </row>
    <row r="1464" spans="1:10" x14ac:dyDescent="0.25">
      <c r="A1464" s="450"/>
      <c r="B1464" s="451"/>
      <c r="C1464" s="452"/>
      <c r="D1464" s="521"/>
      <c r="E1464" s="453"/>
      <c r="F1464" s="454"/>
      <c r="G1464" s="525"/>
      <c r="H1464" s="454"/>
      <c r="I1464" s="459"/>
      <c r="J1464" s="271" t="b">
        <f>Age_Sex22[[#This Row],[Total Spending After Applying Truncation at the Member Level]]+Age_Sex22[[#This Row],[Total Dollars Excluded from Spending After Applying Truncation at the Member Level]]=Age_Sex22[[#This Row],[Total Spending before Truncation is Applied]]</f>
        <v>1</v>
      </c>
    </row>
    <row r="1465" spans="1:10" x14ac:dyDescent="0.25">
      <c r="A1465" s="449"/>
      <c r="B1465" s="443"/>
      <c r="C1465" s="444"/>
      <c r="D1465" s="520"/>
      <c r="E1465" s="445"/>
      <c r="F1465" s="446"/>
      <c r="G1465" s="524"/>
      <c r="H1465" s="446"/>
      <c r="I1465" s="458"/>
      <c r="J1465" s="271" t="b">
        <f>Age_Sex22[[#This Row],[Total Spending After Applying Truncation at the Member Level]]+Age_Sex22[[#This Row],[Total Dollars Excluded from Spending After Applying Truncation at the Member Level]]=Age_Sex22[[#This Row],[Total Spending before Truncation is Applied]]</f>
        <v>1</v>
      </c>
    </row>
    <row r="1466" spans="1:10" x14ac:dyDescent="0.25">
      <c r="A1466" s="450"/>
      <c r="B1466" s="451"/>
      <c r="C1466" s="452"/>
      <c r="D1466" s="521"/>
      <c r="E1466" s="453"/>
      <c r="F1466" s="454"/>
      <c r="G1466" s="525"/>
      <c r="H1466" s="454"/>
      <c r="I1466" s="459"/>
      <c r="J1466" s="271" t="b">
        <f>Age_Sex22[[#This Row],[Total Spending After Applying Truncation at the Member Level]]+Age_Sex22[[#This Row],[Total Dollars Excluded from Spending After Applying Truncation at the Member Level]]=Age_Sex22[[#This Row],[Total Spending before Truncation is Applied]]</f>
        <v>1</v>
      </c>
    </row>
    <row r="1467" spans="1:10" x14ac:dyDescent="0.25">
      <c r="A1467" s="449"/>
      <c r="B1467" s="443"/>
      <c r="C1467" s="444"/>
      <c r="D1467" s="520"/>
      <c r="E1467" s="445"/>
      <c r="F1467" s="446"/>
      <c r="G1467" s="524"/>
      <c r="H1467" s="446"/>
      <c r="I1467" s="458"/>
      <c r="J1467" s="271" t="b">
        <f>Age_Sex22[[#This Row],[Total Spending After Applying Truncation at the Member Level]]+Age_Sex22[[#This Row],[Total Dollars Excluded from Spending After Applying Truncation at the Member Level]]=Age_Sex22[[#This Row],[Total Spending before Truncation is Applied]]</f>
        <v>1</v>
      </c>
    </row>
    <row r="1468" spans="1:10" x14ac:dyDescent="0.25">
      <c r="A1468" s="450"/>
      <c r="B1468" s="451"/>
      <c r="C1468" s="452"/>
      <c r="D1468" s="521"/>
      <c r="E1468" s="453"/>
      <c r="F1468" s="454"/>
      <c r="G1468" s="525"/>
      <c r="H1468" s="454"/>
      <c r="I1468" s="459"/>
      <c r="J1468" s="271" t="b">
        <f>Age_Sex22[[#This Row],[Total Spending After Applying Truncation at the Member Level]]+Age_Sex22[[#This Row],[Total Dollars Excluded from Spending After Applying Truncation at the Member Level]]=Age_Sex22[[#This Row],[Total Spending before Truncation is Applied]]</f>
        <v>1</v>
      </c>
    </row>
    <row r="1469" spans="1:10" x14ac:dyDescent="0.25">
      <c r="A1469" s="449"/>
      <c r="B1469" s="443"/>
      <c r="C1469" s="444"/>
      <c r="D1469" s="520"/>
      <c r="E1469" s="445"/>
      <c r="F1469" s="446"/>
      <c r="G1469" s="524"/>
      <c r="H1469" s="446"/>
      <c r="I1469" s="458"/>
      <c r="J1469" s="271" t="b">
        <f>Age_Sex22[[#This Row],[Total Spending After Applying Truncation at the Member Level]]+Age_Sex22[[#This Row],[Total Dollars Excluded from Spending After Applying Truncation at the Member Level]]=Age_Sex22[[#This Row],[Total Spending before Truncation is Applied]]</f>
        <v>1</v>
      </c>
    </row>
    <row r="1470" spans="1:10" x14ac:dyDescent="0.25">
      <c r="A1470" s="450"/>
      <c r="B1470" s="451"/>
      <c r="C1470" s="452"/>
      <c r="D1470" s="521"/>
      <c r="E1470" s="453"/>
      <c r="F1470" s="454"/>
      <c r="G1470" s="525"/>
      <c r="H1470" s="454"/>
      <c r="I1470" s="459"/>
      <c r="J1470" s="271" t="b">
        <f>Age_Sex22[[#This Row],[Total Spending After Applying Truncation at the Member Level]]+Age_Sex22[[#This Row],[Total Dollars Excluded from Spending After Applying Truncation at the Member Level]]=Age_Sex22[[#This Row],[Total Spending before Truncation is Applied]]</f>
        <v>1</v>
      </c>
    </row>
    <row r="1471" spans="1:10" x14ac:dyDescent="0.25">
      <c r="A1471" s="449"/>
      <c r="B1471" s="443"/>
      <c r="C1471" s="444"/>
      <c r="D1471" s="520"/>
      <c r="E1471" s="445"/>
      <c r="F1471" s="446"/>
      <c r="G1471" s="524"/>
      <c r="H1471" s="446"/>
      <c r="I1471" s="458"/>
      <c r="J1471" s="271" t="b">
        <f>Age_Sex22[[#This Row],[Total Spending After Applying Truncation at the Member Level]]+Age_Sex22[[#This Row],[Total Dollars Excluded from Spending After Applying Truncation at the Member Level]]=Age_Sex22[[#This Row],[Total Spending before Truncation is Applied]]</f>
        <v>1</v>
      </c>
    </row>
    <row r="1472" spans="1:10" x14ac:dyDescent="0.25">
      <c r="A1472" s="450"/>
      <c r="B1472" s="451"/>
      <c r="C1472" s="452"/>
      <c r="D1472" s="521"/>
      <c r="E1472" s="453"/>
      <c r="F1472" s="454"/>
      <c r="G1472" s="525"/>
      <c r="H1472" s="454"/>
      <c r="I1472" s="459"/>
      <c r="J1472" s="271" t="b">
        <f>Age_Sex22[[#This Row],[Total Spending After Applying Truncation at the Member Level]]+Age_Sex22[[#This Row],[Total Dollars Excluded from Spending After Applying Truncation at the Member Level]]=Age_Sex22[[#This Row],[Total Spending before Truncation is Applied]]</f>
        <v>1</v>
      </c>
    </row>
    <row r="1473" spans="1:10" x14ac:dyDescent="0.25">
      <c r="A1473" s="449"/>
      <c r="B1473" s="443"/>
      <c r="C1473" s="444"/>
      <c r="D1473" s="520"/>
      <c r="E1473" s="445"/>
      <c r="F1473" s="446"/>
      <c r="G1473" s="524"/>
      <c r="H1473" s="446"/>
      <c r="I1473" s="458"/>
      <c r="J1473" s="271" t="b">
        <f>Age_Sex22[[#This Row],[Total Spending After Applying Truncation at the Member Level]]+Age_Sex22[[#This Row],[Total Dollars Excluded from Spending After Applying Truncation at the Member Level]]=Age_Sex22[[#This Row],[Total Spending before Truncation is Applied]]</f>
        <v>1</v>
      </c>
    </row>
    <row r="1474" spans="1:10" x14ac:dyDescent="0.25">
      <c r="A1474" s="450"/>
      <c r="B1474" s="451"/>
      <c r="C1474" s="452"/>
      <c r="D1474" s="521"/>
      <c r="E1474" s="453"/>
      <c r="F1474" s="454"/>
      <c r="G1474" s="525"/>
      <c r="H1474" s="454"/>
      <c r="I1474" s="459"/>
      <c r="J1474" s="271" t="b">
        <f>Age_Sex22[[#This Row],[Total Spending After Applying Truncation at the Member Level]]+Age_Sex22[[#This Row],[Total Dollars Excluded from Spending After Applying Truncation at the Member Level]]=Age_Sex22[[#This Row],[Total Spending before Truncation is Applied]]</f>
        <v>1</v>
      </c>
    </row>
    <row r="1475" spans="1:10" x14ac:dyDescent="0.25">
      <c r="A1475" s="449"/>
      <c r="B1475" s="443"/>
      <c r="C1475" s="444"/>
      <c r="D1475" s="520"/>
      <c r="E1475" s="445"/>
      <c r="F1475" s="446"/>
      <c r="G1475" s="524"/>
      <c r="H1475" s="446"/>
      <c r="I1475" s="458"/>
      <c r="J1475" s="271" t="b">
        <f>Age_Sex22[[#This Row],[Total Spending After Applying Truncation at the Member Level]]+Age_Sex22[[#This Row],[Total Dollars Excluded from Spending After Applying Truncation at the Member Level]]=Age_Sex22[[#This Row],[Total Spending before Truncation is Applied]]</f>
        <v>1</v>
      </c>
    </row>
    <row r="1476" spans="1:10" x14ac:dyDescent="0.25">
      <c r="A1476" s="450"/>
      <c r="B1476" s="451"/>
      <c r="C1476" s="452"/>
      <c r="D1476" s="521"/>
      <c r="E1476" s="453"/>
      <c r="F1476" s="454"/>
      <c r="G1476" s="525"/>
      <c r="H1476" s="454"/>
      <c r="I1476" s="459"/>
      <c r="J1476" s="271" t="b">
        <f>Age_Sex22[[#This Row],[Total Spending After Applying Truncation at the Member Level]]+Age_Sex22[[#This Row],[Total Dollars Excluded from Spending After Applying Truncation at the Member Level]]=Age_Sex22[[#This Row],[Total Spending before Truncation is Applied]]</f>
        <v>1</v>
      </c>
    </row>
    <row r="1477" spans="1:10" x14ac:dyDescent="0.25">
      <c r="A1477" s="449"/>
      <c r="B1477" s="443"/>
      <c r="C1477" s="444"/>
      <c r="D1477" s="520"/>
      <c r="E1477" s="445"/>
      <c r="F1477" s="446"/>
      <c r="G1477" s="524"/>
      <c r="H1477" s="446"/>
      <c r="I1477" s="458"/>
      <c r="J1477" s="271" t="b">
        <f>Age_Sex22[[#This Row],[Total Spending After Applying Truncation at the Member Level]]+Age_Sex22[[#This Row],[Total Dollars Excluded from Spending After Applying Truncation at the Member Level]]=Age_Sex22[[#This Row],[Total Spending before Truncation is Applied]]</f>
        <v>1</v>
      </c>
    </row>
    <row r="1478" spans="1:10" x14ac:dyDescent="0.25">
      <c r="A1478" s="450"/>
      <c r="B1478" s="451"/>
      <c r="C1478" s="452"/>
      <c r="D1478" s="521"/>
      <c r="E1478" s="453"/>
      <c r="F1478" s="454"/>
      <c r="G1478" s="525"/>
      <c r="H1478" s="454"/>
      <c r="I1478" s="459"/>
      <c r="J1478" s="271" t="b">
        <f>Age_Sex22[[#This Row],[Total Spending After Applying Truncation at the Member Level]]+Age_Sex22[[#This Row],[Total Dollars Excluded from Spending After Applying Truncation at the Member Level]]=Age_Sex22[[#This Row],[Total Spending before Truncation is Applied]]</f>
        <v>1</v>
      </c>
    </row>
    <row r="1479" spans="1:10" x14ac:dyDescent="0.25">
      <c r="A1479" s="449"/>
      <c r="B1479" s="443"/>
      <c r="C1479" s="444"/>
      <c r="D1479" s="520"/>
      <c r="E1479" s="445"/>
      <c r="F1479" s="446"/>
      <c r="G1479" s="524"/>
      <c r="H1479" s="446"/>
      <c r="I1479" s="458"/>
      <c r="J1479" s="271" t="b">
        <f>Age_Sex22[[#This Row],[Total Spending After Applying Truncation at the Member Level]]+Age_Sex22[[#This Row],[Total Dollars Excluded from Spending After Applying Truncation at the Member Level]]=Age_Sex22[[#This Row],[Total Spending before Truncation is Applied]]</f>
        <v>1</v>
      </c>
    </row>
    <row r="1480" spans="1:10" x14ac:dyDescent="0.25">
      <c r="A1480" s="450"/>
      <c r="B1480" s="451"/>
      <c r="C1480" s="452"/>
      <c r="D1480" s="521"/>
      <c r="E1480" s="453"/>
      <c r="F1480" s="454"/>
      <c r="G1480" s="525"/>
      <c r="H1480" s="454"/>
      <c r="I1480" s="459"/>
      <c r="J1480" s="271" t="b">
        <f>Age_Sex22[[#This Row],[Total Spending After Applying Truncation at the Member Level]]+Age_Sex22[[#This Row],[Total Dollars Excluded from Spending After Applying Truncation at the Member Level]]=Age_Sex22[[#This Row],[Total Spending before Truncation is Applied]]</f>
        <v>1</v>
      </c>
    </row>
    <row r="1481" spans="1:10" x14ac:dyDescent="0.25">
      <c r="A1481" s="449"/>
      <c r="B1481" s="443"/>
      <c r="C1481" s="444"/>
      <c r="D1481" s="520"/>
      <c r="E1481" s="445"/>
      <c r="F1481" s="446"/>
      <c r="G1481" s="524"/>
      <c r="H1481" s="446"/>
      <c r="I1481" s="458"/>
      <c r="J1481" s="271" t="b">
        <f>Age_Sex22[[#This Row],[Total Spending After Applying Truncation at the Member Level]]+Age_Sex22[[#This Row],[Total Dollars Excluded from Spending After Applying Truncation at the Member Level]]=Age_Sex22[[#This Row],[Total Spending before Truncation is Applied]]</f>
        <v>1</v>
      </c>
    </row>
    <row r="1482" spans="1:10" x14ac:dyDescent="0.25">
      <c r="A1482" s="450"/>
      <c r="B1482" s="451"/>
      <c r="C1482" s="452"/>
      <c r="D1482" s="521"/>
      <c r="E1482" s="453"/>
      <c r="F1482" s="454"/>
      <c r="G1482" s="525"/>
      <c r="H1482" s="454"/>
      <c r="I1482" s="459"/>
      <c r="J1482" s="271" t="b">
        <f>Age_Sex22[[#This Row],[Total Spending After Applying Truncation at the Member Level]]+Age_Sex22[[#This Row],[Total Dollars Excluded from Spending After Applying Truncation at the Member Level]]=Age_Sex22[[#This Row],[Total Spending before Truncation is Applied]]</f>
        <v>1</v>
      </c>
    </row>
    <row r="1483" spans="1:10" x14ac:dyDescent="0.25">
      <c r="A1483" s="449"/>
      <c r="B1483" s="443"/>
      <c r="C1483" s="444"/>
      <c r="D1483" s="520"/>
      <c r="E1483" s="445"/>
      <c r="F1483" s="446"/>
      <c r="G1483" s="524"/>
      <c r="H1483" s="446"/>
      <c r="I1483" s="458"/>
      <c r="J1483" s="271" t="b">
        <f>Age_Sex22[[#This Row],[Total Spending After Applying Truncation at the Member Level]]+Age_Sex22[[#This Row],[Total Dollars Excluded from Spending After Applying Truncation at the Member Level]]=Age_Sex22[[#This Row],[Total Spending before Truncation is Applied]]</f>
        <v>1</v>
      </c>
    </row>
    <row r="1484" spans="1:10" x14ac:dyDescent="0.25">
      <c r="A1484" s="450"/>
      <c r="B1484" s="451"/>
      <c r="C1484" s="452"/>
      <c r="D1484" s="521"/>
      <c r="E1484" s="453"/>
      <c r="F1484" s="454"/>
      <c r="G1484" s="525"/>
      <c r="H1484" s="454"/>
      <c r="I1484" s="459"/>
      <c r="J1484" s="271" t="b">
        <f>Age_Sex22[[#This Row],[Total Spending After Applying Truncation at the Member Level]]+Age_Sex22[[#This Row],[Total Dollars Excluded from Spending After Applying Truncation at the Member Level]]=Age_Sex22[[#This Row],[Total Spending before Truncation is Applied]]</f>
        <v>1</v>
      </c>
    </row>
    <row r="1485" spans="1:10" x14ac:dyDescent="0.25">
      <c r="A1485" s="449"/>
      <c r="B1485" s="443"/>
      <c r="C1485" s="444"/>
      <c r="D1485" s="520"/>
      <c r="E1485" s="445"/>
      <c r="F1485" s="446"/>
      <c r="G1485" s="524"/>
      <c r="H1485" s="446"/>
      <c r="I1485" s="458"/>
      <c r="J1485" s="271" t="b">
        <f>Age_Sex22[[#This Row],[Total Spending After Applying Truncation at the Member Level]]+Age_Sex22[[#This Row],[Total Dollars Excluded from Spending After Applying Truncation at the Member Level]]=Age_Sex22[[#This Row],[Total Spending before Truncation is Applied]]</f>
        <v>1</v>
      </c>
    </row>
    <row r="1486" spans="1:10" x14ac:dyDescent="0.25">
      <c r="A1486" s="450"/>
      <c r="B1486" s="451"/>
      <c r="C1486" s="452"/>
      <c r="D1486" s="521"/>
      <c r="E1486" s="453"/>
      <c r="F1486" s="454"/>
      <c r="G1486" s="525"/>
      <c r="H1486" s="454"/>
      <c r="I1486" s="459"/>
      <c r="J1486" s="271" t="b">
        <f>Age_Sex22[[#This Row],[Total Spending After Applying Truncation at the Member Level]]+Age_Sex22[[#This Row],[Total Dollars Excluded from Spending After Applying Truncation at the Member Level]]=Age_Sex22[[#This Row],[Total Spending before Truncation is Applied]]</f>
        <v>1</v>
      </c>
    </row>
    <row r="1487" spans="1:10" x14ac:dyDescent="0.25">
      <c r="A1487" s="449"/>
      <c r="B1487" s="443"/>
      <c r="C1487" s="444"/>
      <c r="D1487" s="520"/>
      <c r="E1487" s="445"/>
      <c r="F1487" s="446"/>
      <c r="G1487" s="524"/>
      <c r="H1487" s="446"/>
      <c r="I1487" s="458"/>
      <c r="J1487" s="271" t="b">
        <f>Age_Sex22[[#This Row],[Total Spending After Applying Truncation at the Member Level]]+Age_Sex22[[#This Row],[Total Dollars Excluded from Spending After Applying Truncation at the Member Level]]=Age_Sex22[[#This Row],[Total Spending before Truncation is Applied]]</f>
        <v>1</v>
      </c>
    </row>
    <row r="1488" spans="1:10" x14ac:dyDescent="0.25">
      <c r="A1488" s="450"/>
      <c r="B1488" s="451"/>
      <c r="C1488" s="452"/>
      <c r="D1488" s="521"/>
      <c r="E1488" s="453"/>
      <c r="F1488" s="454"/>
      <c r="G1488" s="525"/>
      <c r="H1488" s="454"/>
      <c r="I1488" s="459"/>
      <c r="J1488" s="271" t="b">
        <f>Age_Sex22[[#This Row],[Total Spending After Applying Truncation at the Member Level]]+Age_Sex22[[#This Row],[Total Dollars Excluded from Spending After Applying Truncation at the Member Level]]=Age_Sex22[[#This Row],[Total Spending before Truncation is Applied]]</f>
        <v>1</v>
      </c>
    </row>
    <row r="1489" spans="1:10" x14ac:dyDescent="0.25">
      <c r="A1489" s="449"/>
      <c r="B1489" s="443"/>
      <c r="C1489" s="444"/>
      <c r="D1489" s="520"/>
      <c r="E1489" s="445"/>
      <c r="F1489" s="446"/>
      <c r="G1489" s="524"/>
      <c r="H1489" s="446"/>
      <c r="I1489" s="458"/>
      <c r="J1489" s="271" t="b">
        <f>Age_Sex22[[#This Row],[Total Spending After Applying Truncation at the Member Level]]+Age_Sex22[[#This Row],[Total Dollars Excluded from Spending After Applying Truncation at the Member Level]]=Age_Sex22[[#This Row],[Total Spending before Truncation is Applied]]</f>
        <v>1</v>
      </c>
    </row>
    <row r="1490" spans="1:10" x14ac:dyDescent="0.25">
      <c r="A1490" s="450"/>
      <c r="B1490" s="451"/>
      <c r="C1490" s="452"/>
      <c r="D1490" s="521"/>
      <c r="E1490" s="453"/>
      <c r="F1490" s="454"/>
      <c r="G1490" s="525"/>
      <c r="H1490" s="454"/>
      <c r="I1490" s="459"/>
      <c r="J1490" s="271" t="b">
        <f>Age_Sex22[[#This Row],[Total Spending After Applying Truncation at the Member Level]]+Age_Sex22[[#This Row],[Total Dollars Excluded from Spending After Applying Truncation at the Member Level]]=Age_Sex22[[#This Row],[Total Spending before Truncation is Applied]]</f>
        <v>1</v>
      </c>
    </row>
    <row r="1491" spans="1:10" x14ac:dyDescent="0.25">
      <c r="A1491" s="449"/>
      <c r="B1491" s="443"/>
      <c r="C1491" s="444"/>
      <c r="D1491" s="520"/>
      <c r="E1491" s="445"/>
      <c r="F1491" s="446"/>
      <c r="G1491" s="524"/>
      <c r="H1491" s="446"/>
      <c r="I1491" s="458"/>
      <c r="J1491" s="271" t="b">
        <f>Age_Sex22[[#This Row],[Total Spending After Applying Truncation at the Member Level]]+Age_Sex22[[#This Row],[Total Dollars Excluded from Spending After Applying Truncation at the Member Level]]=Age_Sex22[[#This Row],[Total Spending before Truncation is Applied]]</f>
        <v>1</v>
      </c>
    </row>
    <row r="1492" spans="1:10" x14ac:dyDescent="0.25">
      <c r="A1492" s="450"/>
      <c r="B1492" s="451"/>
      <c r="C1492" s="452"/>
      <c r="D1492" s="521"/>
      <c r="E1492" s="453"/>
      <c r="F1492" s="454"/>
      <c r="G1492" s="525"/>
      <c r="H1492" s="454"/>
      <c r="I1492" s="459"/>
      <c r="J1492" s="271" t="b">
        <f>Age_Sex22[[#This Row],[Total Spending After Applying Truncation at the Member Level]]+Age_Sex22[[#This Row],[Total Dollars Excluded from Spending After Applying Truncation at the Member Level]]=Age_Sex22[[#This Row],[Total Spending before Truncation is Applied]]</f>
        <v>1</v>
      </c>
    </row>
    <row r="1493" spans="1:10" x14ac:dyDescent="0.25">
      <c r="A1493" s="449"/>
      <c r="B1493" s="443"/>
      <c r="C1493" s="444"/>
      <c r="D1493" s="520"/>
      <c r="E1493" s="445"/>
      <c r="F1493" s="446"/>
      <c r="G1493" s="524"/>
      <c r="H1493" s="446"/>
      <c r="I1493" s="458"/>
      <c r="J1493" s="271" t="b">
        <f>Age_Sex22[[#This Row],[Total Spending After Applying Truncation at the Member Level]]+Age_Sex22[[#This Row],[Total Dollars Excluded from Spending After Applying Truncation at the Member Level]]=Age_Sex22[[#This Row],[Total Spending before Truncation is Applied]]</f>
        <v>1</v>
      </c>
    </row>
    <row r="1494" spans="1:10" x14ac:dyDescent="0.25">
      <c r="A1494" s="450"/>
      <c r="B1494" s="451"/>
      <c r="C1494" s="452"/>
      <c r="D1494" s="521"/>
      <c r="E1494" s="453"/>
      <c r="F1494" s="454"/>
      <c r="G1494" s="525"/>
      <c r="H1494" s="454"/>
      <c r="I1494" s="459"/>
      <c r="J1494" s="271" t="b">
        <f>Age_Sex22[[#This Row],[Total Spending After Applying Truncation at the Member Level]]+Age_Sex22[[#This Row],[Total Dollars Excluded from Spending After Applying Truncation at the Member Level]]=Age_Sex22[[#This Row],[Total Spending before Truncation is Applied]]</f>
        <v>1</v>
      </c>
    </row>
    <row r="1495" spans="1:10" x14ac:dyDescent="0.25">
      <c r="A1495" s="449"/>
      <c r="B1495" s="443"/>
      <c r="C1495" s="444"/>
      <c r="D1495" s="520"/>
      <c r="E1495" s="445"/>
      <c r="F1495" s="446"/>
      <c r="G1495" s="524"/>
      <c r="H1495" s="446"/>
      <c r="I1495" s="458"/>
      <c r="J1495" s="271" t="b">
        <f>Age_Sex22[[#This Row],[Total Spending After Applying Truncation at the Member Level]]+Age_Sex22[[#This Row],[Total Dollars Excluded from Spending After Applying Truncation at the Member Level]]=Age_Sex22[[#This Row],[Total Spending before Truncation is Applied]]</f>
        <v>1</v>
      </c>
    </row>
    <row r="1496" spans="1:10" x14ac:dyDescent="0.25">
      <c r="A1496" s="450"/>
      <c r="B1496" s="451"/>
      <c r="C1496" s="452"/>
      <c r="D1496" s="521"/>
      <c r="E1496" s="453"/>
      <c r="F1496" s="454"/>
      <c r="G1496" s="525"/>
      <c r="H1496" s="454"/>
      <c r="I1496" s="459"/>
      <c r="J1496" s="271" t="b">
        <f>Age_Sex22[[#This Row],[Total Spending After Applying Truncation at the Member Level]]+Age_Sex22[[#This Row],[Total Dollars Excluded from Spending After Applying Truncation at the Member Level]]=Age_Sex22[[#This Row],[Total Spending before Truncation is Applied]]</f>
        <v>1</v>
      </c>
    </row>
    <row r="1497" spans="1:10" x14ac:dyDescent="0.25">
      <c r="A1497" s="449"/>
      <c r="B1497" s="443"/>
      <c r="C1497" s="444"/>
      <c r="D1497" s="520"/>
      <c r="E1497" s="445"/>
      <c r="F1497" s="446"/>
      <c r="G1497" s="524"/>
      <c r="H1497" s="446"/>
      <c r="I1497" s="458"/>
      <c r="J1497" s="271" t="b">
        <f>Age_Sex22[[#This Row],[Total Spending After Applying Truncation at the Member Level]]+Age_Sex22[[#This Row],[Total Dollars Excluded from Spending After Applying Truncation at the Member Level]]=Age_Sex22[[#This Row],[Total Spending before Truncation is Applied]]</f>
        <v>1</v>
      </c>
    </row>
    <row r="1498" spans="1:10" x14ac:dyDescent="0.25">
      <c r="A1498" s="450"/>
      <c r="B1498" s="451"/>
      <c r="C1498" s="452"/>
      <c r="D1498" s="521"/>
      <c r="E1498" s="453"/>
      <c r="F1498" s="454"/>
      <c r="G1498" s="525"/>
      <c r="H1498" s="454"/>
      <c r="I1498" s="459"/>
      <c r="J1498" s="271" t="b">
        <f>Age_Sex22[[#This Row],[Total Spending After Applying Truncation at the Member Level]]+Age_Sex22[[#This Row],[Total Dollars Excluded from Spending After Applying Truncation at the Member Level]]=Age_Sex22[[#This Row],[Total Spending before Truncation is Applied]]</f>
        <v>1</v>
      </c>
    </row>
    <row r="1499" spans="1:10" x14ac:dyDescent="0.25">
      <c r="A1499" s="449"/>
      <c r="B1499" s="443"/>
      <c r="C1499" s="444"/>
      <c r="D1499" s="520"/>
      <c r="E1499" s="445"/>
      <c r="F1499" s="446"/>
      <c r="G1499" s="524"/>
      <c r="H1499" s="446"/>
      <c r="I1499" s="458"/>
      <c r="J1499" s="271" t="b">
        <f>Age_Sex22[[#This Row],[Total Spending After Applying Truncation at the Member Level]]+Age_Sex22[[#This Row],[Total Dollars Excluded from Spending After Applying Truncation at the Member Level]]=Age_Sex22[[#This Row],[Total Spending before Truncation is Applied]]</f>
        <v>1</v>
      </c>
    </row>
    <row r="1500" spans="1:10" x14ac:dyDescent="0.25">
      <c r="A1500" s="450"/>
      <c r="B1500" s="451"/>
      <c r="C1500" s="452"/>
      <c r="D1500" s="521"/>
      <c r="E1500" s="453"/>
      <c r="F1500" s="454"/>
      <c r="G1500" s="525"/>
      <c r="H1500" s="454"/>
      <c r="I1500" s="459"/>
      <c r="J1500" s="271" t="b">
        <f>Age_Sex22[[#This Row],[Total Spending After Applying Truncation at the Member Level]]+Age_Sex22[[#This Row],[Total Dollars Excluded from Spending After Applying Truncation at the Member Level]]=Age_Sex22[[#This Row],[Total Spending before Truncation is Applied]]</f>
        <v>1</v>
      </c>
    </row>
    <row r="1501" spans="1:10" x14ac:dyDescent="0.25">
      <c r="A1501" s="449"/>
      <c r="B1501" s="443"/>
      <c r="C1501" s="444"/>
      <c r="D1501" s="520"/>
      <c r="E1501" s="445"/>
      <c r="F1501" s="446"/>
      <c r="G1501" s="524"/>
      <c r="H1501" s="446"/>
      <c r="I1501" s="458"/>
      <c r="J1501" s="271" t="b">
        <f>Age_Sex22[[#This Row],[Total Spending After Applying Truncation at the Member Level]]+Age_Sex22[[#This Row],[Total Dollars Excluded from Spending After Applying Truncation at the Member Level]]=Age_Sex22[[#This Row],[Total Spending before Truncation is Applied]]</f>
        <v>1</v>
      </c>
    </row>
    <row r="1502" spans="1:10" x14ac:dyDescent="0.25">
      <c r="A1502" s="450"/>
      <c r="B1502" s="451"/>
      <c r="C1502" s="452"/>
      <c r="D1502" s="521"/>
      <c r="E1502" s="453"/>
      <c r="F1502" s="454"/>
      <c r="G1502" s="525"/>
      <c r="H1502" s="454"/>
      <c r="I1502" s="459"/>
      <c r="J1502" s="271" t="b">
        <f>Age_Sex22[[#This Row],[Total Spending After Applying Truncation at the Member Level]]+Age_Sex22[[#This Row],[Total Dollars Excluded from Spending After Applying Truncation at the Member Level]]=Age_Sex22[[#This Row],[Total Spending before Truncation is Applied]]</f>
        <v>1</v>
      </c>
    </row>
    <row r="1503" spans="1:10" x14ac:dyDescent="0.25">
      <c r="A1503" s="449"/>
      <c r="B1503" s="443"/>
      <c r="C1503" s="444"/>
      <c r="D1503" s="520"/>
      <c r="E1503" s="445"/>
      <c r="F1503" s="446"/>
      <c r="G1503" s="524"/>
      <c r="H1503" s="446"/>
      <c r="I1503" s="458"/>
      <c r="J1503" s="271" t="b">
        <f>Age_Sex22[[#This Row],[Total Spending After Applying Truncation at the Member Level]]+Age_Sex22[[#This Row],[Total Dollars Excluded from Spending After Applying Truncation at the Member Level]]=Age_Sex22[[#This Row],[Total Spending before Truncation is Applied]]</f>
        <v>1</v>
      </c>
    </row>
    <row r="1504" spans="1:10" x14ac:dyDescent="0.25">
      <c r="A1504" s="450"/>
      <c r="B1504" s="451"/>
      <c r="C1504" s="452"/>
      <c r="D1504" s="521"/>
      <c r="E1504" s="453"/>
      <c r="F1504" s="454"/>
      <c r="G1504" s="525"/>
      <c r="H1504" s="454"/>
      <c r="I1504" s="459"/>
      <c r="J1504" s="271" t="b">
        <f>Age_Sex22[[#This Row],[Total Spending After Applying Truncation at the Member Level]]+Age_Sex22[[#This Row],[Total Dollars Excluded from Spending After Applying Truncation at the Member Level]]=Age_Sex22[[#This Row],[Total Spending before Truncation is Applied]]</f>
        <v>1</v>
      </c>
    </row>
    <row r="1505" spans="1:10" x14ac:dyDescent="0.25">
      <c r="A1505" s="449"/>
      <c r="B1505" s="443"/>
      <c r="C1505" s="444"/>
      <c r="D1505" s="520"/>
      <c r="E1505" s="445"/>
      <c r="F1505" s="446"/>
      <c r="G1505" s="524"/>
      <c r="H1505" s="446"/>
      <c r="I1505" s="458"/>
      <c r="J1505" s="271" t="b">
        <f>Age_Sex22[[#This Row],[Total Spending After Applying Truncation at the Member Level]]+Age_Sex22[[#This Row],[Total Dollars Excluded from Spending After Applying Truncation at the Member Level]]=Age_Sex22[[#This Row],[Total Spending before Truncation is Applied]]</f>
        <v>1</v>
      </c>
    </row>
    <row r="1506" spans="1:10" x14ac:dyDescent="0.25">
      <c r="A1506" s="450"/>
      <c r="B1506" s="451"/>
      <c r="C1506" s="452"/>
      <c r="D1506" s="521"/>
      <c r="E1506" s="453"/>
      <c r="F1506" s="454"/>
      <c r="G1506" s="525"/>
      <c r="H1506" s="454"/>
      <c r="I1506" s="459"/>
      <c r="J1506" s="271" t="b">
        <f>Age_Sex22[[#This Row],[Total Spending After Applying Truncation at the Member Level]]+Age_Sex22[[#This Row],[Total Dollars Excluded from Spending After Applying Truncation at the Member Level]]=Age_Sex22[[#This Row],[Total Spending before Truncation is Applied]]</f>
        <v>1</v>
      </c>
    </row>
    <row r="1507" spans="1:10" x14ac:dyDescent="0.25">
      <c r="A1507" s="449"/>
      <c r="B1507" s="443"/>
      <c r="C1507" s="444"/>
      <c r="D1507" s="520"/>
      <c r="E1507" s="445"/>
      <c r="F1507" s="446"/>
      <c r="G1507" s="524"/>
      <c r="H1507" s="446"/>
      <c r="I1507" s="458"/>
      <c r="J1507" s="271" t="b">
        <f>Age_Sex22[[#This Row],[Total Spending After Applying Truncation at the Member Level]]+Age_Sex22[[#This Row],[Total Dollars Excluded from Spending After Applying Truncation at the Member Level]]=Age_Sex22[[#This Row],[Total Spending before Truncation is Applied]]</f>
        <v>1</v>
      </c>
    </row>
    <row r="1508" spans="1:10" x14ac:dyDescent="0.25">
      <c r="A1508" s="450"/>
      <c r="B1508" s="451"/>
      <c r="C1508" s="452"/>
      <c r="D1508" s="521"/>
      <c r="E1508" s="453"/>
      <c r="F1508" s="454"/>
      <c r="G1508" s="525"/>
      <c r="H1508" s="454"/>
      <c r="I1508" s="459"/>
      <c r="J1508" s="271" t="b">
        <f>Age_Sex22[[#This Row],[Total Spending After Applying Truncation at the Member Level]]+Age_Sex22[[#This Row],[Total Dollars Excluded from Spending After Applying Truncation at the Member Level]]=Age_Sex22[[#This Row],[Total Spending before Truncation is Applied]]</f>
        <v>1</v>
      </c>
    </row>
    <row r="1509" spans="1:10" x14ac:dyDescent="0.25">
      <c r="A1509" s="449"/>
      <c r="B1509" s="443"/>
      <c r="C1509" s="444"/>
      <c r="D1509" s="520"/>
      <c r="E1509" s="445"/>
      <c r="F1509" s="446"/>
      <c r="G1509" s="524"/>
      <c r="H1509" s="446"/>
      <c r="I1509" s="458"/>
      <c r="J1509" s="271" t="b">
        <f>Age_Sex22[[#This Row],[Total Spending After Applying Truncation at the Member Level]]+Age_Sex22[[#This Row],[Total Dollars Excluded from Spending After Applying Truncation at the Member Level]]=Age_Sex22[[#This Row],[Total Spending before Truncation is Applied]]</f>
        <v>1</v>
      </c>
    </row>
    <row r="1510" spans="1:10" x14ac:dyDescent="0.25">
      <c r="A1510" s="450"/>
      <c r="B1510" s="451"/>
      <c r="C1510" s="452"/>
      <c r="D1510" s="521"/>
      <c r="E1510" s="453"/>
      <c r="F1510" s="454"/>
      <c r="G1510" s="525"/>
      <c r="H1510" s="454"/>
      <c r="I1510" s="459"/>
      <c r="J1510" s="271" t="b">
        <f>Age_Sex22[[#This Row],[Total Spending After Applying Truncation at the Member Level]]+Age_Sex22[[#This Row],[Total Dollars Excluded from Spending After Applying Truncation at the Member Level]]=Age_Sex22[[#This Row],[Total Spending before Truncation is Applied]]</f>
        <v>1</v>
      </c>
    </row>
    <row r="1511" spans="1:10" x14ac:dyDescent="0.25">
      <c r="A1511" s="449"/>
      <c r="B1511" s="443"/>
      <c r="C1511" s="444"/>
      <c r="D1511" s="520"/>
      <c r="E1511" s="445"/>
      <c r="F1511" s="446"/>
      <c r="G1511" s="524"/>
      <c r="H1511" s="446"/>
      <c r="I1511" s="458"/>
      <c r="J1511" s="271" t="b">
        <f>Age_Sex22[[#This Row],[Total Spending After Applying Truncation at the Member Level]]+Age_Sex22[[#This Row],[Total Dollars Excluded from Spending After Applying Truncation at the Member Level]]=Age_Sex22[[#This Row],[Total Spending before Truncation is Applied]]</f>
        <v>1</v>
      </c>
    </row>
    <row r="1512" spans="1:10" x14ac:dyDescent="0.25">
      <c r="A1512" s="450"/>
      <c r="B1512" s="451"/>
      <c r="C1512" s="452"/>
      <c r="D1512" s="521"/>
      <c r="E1512" s="453"/>
      <c r="F1512" s="454"/>
      <c r="G1512" s="525"/>
      <c r="H1512" s="454"/>
      <c r="I1512" s="459"/>
      <c r="J1512" s="271" t="b">
        <f>Age_Sex22[[#This Row],[Total Spending After Applying Truncation at the Member Level]]+Age_Sex22[[#This Row],[Total Dollars Excluded from Spending After Applying Truncation at the Member Level]]=Age_Sex22[[#This Row],[Total Spending before Truncation is Applied]]</f>
        <v>1</v>
      </c>
    </row>
    <row r="1513" spans="1:10" x14ac:dyDescent="0.25">
      <c r="A1513" s="449"/>
      <c r="B1513" s="443"/>
      <c r="C1513" s="444"/>
      <c r="D1513" s="520"/>
      <c r="E1513" s="445"/>
      <c r="F1513" s="446"/>
      <c r="G1513" s="524"/>
      <c r="H1513" s="446"/>
      <c r="I1513" s="458"/>
      <c r="J1513" s="271" t="b">
        <f>Age_Sex22[[#This Row],[Total Spending After Applying Truncation at the Member Level]]+Age_Sex22[[#This Row],[Total Dollars Excluded from Spending After Applying Truncation at the Member Level]]=Age_Sex22[[#This Row],[Total Spending before Truncation is Applied]]</f>
        <v>1</v>
      </c>
    </row>
    <row r="1514" spans="1:10" x14ac:dyDescent="0.25">
      <c r="A1514" s="450"/>
      <c r="B1514" s="451"/>
      <c r="C1514" s="452"/>
      <c r="D1514" s="521"/>
      <c r="E1514" s="453"/>
      <c r="F1514" s="454"/>
      <c r="G1514" s="525"/>
      <c r="H1514" s="454"/>
      <c r="I1514" s="459"/>
      <c r="J1514" s="271" t="b">
        <f>Age_Sex22[[#This Row],[Total Spending After Applying Truncation at the Member Level]]+Age_Sex22[[#This Row],[Total Dollars Excluded from Spending After Applying Truncation at the Member Level]]=Age_Sex22[[#This Row],[Total Spending before Truncation is Applied]]</f>
        <v>1</v>
      </c>
    </row>
    <row r="1515" spans="1:10" x14ac:dyDescent="0.25">
      <c r="A1515" s="449"/>
      <c r="B1515" s="443"/>
      <c r="C1515" s="444"/>
      <c r="D1515" s="520"/>
      <c r="E1515" s="445"/>
      <c r="F1515" s="446"/>
      <c r="G1515" s="524"/>
      <c r="H1515" s="446"/>
      <c r="I1515" s="458"/>
      <c r="J1515" s="271" t="b">
        <f>Age_Sex22[[#This Row],[Total Spending After Applying Truncation at the Member Level]]+Age_Sex22[[#This Row],[Total Dollars Excluded from Spending After Applying Truncation at the Member Level]]=Age_Sex22[[#This Row],[Total Spending before Truncation is Applied]]</f>
        <v>1</v>
      </c>
    </row>
    <row r="1516" spans="1:10" x14ac:dyDescent="0.25">
      <c r="A1516" s="450"/>
      <c r="B1516" s="451"/>
      <c r="C1516" s="452"/>
      <c r="D1516" s="521"/>
      <c r="E1516" s="453"/>
      <c r="F1516" s="454"/>
      <c r="G1516" s="525"/>
      <c r="H1516" s="454"/>
      <c r="I1516" s="459"/>
      <c r="J1516" s="271" t="b">
        <f>Age_Sex22[[#This Row],[Total Spending After Applying Truncation at the Member Level]]+Age_Sex22[[#This Row],[Total Dollars Excluded from Spending After Applying Truncation at the Member Level]]=Age_Sex22[[#This Row],[Total Spending before Truncation is Applied]]</f>
        <v>1</v>
      </c>
    </row>
    <row r="1517" spans="1:10" x14ac:dyDescent="0.25">
      <c r="A1517" s="449"/>
      <c r="B1517" s="443"/>
      <c r="C1517" s="444"/>
      <c r="D1517" s="520"/>
      <c r="E1517" s="445"/>
      <c r="F1517" s="446"/>
      <c r="G1517" s="524"/>
      <c r="H1517" s="446"/>
      <c r="I1517" s="458"/>
      <c r="J1517" s="271" t="b">
        <f>Age_Sex22[[#This Row],[Total Spending After Applying Truncation at the Member Level]]+Age_Sex22[[#This Row],[Total Dollars Excluded from Spending After Applying Truncation at the Member Level]]=Age_Sex22[[#This Row],[Total Spending before Truncation is Applied]]</f>
        <v>1</v>
      </c>
    </row>
    <row r="1518" spans="1:10" x14ac:dyDescent="0.25">
      <c r="A1518" s="450"/>
      <c r="B1518" s="451"/>
      <c r="C1518" s="452"/>
      <c r="D1518" s="521"/>
      <c r="E1518" s="453"/>
      <c r="F1518" s="454"/>
      <c r="G1518" s="525"/>
      <c r="H1518" s="454"/>
      <c r="I1518" s="459"/>
      <c r="J1518" s="271" t="b">
        <f>Age_Sex22[[#This Row],[Total Spending After Applying Truncation at the Member Level]]+Age_Sex22[[#This Row],[Total Dollars Excluded from Spending After Applying Truncation at the Member Level]]=Age_Sex22[[#This Row],[Total Spending before Truncation is Applied]]</f>
        <v>1</v>
      </c>
    </row>
    <row r="1519" spans="1:10" x14ac:dyDescent="0.25">
      <c r="A1519" s="449"/>
      <c r="B1519" s="443"/>
      <c r="C1519" s="444"/>
      <c r="D1519" s="520"/>
      <c r="E1519" s="445"/>
      <c r="F1519" s="446"/>
      <c r="G1519" s="524"/>
      <c r="H1519" s="446"/>
      <c r="I1519" s="458"/>
      <c r="J1519" s="271" t="b">
        <f>Age_Sex22[[#This Row],[Total Spending After Applying Truncation at the Member Level]]+Age_Sex22[[#This Row],[Total Dollars Excluded from Spending After Applying Truncation at the Member Level]]=Age_Sex22[[#This Row],[Total Spending before Truncation is Applied]]</f>
        <v>1</v>
      </c>
    </row>
    <row r="1520" spans="1:10" x14ac:dyDescent="0.25">
      <c r="A1520" s="450"/>
      <c r="B1520" s="451"/>
      <c r="C1520" s="452"/>
      <c r="D1520" s="521"/>
      <c r="E1520" s="453"/>
      <c r="F1520" s="454"/>
      <c r="G1520" s="525"/>
      <c r="H1520" s="454"/>
      <c r="I1520" s="459"/>
      <c r="J1520" s="271" t="b">
        <f>Age_Sex22[[#This Row],[Total Spending After Applying Truncation at the Member Level]]+Age_Sex22[[#This Row],[Total Dollars Excluded from Spending After Applying Truncation at the Member Level]]=Age_Sex22[[#This Row],[Total Spending before Truncation is Applied]]</f>
        <v>1</v>
      </c>
    </row>
    <row r="1521" spans="1:10" x14ac:dyDescent="0.25">
      <c r="A1521" s="449"/>
      <c r="B1521" s="443"/>
      <c r="C1521" s="444"/>
      <c r="D1521" s="520"/>
      <c r="E1521" s="445"/>
      <c r="F1521" s="446"/>
      <c r="G1521" s="524"/>
      <c r="H1521" s="446"/>
      <c r="I1521" s="458"/>
      <c r="J1521" s="271" t="b">
        <f>Age_Sex22[[#This Row],[Total Spending After Applying Truncation at the Member Level]]+Age_Sex22[[#This Row],[Total Dollars Excluded from Spending After Applying Truncation at the Member Level]]=Age_Sex22[[#This Row],[Total Spending before Truncation is Applied]]</f>
        <v>1</v>
      </c>
    </row>
    <row r="1522" spans="1:10" x14ac:dyDescent="0.25">
      <c r="A1522" s="450"/>
      <c r="B1522" s="451"/>
      <c r="C1522" s="452"/>
      <c r="D1522" s="521"/>
      <c r="E1522" s="453"/>
      <c r="F1522" s="454"/>
      <c r="G1522" s="525"/>
      <c r="H1522" s="454"/>
      <c r="I1522" s="459"/>
      <c r="J1522" s="271" t="b">
        <f>Age_Sex22[[#This Row],[Total Spending After Applying Truncation at the Member Level]]+Age_Sex22[[#This Row],[Total Dollars Excluded from Spending After Applying Truncation at the Member Level]]=Age_Sex22[[#This Row],[Total Spending before Truncation is Applied]]</f>
        <v>1</v>
      </c>
    </row>
    <row r="1523" spans="1:10" x14ac:dyDescent="0.25">
      <c r="A1523" s="449"/>
      <c r="B1523" s="443"/>
      <c r="C1523" s="444"/>
      <c r="D1523" s="520"/>
      <c r="E1523" s="445"/>
      <c r="F1523" s="446"/>
      <c r="G1523" s="524"/>
      <c r="H1523" s="446"/>
      <c r="I1523" s="458"/>
      <c r="J1523" s="271" t="b">
        <f>Age_Sex22[[#This Row],[Total Spending After Applying Truncation at the Member Level]]+Age_Sex22[[#This Row],[Total Dollars Excluded from Spending After Applying Truncation at the Member Level]]=Age_Sex22[[#This Row],[Total Spending before Truncation is Applied]]</f>
        <v>1</v>
      </c>
    </row>
    <row r="1524" spans="1:10" x14ac:dyDescent="0.25">
      <c r="A1524" s="450"/>
      <c r="B1524" s="451"/>
      <c r="C1524" s="452"/>
      <c r="D1524" s="521"/>
      <c r="E1524" s="453"/>
      <c r="F1524" s="454"/>
      <c r="G1524" s="525"/>
      <c r="H1524" s="454"/>
      <c r="I1524" s="459"/>
      <c r="J1524" s="271" t="b">
        <f>Age_Sex22[[#This Row],[Total Spending After Applying Truncation at the Member Level]]+Age_Sex22[[#This Row],[Total Dollars Excluded from Spending After Applying Truncation at the Member Level]]=Age_Sex22[[#This Row],[Total Spending before Truncation is Applied]]</f>
        <v>1</v>
      </c>
    </row>
    <row r="1525" spans="1:10" x14ac:dyDescent="0.25">
      <c r="A1525" s="449"/>
      <c r="B1525" s="443"/>
      <c r="C1525" s="444"/>
      <c r="D1525" s="520"/>
      <c r="E1525" s="445"/>
      <c r="F1525" s="446"/>
      <c r="G1525" s="524"/>
      <c r="H1525" s="446"/>
      <c r="I1525" s="458"/>
      <c r="J1525" s="271" t="b">
        <f>Age_Sex22[[#This Row],[Total Spending After Applying Truncation at the Member Level]]+Age_Sex22[[#This Row],[Total Dollars Excluded from Spending After Applying Truncation at the Member Level]]=Age_Sex22[[#This Row],[Total Spending before Truncation is Applied]]</f>
        <v>1</v>
      </c>
    </row>
    <row r="1526" spans="1:10" x14ac:dyDescent="0.25">
      <c r="A1526" s="450"/>
      <c r="B1526" s="451"/>
      <c r="C1526" s="452"/>
      <c r="D1526" s="521"/>
      <c r="E1526" s="453"/>
      <c r="F1526" s="454"/>
      <c r="G1526" s="525"/>
      <c r="H1526" s="454"/>
      <c r="I1526" s="459"/>
      <c r="J1526" s="271" t="b">
        <f>Age_Sex22[[#This Row],[Total Spending After Applying Truncation at the Member Level]]+Age_Sex22[[#This Row],[Total Dollars Excluded from Spending After Applying Truncation at the Member Level]]=Age_Sex22[[#This Row],[Total Spending before Truncation is Applied]]</f>
        <v>1</v>
      </c>
    </row>
    <row r="1527" spans="1:10" x14ac:dyDescent="0.25">
      <c r="A1527" s="449"/>
      <c r="B1527" s="443"/>
      <c r="C1527" s="444"/>
      <c r="D1527" s="520"/>
      <c r="E1527" s="445"/>
      <c r="F1527" s="446"/>
      <c r="G1527" s="524"/>
      <c r="H1527" s="446"/>
      <c r="I1527" s="458"/>
      <c r="J1527" s="271" t="b">
        <f>Age_Sex22[[#This Row],[Total Spending After Applying Truncation at the Member Level]]+Age_Sex22[[#This Row],[Total Dollars Excluded from Spending After Applying Truncation at the Member Level]]=Age_Sex22[[#This Row],[Total Spending before Truncation is Applied]]</f>
        <v>1</v>
      </c>
    </row>
    <row r="1528" spans="1:10" x14ac:dyDescent="0.25">
      <c r="A1528" s="450"/>
      <c r="B1528" s="451"/>
      <c r="C1528" s="452"/>
      <c r="D1528" s="521"/>
      <c r="E1528" s="453"/>
      <c r="F1528" s="454"/>
      <c r="G1528" s="525"/>
      <c r="H1528" s="454"/>
      <c r="I1528" s="459"/>
      <c r="J1528" s="271" t="b">
        <f>Age_Sex22[[#This Row],[Total Spending After Applying Truncation at the Member Level]]+Age_Sex22[[#This Row],[Total Dollars Excluded from Spending After Applying Truncation at the Member Level]]=Age_Sex22[[#This Row],[Total Spending before Truncation is Applied]]</f>
        <v>1</v>
      </c>
    </row>
    <row r="1529" spans="1:10" x14ac:dyDescent="0.25">
      <c r="A1529" s="449"/>
      <c r="B1529" s="443"/>
      <c r="C1529" s="444"/>
      <c r="D1529" s="520"/>
      <c r="E1529" s="445"/>
      <c r="F1529" s="446"/>
      <c r="G1529" s="524"/>
      <c r="H1529" s="446"/>
      <c r="I1529" s="458"/>
      <c r="J1529" s="271" t="b">
        <f>Age_Sex22[[#This Row],[Total Spending After Applying Truncation at the Member Level]]+Age_Sex22[[#This Row],[Total Dollars Excluded from Spending After Applying Truncation at the Member Level]]=Age_Sex22[[#This Row],[Total Spending before Truncation is Applied]]</f>
        <v>1</v>
      </c>
    </row>
    <row r="1530" spans="1:10" x14ac:dyDescent="0.25">
      <c r="A1530" s="450"/>
      <c r="B1530" s="451"/>
      <c r="C1530" s="452"/>
      <c r="D1530" s="521"/>
      <c r="E1530" s="453"/>
      <c r="F1530" s="454"/>
      <c r="G1530" s="525"/>
      <c r="H1530" s="454"/>
      <c r="I1530" s="459"/>
      <c r="J1530" s="271" t="b">
        <f>Age_Sex22[[#This Row],[Total Spending After Applying Truncation at the Member Level]]+Age_Sex22[[#This Row],[Total Dollars Excluded from Spending After Applying Truncation at the Member Level]]=Age_Sex22[[#This Row],[Total Spending before Truncation is Applied]]</f>
        <v>1</v>
      </c>
    </row>
    <row r="1531" spans="1:10" x14ac:dyDescent="0.25">
      <c r="A1531" s="449"/>
      <c r="B1531" s="443"/>
      <c r="C1531" s="444"/>
      <c r="D1531" s="520"/>
      <c r="E1531" s="445"/>
      <c r="F1531" s="446"/>
      <c r="G1531" s="524"/>
      <c r="H1531" s="446"/>
      <c r="I1531" s="458"/>
      <c r="J1531" s="271" t="b">
        <f>Age_Sex22[[#This Row],[Total Spending After Applying Truncation at the Member Level]]+Age_Sex22[[#This Row],[Total Dollars Excluded from Spending After Applying Truncation at the Member Level]]=Age_Sex22[[#This Row],[Total Spending before Truncation is Applied]]</f>
        <v>1</v>
      </c>
    </row>
    <row r="1532" spans="1:10" x14ac:dyDescent="0.25">
      <c r="A1532" s="450"/>
      <c r="B1532" s="451"/>
      <c r="C1532" s="452"/>
      <c r="D1532" s="521"/>
      <c r="E1532" s="453"/>
      <c r="F1532" s="454"/>
      <c r="G1532" s="525"/>
      <c r="H1532" s="454"/>
      <c r="I1532" s="459"/>
      <c r="J1532" s="271" t="b">
        <f>Age_Sex22[[#This Row],[Total Spending After Applying Truncation at the Member Level]]+Age_Sex22[[#This Row],[Total Dollars Excluded from Spending After Applying Truncation at the Member Level]]=Age_Sex22[[#This Row],[Total Spending before Truncation is Applied]]</f>
        <v>1</v>
      </c>
    </row>
    <row r="1533" spans="1:10" x14ac:dyDescent="0.25">
      <c r="A1533" s="449"/>
      <c r="B1533" s="443"/>
      <c r="C1533" s="444"/>
      <c r="D1533" s="520"/>
      <c r="E1533" s="445"/>
      <c r="F1533" s="446"/>
      <c r="G1533" s="524"/>
      <c r="H1533" s="446"/>
      <c r="I1533" s="458"/>
      <c r="J1533" s="271" t="b">
        <f>Age_Sex22[[#This Row],[Total Spending After Applying Truncation at the Member Level]]+Age_Sex22[[#This Row],[Total Dollars Excluded from Spending After Applying Truncation at the Member Level]]=Age_Sex22[[#This Row],[Total Spending before Truncation is Applied]]</f>
        <v>1</v>
      </c>
    </row>
    <row r="1534" spans="1:10" x14ac:dyDescent="0.25">
      <c r="A1534" s="450"/>
      <c r="B1534" s="451"/>
      <c r="C1534" s="452"/>
      <c r="D1534" s="521"/>
      <c r="E1534" s="453"/>
      <c r="F1534" s="454"/>
      <c r="G1534" s="525"/>
      <c r="H1534" s="454"/>
      <c r="I1534" s="459"/>
      <c r="J1534" s="271" t="b">
        <f>Age_Sex22[[#This Row],[Total Spending After Applying Truncation at the Member Level]]+Age_Sex22[[#This Row],[Total Dollars Excluded from Spending After Applying Truncation at the Member Level]]=Age_Sex22[[#This Row],[Total Spending before Truncation is Applied]]</f>
        <v>1</v>
      </c>
    </row>
    <row r="1535" spans="1:10" x14ac:dyDescent="0.25">
      <c r="A1535" s="449"/>
      <c r="B1535" s="443"/>
      <c r="C1535" s="444"/>
      <c r="D1535" s="520"/>
      <c r="E1535" s="445"/>
      <c r="F1535" s="446"/>
      <c r="G1535" s="524"/>
      <c r="H1535" s="446"/>
      <c r="I1535" s="458"/>
      <c r="J1535" s="271" t="b">
        <f>Age_Sex22[[#This Row],[Total Spending After Applying Truncation at the Member Level]]+Age_Sex22[[#This Row],[Total Dollars Excluded from Spending After Applying Truncation at the Member Level]]=Age_Sex22[[#This Row],[Total Spending before Truncation is Applied]]</f>
        <v>1</v>
      </c>
    </row>
    <row r="1536" spans="1:10" x14ac:dyDescent="0.25">
      <c r="A1536" s="450"/>
      <c r="B1536" s="451"/>
      <c r="C1536" s="452"/>
      <c r="D1536" s="521"/>
      <c r="E1536" s="453"/>
      <c r="F1536" s="454"/>
      <c r="G1536" s="525"/>
      <c r="H1536" s="454"/>
      <c r="I1536" s="459"/>
      <c r="J1536" s="271" t="b">
        <f>Age_Sex22[[#This Row],[Total Spending After Applying Truncation at the Member Level]]+Age_Sex22[[#This Row],[Total Dollars Excluded from Spending After Applying Truncation at the Member Level]]=Age_Sex22[[#This Row],[Total Spending before Truncation is Applied]]</f>
        <v>1</v>
      </c>
    </row>
    <row r="1537" spans="1:10" x14ac:dyDescent="0.25">
      <c r="A1537" s="449"/>
      <c r="B1537" s="443"/>
      <c r="C1537" s="444"/>
      <c r="D1537" s="520"/>
      <c r="E1537" s="445"/>
      <c r="F1537" s="446"/>
      <c r="G1537" s="524"/>
      <c r="H1537" s="446"/>
      <c r="I1537" s="458"/>
      <c r="J1537" s="271" t="b">
        <f>Age_Sex22[[#This Row],[Total Spending After Applying Truncation at the Member Level]]+Age_Sex22[[#This Row],[Total Dollars Excluded from Spending After Applying Truncation at the Member Level]]=Age_Sex22[[#This Row],[Total Spending before Truncation is Applied]]</f>
        <v>1</v>
      </c>
    </row>
    <row r="1538" spans="1:10" x14ac:dyDescent="0.25">
      <c r="A1538" s="450"/>
      <c r="B1538" s="451"/>
      <c r="C1538" s="452"/>
      <c r="D1538" s="521"/>
      <c r="E1538" s="453"/>
      <c r="F1538" s="454"/>
      <c r="G1538" s="525"/>
      <c r="H1538" s="454"/>
      <c r="I1538" s="459"/>
      <c r="J1538" s="271" t="b">
        <f>Age_Sex22[[#This Row],[Total Spending After Applying Truncation at the Member Level]]+Age_Sex22[[#This Row],[Total Dollars Excluded from Spending After Applying Truncation at the Member Level]]=Age_Sex22[[#This Row],[Total Spending before Truncation is Applied]]</f>
        <v>1</v>
      </c>
    </row>
    <row r="1539" spans="1:10" x14ac:dyDescent="0.25">
      <c r="A1539" s="449"/>
      <c r="B1539" s="443"/>
      <c r="C1539" s="444"/>
      <c r="D1539" s="520"/>
      <c r="E1539" s="445"/>
      <c r="F1539" s="446"/>
      <c r="G1539" s="524"/>
      <c r="H1539" s="446"/>
      <c r="I1539" s="458"/>
      <c r="J1539" s="271" t="b">
        <f>Age_Sex22[[#This Row],[Total Spending After Applying Truncation at the Member Level]]+Age_Sex22[[#This Row],[Total Dollars Excluded from Spending After Applying Truncation at the Member Level]]=Age_Sex22[[#This Row],[Total Spending before Truncation is Applied]]</f>
        <v>1</v>
      </c>
    </row>
    <row r="1540" spans="1:10" x14ac:dyDescent="0.25">
      <c r="A1540" s="450"/>
      <c r="B1540" s="451"/>
      <c r="C1540" s="452"/>
      <c r="D1540" s="521"/>
      <c r="E1540" s="453"/>
      <c r="F1540" s="454"/>
      <c r="G1540" s="525"/>
      <c r="H1540" s="454"/>
      <c r="I1540" s="459"/>
      <c r="J1540" s="271" t="b">
        <f>Age_Sex22[[#This Row],[Total Spending After Applying Truncation at the Member Level]]+Age_Sex22[[#This Row],[Total Dollars Excluded from Spending After Applying Truncation at the Member Level]]=Age_Sex22[[#This Row],[Total Spending before Truncation is Applied]]</f>
        <v>1</v>
      </c>
    </row>
    <row r="1541" spans="1:10" x14ac:dyDescent="0.25">
      <c r="A1541" s="449"/>
      <c r="B1541" s="443"/>
      <c r="C1541" s="444"/>
      <c r="D1541" s="520"/>
      <c r="E1541" s="445"/>
      <c r="F1541" s="446"/>
      <c r="G1541" s="524"/>
      <c r="H1541" s="446"/>
      <c r="I1541" s="458"/>
      <c r="J1541" s="271" t="b">
        <f>Age_Sex22[[#This Row],[Total Spending After Applying Truncation at the Member Level]]+Age_Sex22[[#This Row],[Total Dollars Excluded from Spending After Applying Truncation at the Member Level]]=Age_Sex22[[#This Row],[Total Spending before Truncation is Applied]]</f>
        <v>1</v>
      </c>
    </row>
    <row r="1542" spans="1:10" x14ac:dyDescent="0.25">
      <c r="A1542" s="450"/>
      <c r="B1542" s="451"/>
      <c r="C1542" s="452"/>
      <c r="D1542" s="521"/>
      <c r="E1542" s="453"/>
      <c r="F1542" s="454"/>
      <c r="G1542" s="525"/>
      <c r="H1542" s="454"/>
      <c r="I1542" s="459"/>
      <c r="J1542" s="271" t="b">
        <f>Age_Sex22[[#This Row],[Total Spending After Applying Truncation at the Member Level]]+Age_Sex22[[#This Row],[Total Dollars Excluded from Spending After Applying Truncation at the Member Level]]=Age_Sex22[[#This Row],[Total Spending before Truncation is Applied]]</f>
        <v>1</v>
      </c>
    </row>
    <row r="1543" spans="1:10" x14ac:dyDescent="0.25">
      <c r="A1543" s="449"/>
      <c r="B1543" s="443"/>
      <c r="C1543" s="444"/>
      <c r="D1543" s="520"/>
      <c r="E1543" s="445"/>
      <c r="F1543" s="446"/>
      <c r="G1543" s="524"/>
      <c r="H1543" s="446"/>
      <c r="I1543" s="458"/>
      <c r="J1543" s="271" t="b">
        <f>Age_Sex22[[#This Row],[Total Spending After Applying Truncation at the Member Level]]+Age_Sex22[[#This Row],[Total Dollars Excluded from Spending After Applying Truncation at the Member Level]]=Age_Sex22[[#This Row],[Total Spending before Truncation is Applied]]</f>
        <v>1</v>
      </c>
    </row>
    <row r="1544" spans="1:10" x14ac:dyDescent="0.25">
      <c r="A1544" s="450"/>
      <c r="B1544" s="451"/>
      <c r="C1544" s="452"/>
      <c r="D1544" s="521"/>
      <c r="E1544" s="453"/>
      <c r="F1544" s="454"/>
      <c r="G1544" s="525"/>
      <c r="H1544" s="454"/>
      <c r="I1544" s="459"/>
      <c r="J1544" s="271" t="b">
        <f>Age_Sex22[[#This Row],[Total Spending After Applying Truncation at the Member Level]]+Age_Sex22[[#This Row],[Total Dollars Excluded from Spending After Applying Truncation at the Member Level]]=Age_Sex22[[#This Row],[Total Spending before Truncation is Applied]]</f>
        <v>1</v>
      </c>
    </row>
    <row r="1545" spans="1:10" x14ac:dyDescent="0.25">
      <c r="A1545" s="449"/>
      <c r="B1545" s="443"/>
      <c r="C1545" s="444"/>
      <c r="D1545" s="520"/>
      <c r="E1545" s="445"/>
      <c r="F1545" s="446"/>
      <c r="G1545" s="524"/>
      <c r="H1545" s="446"/>
      <c r="I1545" s="458"/>
      <c r="J1545" s="271" t="b">
        <f>Age_Sex22[[#This Row],[Total Spending After Applying Truncation at the Member Level]]+Age_Sex22[[#This Row],[Total Dollars Excluded from Spending After Applying Truncation at the Member Level]]=Age_Sex22[[#This Row],[Total Spending before Truncation is Applied]]</f>
        <v>1</v>
      </c>
    </row>
    <row r="1546" spans="1:10" x14ac:dyDescent="0.25">
      <c r="A1546" s="450"/>
      <c r="B1546" s="451"/>
      <c r="C1546" s="452"/>
      <c r="D1546" s="521"/>
      <c r="E1546" s="453"/>
      <c r="F1546" s="454"/>
      <c r="G1546" s="525"/>
      <c r="H1546" s="454"/>
      <c r="I1546" s="459"/>
      <c r="J1546" s="271" t="b">
        <f>Age_Sex22[[#This Row],[Total Spending After Applying Truncation at the Member Level]]+Age_Sex22[[#This Row],[Total Dollars Excluded from Spending After Applying Truncation at the Member Level]]=Age_Sex22[[#This Row],[Total Spending before Truncation is Applied]]</f>
        <v>1</v>
      </c>
    </row>
    <row r="1547" spans="1:10" x14ac:dyDescent="0.25">
      <c r="A1547" s="449"/>
      <c r="B1547" s="443"/>
      <c r="C1547" s="444"/>
      <c r="D1547" s="520"/>
      <c r="E1547" s="445"/>
      <c r="F1547" s="446"/>
      <c r="G1547" s="524"/>
      <c r="H1547" s="446"/>
      <c r="I1547" s="458"/>
      <c r="J1547" s="271" t="b">
        <f>Age_Sex22[[#This Row],[Total Spending After Applying Truncation at the Member Level]]+Age_Sex22[[#This Row],[Total Dollars Excluded from Spending After Applying Truncation at the Member Level]]=Age_Sex22[[#This Row],[Total Spending before Truncation is Applied]]</f>
        <v>1</v>
      </c>
    </row>
    <row r="1548" spans="1:10" x14ac:dyDescent="0.25">
      <c r="A1548" s="450"/>
      <c r="B1548" s="451"/>
      <c r="C1548" s="452"/>
      <c r="D1548" s="521"/>
      <c r="E1548" s="453"/>
      <c r="F1548" s="454"/>
      <c r="G1548" s="525"/>
      <c r="H1548" s="454"/>
      <c r="I1548" s="459"/>
      <c r="J1548" s="271" t="b">
        <f>Age_Sex22[[#This Row],[Total Spending After Applying Truncation at the Member Level]]+Age_Sex22[[#This Row],[Total Dollars Excluded from Spending After Applying Truncation at the Member Level]]=Age_Sex22[[#This Row],[Total Spending before Truncation is Applied]]</f>
        <v>1</v>
      </c>
    </row>
    <row r="1549" spans="1:10" x14ac:dyDescent="0.25">
      <c r="A1549" s="449"/>
      <c r="B1549" s="443"/>
      <c r="C1549" s="444"/>
      <c r="D1549" s="520"/>
      <c r="E1549" s="445"/>
      <c r="F1549" s="446"/>
      <c r="G1549" s="524"/>
      <c r="H1549" s="446"/>
      <c r="I1549" s="458"/>
      <c r="J1549" s="271" t="b">
        <f>Age_Sex22[[#This Row],[Total Spending After Applying Truncation at the Member Level]]+Age_Sex22[[#This Row],[Total Dollars Excluded from Spending After Applying Truncation at the Member Level]]=Age_Sex22[[#This Row],[Total Spending before Truncation is Applied]]</f>
        <v>1</v>
      </c>
    </row>
    <row r="1550" spans="1:10" x14ac:dyDescent="0.25">
      <c r="A1550" s="450"/>
      <c r="B1550" s="451"/>
      <c r="C1550" s="452"/>
      <c r="D1550" s="521"/>
      <c r="E1550" s="453"/>
      <c r="F1550" s="454"/>
      <c r="G1550" s="525"/>
      <c r="H1550" s="454"/>
      <c r="I1550" s="459"/>
      <c r="J1550" s="271" t="b">
        <f>Age_Sex22[[#This Row],[Total Spending After Applying Truncation at the Member Level]]+Age_Sex22[[#This Row],[Total Dollars Excluded from Spending After Applying Truncation at the Member Level]]=Age_Sex22[[#This Row],[Total Spending before Truncation is Applied]]</f>
        <v>1</v>
      </c>
    </row>
    <row r="1551" spans="1:10" x14ac:dyDescent="0.25">
      <c r="A1551" s="449"/>
      <c r="B1551" s="443"/>
      <c r="C1551" s="444"/>
      <c r="D1551" s="520"/>
      <c r="E1551" s="445"/>
      <c r="F1551" s="446"/>
      <c r="G1551" s="524"/>
      <c r="H1551" s="446"/>
      <c r="I1551" s="458"/>
      <c r="J1551" s="271" t="b">
        <f>Age_Sex22[[#This Row],[Total Spending After Applying Truncation at the Member Level]]+Age_Sex22[[#This Row],[Total Dollars Excluded from Spending After Applying Truncation at the Member Level]]=Age_Sex22[[#This Row],[Total Spending before Truncation is Applied]]</f>
        <v>1</v>
      </c>
    </row>
    <row r="1552" spans="1:10" x14ac:dyDescent="0.25">
      <c r="A1552" s="450"/>
      <c r="B1552" s="451"/>
      <c r="C1552" s="452"/>
      <c r="D1552" s="521"/>
      <c r="E1552" s="453"/>
      <c r="F1552" s="454"/>
      <c r="G1552" s="525"/>
      <c r="H1552" s="454"/>
      <c r="I1552" s="459"/>
      <c r="J1552" s="271" t="b">
        <f>Age_Sex22[[#This Row],[Total Spending After Applying Truncation at the Member Level]]+Age_Sex22[[#This Row],[Total Dollars Excluded from Spending After Applying Truncation at the Member Level]]=Age_Sex22[[#This Row],[Total Spending before Truncation is Applied]]</f>
        <v>1</v>
      </c>
    </row>
    <row r="1553" spans="1:10" x14ac:dyDescent="0.25">
      <c r="A1553" s="449"/>
      <c r="B1553" s="443"/>
      <c r="C1553" s="444"/>
      <c r="D1553" s="520"/>
      <c r="E1553" s="445"/>
      <c r="F1553" s="446"/>
      <c r="G1553" s="524"/>
      <c r="H1553" s="446"/>
      <c r="I1553" s="458"/>
      <c r="J1553" s="271" t="b">
        <f>Age_Sex22[[#This Row],[Total Spending After Applying Truncation at the Member Level]]+Age_Sex22[[#This Row],[Total Dollars Excluded from Spending After Applying Truncation at the Member Level]]=Age_Sex22[[#This Row],[Total Spending before Truncation is Applied]]</f>
        <v>1</v>
      </c>
    </row>
    <row r="1554" spans="1:10" x14ac:dyDescent="0.25">
      <c r="A1554" s="450"/>
      <c r="B1554" s="451"/>
      <c r="C1554" s="452"/>
      <c r="D1554" s="521"/>
      <c r="E1554" s="453"/>
      <c r="F1554" s="454"/>
      <c r="G1554" s="525"/>
      <c r="H1554" s="454"/>
      <c r="I1554" s="459"/>
      <c r="J1554" s="271" t="b">
        <f>Age_Sex22[[#This Row],[Total Spending After Applying Truncation at the Member Level]]+Age_Sex22[[#This Row],[Total Dollars Excluded from Spending After Applying Truncation at the Member Level]]=Age_Sex22[[#This Row],[Total Spending before Truncation is Applied]]</f>
        <v>1</v>
      </c>
    </row>
    <row r="1555" spans="1:10" x14ac:dyDescent="0.25">
      <c r="A1555" s="449"/>
      <c r="B1555" s="443"/>
      <c r="C1555" s="444"/>
      <c r="D1555" s="520"/>
      <c r="E1555" s="445"/>
      <c r="F1555" s="446"/>
      <c r="G1555" s="524"/>
      <c r="H1555" s="446"/>
      <c r="I1555" s="458"/>
      <c r="J1555" s="271" t="b">
        <f>Age_Sex22[[#This Row],[Total Spending After Applying Truncation at the Member Level]]+Age_Sex22[[#This Row],[Total Dollars Excluded from Spending After Applying Truncation at the Member Level]]=Age_Sex22[[#This Row],[Total Spending before Truncation is Applied]]</f>
        <v>1</v>
      </c>
    </row>
    <row r="1556" spans="1:10" x14ac:dyDescent="0.25">
      <c r="A1556" s="450"/>
      <c r="B1556" s="451"/>
      <c r="C1556" s="452"/>
      <c r="D1556" s="521"/>
      <c r="E1556" s="453"/>
      <c r="F1556" s="454"/>
      <c r="G1556" s="525"/>
      <c r="H1556" s="454"/>
      <c r="I1556" s="459"/>
      <c r="J1556" s="271" t="b">
        <f>Age_Sex22[[#This Row],[Total Spending After Applying Truncation at the Member Level]]+Age_Sex22[[#This Row],[Total Dollars Excluded from Spending After Applying Truncation at the Member Level]]=Age_Sex22[[#This Row],[Total Spending before Truncation is Applied]]</f>
        <v>1</v>
      </c>
    </row>
    <row r="1557" spans="1:10" x14ac:dyDescent="0.25">
      <c r="A1557" s="449"/>
      <c r="B1557" s="443"/>
      <c r="C1557" s="444"/>
      <c r="D1557" s="520"/>
      <c r="E1557" s="445"/>
      <c r="F1557" s="446"/>
      <c r="G1557" s="524"/>
      <c r="H1557" s="446"/>
      <c r="I1557" s="458"/>
      <c r="J1557" s="271" t="b">
        <f>Age_Sex22[[#This Row],[Total Spending After Applying Truncation at the Member Level]]+Age_Sex22[[#This Row],[Total Dollars Excluded from Spending After Applying Truncation at the Member Level]]=Age_Sex22[[#This Row],[Total Spending before Truncation is Applied]]</f>
        <v>1</v>
      </c>
    </row>
    <row r="1558" spans="1:10" x14ac:dyDescent="0.25">
      <c r="A1558" s="450"/>
      <c r="B1558" s="451"/>
      <c r="C1558" s="452"/>
      <c r="D1558" s="521"/>
      <c r="E1558" s="453"/>
      <c r="F1558" s="454"/>
      <c r="G1558" s="525"/>
      <c r="H1558" s="454"/>
      <c r="I1558" s="459"/>
      <c r="J1558" s="271" t="b">
        <f>Age_Sex22[[#This Row],[Total Spending After Applying Truncation at the Member Level]]+Age_Sex22[[#This Row],[Total Dollars Excluded from Spending After Applying Truncation at the Member Level]]=Age_Sex22[[#This Row],[Total Spending before Truncation is Applied]]</f>
        <v>1</v>
      </c>
    </row>
    <row r="1559" spans="1:10" x14ac:dyDescent="0.25">
      <c r="A1559" s="449"/>
      <c r="B1559" s="443"/>
      <c r="C1559" s="444"/>
      <c r="D1559" s="520"/>
      <c r="E1559" s="445"/>
      <c r="F1559" s="446"/>
      <c r="G1559" s="524"/>
      <c r="H1559" s="446"/>
      <c r="I1559" s="458"/>
      <c r="J1559" s="271" t="b">
        <f>Age_Sex22[[#This Row],[Total Spending After Applying Truncation at the Member Level]]+Age_Sex22[[#This Row],[Total Dollars Excluded from Spending After Applying Truncation at the Member Level]]=Age_Sex22[[#This Row],[Total Spending before Truncation is Applied]]</f>
        <v>1</v>
      </c>
    </row>
    <row r="1560" spans="1:10" x14ac:dyDescent="0.25">
      <c r="A1560" s="450"/>
      <c r="B1560" s="451"/>
      <c r="C1560" s="452"/>
      <c r="D1560" s="521"/>
      <c r="E1560" s="453"/>
      <c r="F1560" s="454"/>
      <c r="G1560" s="525"/>
      <c r="H1560" s="454"/>
      <c r="I1560" s="459"/>
      <c r="J1560" s="271" t="b">
        <f>Age_Sex22[[#This Row],[Total Spending After Applying Truncation at the Member Level]]+Age_Sex22[[#This Row],[Total Dollars Excluded from Spending After Applying Truncation at the Member Level]]=Age_Sex22[[#This Row],[Total Spending before Truncation is Applied]]</f>
        <v>1</v>
      </c>
    </row>
    <row r="1561" spans="1:10" x14ac:dyDescent="0.25">
      <c r="A1561" s="449"/>
      <c r="B1561" s="443"/>
      <c r="C1561" s="444"/>
      <c r="D1561" s="520"/>
      <c r="E1561" s="445"/>
      <c r="F1561" s="446"/>
      <c r="G1561" s="524"/>
      <c r="H1561" s="446"/>
      <c r="I1561" s="458"/>
      <c r="J1561" s="271" t="b">
        <f>Age_Sex22[[#This Row],[Total Spending After Applying Truncation at the Member Level]]+Age_Sex22[[#This Row],[Total Dollars Excluded from Spending After Applying Truncation at the Member Level]]=Age_Sex22[[#This Row],[Total Spending before Truncation is Applied]]</f>
        <v>1</v>
      </c>
    </row>
    <row r="1562" spans="1:10" x14ac:dyDescent="0.25">
      <c r="A1562" s="450"/>
      <c r="B1562" s="451"/>
      <c r="C1562" s="452"/>
      <c r="D1562" s="521"/>
      <c r="E1562" s="453"/>
      <c r="F1562" s="454"/>
      <c r="G1562" s="525"/>
      <c r="H1562" s="454"/>
      <c r="I1562" s="459"/>
      <c r="J1562" s="271" t="b">
        <f>Age_Sex22[[#This Row],[Total Spending After Applying Truncation at the Member Level]]+Age_Sex22[[#This Row],[Total Dollars Excluded from Spending After Applying Truncation at the Member Level]]=Age_Sex22[[#This Row],[Total Spending before Truncation is Applied]]</f>
        <v>1</v>
      </c>
    </row>
    <row r="1563" spans="1:10" x14ac:dyDescent="0.25">
      <c r="A1563" s="449"/>
      <c r="B1563" s="443"/>
      <c r="C1563" s="444"/>
      <c r="D1563" s="520"/>
      <c r="E1563" s="445"/>
      <c r="F1563" s="446"/>
      <c r="G1563" s="524"/>
      <c r="H1563" s="446"/>
      <c r="I1563" s="458"/>
      <c r="J1563" s="271" t="b">
        <f>Age_Sex22[[#This Row],[Total Spending After Applying Truncation at the Member Level]]+Age_Sex22[[#This Row],[Total Dollars Excluded from Spending After Applying Truncation at the Member Level]]=Age_Sex22[[#This Row],[Total Spending before Truncation is Applied]]</f>
        <v>1</v>
      </c>
    </row>
    <row r="1564" spans="1:10" x14ac:dyDescent="0.25">
      <c r="A1564" s="450"/>
      <c r="B1564" s="451"/>
      <c r="C1564" s="452"/>
      <c r="D1564" s="521"/>
      <c r="E1564" s="453"/>
      <c r="F1564" s="454"/>
      <c r="G1564" s="525"/>
      <c r="H1564" s="454"/>
      <c r="I1564" s="459"/>
      <c r="J1564" s="271" t="b">
        <f>Age_Sex22[[#This Row],[Total Spending After Applying Truncation at the Member Level]]+Age_Sex22[[#This Row],[Total Dollars Excluded from Spending After Applying Truncation at the Member Level]]=Age_Sex22[[#This Row],[Total Spending before Truncation is Applied]]</f>
        <v>1</v>
      </c>
    </row>
    <row r="1565" spans="1:10" x14ac:dyDescent="0.25">
      <c r="A1565" s="449"/>
      <c r="B1565" s="443"/>
      <c r="C1565" s="444"/>
      <c r="D1565" s="520"/>
      <c r="E1565" s="445"/>
      <c r="F1565" s="446"/>
      <c r="G1565" s="524"/>
      <c r="H1565" s="446"/>
      <c r="I1565" s="458"/>
      <c r="J1565" s="271" t="b">
        <f>Age_Sex22[[#This Row],[Total Spending After Applying Truncation at the Member Level]]+Age_Sex22[[#This Row],[Total Dollars Excluded from Spending After Applying Truncation at the Member Level]]=Age_Sex22[[#This Row],[Total Spending before Truncation is Applied]]</f>
        <v>1</v>
      </c>
    </row>
    <row r="1566" spans="1:10" x14ac:dyDescent="0.25">
      <c r="A1566" s="450"/>
      <c r="B1566" s="451"/>
      <c r="C1566" s="452"/>
      <c r="D1566" s="521"/>
      <c r="E1566" s="453"/>
      <c r="F1566" s="454"/>
      <c r="G1566" s="525"/>
      <c r="H1566" s="454"/>
      <c r="I1566" s="459"/>
      <c r="J1566" s="271" t="b">
        <f>Age_Sex22[[#This Row],[Total Spending After Applying Truncation at the Member Level]]+Age_Sex22[[#This Row],[Total Dollars Excluded from Spending After Applying Truncation at the Member Level]]=Age_Sex22[[#This Row],[Total Spending before Truncation is Applied]]</f>
        <v>1</v>
      </c>
    </row>
    <row r="1567" spans="1:10" x14ac:dyDescent="0.25">
      <c r="A1567" s="449"/>
      <c r="B1567" s="443"/>
      <c r="C1567" s="444"/>
      <c r="D1567" s="520"/>
      <c r="E1567" s="445"/>
      <c r="F1567" s="446"/>
      <c r="G1567" s="524"/>
      <c r="H1567" s="446"/>
      <c r="I1567" s="458"/>
      <c r="J1567" s="271" t="b">
        <f>Age_Sex22[[#This Row],[Total Spending After Applying Truncation at the Member Level]]+Age_Sex22[[#This Row],[Total Dollars Excluded from Spending After Applying Truncation at the Member Level]]=Age_Sex22[[#This Row],[Total Spending before Truncation is Applied]]</f>
        <v>1</v>
      </c>
    </row>
    <row r="1568" spans="1:10" x14ac:dyDescent="0.25">
      <c r="A1568" s="450"/>
      <c r="B1568" s="451"/>
      <c r="C1568" s="452"/>
      <c r="D1568" s="521"/>
      <c r="E1568" s="453"/>
      <c r="F1568" s="454"/>
      <c r="G1568" s="525"/>
      <c r="H1568" s="454"/>
      <c r="I1568" s="459"/>
      <c r="J1568" s="271" t="b">
        <f>Age_Sex22[[#This Row],[Total Spending After Applying Truncation at the Member Level]]+Age_Sex22[[#This Row],[Total Dollars Excluded from Spending After Applying Truncation at the Member Level]]=Age_Sex22[[#This Row],[Total Spending before Truncation is Applied]]</f>
        <v>1</v>
      </c>
    </row>
    <row r="1569" spans="1:10" x14ac:dyDescent="0.25">
      <c r="A1569" s="449"/>
      <c r="B1569" s="443"/>
      <c r="C1569" s="444"/>
      <c r="D1569" s="520"/>
      <c r="E1569" s="445"/>
      <c r="F1569" s="446"/>
      <c r="G1569" s="524"/>
      <c r="H1569" s="446"/>
      <c r="I1569" s="458"/>
      <c r="J1569" s="271" t="b">
        <f>Age_Sex22[[#This Row],[Total Spending After Applying Truncation at the Member Level]]+Age_Sex22[[#This Row],[Total Dollars Excluded from Spending After Applying Truncation at the Member Level]]=Age_Sex22[[#This Row],[Total Spending before Truncation is Applied]]</f>
        <v>1</v>
      </c>
    </row>
    <row r="1570" spans="1:10" x14ac:dyDescent="0.25">
      <c r="A1570" s="450"/>
      <c r="B1570" s="451"/>
      <c r="C1570" s="452"/>
      <c r="D1570" s="521"/>
      <c r="E1570" s="453"/>
      <c r="F1570" s="454"/>
      <c r="G1570" s="525"/>
      <c r="H1570" s="454"/>
      <c r="I1570" s="459"/>
      <c r="J1570" s="271" t="b">
        <f>Age_Sex22[[#This Row],[Total Spending After Applying Truncation at the Member Level]]+Age_Sex22[[#This Row],[Total Dollars Excluded from Spending After Applying Truncation at the Member Level]]=Age_Sex22[[#This Row],[Total Spending before Truncation is Applied]]</f>
        <v>1</v>
      </c>
    </row>
    <row r="1571" spans="1:10" x14ac:dyDescent="0.25">
      <c r="A1571" s="449"/>
      <c r="B1571" s="443"/>
      <c r="C1571" s="444"/>
      <c r="D1571" s="520"/>
      <c r="E1571" s="445"/>
      <c r="F1571" s="446"/>
      <c r="G1571" s="524"/>
      <c r="H1571" s="446"/>
      <c r="I1571" s="458"/>
      <c r="J1571" s="271" t="b">
        <f>Age_Sex22[[#This Row],[Total Spending After Applying Truncation at the Member Level]]+Age_Sex22[[#This Row],[Total Dollars Excluded from Spending After Applying Truncation at the Member Level]]=Age_Sex22[[#This Row],[Total Spending before Truncation is Applied]]</f>
        <v>1</v>
      </c>
    </row>
    <row r="1572" spans="1:10" x14ac:dyDescent="0.25">
      <c r="A1572" s="450"/>
      <c r="B1572" s="451"/>
      <c r="C1572" s="452"/>
      <c r="D1572" s="521"/>
      <c r="E1572" s="453"/>
      <c r="F1572" s="454"/>
      <c r="G1572" s="525"/>
      <c r="H1572" s="454"/>
      <c r="I1572" s="459"/>
      <c r="J1572" s="271" t="b">
        <f>Age_Sex22[[#This Row],[Total Spending After Applying Truncation at the Member Level]]+Age_Sex22[[#This Row],[Total Dollars Excluded from Spending After Applying Truncation at the Member Level]]=Age_Sex22[[#This Row],[Total Spending before Truncation is Applied]]</f>
        <v>1</v>
      </c>
    </row>
    <row r="1573" spans="1:10" x14ac:dyDescent="0.25">
      <c r="A1573" s="449"/>
      <c r="B1573" s="443"/>
      <c r="C1573" s="444"/>
      <c r="D1573" s="520"/>
      <c r="E1573" s="445"/>
      <c r="F1573" s="446"/>
      <c r="G1573" s="524"/>
      <c r="H1573" s="446"/>
      <c r="I1573" s="458"/>
      <c r="J1573" s="271" t="b">
        <f>Age_Sex22[[#This Row],[Total Spending After Applying Truncation at the Member Level]]+Age_Sex22[[#This Row],[Total Dollars Excluded from Spending After Applying Truncation at the Member Level]]=Age_Sex22[[#This Row],[Total Spending before Truncation is Applied]]</f>
        <v>1</v>
      </c>
    </row>
    <row r="1574" spans="1:10" x14ac:dyDescent="0.25">
      <c r="A1574" s="450"/>
      <c r="B1574" s="451"/>
      <c r="C1574" s="452"/>
      <c r="D1574" s="521"/>
      <c r="E1574" s="453"/>
      <c r="F1574" s="454"/>
      <c r="G1574" s="525"/>
      <c r="H1574" s="454"/>
      <c r="I1574" s="459"/>
      <c r="J1574" s="271" t="b">
        <f>Age_Sex22[[#This Row],[Total Spending After Applying Truncation at the Member Level]]+Age_Sex22[[#This Row],[Total Dollars Excluded from Spending After Applying Truncation at the Member Level]]=Age_Sex22[[#This Row],[Total Spending before Truncation is Applied]]</f>
        <v>1</v>
      </c>
    </row>
    <row r="1575" spans="1:10" x14ac:dyDescent="0.25">
      <c r="A1575" s="449"/>
      <c r="B1575" s="443"/>
      <c r="C1575" s="444"/>
      <c r="D1575" s="520"/>
      <c r="E1575" s="445"/>
      <c r="F1575" s="446"/>
      <c r="G1575" s="524"/>
      <c r="H1575" s="446"/>
      <c r="I1575" s="458"/>
      <c r="J1575" s="271" t="b">
        <f>Age_Sex22[[#This Row],[Total Spending After Applying Truncation at the Member Level]]+Age_Sex22[[#This Row],[Total Dollars Excluded from Spending After Applying Truncation at the Member Level]]=Age_Sex22[[#This Row],[Total Spending before Truncation is Applied]]</f>
        <v>1</v>
      </c>
    </row>
    <row r="1576" spans="1:10" x14ac:dyDescent="0.25">
      <c r="A1576" s="450"/>
      <c r="B1576" s="451"/>
      <c r="C1576" s="452"/>
      <c r="D1576" s="521"/>
      <c r="E1576" s="453"/>
      <c r="F1576" s="454"/>
      <c r="G1576" s="525"/>
      <c r="H1576" s="454"/>
      <c r="I1576" s="459"/>
      <c r="J1576" s="271" t="b">
        <f>Age_Sex22[[#This Row],[Total Spending After Applying Truncation at the Member Level]]+Age_Sex22[[#This Row],[Total Dollars Excluded from Spending After Applying Truncation at the Member Level]]=Age_Sex22[[#This Row],[Total Spending before Truncation is Applied]]</f>
        <v>1</v>
      </c>
    </row>
    <row r="1577" spans="1:10" x14ac:dyDescent="0.25">
      <c r="A1577" s="449"/>
      <c r="B1577" s="443"/>
      <c r="C1577" s="444"/>
      <c r="D1577" s="520"/>
      <c r="E1577" s="445"/>
      <c r="F1577" s="446"/>
      <c r="G1577" s="524"/>
      <c r="H1577" s="446"/>
      <c r="I1577" s="458"/>
      <c r="J1577" s="271" t="b">
        <f>Age_Sex22[[#This Row],[Total Spending After Applying Truncation at the Member Level]]+Age_Sex22[[#This Row],[Total Dollars Excluded from Spending After Applying Truncation at the Member Level]]=Age_Sex22[[#This Row],[Total Spending before Truncation is Applied]]</f>
        <v>1</v>
      </c>
    </row>
    <row r="1578" spans="1:10" x14ac:dyDescent="0.25">
      <c r="A1578" s="450"/>
      <c r="B1578" s="451"/>
      <c r="C1578" s="452"/>
      <c r="D1578" s="521"/>
      <c r="E1578" s="453"/>
      <c r="F1578" s="454"/>
      <c r="G1578" s="525"/>
      <c r="H1578" s="454"/>
      <c r="I1578" s="459"/>
      <c r="J1578" s="271" t="b">
        <f>Age_Sex22[[#This Row],[Total Spending After Applying Truncation at the Member Level]]+Age_Sex22[[#This Row],[Total Dollars Excluded from Spending After Applying Truncation at the Member Level]]=Age_Sex22[[#This Row],[Total Spending before Truncation is Applied]]</f>
        <v>1</v>
      </c>
    </row>
    <row r="1579" spans="1:10" x14ac:dyDescent="0.25">
      <c r="A1579" s="449"/>
      <c r="B1579" s="443"/>
      <c r="C1579" s="444"/>
      <c r="D1579" s="520"/>
      <c r="E1579" s="445"/>
      <c r="F1579" s="446"/>
      <c r="G1579" s="524"/>
      <c r="H1579" s="446"/>
      <c r="I1579" s="458"/>
      <c r="J1579" s="271" t="b">
        <f>Age_Sex22[[#This Row],[Total Spending After Applying Truncation at the Member Level]]+Age_Sex22[[#This Row],[Total Dollars Excluded from Spending After Applying Truncation at the Member Level]]=Age_Sex22[[#This Row],[Total Spending before Truncation is Applied]]</f>
        <v>1</v>
      </c>
    </row>
    <row r="1580" spans="1:10" x14ac:dyDescent="0.25">
      <c r="A1580" s="450"/>
      <c r="B1580" s="451"/>
      <c r="C1580" s="452"/>
      <c r="D1580" s="521"/>
      <c r="E1580" s="453"/>
      <c r="F1580" s="454"/>
      <c r="G1580" s="525"/>
      <c r="H1580" s="454"/>
      <c r="I1580" s="459"/>
      <c r="J1580" s="271" t="b">
        <f>Age_Sex22[[#This Row],[Total Spending After Applying Truncation at the Member Level]]+Age_Sex22[[#This Row],[Total Dollars Excluded from Spending After Applying Truncation at the Member Level]]=Age_Sex22[[#This Row],[Total Spending before Truncation is Applied]]</f>
        <v>1</v>
      </c>
    </row>
    <row r="1581" spans="1:10" x14ac:dyDescent="0.25">
      <c r="A1581" s="449"/>
      <c r="B1581" s="443"/>
      <c r="C1581" s="444"/>
      <c r="D1581" s="520"/>
      <c r="E1581" s="445"/>
      <c r="F1581" s="446"/>
      <c r="G1581" s="524"/>
      <c r="H1581" s="446"/>
      <c r="I1581" s="458"/>
      <c r="J1581" s="271" t="b">
        <f>Age_Sex22[[#This Row],[Total Spending After Applying Truncation at the Member Level]]+Age_Sex22[[#This Row],[Total Dollars Excluded from Spending After Applying Truncation at the Member Level]]=Age_Sex22[[#This Row],[Total Spending before Truncation is Applied]]</f>
        <v>1</v>
      </c>
    </row>
    <row r="1582" spans="1:10" x14ac:dyDescent="0.25">
      <c r="A1582" s="450"/>
      <c r="B1582" s="451"/>
      <c r="C1582" s="452"/>
      <c r="D1582" s="521"/>
      <c r="E1582" s="453"/>
      <c r="F1582" s="454"/>
      <c r="G1582" s="525"/>
      <c r="H1582" s="454"/>
      <c r="I1582" s="459"/>
      <c r="J1582" s="271" t="b">
        <f>Age_Sex22[[#This Row],[Total Spending After Applying Truncation at the Member Level]]+Age_Sex22[[#This Row],[Total Dollars Excluded from Spending After Applying Truncation at the Member Level]]=Age_Sex22[[#This Row],[Total Spending before Truncation is Applied]]</f>
        <v>1</v>
      </c>
    </row>
    <row r="1583" spans="1:10" x14ac:dyDescent="0.25">
      <c r="A1583" s="449"/>
      <c r="B1583" s="443"/>
      <c r="C1583" s="444"/>
      <c r="D1583" s="520"/>
      <c r="E1583" s="445"/>
      <c r="F1583" s="446"/>
      <c r="G1583" s="524"/>
      <c r="H1583" s="446"/>
      <c r="I1583" s="458"/>
      <c r="J1583" s="271" t="b">
        <f>Age_Sex22[[#This Row],[Total Spending After Applying Truncation at the Member Level]]+Age_Sex22[[#This Row],[Total Dollars Excluded from Spending After Applying Truncation at the Member Level]]=Age_Sex22[[#This Row],[Total Spending before Truncation is Applied]]</f>
        <v>1</v>
      </c>
    </row>
    <row r="1584" spans="1:10" x14ac:dyDescent="0.25">
      <c r="A1584" s="450"/>
      <c r="B1584" s="451"/>
      <c r="C1584" s="452"/>
      <c r="D1584" s="521"/>
      <c r="E1584" s="453"/>
      <c r="F1584" s="454"/>
      <c r="G1584" s="525"/>
      <c r="H1584" s="454"/>
      <c r="I1584" s="459"/>
      <c r="J1584" s="271" t="b">
        <f>Age_Sex22[[#This Row],[Total Spending After Applying Truncation at the Member Level]]+Age_Sex22[[#This Row],[Total Dollars Excluded from Spending After Applying Truncation at the Member Level]]=Age_Sex22[[#This Row],[Total Spending before Truncation is Applied]]</f>
        <v>1</v>
      </c>
    </row>
    <row r="1585" spans="1:10" x14ac:dyDescent="0.25">
      <c r="A1585" s="449"/>
      <c r="B1585" s="443"/>
      <c r="C1585" s="444"/>
      <c r="D1585" s="520"/>
      <c r="E1585" s="445"/>
      <c r="F1585" s="446"/>
      <c r="G1585" s="524"/>
      <c r="H1585" s="446"/>
      <c r="I1585" s="458"/>
      <c r="J1585" s="271" t="b">
        <f>Age_Sex22[[#This Row],[Total Spending After Applying Truncation at the Member Level]]+Age_Sex22[[#This Row],[Total Dollars Excluded from Spending After Applying Truncation at the Member Level]]=Age_Sex22[[#This Row],[Total Spending before Truncation is Applied]]</f>
        <v>1</v>
      </c>
    </row>
    <row r="1586" spans="1:10" x14ac:dyDescent="0.25">
      <c r="A1586" s="450"/>
      <c r="B1586" s="451"/>
      <c r="C1586" s="452"/>
      <c r="D1586" s="521"/>
      <c r="E1586" s="453"/>
      <c r="F1586" s="454"/>
      <c r="G1586" s="525"/>
      <c r="H1586" s="454"/>
      <c r="I1586" s="459"/>
      <c r="J1586" s="271" t="b">
        <f>Age_Sex22[[#This Row],[Total Spending After Applying Truncation at the Member Level]]+Age_Sex22[[#This Row],[Total Dollars Excluded from Spending After Applying Truncation at the Member Level]]=Age_Sex22[[#This Row],[Total Spending before Truncation is Applied]]</f>
        <v>1</v>
      </c>
    </row>
    <row r="1587" spans="1:10" x14ac:dyDescent="0.25">
      <c r="A1587" s="449"/>
      <c r="B1587" s="443"/>
      <c r="C1587" s="444"/>
      <c r="D1587" s="520"/>
      <c r="E1587" s="445"/>
      <c r="F1587" s="446"/>
      <c r="G1587" s="524"/>
      <c r="H1587" s="446"/>
      <c r="I1587" s="458"/>
      <c r="J1587" s="271" t="b">
        <f>Age_Sex22[[#This Row],[Total Spending After Applying Truncation at the Member Level]]+Age_Sex22[[#This Row],[Total Dollars Excluded from Spending After Applying Truncation at the Member Level]]=Age_Sex22[[#This Row],[Total Spending before Truncation is Applied]]</f>
        <v>1</v>
      </c>
    </row>
    <row r="1588" spans="1:10" x14ac:dyDescent="0.25">
      <c r="A1588" s="450"/>
      <c r="B1588" s="451"/>
      <c r="C1588" s="452"/>
      <c r="D1588" s="521"/>
      <c r="E1588" s="453"/>
      <c r="F1588" s="454"/>
      <c r="G1588" s="525"/>
      <c r="H1588" s="454"/>
      <c r="I1588" s="459"/>
      <c r="J1588" s="271" t="b">
        <f>Age_Sex22[[#This Row],[Total Spending After Applying Truncation at the Member Level]]+Age_Sex22[[#This Row],[Total Dollars Excluded from Spending After Applying Truncation at the Member Level]]=Age_Sex22[[#This Row],[Total Spending before Truncation is Applied]]</f>
        <v>1</v>
      </c>
    </row>
    <row r="1589" spans="1:10" x14ac:dyDescent="0.25">
      <c r="A1589" s="449"/>
      <c r="B1589" s="443"/>
      <c r="C1589" s="444"/>
      <c r="D1589" s="520"/>
      <c r="E1589" s="445"/>
      <c r="F1589" s="446"/>
      <c r="G1589" s="524"/>
      <c r="H1589" s="446"/>
      <c r="I1589" s="458"/>
      <c r="J1589" s="271" t="b">
        <f>Age_Sex22[[#This Row],[Total Spending After Applying Truncation at the Member Level]]+Age_Sex22[[#This Row],[Total Dollars Excluded from Spending After Applying Truncation at the Member Level]]=Age_Sex22[[#This Row],[Total Spending before Truncation is Applied]]</f>
        <v>1</v>
      </c>
    </row>
    <row r="1590" spans="1:10" x14ac:dyDescent="0.25">
      <c r="A1590" s="450"/>
      <c r="B1590" s="451"/>
      <c r="C1590" s="452"/>
      <c r="D1590" s="521"/>
      <c r="E1590" s="453"/>
      <c r="F1590" s="454"/>
      <c r="G1590" s="525"/>
      <c r="H1590" s="454"/>
      <c r="I1590" s="459"/>
      <c r="J1590" s="271" t="b">
        <f>Age_Sex22[[#This Row],[Total Spending After Applying Truncation at the Member Level]]+Age_Sex22[[#This Row],[Total Dollars Excluded from Spending After Applying Truncation at the Member Level]]=Age_Sex22[[#This Row],[Total Spending before Truncation is Applied]]</f>
        <v>1</v>
      </c>
    </row>
    <row r="1591" spans="1:10" x14ac:dyDescent="0.25">
      <c r="A1591" s="449"/>
      <c r="B1591" s="443"/>
      <c r="C1591" s="444"/>
      <c r="D1591" s="520"/>
      <c r="E1591" s="445"/>
      <c r="F1591" s="446"/>
      <c r="G1591" s="524"/>
      <c r="H1591" s="446"/>
      <c r="I1591" s="458"/>
      <c r="J1591" s="271" t="b">
        <f>Age_Sex22[[#This Row],[Total Spending After Applying Truncation at the Member Level]]+Age_Sex22[[#This Row],[Total Dollars Excluded from Spending After Applying Truncation at the Member Level]]=Age_Sex22[[#This Row],[Total Spending before Truncation is Applied]]</f>
        <v>1</v>
      </c>
    </row>
    <row r="1592" spans="1:10" x14ac:dyDescent="0.25">
      <c r="A1592" s="450"/>
      <c r="B1592" s="451"/>
      <c r="C1592" s="452"/>
      <c r="D1592" s="521"/>
      <c r="E1592" s="453"/>
      <c r="F1592" s="454"/>
      <c r="G1592" s="525"/>
      <c r="H1592" s="454"/>
      <c r="I1592" s="459"/>
      <c r="J1592" s="271" t="b">
        <f>Age_Sex22[[#This Row],[Total Spending After Applying Truncation at the Member Level]]+Age_Sex22[[#This Row],[Total Dollars Excluded from Spending After Applying Truncation at the Member Level]]=Age_Sex22[[#This Row],[Total Spending before Truncation is Applied]]</f>
        <v>1</v>
      </c>
    </row>
    <row r="1593" spans="1:10" x14ac:dyDescent="0.25">
      <c r="A1593" s="449"/>
      <c r="B1593" s="443"/>
      <c r="C1593" s="444"/>
      <c r="D1593" s="520"/>
      <c r="E1593" s="445"/>
      <c r="F1593" s="446"/>
      <c r="G1593" s="524"/>
      <c r="H1593" s="446"/>
      <c r="I1593" s="458"/>
      <c r="J1593" s="271" t="b">
        <f>Age_Sex22[[#This Row],[Total Spending After Applying Truncation at the Member Level]]+Age_Sex22[[#This Row],[Total Dollars Excluded from Spending After Applying Truncation at the Member Level]]=Age_Sex22[[#This Row],[Total Spending before Truncation is Applied]]</f>
        <v>1</v>
      </c>
    </row>
    <row r="1594" spans="1:10" x14ac:dyDescent="0.25">
      <c r="A1594" s="450"/>
      <c r="B1594" s="451"/>
      <c r="C1594" s="452"/>
      <c r="D1594" s="521"/>
      <c r="E1594" s="453"/>
      <c r="F1594" s="454"/>
      <c r="G1594" s="525"/>
      <c r="H1594" s="454"/>
      <c r="I1594" s="459"/>
      <c r="J1594" s="271" t="b">
        <f>Age_Sex22[[#This Row],[Total Spending After Applying Truncation at the Member Level]]+Age_Sex22[[#This Row],[Total Dollars Excluded from Spending After Applying Truncation at the Member Level]]=Age_Sex22[[#This Row],[Total Spending before Truncation is Applied]]</f>
        <v>1</v>
      </c>
    </row>
    <row r="1595" spans="1:10" x14ac:dyDescent="0.25">
      <c r="A1595" s="449"/>
      <c r="B1595" s="443"/>
      <c r="C1595" s="444"/>
      <c r="D1595" s="520"/>
      <c r="E1595" s="445"/>
      <c r="F1595" s="446"/>
      <c r="G1595" s="524"/>
      <c r="H1595" s="446"/>
      <c r="I1595" s="458"/>
      <c r="J1595" s="271" t="b">
        <f>Age_Sex22[[#This Row],[Total Spending After Applying Truncation at the Member Level]]+Age_Sex22[[#This Row],[Total Dollars Excluded from Spending After Applying Truncation at the Member Level]]=Age_Sex22[[#This Row],[Total Spending before Truncation is Applied]]</f>
        <v>1</v>
      </c>
    </row>
    <row r="1596" spans="1:10" x14ac:dyDescent="0.25">
      <c r="A1596" s="450"/>
      <c r="B1596" s="451"/>
      <c r="C1596" s="452"/>
      <c r="D1596" s="521"/>
      <c r="E1596" s="453"/>
      <c r="F1596" s="454"/>
      <c r="G1596" s="525"/>
      <c r="H1596" s="454"/>
      <c r="I1596" s="459"/>
      <c r="J1596" s="271" t="b">
        <f>Age_Sex22[[#This Row],[Total Spending After Applying Truncation at the Member Level]]+Age_Sex22[[#This Row],[Total Dollars Excluded from Spending After Applying Truncation at the Member Level]]=Age_Sex22[[#This Row],[Total Spending before Truncation is Applied]]</f>
        <v>1</v>
      </c>
    </row>
    <row r="1597" spans="1:10" x14ac:dyDescent="0.25">
      <c r="A1597" s="449"/>
      <c r="B1597" s="443"/>
      <c r="C1597" s="444"/>
      <c r="D1597" s="520"/>
      <c r="E1597" s="445"/>
      <c r="F1597" s="446"/>
      <c r="G1597" s="524"/>
      <c r="H1597" s="446"/>
      <c r="I1597" s="458"/>
      <c r="J1597" s="271" t="b">
        <f>Age_Sex22[[#This Row],[Total Spending After Applying Truncation at the Member Level]]+Age_Sex22[[#This Row],[Total Dollars Excluded from Spending After Applying Truncation at the Member Level]]=Age_Sex22[[#This Row],[Total Spending before Truncation is Applied]]</f>
        <v>1</v>
      </c>
    </row>
    <row r="1598" spans="1:10" x14ac:dyDescent="0.25">
      <c r="A1598" s="450"/>
      <c r="B1598" s="451"/>
      <c r="C1598" s="452"/>
      <c r="D1598" s="521"/>
      <c r="E1598" s="453"/>
      <c r="F1598" s="454"/>
      <c r="G1598" s="525"/>
      <c r="H1598" s="454"/>
      <c r="I1598" s="459"/>
      <c r="J1598" s="271" t="b">
        <f>Age_Sex22[[#This Row],[Total Spending After Applying Truncation at the Member Level]]+Age_Sex22[[#This Row],[Total Dollars Excluded from Spending After Applying Truncation at the Member Level]]=Age_Sex22[[#This Row],[Total Spending before Truncation is Applied]]</f>
        <v>1</v>
      </c>
    </row>
    <row r="1599" spans="1:10" x14ac:dyDescent="0.25">
      <c r="A1599" s="449"/>
      <c r="B1599" s="443"/>
      <c r="C1599" s="444"/>
      <c r="D1599" s="520"/>
      <c r="E1599" s="445"/>
      <c r="F1599" s="446"/>
      <c r="G1599" s="524"/>
      <c r="H1599" s="446"/>
      <c r="I1599" s="458"/>
      <c r="J1599" s="271" t="b">
        <f>Age_Sex22[[#This Row],[Total Spending After Applying Truncation at the Member Level]]+Age_Sex22[[#This Row],[Total Dollars Excluded from Spending After Applying Truncation at the Member Level]]=Age_Sex22[[#This Row],[Total Spending before Truncation is Applied]]</f>
        <v>1</v>
      </c>
    </row>
    <row r="1600" spans="1:10" x14ac:dyDescent="0.25">
      <c r="A1600" s="450"/>
      <c r="B1600" s="451"/>
      <c r="C1600" s="452"/>
      <c r="D1600" s="521"/>
      <c r="E1600" s="453"/>
      <c r="F1600" s="454"/>
      <c r="G1600" s="525"/>
      <c r="H1600" s="454"/>
      <c r="I1600" s="459"/>
      <c r="J1600" s="271" t="b">
        <f>Age_Sex22[[#This Row],[Total Spending After Applying Truncation at the Member Level]]+Age_Sex22[[#This Row],[Total Dollars Excluded from Spending After Applying Truncation at the Member Level]]=Age_Sex22[[#This Row],[Total Spending before Truncation is Applied]]</f>
        <v>1</v>
      </c>
    </row>
    <row r="1601" spans="1:10" x14ac:dyDescent="0.25">
      <c r="A1601" s="449"/>
      <c r="B1601" s="443"/>
      <c r="C1601" s="444"/>
      <c r="D1601" s="520"/>
      <c r="E1601" s="445"/>
      <c r="F1601" s="446"/>
      <c r="G1601" s="524"/>
      <c r="H1601" s="446"/>
      <c r="I1601" s="458"/>
      <c r="J1601" s="271" t="b">
        <f>Age_Sex22[[#This Row],[Total Spending After Applying Truncation at the Member Level]]+Age_Sex22[[#This Row],[Total Dollars Excluded from Spending After Applying Truncation at the Member Level]]=Age_Sex22[[#This Row],[Total Spending before Truncation is Applied]]</f>
        <v>1</v>
      </c>
    </row>
    <row r="1602" spans="1:10" x14ac:dyDescent="0.25">
      <c r="A1602" s="450"/>
      <c r="B1602" s="451"/>
      <c r="C1602" s="452"/>
      <c r="D1602" s="521"/>
      <c r="E1602" s="453"/>
      <c r="F1602" s="454"/>
      <c r="G1602" s="525"/>
      <c r="H1602" s="454"/>
      <c r="I1602" s="459"/>
      <c r="J1602" s="271" t="b">
        <f>Age_Sex22[[#This Row],[Total Spending After Applying Truncation at the Member Level]]+Age_Sex22[[#This Row],[Total Dollars Excluded from Spending After Applying Truncation at the Member Level]]=Age_Sex22[[#This Row],[Total Spending before Truncation is Applied]]</f>
        <v>1</v>
      </c>
    </row>
    <row r="1603" spans="1:10" x14ac:dyDescent="0.25">
      <c r="A1603" s="449"/>
      <c r="B1603" s="443"/>
      <c r="C1603" s="444"/>
      <c r="D1603" s="520"/>
      <c r="E1603" s="445"/>
      <c r="F1603" s="446"/>
      <c r="G1603" s="524"/>
      <c r="H1603" s="446"/>
      <c r="I1603" s="458"/>
      <c r="J1603" s="271" t="b">
        <f>Age_Sex22[[#This Row],[Total Spending After Applying Truncation at the Member Level]]+Age_Sex22[[#This Row],[Total Dollars Excluded from Spending After Applying Truncation at the Member Level]]=Age_Sex22[[#This Row],[Total Spending before Truncation is Applied]]</f>
        <v>1</v>
      </c>
    </row>
    <row r="1604" spans="1:10" x14ac:dyDescent="0.25">
      <c r="A1604" s="450"/>
      <c r="B1604" s="451"/>
      <c r="C1604" s="452"/>
      <c r="D1604" s="521"/>
      <c r="E1604" s="453"/>
      <c r="F1604" s="454"/>
      <c r="G1604" s="525"/>
      <c r="H1604" s="454"/>
      <c r="I1604" s="459"/>
      <c r="J1604" s="271" t="b">
        <f>Age_Sex22[[#This Row],[Total Spending After Applying Truncation at the Member Level]]+Age_Sex22[[#This Row],[Total Dollars Excluded from Spending After Applying Truncation at the Member Level]]=Age_Sex22[[#This Row],[Total Spending before Truncation is Applied]]</f>
        <v>1</v>
      </c>
    </row>
    <row r="1605" spans="1:10" x14ac:dyDescent="0.25">
      <c r="A1605" s="449"/>
      <c r="B1605" s="443"/>
      <c r="C1605" s="444"/>
      <c r="D1605" s="520"/>
      <c r="E1605" s="445"/>
      <c r="F1605" s="446"/>
      <c r="G1605" s="524"/>
      <c r="H1605" s="446"/>
      <c r="I1605" s="458"/>
      <c r="J1605" s="271" t="b">
        <f>Age_Sex22[[#This Row],[Total Spending After Applying Truncation at the Member Level]]+Age_Sex22[[#This Row],[Total Dollars Excluded from Spending After Applying Truncation at the Member Level]]=Age_Sex22[[#This Row],[Total Spending before Truncation is Applied]]</f>
        <v>1</v>
      </c>
    </row>
    <row r="1606" spans="1:10" x14ac:dyDescent="0.25">
      <c r="A1606" s="450"/>
      <c r="B1606" s="451"/>
      <c r="C1606" s="452"/>
      <c r="D1606" s="521"/>
      <c r="E1606" s="453"/>
      <c r="F1606" s="454"/>
      <c r="G1606" s="525"/>
      <c r="H1606" s="454"/>
      <c r="I1606" s="459"/>
      <c r="J1606" s="271" t="b">
        <f>Age_Sex22[[#This Row],[Total Spending After Applying Truncation at the Member Level]]+Age_Sex22[[#This Row],[Total Dollars Excluded from Spending After Applying Truncation at the Member Level]]=Age_Sex22[[#This Row],[Total Spending before Truncation is Applied]]</f>
        <v>1</v>
      </c>
    </row>
    <row r="1607" spans="1:10" x14ac:dyDescent="0.25">
      <c r="A1607" s="449"/>
      <c r="B1607" s="443"/>
      <c r="C1607" s="444"/>
      <c r="D1607" s="520"/>
      <c r="E1607" s="445"/>
      <c r="F1607" s="446"/>
      <c r="G1607" s="524"/>
      <c r="H1607" s="446"/>
      <c r="I1607" s="458"/>
      <c r="J1607" s="271" t="b">
        <f>Age_Sex22[[#This Row],[Total Spending After Applying Truncation at the Member Level]]+Age_Sex22[[#This Row],[Total Dollars Excluded from Spending After Applying Truncation at the Member Level]]=Age_Sex22[[#This Row],[Total Spending before Truncation is Applied]]</f>
        <v>1</v>
      </c>
    </row>
    <row r="1608" spans="1:10" x14ac:dyDescent="0.25">
      <c r="A1608" s="450"/>
      <c r="B1608" s="451"/>
      <c r="C1608" s="452"/>
      <c r="D1608" s="521"/>
      <c r="E1608" s="453"/>
      <c r="F1608" s="454"/>
      <c r="G1608" s="525"/>
      <c r="H1608" s="454"/>
      <c r="I1608" s="459"/>
      <c r="J1608" s="271" t="b">
        <f>Age_Sex22[[#This Row],[Total Spending After Applying Truncation at the Member Level]]+Age_Sex22[[#This Row],[Total Dollars Excluded from Spending After Applying Truncation at the Member Level]]=Age_Sex22[[#This Row],[Total Spending before Truncation is Applied]]</f>
        <v>1</v>
      </c>
    </row>
    <row r="1609" spans="1:10" x14ac:dyDescent="0.25">
      <c r="A1609" s="449"/>
      <c r="B1609" s="443"/>
      <c r="C1609" s="444"/>
      <c r="D1609" s="520"/>
      <c r="E1609" s="445"/>
      <c r="F1609" s="446"/>
      <c r="G1609" s="524"/>
      <c r="H1609" s="446"/>
      <c r="I1609" s="458"/>
      <c r="J1609" s="271" t="b">
        <f>Age_Sex22[[#This Row],[Total Spending After Applying Truncation at the Member Level]]+Age_Sex22[[#This Row],[Total Dollars Excluded from Spending After Applying Truncation at the Member Level]]=Age_Sex22[[#This Row],[Total Spending before Truncation is Applied]]</f>
        <v>1</v>
      </c>
    </row>
    <row r="1610" spans="1:10" x14ac:dyDescent="0.25">
      <c r="A1610" s="450"/>
      <c r="B1610" s="451"/>
      <c r="C1610" s="452"/>
      <c r="D1610" s="521"/>
      <c r="E1610" s="453"/>
      <c r="F1610" s="454"/>
      <c r="G1610" s="525"/>
      <c r="H1610" s="454"/>
      <c r="I1610" s="459"/>
      <c r="J1610" s="271" t="b">
        <f>Age_Sex22[[#This Row],[Total Spending After Applying Truncation at the Member Level]]+Age_Sex22[[#This Row],[Total Dollars Excluded from Spending After Applying Truncation at the Member Level]]=Age_Sex22[[#This Row],[Total Spending before Truncation is Applied]]</f>
        <v>1</v>
      </c>
    </row>
    <row r="1611" spans="1:10" x14ac:dyDescent="0.25">
      <c r="A1611" s="449"/>
      <c r="B1611" s="443"/>
      <c r="C1611" s="444"/>
      <c r="D1611" s="520"/>
      <c r="E1611" s="445"/>
      <c r="F1611" s="446"/>
      <c r="G1611" s="524"/>
      <c r="H1611" s="446"/>
      <c r="I1611" s="458"/>
      <c r="J1611" s="271" t="b">
        <f>Age_Sex22[[#This Row],[Total Spending After Applying Truncation at the Member Level]]+Age_Sex22[[#This Row],[Total Dollars Excluded from Spending After Applying Truncation at the Member Level]]=Age_Sex22[[#This Row],[Total Spending before Truncation is Applied]]</f>
        <v>1</v>
      </c>
    </row>
    <row r="1612" spans="1:10" x14ac:dyDescent="0.25">
      <c r="A1612" s="450"/>
      <c r="B1612" s="451"/>
      <c r="C1612" s="452"/>
      <c r="D1612" s="521"/>
      <c r="E1612" s="453"/>
      <c r="F1612" s="454"/>
      <c r="G1612" s="525"/>
      <c r="H1612" s="454"/>
      <c r="I1612" s="459"/>
      <c r="J1612" s="271" t="b">
        <f>Age_Sex22[[#This Row],[Total Spending After Applying Truncation at the Member Level]]+Age_Sex22[[#This Row],[Total Dollars Excluded from Spending After Applying Truncation at the Member Level]]=Age_Sex22[[#This Row],[Total Spending before Truncation is Applied]]</f>
        <v>1</v>
      </c>
    </row>
    <row r="1613" spans="1:10" x14ac:dyDescent="0.25">
      <c r="A1613" s="449"/>
      <c r="B1613" s="443"/>
      <c r="C1613" s="444"/>
      <c r="D1613" s="520"/>
      <c r="E1613" s="445"/>
      <c r="F1613" s="446"/>
      <c r="G1613" s="524"/>
      <c r="H1613" s="446"/>
      <c r="I1613" s="458"/>
      <c r="J1613" s="271" t="b">
        <f>Age_Sex22[[#This Row],[Total Spending After Applying Truncation at the Member Level]]+Age_Sex22[[#This Row],[Total Dollars Excluded from Spending After Applying Truncation at the Member Level]]=Age_Sex22[[#This Row],[Total Spending before Truncation is Applied]]</f>
        <v>1</v>
      </c>
    </row>
    <row r="1614" spans="1:10" x14ac:dyDescent="0.25">
      <c r="A1614" s="450"/>
      <c r="B1614" s="451"/>
      <c r="C1614" s="452"/>
      <c r="D1614" s="521"/>
      <c r="E1614" s="453"/>
      <c r="F1614" s="454"/>
      <c r="G1614" s="525"/>
      <c r="H1614" s="454"/>
      <c r="I1614" s="459"/>
      <c r="J1614" s="271" t="b">
        <f>Age_Sex22[[#This Row],[Total Spending After Applying Truncation at the Member Level]]+Age_Sex22[[#This Row],[Total Dollars Excluded from Spending After Applying Truncation at the Member Level]]=Age_Sex22[[#This Row],[Total Spending before Truncation is Applied]]</f>
        <v>1</v>
      </c>
    </row>
    <row r="1615" spans="1:10" x14ac:dyDescent="0.25">
      <c r="A1615" s="449"/>
      <c r="B1615" s="443"/>
      <c r="C1615" s="444"/>
      <c r="D1615" s="520"/>
      <c r="E1615" s="445"/>
      <c r="F1615" s="446"/>
      <c r="G1615" s="524"/>
      <c r="H1615" s="446"/>
      <c r="I1615" s="458"/>
      <c r="J1615" s="271" t="b">
        <f>Age_Sex22[[#This Row],[Total Spending After Applying Truncation at the Member Level]]+Age_Sex22[[#This Row],[Total Dollars Excluded from Spending After Applying Truncation at the Member Level]]=Age_Sex22[[#This Row],[Total Spending before Truncation is Applied]]</f>
        <v>1</v>
      </c>
    </row>
    <row r="1616" spans="1:10" x14ac:dyDescent="0.25">
      <c r="A1616" s="450"/>
      <c r="B1616" s="451"/>
      <c r="C1616" s="452"/>
      <c r="D1616" s="521"/>
      <c r="E1616" s="453"/>
      <c r="F1616" s="454"/>
      <c r="G1616" s="525"/>
      <c r="H1616" s="454"/>
      <c r="I1616" s="459"/>
      <c r="J1616" s="271" t="b">
        <f>Age_Sex22[[#This Row],[Total Spending After Applying Truncation at the Member Level]]+Age_Sex22[[#This Row],[Total Dollars Excluded from Spending After Applying Truncation at the Member Level]]=Age_Sex22[[#This Row],[Total Spending before Truncation is Applied]]</f>
        <v>1</v>
      </c>
    </row>
    <row r="1617" spans="1:10" x14ac:dyDescent="0.25">
      <c r="A1617" s="449"/>
      <c r="B1617" s="443"/>
      <c r="C1617" s="444"/>
      <c r="D1617" s="520"/>
      <c r="E1617" s="445"/>
      <c r="F1617" s="446"/>
      <c r="G1617" s="524"/>
      <c r="H1617" s="446"/>
      <c r="I1617" s="458"/>
      <c r="J1617" s="271" t="b">
        <f>Age_Sex22[[#This Row],[Total Spending After Applying Truncation at the Member Level]]+Age_Sex22[[#This Row],[Total Dollars Excluded from Spending After Applying Truncation at the Member Level]]=Age_Sex22[[#This Row],[Total Spending before Truncation is Applied]]</f>
        <v>1</v>
      </c>
    </row>
    <row r="1618" spans="1:10" x14ac:dyDescent="0.25">
      <c r="A1618" s="450"/>
      <c r="B1618" s="451"/>
      <c r="C1618" s="452"/>
      <c r="D1618" s="521"/>
      <c r="E1618" s="453"/>
      <c r="F1618" s="454"/>
      <c r="G1618" s="525"/>
      <c r="H1618" s="454"/>
      <c r="I1618" s="459"/>
      <c r="J1618" s="271" t="b">
        <f>Age_Sex22[[#This Row],[Total Spending After Applying Truncation at the Member Level]]+Age_Sex22[[#This Row],[Total Dollars Excluded from Spending After Applying Truncation at the Member Level]]=Age_Sex22[[#This Row],[Total Spending before Truncation is Applied]]</f>
        <v>1</v>
      </c>
    </row>
    <row r="1619" spans="1:10" x14ac:dyDescent="0.25">
      <c r="A1619" s="449"/>
      <c r="B1619" s="443"/>
      <c r="C1619" s="444"/>
      <c r="D1619" s="520"/>
      <c r="E1619" s="445"/>
      <c r="F1619" s="446"/>
      <c r="G1619" s="524"/>
      <c r="H1619" s="446"/>
      <c r="I1619" s="458"/>
      <c r="J1619" s="271" t="b">
        <f>Age_Sex22[[#This Row],[Total Spending After Applying Truncation at the Member Level]]+Age_Sex22[[#This Row],[Total Dollars Excluded from Spending After Applying Truncation at the Member Level]]=Age_Sex22[[#This Row],[Total Spending before Truncation is Applied]]</f>
        <v>1</v>
      </c>
    </row>
    <row r="1620" spans="1:10" x14ac:dyDescent="0.25">
      <c r="A1620" s="450"/>
      <c r="B1620" s="451"/>
      <c r="C1620" s="452"/>
      <c r="D1620" s="521"/>
      <c r="E1620" s="453"/>
      <c r="F1620" s="454"/>
      <c r="G1620" s="525"/>
      <c r="H1620" s="454"/>
      <c r="I1620" s="459"/>
      <c r="J1620" s="271" t="b">
        <f>Age_Sex22[[#This Row],[Total Spending After Applying Truncation at the Member Level]]+Age_Sex22[[#This Row],[Total Dollars Excluded from Spending After Applying Truncation at the Member Level]]=Age_Sex22[[#This Row],[Total Spending before Truncation is Applied]]</f>
        <v>1</v>
      </c>
    </row>
    <row r="1621" spans="1:10" x14ac:dyDescent="0.25">
      <c r="A1621" s="449"/>
      <c r="B1621" s="443"/>
      <c r="C1621" s="444"/>
      <c r="D1621" s="520"/>
      <c r="E1621" s="445"/>
      <c r="F1621" s="446"/>
      <c r="G1621" s="524"/>
      <c r="H1621" s="446"/>
      <c r="I1621" s="458"/>
      <c r="J1621" s="271" t="b">
        <f>Age_Sex22[[#This Row],[Total Spending After Applying Truncation at the Member Level]]+Age_Sex22[[#This Row],[Total Dollars Excluded from Spending After Applying Truncation at the Member Level]]=Age_Sex22[[#This Row],[Total Spending before Truncation is Applied]]</f>
        <v>1</v>
      </c>
    </row>
    <row r="1622" spans="1:10" x14ac:dyDescent="0.25">
      <c r="A1622" s="450"/>
      <c r="B1622" s="451"/>
      <c r="C1622" s="452"/>
      <c r="D1622" s="521"/>
      <c r="E1622" s="453"/>
      <c r="F1622" s="454"/>
      <c r="G1622" s="525"/>
      <c r="H1622" s="454"/>
      <c r="I1622" s="459"/>
      <c r="J1622" s="271" t="b">
        <f>Age_Sex22[[#This Row],[Total Spending After Applying Truncation at the Member Level]]+Age_Sex22[[#This Row],[Total Dollars Excluded from Spending After Applying Truncation at the Member Level]]=Age_Sex22[[#This Row],[Total Spending before Truncation is Applied]]</f>
        <v>1</v>
      </c>
    </row>
    <row r="1623" spans="1:10" x14ac:dyDescent="0.25">
      <c r="A1623" s="449"/>
      <c r="B1623" s="443"/>
      <c r="C1623" s="444"/>
      <c r="D1623" s="520"/>
      <c r="E1623" s="445"/>
      <c r="F1623" s="446"/>
      <c r="G1623" s="524"/>
      <c r="H1623" s="446"/>
      <c r="I1623" s="458"/>
      <c r="J1623" s="271" t="b">
        <f>Age_Sex22[[#This Row],[Total Spending After Applying Truncation at the Member Level]]+Age_Sex22[[#This Row],[Total Dollars Excluded from Spending After Applying Truncation at the Member Level]]=Age_Sex22[[#This Row],[Total Spending before Truncation is Applied]]</f>
        <v>1</v>
      </c>
    </row>
    <row r="1624" spans="1:10" x14ac:dyDescent="0.25">
      <c r="A1624" s="450"/>
      <c r="B1624" s="451"/>
      <c r="C1624" s="452"/>
      <c r="D1624" s="521"/>
      <c r="E1624" s="453"/>
      <c r="F1624" s="454"/>
      <c r="G1624" s="525"/>
      <c r="H1624" s="454"/>
      <c r="I1624" s="459"/>
      <c r="J1624" s="271" t="b">
        <f>Age_Sex22[[#This Row],[Total Spending After Applying Truncation at the Member Level]]+Age_Sex22[[#This Row],[Total Dollars Excluded from Spending After Applying Truncation at the Member Level]]=Age_Sex22[[#This Row],[Total Spending before Truncation is Applied]]</f>
        <v>1</v>
      </c>
    </row>
    <row r="1625" spans="1:10" x14ac:dyDescent="0.25">
      <c r="A1625" s="449"/>
      <c r="B1625" s="443"/>
      <c r="C1625" s="444"/>
      <c r="D1625" s="520"/>
      <c r="E1625" s="445"/>
      <c r="F1625" s="446"/>
      <c r="G1625" s="524"/>
      <c r="H1625" s="446"/>
      <c r="I1625" s="458"/>
      <c r="J1625" s="271" t="b">
        <f>Age_Sex22[[#This Row],[Total Spending After Applying Truncation at the Member Level]]+Age_Sex22[[#This Row],[Total Dollars Excluded from Spending After Applying Truncation at the Member Level]]=Age_Sex22[[#This Row],[Total Spending before Truncation is Applied]]</f>
        <v>1</v>
      </c>
    </row>
    <row r="1626" spans="1:10" x14ac:dyDescent="0.25">
      <c r="A1626" s="450"/>
      <c r="B1626" s="451"/>
      <c r="C1626" s="452"/>
      <c r="D1626" s="521"/>
      <c r="E1626" s="453"/>
      <c r="F1626" s="454"/>
      <c r="G1626" s="525"/>
      <c r="H1626" s="454"/>
      <c r="I1626" s="459"/>
      <c r="J1626" s="271" t="b">
        <f>Age_Sex22[[#This Row],[Total Spending After Applying Truncation at the Member Level]]+Age_Sex22[[#This Row],[Total Dollars Excluded from Spending After Applying Truncation at the Member Level]]=Age_Sex22[[#This Row],[Total Spending before Truncation is Applied]]</f>
        <v>1</v>
      </c>
    </row>
    <row r="1627" spans="1:10" x14ac:dyDescent="0.25">
      <c r="A1627" s="449"/>
      <c r="B1627" s="443"/>
      <c r="C1627" s="444"/>
      <c r="D1627" s="520"/>
      <c r="E1627" s="445"/>
      <c r="F1627" s="446"/>
      <c r="G1627" s="524"/>
      <c r="H1627" s="446"/>
      <c r="I1627" s="458"/>
      <c r="J1627" s="271" t="b">
        <f>Age_Sex22[[#This Row],[Total Spending After Applying Truncation at the Member Level]]+Age_Sex22[[#This Row],[Total Dollars Excluded from Spending After Applying Truncation at the Member Level]]=Age_Sex22[[#This Row],[Total Spending before Truncation is Applied]]</f>
        <v>1</v>
      </c>
    </row>
    <row r="1628" spans="1:10" x14ac:dyDescent="0.25">
      <c r="A1628" s="450"/>
      <c r="B1628" s="451"/>
      <c r="C1628" s="452"/>
      <c r="D1628" s="521"/>
      <c r="E1628" s="453"/>
      <c r="F1628" s="454"/>
      <c r="G1628" s="525"/>
      <c r="H1628" s="454"/>
      <c r="I1628" s="459"/>
      <c r="J1628" s="271" t="b">
        <f>Age_Sex22[[#This Row],[Total Spending After Applying Truncation at the Member Level]]+Age_Sex22[[#This Row],[Total Dollars Excluded from Spending After Applying Truncation at the Member Level]]=Age_Sex22[[#This Row],[Total Spending before Truncation is Applied]]</f>
        <v>1</v>
      </c>
    </row>
    <row r="1629" spans="1:10" x14ac:dyDescent="0.25">
      <c r="A1629" s="449"/>
      <c r="B1629" s="443"/>
      <c r="C1629" s="444"/>
      <c r="D1629" s="520"/>
      <c r="E1629" s="445"/>
      <c r="F1629" s="446"/>
      <c r="G1629" s="524"/>
      <c r="H1629" s="446"/>
      <c r="I1629" s="458"/>
      <c r="J1629" s="271" t="b">
        <f>Age_Sex22[[#This Row],[Total Spending After Applying Truncation at the Member Level]]+Age_Sex22[[#This Row],[Total Dollars Excluded from Spending After Applying Truncation at the Member Level]]=Age_Sex22[[#This Row],[Total Spending before Truncation is Applied]]</f>
        <v>1</v>
      </c>
    </row>
    <row r="1630" spans="1:10" x14ac:dyDescent="0.25">
      <c r="A1630" s="450"/>
      <c r="B1630" s="451"/>
      <c r="C1630" s="452"/>
      <c r="D1630" s="521"/>
      <c r="E1630" s="453"/>
      <c r="F1630" s="454"/>
      <c r="G1630" s="525"/>
      <c r="H1630" s="454"/>
      <c r="I1630" s="459"/>
      <c r="J1630" s="271" t="b">
        <f>Age_Sex22[[#This Row],[Total Spending After Applying Truncation at the Member Level]]+Age_Sex22[[#This Row],[Total Dollars Excluded from Spending After Applying Truncation at the Member Level]]=Age_Sex22[[#This Row],[Total Spending before Truncation is Applied]]</f>
        <v>1</v>
      </c>
    </row>
    <row r="1631" spans="1:10" x14ac:dyDescent="0.25">
      <c r="A1631" s="449"/>
      <c r="B1631" s="443"/>
      <c r="C1631" s="444"/>
      <c r="D1631" s="520"/>
      <c r="E1631" s="445"/>
      <c r="F1631" s="446"/>
      <c r="G1631" s="524"/>
      <c r="H1631" s="446"/>
      <c r="I1631" s="458"/>
      <c r="J1631" s="271" t="b">
        <f>Age_Sex22[[#This Row],[Total Spending After Applying Truncation at the Member Level]]+Age_Sex22[[#This Row],[Total Dollars Excluded from Spending After Applying Truncation at the Member Level]]=Age_Sex22[[#This Row],[Total Spending before Truncation is Applied]]</f>
        <v>1</v>
      </c>
    </row>
    <row r="1632" spans="1:10" x14ac:dyDescent="0.25">
      <c r="A1632" s="450"/>
      <c r="B1632" s="451"/>
      <c r="C1632" s="452"/>
      <c r="D1632" s="521"/>
      <c r="E1632" s="453"/>
      <c r="F1632" s="454"/>
      <c r="G1632" s="525"/>
      <c r="H1632" s="454"/>
      <c r="I1632" s="459"/>
      <c r="J1632" s="271" t="b">
        <f>Age_Sex22[[#This Row],[Total Spending After Applying Truncation at the Member Level]]+Age_Sex22[[#This Row],[Total Dollars Excluded from Spending After Applying Truncation at the Member Level]]=Age_Sex22[[#This Row],[Total Spending before Truncation is Applied]]</f>
        <v>1</v>
      </c>
    </row>
    <row r="1633" spans="1:10" x14ac:dyDescent="0.25">
      <c r="A1633" s="449"/>
      <c r="B1633" s="443"/>
      <c r="C1633" s="444"/>
      <c r="D1633" s="520"/>
      <c r="E1633" s="445"/>
      <c r="F1633" s="446"/>
      <c r="G1633" s="524"/>
      <c r="H1633" s="446"/>
      <c r="I1633" s="458"/>
      <c r="J1633" s="271" t="b">
        <f>Age_Sex22[[#This Row],[Total Spending After Applying Truncation at the Member Level]]+Age_Sex22[[#This Row],[Total Dollars Excluded from Spending After Applying Truncation at the Member Level]]=Age_Sex22[[#This Row],[Total Spending before Truncation is Applied]]</f>
        <v>1</v>
      </c>
    </row>
    <row r="1634" spans="1:10" x14ac:dyDescent="0.25">
      <c r="A1634" s="450"/>
      <c r="B1634" s="451"/>
      <c r="C1634" s="452"/>
      <c r="D1634" s="521"/>
      <c r="E1634" s="453"/>
      <c r="F1634" s="454"/>
      <c r="G1634" s="525"/>
      <c r="H1634" s="454"/>
      <c r="I1634" s="459"/>
      <c r="J1634" s="271" t="b">
        <f>Age_Sex22[[#This Row],[Total Spending After Applying Truncation at the Member Level]]+Age_Sex22[[#This Row],[Total Dollars Excluded from Spending After Applying Truncation at the Member Level]]=Age_Sex22[[#This Row],[Total Spending before Truncation is Applied]]</f>
        <v>1</v>
      </c>
    </row>
    <row r="1635" spans="1:10" x14ac:dyDescent="0.25">
      <c r="A1635" s="449"/>
      <c r="B1635" s="443"/>
      <c r="C1635" s="444"/>
      <c r="D1635" s="520"/>
      <c r="E1635" s="445"/>
      <c r="F1635" s="446"/>
      <c r="G1635" s="524"/>
      <c r="H1635" s="446"/>
      <c r="I1635" s="458"/>
      <c r="J1635" s="271" t="b">
        <f>Age_Sex22[[#This Row],[Total Spending After Applying Truncation at the Member Level]]+Age_Sex22[[#This Row],[Total Dollars Excluded from Spending After Applying Truncation at the Member Level]]=Age_Sex22[[#This Row],[Total Spending before Truncation is Applied]]</f>
        <v>1</v>
      </c>
    </row>
    <row r="1636" spans="1:10" x14ac:dyDescent="0.25">
      <c r="A1636" s="450"/>
      <c r="B1636" s="451"/>
      <c r="C1636" s="452"/>
      <c r="D1636" s="521"/>
      <c r="E1636" s="453"/>
      <c r="F1636" s="454"/>
      <c r="G1636" s="525"/>
      <c r="H1636" s="454"/>
      <c r="I1636" s="459"/>
      <c r="J1636" s="271" t="b">
        <f>Age_Sex22[[#This Row],[Total Spending After Applying Truncation at the Member Level]]+Age_Sex22[[#This Row],[Total Dollars Excluded from Spending After Applying Truncation at the Member Level]]=Age_Sex22[[#This Row],[Total Spending before Truncation is Applied]]</f>
        <v>1</v>
      </c>
    </row>
    <row r="1637" spans="1:10" x14ac:dyDescent="0.25">
      <c r="A1637" s="449"/>
      <c r="B1637" s="443"/>
      <c r="C1637" s="444"/>
      <c r="D1637" s="520"/>
      <c r="E1637" s="445"/>
      <c r="F1637" s="446"/>
      <c r="G1637" s="524"/>
      <c r="H1637" s="446"/>
      <c r="I1637" s="458"/>
      <c r="J1637" s="271" t="b">
        <f>Age_Sex22[[#This Row],[Total Spending After Applying Truncation at the Member Level]]+Age_Sex22[[#This Row],[Total Dollars Excluded from Spending After Applying Truncation at the Member Level]]=Age_Sex22[[#This Row],[Total Spending before Truncation is Applied]]</f>
        <v>1</v>
      </c>
    </row>
    <row r="1638" spans="1:10" x14ac:dyDescent="0.25">
      <c r="A1638" s="450"/>
      <c r="B1638" s="451"/>
      <c r="C1638" s="452"/>
      <c r="D1638" s="521"/>
      <c r="E1638" s="453"/>
      <c r="F1638" s="454"/>
      <c r="G1638" s="525"/>
      <c r="H1638" s="454"/>
      <c r="I1638" s="459"/>
      <c r="J1638" s="271" t="b">
        <f>Age_Sex22[[#This Row],[Total Spending After Applying Truncation at the Member Level]]+Age_Sex22[[#This Row],[Total Dollars Excluded from Spending After Applying Truncation at the Member Level]]=Age_Sex22[[#This Row],[Total Spending before Truncation is Applied]]</f>
        <v>1</v>
      </c>
    </row>
    <row r="1639" spans="1:10" x14ac:dyDescent="0.25">
      <c r="A1639" s="449"/>
      <c r="B1639" s="443"/>
      <c r="C1639" s="444"/>
      <c r="D1639" s="520"/>
      <c r="E1639" s="445"/>
      <c r="F1639" s="446"/>
      <c r="G1639" s="524"/>
      <c r="H1639" s="446"/>
      <c r="I1639" s="458"/>
      <c r="J1639" s="271" t="b">
        <f>Age_Sex22[[#This Row],[Total Spending After Applying Truncation at the Member Level]]+Age_Sex22[[#This Row],[Total Dollars Excluded from Spending After Applying Truncation at the Member Level]]=Age_Sex22[[#This Row],[Total Spending before Truncation is Applied]]</f>
        <v>1</v>
      </c>
    </row>
    <row r="1640" spans="1:10" x14ac:dyDescent="0.25">
      <c r="A1640" s="450"/>
      <c r="B1640" s="451"/>
      <c r="C1640" s="452"/>
      <c r="D1640" s="521"/>
      <c r="E1640" s="453"/>
      <c r="F1640" s="454"/>
      <c r="G1640" s="525"/>
      <c r="H1640" s="454"/>
      <c r="I1640" s="459"/>
      <c r="J1640" s="271" t="b">
        <f>Age_Sex22[[#This Row],[Total Spending After Applying Truncation at the Member Level]]+Age_Sex22[[#This Row],[Total Dollars Excluded from Spending After Applying Truncation at the Member Level]]=Age_Sex22[[#This Row],[Total Spending before Truncation is Applied]]</f>
        <v>1</v>
      </c>
    </row>
    <row r="1641" spans="1:10" x14ac:dyDescent="0.25">
      <c r="A1641" s="449"/>
      <c r="B1641" s="443"/>
      <c r="C1641" s="444"/>
      <c r="D1641" s="520"/>
      <c r="E1641" s="445"/>
      <c r="F1641" s="446"/>
      <c r="G1641" s="524"/>
      <c r="H1641" s="446"/>
      <c r="I1641" s="458"/>
      <c r="J1641" s="271" t="b">
        <f>Age_Sex22[[#This Row],[Total Spending After Applying Truncation at the Member Level]]+Age_Sex22[[#This Row],[Total Dollars Excluded from Spending After Applying Truncation at the Member Level]]=Age_Sex22[[#This Row],[Total Spending before Truncation is Applied]]</f>
        <v>1</v>
      </c>
    </row>
    <row r="1642" spans="1:10" x14ac:dyDescent="0.25">
      <c r="A1642" s="450"/>
      <c r="B1642" s="451"/>
      <c r="C1642" s="452"/>
      <c r="D1642" s="521"/>
      <c r="E1642" s="453"/>
      <c r="F1642" s="454"/>
      <c r="G1642" s="525"/>
      <c r="H1642" s="454"/>
      <c r="I1642" s="459"/>
      <c r="J1642" s="271" t="b">
        <f>Age_Sex22[[#This Row],[Total Spending After Applying Truncation at the Member Level]]+Age_Sex22[[#This Row],[Total Dollars Excluded from Spending After Applying Truncation at the Member Level]]=Age_Sex22[[#This Row],[Total Spending before Truncation is Applied]]</f>
        <v>1</v>
      </c>
    </row>
    <row r="1643" spans="1:10" x14ac:dyDescent="0.25">
      <c r="A1643" s="449"/>
      <c r="B1643" s="443"/>
      <c r="C1643" s="444"/>
      <c r="D1643" s="520"/>
      <c r="E1643" s="445"/>
      <c r="F1643" s="446"/>
      <c r="G1643" s="524"/>
      <c r="H1643" s="446"/>
      <c r="I1643" s="458"/>
      <c r="J1643" s="271" t="b">
        <f>Age_Sex22[[#This Row],[Total Spending After Applying Truncation at the Member Level]]+Age_Sex22[[#This Row],[Total Dollars Excluded from Spending After Applying Truncation at the Member Level]]=Age_Sex22[[#This Row],[Total Spending before Truncation is Applied]]</f>
        <v>1</v>
      </c>
    </row>
    <row r="1644" spans="1:10" x14ac:dyDescent="0.25">
      <c r="A1644" s="450"/>
      <c r="B1644" s="451"/>
      <c r="C1644" s="452"/>
      <c r="D1644" s="521"/>
      <c r="E1644" s="453"/>
      <c r="F1644" s="454"/>
      <c r="G1644" s="525"/>
      <c r="H1644" s="454"/>
      <c r="I1644" s="459"/>
      <c r="J1644" s="271" t="b">
        <f>Age_Sex22[[#This Row],[Total Spending After Applying Truncation at the Member Level]]+Age_Sex22[[#This Row],[Total Dollars Excluded from Spending After Applying Truncation at the Member Level]]=Age_Sex22[[#This Row],[Total Spending before Truncation is Applied]]</f>
        <v>1</v>
      </c>
    </row>
    <row r="1645" spans="1:10" x14ac:dyDescent="0.25">
      <c r="A1645" s="449"/>
      <c r="B1645" s="443"/>
      <c r="C1645" s="444"/>
      <c r="D1645" s="520"/>
      <c r="E1645" s="445"/>
      <c r="F1645" s="446"/>
      <c r="G1645" s="524"/>
      <c r="H1645" s="446"/>
      <c r="I1645" s="458"/>
      <c r="J1645" s="271" t="b">
        <f>Age_Sex22[[#This Row],[Total Spending After Applying Truncation at the Member Level]]+Age_Sex22[[#This Row],[Total Dollars Excluded from Spending After Applying Truncation at the Member Level]]=Age_Sex22[[#This Row],[Total Spending before Truncation is Applied]]</f>
        <v>1</v>
      </c>
    </row>
    <row r="1646" spans="1:10" x14ac:dyDescent="0.25">
      <c r="A1646" s="450"/>
      <c r="B1646" s="451"/>
      <c r="C1646" s="452"/>
      <c r="D1646" s="521"/>
      <c r="E1646" s="453"/>
      <c r="F1646" s="454"/>
      <c r="G1646" s="525"/>
      <c r="H1646" s="454"/>
      <c r="I1646" s="459"/>
      <c r="J1646" s="271" t="b">
        <f>Age_Sex22[[#This Row],[Total Spending After Applying Truncation at the Member Level]]+Age_Sex22[[#This Row],[Total Dollars Excluded from Spending After Applying Truncation at the Member Level]]=Age_Sex22[[#This Row],[Total Spending before Truncation is Applied]]</f>
        <v>1</v>
      </c>
    </row>
    <row r="1647" spans="1:10" x14ac:dyDescent="0.25">
      <c r="A1647" s="449"/>
      <c r="B1647" s="443"/>
      <c r="C1647" s="444"/>
      <c r="D1647" s="520"/>
      <c r="E1647" s="445"/>
      <c r="F1647" s="446"/>
      <c r="G1647" s="524"/>
      <c r="H1647" s="446"/>
      <c r="I1647" s="458"/>
      <c r="J1647" s="271" t="b">
        <f>Age_Sex22[[#This Row],[Total Spending After Applying Truncation at the Member Level]]+Age_Sex22[[#This Row],[Total Dollars Excluded from Spending After Applying Truncation at the Member Level]]=Age_Sex22[[#This Row],[Total Spending before Truncation is Applied]]</f>
        <v>1</v>
      </c>
    </row>
    <row r="1648" spans="1:10" x14ac:dyDescent="0.25">
      <c r="A1648" s="450"/>
      <c r="B1648" s="451"/>
      <c r="C1648" s="452"/>
      <c r="D1648" s="521"/>
      <c r="E1648" s="453"/>
      <c r="F1648" s="454"/>
      <c r="G1648" s="525"/>
      <c r="H1648" s="454"/>
      <c r="I1648" s="459"/>
      <c r="J1648" s="271" t="b">
        <f>Age_Sex22[[#This Row],[Total Spending After Applying Truncation at the Member Level]]+Age_Sex22[[#This Row],[Total Dollars Excluded from Spending After Applying Truncation at the Member Level]]=Age_Sex22[[#This Row],[Total Spending before Truncation is Applied]]</f>
        <v>1</v>
      </c>
    </row>
    <row r="1649" spans="1:10" x14ac:dyDescent="0.25">
      <c r="A1649" s="449"/>
      <c r="B1649" s="443"/>
      <c r="C1649" s="444"/>
      <c r="D1649" s="520"/>
      <c r="E1649" s="445"/>
      <c r="F1649" s="446"/>
      <c r="G1649" s="524"/>
      <c r="H1649" s="446"/>
      <c r="I1649" s="458"/>
      <c r="J1649" s="271" t="b">
        <f>Age_Sex22[[#This Row],[Total Spending After Applying Truncation at the Member Level]]+Age_Sex22[[#This Row],[Total Dollars Excluded from Spending After Applying Truncation at the Member Level]]=Age_Sex22[[#This Row],[Total Spending before Truncation is Applied]]</f>
        <v>1</v>
      </c>
    </row>
    <row r="1650" spans="1:10" x14ac:dyDescent="0.25">
      <c r="A1650" s="450"/>
      <c r="B1650" s="451"/>
      <c r="C1650" s="452"/>
      <c r="D1650" s="521"/>
      <c r="E1650" s="453"/>
      <c r="F1650" s="454"/>
      <c r="G1650" s="525"/>
      <c r="H1650" s="454"/>
      <c r="I1650" s="459"/>
      <c r="J1650" s="271" t="b">
        <f>Age_Sex22[[#This Row],[Total Spending After Applying Truncation at the Member Level]]+Age_Sex22[[#This Row],[Total Dollars Excluded from Spending After Applying Truncation at the Member Level]]=Age_Sex22[[#This Row],[Total Spending before Truncation is Applied]]</f>
        <v>1</v>
      </c>
    </row>
    <row r="1651" spans="1:10" x14ac:dyDescent="0.25">
      <c r="A1651" s="449"/>
      <c r="B1651" s="443"/>
      <c r="C1651" s="444"/>
      <c r="D1651" s="520"/>
      <c r="E1651" s="445"/>
      <c r="F1651" s="446"/>
      <c r="G1651" s="524"/>
      <c r="H1651" s="446"/>
      <c r="I1651" s="458"/>
      <c r="J1651" s="271" t="b">
        <f>Age_Sex22[[#This Row],[Total Spending After Applying Truncation at the Member Level]]+Age_Sex22[[#This Row],[Total Dollars Excluded from Spending After Applying Truncation at the Member Level]]=Age_Sex22[[#This Row],[Total Spending before Truncation is Applied]]</f>
        <v>1</v>
      </c>
    </row>
    <row r="1652" spans="1:10" x14ac:dyDescent="0.25">
      <c r="A1652" s="450"/>
      <c r="B1652" s="451"/>
      <c r="C1652" s="452"/>
      <c r="D1652" s="521"/>
      <c r="E1652" s="453"/>
      <c r="F1652" s="454"/>
      <c r="G1652" s="525"/>
      <c r="H1652" s="454"/>
      <c r="I1652" s="459"/>
      <c r="J1652" s="271" t="b">
        <f>Age_Sex22[[#This Row],[Total Spending After Applying Truncation at the Member Level]]+Age_Sex22[[#This Row],[Total Dollars Excluded from Spending After Applying Truncation at the Member Level]]=Age_Sex22[[#This Row],[Total Spending before Truncation is Applied]]</f>
        <v>1</v>
      </c>
    </row>
    <row r="1653" spans="1:10" x14ac:dyDescent="0.25">
      <c r="A1653" s="449"/>
      <c r="B1653" s="443"/>
      <c r="C1653" s="444"/>
      <c r="D1653" s="520"/>
      <c r="E1653" s="445"/>
      <c r="F1653" s="446"/>
      <c r="G1653" s="524"/>
      <c r="H1653" s="446"/>
      <c r="I1653" s="458"/>
      <c r="J1653" s="271" t="b">
        <f>Age_Sex22[[#This Row],[Total Spending After Applying Truncation at the Member Level]]+Age_Sex22[[#This Row],[Total Dollars Excluded from Spending After Applying Truncation at the Member Level]]=Age_Sex22[[#This Row],[Total Spending before Truncation is Applied]]</f>
        <v>1</v>
      </c>
    </row>
    <row r="1654" spans="1:10" x14ac:dyDescent="0.25">
      <c r="A1654" s="450"/>
      <c r="B1654" s="451"/>
      <c r="C1654" s="452"/>
      <c r="D1654" s="521"/>
      <c r="E1654" s="453"/>
      <c r="F1654" s="454"/>
      <c r="G1654" s="525"/>
      <c r="H1654" s="454"/>
      <c r="I1654" s="459"/>
      <c r="J1654" s="271" t="b">
        <f>Age_Sex22[[#This Row],[Total Spending After Applying Truncation at the Member Level]]+Age_Sex22[[#This Row],[Total Dollars Excluded from Spending After Applying Truncation at the Member Level]]=Age_Sex22[[#This Row],[Total Spending before Truncation is Applied]]</f>
        <v>1</v>
      </c>
    </row>
    <row r="1655" spans="1:10" x14ac:dyDescent="0.25">
      <c r="A1655" s="449"/>
      <c r="B1655" s="443"/>
      <c r="C1655" s="444"/>
      <c r="D1655" s="520"/>
      <c r="E1655" s="445"/>
      <c r="F1655" s="446"/>
      <c r="G1655" s="524"/>
      <c r="H1655" s="446"/>
      <c r="I1655" s="458"/>
      <c r="J1655" s="271" t="b">
        <f>Age_Sex22[[#This Row],[Total Spending After Applying Truncation at the Member Level]]+Age_Sex22[[#This Row],[Total Dollars Excluded from Spending After Applying Truncation at the Member Level]]=Age_Sex22[[#This Row],[Total Spending before Truncation is Applied]]</f>
        <v>1</v>
      </c>
    </row>
    <row r="1656" spans="1:10" x14ac:dyDescent="0.25">
      <c r="A1656" s="450"/>
      <c r="B1656" s="451"/>
      <c r="C1656" s="452"/>
      <c r="D1656" s="521"/>
      <c r="E1656" s="453"/>
      <c r="F1656" s="454"/>
      <c r="G1656" s="525"/>
      <c r="H1656" s="454"/>
      <c r="I1656" s="459"/>
      <c r="J1656" s="271" t="b">
        <f>Age_Sex22[[#This Row],[Total Spending After Applying Truncation at the Member Level]]+Age_Sex22[[#This Row],[Total Dollars Excluded from Spending After Applying Truncation at the Member Level]]=Age_Sex22[[#This Row],[Total Spending before Truncation is Applied]]</f>
        <v>1</v>
      </c>
    </row>
    <row r="1657" spans="1:10" x14ac:dyDescent="0.25">
      <c r="A1657" s="449"/>
      <c r="B1657" s="443"/>
      <c r="C1657" s="444"/>
      <c r="D1657" s="520"/>
      <c r="E1657" s="445"/>
      <c r="F1657" s="446"/>
      <c r="G1657" s="524"/>
      <c r="H1657" s="446"/>
      <c r="I1657" s="458"/>
      <c r="J1657" s="271" t="b">
        <f>Age_Sex22[[#This Row],[Total Spending After Applying Truncation at the Member Level]]+Age_Sex22[[#This Row],[Total Dollars Excluded from Spending After Applying Truncation at the Member Level]]=Age_Sex22[[#This Row],[Total Spending before Truncation is Applied]]</f>
        <v>1</v>
      </c>
    </row>
    <row r="1658" spans="1:10" x14ac:dyDescent="0.25">
      <c r="A1658" s="450"/>
      <c r="B1658" s="451"/>
      <c r="C1658" s="452"/>
      <c r="D1658" s="521"/>
      <c r="E1658" s="453"/>
      <c r="F1658" s="454"/>
      <c r="G1658" s="525"/>
      <c r="H1658" s="454"/>
      <c r="I1658" s="459"/>
      <c r="J1658" s="271" t="b">
        <f>Age_Sex22[[#This Row],[Total Spending After Applying Truncation at the Member Level]]+Age_Sex22[[#This Row],[Total Dollars Excluded from Spending After Applying Truncation at the Member Level]]=Age_Sex22[[#This Row],[Total Spending before Truncation is Applied]]</f>
        <v>1</v>
      </c>
    </row>
    <row r="1659" spans="1:10" x14ac:dyDescent="0.25">
      <c r="A1659" s="449"/>
      <c r="B1659" s="443"/>
      <c r="C1659" s="444"/>
      <c r="D1659" s="520"/>
      <c r="E1659" s="445"/>
      <c r="F1659" s="446"/>
      <c r="G1659" s="524"/>
      <c r="H1659" s="446"/>
      <c r="I1659" s="458"/>
      <c r="J1659" s="271" t="b">
        <f>Age_Sex22[[#This Row],[Total Spending After Applying Truncation at the Member Level]]+Age_Sex22[[#This Row],[Total Dollars Excluded from Spending After Applying Truncation at the Member Level]]=Age_Sex22[[#This Row],[Total Spending before Truncation is Applied]]</f>
        <v>1</v>
      </c>
    </row>
    <row r="1660" spans="1:10" x14ac:dyDescent="0.25">
      <c r="A1660" s="450"/>
      <c r="B1660" s="451"/>
      <c r="C1660" s="452"/>
      <c r="D1660" s="521"/>
      <c r="E1660" s="453"/>
      <c r="F1660" s="454"/>
      <c r="G1660" s="525"/>
      <c r="H1660" s="454"/>
      <c r="I1660" s="459"/>
      <c r="J1660" s="271" t="b">
        <f>Age_Sex22[[#This Row],[Total Spending After Applying Truncation at the Member Level]]+Age_Sex22[[#This Row],[Total Dollars Excluded from Spending After Applying Truncation at the Member Level]]=Age_Sex22[[#This Row],[Total Spending before Truncation is Applied]]</f>
        <v>1</v>
      </c>
    </row>
    <row r="1661" spans="1:10" x14ac:dyDescent="0.25">
      <c r="A1661" s="449"/>
      <c r="B1661" s="443"/>
      <c r="C1661" s="444"/>
      <c r="D1661" s="520"/>
      <c r="E1661" s="445"/>
      <c r="F1661" s="446"/>
      <c r="G1661" s="524"/>
      <c r="H1661" s="446"/>
      <c r="I1661" s="458"/>
      <c r="J1661" s="271" t="b">
        <f>Age_Sex22[[#This Row],[Total Spending After Applying Truncation at the Member Level]]+Age_Sex22[[#This Row],[Total Dollars Excluded from Spending After Applying Truncation at the Member Level]]=Age_Sex22[[#This Row],[Total Spending before Truncation is Applied]]</f>
        <v>1</v>
      </c>
    </row>
    <row r="1662" spans="1:10" x14ac:dyDescent="0.25">
      <c r="A1662" s="450"/>
      <c r="B1662" s="451"/>
      <c r="C1662" s="452"/>
      <c r="D1662" s="521"/>
      <c r="E1662" s="453"/>
      <c r="F1662" s="454"/>
      <c r="G1662" s="525"/>
      <c r="H1662" s="454"/>
      <c r="I1662" s="459"/>
      <c r="J1662" s="271" t="b">
        <f>Age_Sex22[[#This Row],[Total Spending After Applying Truncation at the Member Level]]+Age_Sex22[[#This Row],[Total Dollars Excluded from Spending After Applying Truncation at the Member Level]]=Age_Sex22[[#This Row],[Total Spending before Truncation is Applied]]</f>
        <v>1</v>
      </c>
    </row>
    <row r="1663" spans="1:10" x14ac:dyDescent="0.25">
      <c r="A1663" s="449"/>
      <c r="B1663" s="443"/>
      <c r="C1663" s="444"/>
      <c r="D1663" s="520"/>
      <c r="E1663" s="445"/>
      <c r="F1663" s="446"/>
      <c r="G1663" s="524"/>
      <c r="H1663" s="446"/>
      <c r="I1663" s="458"/>
      <c r="J1663" s="271" t="b">
        <f>Age_Sex22[[#This Row],[Total Spending After Applying Truncation at the Member Level]]+Age_Sex22[[#This Row],[Total Dollars Excluded from Spending After Applying Truncation at the Member Level]]=Age_Sex22[[#This Row],[Total Spending before Truncation is Applied]]</f>
        <v>1</v>
      </c>
    </row>
    <row r="1664" spans="1:10" x14ac:dyDescent="0.25">
      <c r="A1664" s="450"/>
      <c r="B1664" s="451"/>
      <c r="C1664" s="452"/>
      <c r="D1664" s="521"/>
      <c r="E1664" s="453"/>
      <c r="F1664" s="454"/>
      <c r="G1664" s="525"/>
      <c r="H1664" s="454"/>
      <c r="I1664" s="459"/>
      <c r="J1664" s="271" t="b">
        <f>Age_Sex22[[#This Row],[Total Spending After Applying Truncation at the Member Level]]+Age_Sex22[[#This Row],[Total Dollars Excluded from Spending After Applying Truncation at the Member Level]]=Age_Sex22[[#This Row],[Total Spending before Truncation is Applied]]</f>
        <v>1</v>
      </c>
    </row>
    <row r="1665" spans="1:10" x14ac:dyDescent="0.25">
      <c r="A1665" s="449"/>
      <c r="B1665" s="443"/>
      <c r="C1665" s="444"/>
      <c r="D1665" s="520"/>
      <c r="E1665" s="445"/>
      <c r="F1665" s="446"/>
      <c r="G1665" s="524"/>
      <c r="H1665" s="446"/>
      <c r="I1665" s="458"/>
      <c r="J1665" s="271" t="b">
        <f>Age_Sex22[[#This Row],[Total Spending After Applying Truncation at the Member Level]]+Age_Sex22[[#This Row],[Total Dollars Excluded from Spending After Applying Truncation at the Member Level]]=Age_Sex22[[#This Row],[Total Spending before Truncation is Applied]]</f>
        <v>1</v>
      </c>
    </row>
    <row r="1666" spans="1:10" x14ac:dyDescent="0.25">
      <c r="A1666" s="450"/>
      <c r="B1666" s="451"/>
      <c r="C1666" s="452"/>
      <c r="D1666" s="521"/>
      <c r="E1666" s="453"/>
      <c r="F1666" s="454"/>
      <c r="G1666" s="525"/>
      <c r="H1666" s="454"/>
      <c r="I1666" s="459"/>
      <c r="J1666" s="271" t="b">
        <f>Age_Sex22[[#This Row],[Total Spending After Applying Truncation at the Member Level]]+Age_Sex22[[#This Row],[Total Dollars Excluded from Spending After Applying Truncation at the Member Level]]=Age_Sex22[[#This Row],[Total Spending before Truncation is Applied]]</f>
        <v>1</v>
      </c>
    </row>
    <row r="1667" spans="1:10" x14ac:dyDescent="0.25">
      <c r="A1667" s="449"/>
      <c r="B1667" s="443"/>
      <c r="C1667" s="444"/>
      <c r="D1667" s="520"/>
      <c r="E1667" s="445"/>
      <c r="F1667" s="446"/>
      <c r="G1667" s="524"/>
      <c r="H1667" s="446"/>
      <c r="I1667" s="458"/>
      <c r="J1667" s="271" t="b">
        <f>Age_Sex22[[#This Row],[Total Spending After Applying Truncation at the Member Level]]+Age_Sex22[[#This Row],[Total Dollars Excluded from Spending After Applying Truncation at the Member Level]]=Age_Sex22[[#This Row],[Total Spending before Truncation is Applied]]</f>
        <v>1</v>
      </c>
    </row>
    <row r="1668" spans="1:10" x14ac:dyDescent="0.25">
      <c r="A1668" s="450"/>
      <c r="B1668" s="451"/>
      <c r="C1668" s="452"/>
      <c r="D1668" s="521"/>
      <c r="E1668" s="453"/>
      <c r="F1668" s="454"/>
      <c r="G1668" s="525"/>
      <c r="H1668" s="454"/>
      <c r="I1668" s="459"/>
      <c r="J1668" s="271" t="b">
        <f>Age_Sex22[[#This Row],[Total Spending After Applying Truncation at the Member Level]]+Age_Sex22[[#This Row],[Total Dollars Excluded from Spending After Applying Truncation at the Member Level]]=Age_Sex22[[#This Row],[Total Spending before Truncation is Applied]]</f>
        <v>1</v>
      </c>
    </row>
    <row r="1669" spans="1:10" x14ac:dyDescent="0.25">
      <c r="A1669" s="449"/>
      <c r="B1669" s="443"/>
      <c r="C1669" s="444"/>
      <c r="D1669" s="520"/>
      <c r="E1669" s="445"/>
      <c r="F1669" s="446"/>
      <c r="G1669" s="524"/>
      <c r="H1669" s="446"/>
      <c r="I1669" s="458"/>
      <c r="J1669" s="271" t="b">
        <f>Age_Sex22[[#This Row],[Total Spending After Applying Truncation at the Member Level]]+Age_Sex22[[#This Row],[Total Dollars Excluded from Spending After Applying Truncation at the Member Level]]=Age_Sex22[[#This Row],[Total Spending before Truncation is Applied]]</f>
        <v>1</v>
      </c>
    </row>
    <row r="1670" spans="1:10" x14ac:dyDescent="0.25">
      <c r="A1670" s="450"/>
      <c r="B1670" s="451"/>
      <c r="C1670" s="452"/>
      <c r="D1670" s="521"/>
      <c r="E1670" s="453"/>
      <c r="F1670" s="454"/>
      <c r="G1670" s="525"/>
      <c r="H1670" s="454"/>
      <c r="I1670" s="459"/>
      <c r="J1670" s="271" t="b">
        <f>Age_Sex22[[#This Row],[Total Spending After Applying Truncation at the Member Level]]+Age_Sex22[[#This Row],[Total Dollars Excluded from Spending After Applying Truncation at the Member Level]]=Age_Sex22[[#This Row],[Total Spending before Truncation is Applied]]</f>
        <v>1</v>
      </c>
    </row>
    <row r="1671" spans="1:10" x14ac:dyDescent="0.25">
      <c r="A1671" s="449"/>
      <c r="B1671" s="443"/>
      <c r="C1671" s="444"/>
      <c r="D1671" s="520"/>
      <c r="E1671" s="445"/>
      <c r="F1671" s="446"/>
      <c r="G1671" s="524"/>
      <c r="H1671" s="446"/>
      <c r="I1671" s="458"/>
      <c r="J1671" s="271" t="b">
        <f>Age_Sex22[[#This Row],[Total Spending After Applying Truncation at the Member Level]]+Age_Sex22[[#This Row],[Total Dollars Excluded from Spending After Applying Truncation at the Member Level]]=Age_Sex22[[#This Row],[Total Spending before Truncation is Applied]]</f>
        <v>1</v>
      </c>
    </row>
    <row r="1672" spans="1:10" x14ac:dyDescent="0.25">
      <c r="A1672" s="450"/>
      <c r="B1672" s="451"/>
      <c r="C1672" s="452"/>
      <c r="D1672" s="521"/>
      <c r="E1672" s="453"/>
      <c r="F1672" s="454"/>
      <c r="G1672" s="525"/>
      <c r="H1672" s="454"/>
      <c r="I1672" s="459"/>
      <c r="J1672" s="271" t="b">
        <f>Age_Sex22[[#This Row],[Total Spending After Applying Truncation at the Member Level]]+Age_Sex22[[#This Row],[Total Dollars Excluded from Spending After Applying Truncation at the Member Level]]=Age_Sex22[[#This Row],[Total Spending before Truncation is Applied]]</f>
        <v>1</v>
      </c>
    </row>
    <row r="1673" spans="1:10" x14ac:dyDescent="0.25">
      <c r="A1673" s="449"/>
      <c r="B1673" s="443"/>
      <c r="C1673" s="444"/>
      <c r="D1673" s="520"/>
      <c r="E1673" s="445"/>
      <c r="F1673" s="446"/>
      <c r="G1673" s="524"/>
      <c r="H1673" s="446"/>
      <c r="I1673" s="458"/>
      <c r="J1673" s="271" t="b">
        <f>Age_Sex22[[#This Row],[Total Spending After Applying Truncation at the Member Level]]+Age_Sex22[[#This Row],[Total Dollars Excluded from Spending After Applying Truncation at the Member Level]]=Age_Sex22[[#This Row],[Total Spending before Truncation is Applied]]</f>
        <v>1</v>
      </c>
    </row>
    <row r="1674" spans="1:10" x14ac:dyDescent="0.25">
      <c r="A1674" s="450"/>
      <c r="B1674" s="451"/>
      <c r="C1674" s="452"/>
      <c r="D1674" s="521"/>
      <c r="E1674" s="453"/>
      <c r="F1674" s="454"/>
      <c r="G1674" s="525"/>
      <c r="H1674" s="454"/>
      <c r="I1674" s="459"/>
      <c r="J1674" s="271" t="b">
        <f>Age_Sex22[[#This Row],[Total Spending After Applying Truncation at the Member Level]]+Age_Sex22[[#This Row],[Total Dollars Excluded from Spending After Applying Truncation at the Member Level]]=Age_Sex22[[#This Row],[Total Spending before Truncation is Applied]]</f>
        <v>1</v>
      </c>
    </row>
    <row r="1675" spans="1:10" x14ac:dyDescent="0.25">
      <c r="A1675" s="449"/>
      <c r="B1675" s="443"/>
      <c r="C1675" s="444"/>
      <c r="D1675" s="520"/>
      <c r="E1675" s="445"/>
      <c r="F1675" s="446"/>
      <c r="G1675" s="524"/>
      <c r="H1675" s="446"/>
      <c r="I1675" s="458"/>
      <c r="J1675" s="271" t="b">
        <f>Age_Sex22[[#This Row],[Total Spending After Applying Truncation at the Member Level]]+Age_Sex22[[#This Row],[Total Dollars Excluded from Spending After Applying Truncation at the Member Level]]=Age_Sex22[[#This Row],[Total Spending before Truncation is Applied]]</f>
        <v>1</v>
      </c>
    </row>
    <row r="1676" spans="1:10" x14ac:dyDescent="0.25">
      <c r="A1676" s="450"/>
      <c r="B1676" s="451"/>
      <c r="C1676" s="452"/>
      <c r="D1676" s="521"/>
      <c r="E1676" s="453"/>
      <c r="F1676" s="454"/>
      <c r="G1676" s="525"/>
      <c r="H1676" s="454"/>
      <c r="I1676" s="459"/>
      <c r="J1676" s="271" t="b">
        <f>Age_Sex22[[#This Row],[Total Spending After Applying Truncation at the Member Level]]+Age_Sex22[[#This Row],[Total Dollars Excluded from Spending After Applying Truncation at the Member Level]]=Age_Sex22[[#This Row],[Total Spending before Truncation is Applied]]</f>
        <v>1</v>
      </c>
    </row>
    <row r="1677" spans="1:10" x14ac:dyDescent="0.25">
      <c r="A1677" s="449"/>
      <c r="B1677" s="443"/>
      <c r="C1677" s="444"/>
      <c r="D1677" s="520"/>
      <c r="E1677" s="445"/>
      <c r="F1677" s="446"/>
      <c r="G1677" s="524"/>
      <c r="H1677" s="446"/>
      <c r="I1677" s="458"/>
      <c r="J1677" s="271" t="b">
        <f>Age_Sex22[[#This Row],[Total Spending After Applying Truncation at the Member Level]]+Age_Sex22[[#This Row],[Total Dollars Excluded from Spending After Applying Truncation at the Member Level]]=Age_Sex22[[#This Row],[Total Spending before Truncation is Applied]]</f>
        <v>1</v>
      </c>
    </row>
    <row r="1678" spans="1:10" x14ac:dyDescent="0.25">
      <c r="A1678" s="450"/>
      <c r="B1678" s="451"/>
      <c r="C1678" s="452"/>
      <c r="D1678" s="521"/>
      <c r="E1678" s="453"/>
      <c r="F1678" s="454"/>
      <c r="G1678" s="525"/>
      <c r="H1678" s="454"/>
      <c r="I1678" s="459"/>
      <c r="J1678" s="271" t="b">
        <f>Age_Sex22[[#This Row],[Total Spending After Applying Truncation at the Member Level]]+Age_Sex22[[#This Row],[Total Dollars Excluded from Spending After Applying Truncation at the Member Level]]=Age_Sex22[[#This Row],[Total Spending before Truncation is Applied]]</f>
        <v>1</v>
      </c>
    </row>
    <row r="1679" spans="1:10" x14ac:dyDescent="0.25">
      <c r="A1679" s="449"/>
      <c r="B1679" s="443"/>
      <c r="C1679" s="444"/>
      <c r="D1679" s="520"/>
      <c r="E1679" s="445"/>
      <c r="F1679" s="446"/>
      <c r="G1679" s="524"/>
      <c r="H1679" s="446"/>
      <c r="I1679" s="458"/>
      <c r="J1679" s="271" t="b">
        <f>Age_Sex22[[#This Row],[Total Spending After Applying Truncation at the Member Level]]+Age_Sex22[[#This Row],[Total Dollars Excluded from Spending After Applying Truncation at the Member Level]]=Age_Sex22[[#This Row],[Total Spending before Truncation is Applied]]</f>
        <v>1</v>
      </c>
    </row>
    <row r="1680" spans="1:10" x14ac:dyDescent="0.25">
      <c r="A1680" s="450"/>
      <c r="B1680" s="451"/>
      <c r="C1680" s="452"/>
      <c r="D1680" s="521"/>
      <c r="E1680" s="453"/>
      <c r="F1680" s="454"/>
      <c r="G1680" s="525"/>
      <c r="H1680" s="454"/>
      <c r="I1680" s="459"/>
      <c r="J1680" s="271" t="b">
        <f>Age_Sex22[[#This Row],[Total Spending After Applying Truncation at the Member Level]]+Age_Sex22[[#This Row],[Total Dollars Excluded from Spending After Applying Truncation at the Member Level]]=Age_Sex22[[#This Row],[Total Spending before Truncation is Applied]]</f>
        <v>1</v>
      </c>
    </row>
    <row r="1681" spans="1:10" x14ac:dyDescent="0.25">
      <c r="A1681" s="449"/>
      <c r="B1681" s="443"/>
      <c r="C1681" s="444"/>
      <c r="D1681" s="520"/>
      <c r="E1681" s="445"/>
      <c r="F1681" s="446"/>
      <c r="G1681" s="524"/>
      <c r="H1681" s="446"/>
      <c r="I1681" s="458"/>
      <c r="J1681" s="271" t="b">
        <f>Age_Sex22[[#This Row],[Total Spending After Applying Truncation at the Member Level]]+Age_Sex22[[#This Row],[Total Dollars Excluded from Spending After Applying Truncation at the Member Level]]=Age_Sex22[[#This Row],[Total Spending before Truncation is Applied]]</f>
        <v>1</v>
      </c>
    </row>
    <row r="1682" spans="1:10" x14ac:dyDescent="0.25">
      <c r="A1682" s="450"/>
      <c r="B1682" s="451"/>
      <c r="C1682" s="452"/>
      <c r="D1682" s="521"/>
      <c r="E1682" s="453"/>
      <c r="F1682" s="454"/>
      <c r="G1682" s="525"/>
      <c r="H1682" s="454"/>
      <c r="I1682" s="459"/>
      <c r="J1682" s="271" t="b">
        <f>Age_Sex22[[#This Row],[Total Spending After Applying Truncation at the Member Level]]+Age_Sex22[[#This Row],[Total Dollars Excluded from Spending After Applying Truncation at the Member Level]]=Age_Sex22[[#This Row],[Total Spending before Truncation is Applied]]</f>
        <v>1</v>
      </c>
    </row>
    <row r="1683" spans="1:10" x14ac:dyDescent="0.25">
      <c r="A1683" s="449"/>
      <c r="B1683" s="443"/>
      <c r="C1683" s="444"/>
      <c r="D1683" s="520"/>
      <c r="E1683" s="445"/>
      <c r="F1683" s="446"/>
      <c r="G1683" s="524"/>
      <c r="H1683" s="446"/>
      <c r="I1683" s="458"/>
      <c r="J1683" s="271" t="b">
        <f>Age_Sex22[[#This Row],[Total Spending After Applying Truncation at the Member Level]]+Age_Sex22[[#This Row],[Total Dollars Excluded from Spending After Applying Truncation at the Member Level]]=Age_Sex22[[#This Row],[Total Spending before Truncation is Applied]]</f>
        <v>1</v>
      </c>
    </row>
    <row r="1684" spans="1:10" x14ac:dyDescent="0.25">
      <c r="A1684" s="450"/>
      <c r="B1684" s="451"/>
      <c r="C1684" s="452"/>
      <c r="D1684" s="521"/>
      <c r="E1684" s="453"/>
      <c r="F1684" s="454"/>
      <c r="G1684" s="525"/>
      <c r="H1684" s="454"/>
      <c r="I1684" s="459"/>
      <c r="J1684" s="271" t="b">
        <f>Age_Sex22[[#This Row],[Total Spending After Applying Truncation at the Member Level]]+Age_Sex22[[#This Row],[Total Dollars Excluded from Spending After Applying Truncation at the Member Level]]=Age_Sex22[[#This Row],[Total Spending before Truncation is Applied]]</f>
        <v>1</v>
      </c>
    </row>
    <row r="1685" spans="1:10" x14ac:dyDescent="0.25">
      <c r="A1685" s="449"/>
      <c r="B1685" s="443"/>
      <c r="C1685" s="444"/>
      <c r="D1685" s="520"/>
      <c r="E1685" s="445"/>
      <c r="F1685" s="446"/>
      <c r="G1685" s="524"/>
      <c r="H1685" s="446"/>
      <c r="I1685" s="458"/>
      <c r="J1685" s="271" t="b">
        <f>Age_Sex22[[#This Row],[Total Spending After Applying Truncation at the Member Level]]+Age_Sex22[[#This Row],[Total Dollars Excluded from Spending After Applying Truncation at the Member Level]]=Age_Sex22[[#This Row],[Total Spending before Truncation is Applied]]</f>
        <v>1</v>
      </c>
    </row>
    <row r="1686" spans="1:10" x14ac:dyDescent="0.25">
      <c r="A1686" s="450"/>
      <c r="B1686" s="451"/>
      <c r="C1686" s="452"/>
      <c r="D1686" s="521"/>
      <c r="E1686" s="453"/>
      <c r="F1686" s="454"/>
      <c r="G1686" s="525"/>
      <c r="H1686" s="454"/>
      <c r="I1686" s="459"/>
      <c r="J1686" s="271" t="b">
        <f>Age_Sex22[[#This Row],[Total Spending After Applying Truncation at the Member Level]]+Age_Sex22[[#This Row],[Total Dollars Excluded from Spending After Applying Truncation at the Member Level]]=Age_Sex22[[#This Row],[Total Spending before Truncation is Applied]]</f>
        <v>1</v>
      </c>
    </row>
    <row r="1687" spans="1:10" x14ac:dyDescent="0.25">
      <c r="A1687" s="449"/>
      <c r="B1687" s="443"/>
      <c r="C1687" s="444"/>
      <c r="D1687" s="520"/>
      <c r="E1687" s="445"/>
      <c r="F1687" s="446"/>
      <c r="G1687" s="524"/>
      <c r="H1687" s="446"/>
      <c r="I1687" s="458"/>
      <c r="J1687" s="271" t="b">
        <f>Age_Sex22[[#This Row],[Total Spending After Applying Truncation at the Member Level]]+Age_Sex22[[#This Row],[Total Dollars Excluded from Spending After Applying Truncation at the Member Level]]=Age_Sex22[[#This Row],[Total Spending before Truncation is Applied]]</f>
        <v>1</v>
      </c>
    </row>
    <row r="1688" spans="1:10" x14ac:dyDescent="0.25">
      <c r="A1688" s="450"/>
      <c r="B1688" s="451"/>
      <c r="C1688" s="452"/>
      <c r="D1688" s="521"/>
      <c r="E1688" s="453"/>
      <c r="F1688" s="454"/>
      <c r="G1688" s="525"/>
      <c r="H1688" s="454"/>
      <c r="I1688" s="459"/>
      <c r="J1688" s="271" t="b">
        <f>Age_Sex22[[#This Row],[Total Spending After Applying Truncation at the Member Level]]+Age_Sex22[[#This Row],[Total Dollars Excluded from Spending After Applying Truncation at the Member Level]]=Age_Sex22[[#This Row],[Total Spending before Truncation is Applied]]</f>
        <v>1</v>
      </c>
    </row>
    <row r="1689" spans="1:10" x14ac:dyDescent="0.25">
      <c r="A1689" s="449"/>
      <c r="B1689" s="443"/>
      <c r="C1689" s="444"/>
      <c r="D1689" s="520"/>
      <c r="E1689" s="445"/>
      <c r="F1689" s="446"/>
      <c r="G1689" s="524"/>
      <c r="H1689" s="446"/>
      <c r="I1689" s="458"/>
      <c r="J1689" s="271" t="b">
        <f>Age_Sex22[[#This Row],[Total Spending After Applying Truncation at the Member Level]]+Age_Sex22[[#This Row],[Total Dollars Excluded from Spending After Applying Truncation at the Member Level]]=Age_Sex22[[#This Row],[Total Spending before Truncation is Applied]]</f>
        <v>1</v>
      </c>
    </row>
    <row r="1690" spans="1:10" x14ac:dyDescent="0.25">
      <c r="A1690" s="450"/>
      <c r="B1690" s="451"/>
      <c r="C1690" s="452"/>
      <c r="D1690" s="521"/>
      <c r="E1690" s="453"/>
      <c r="F1690" s="454"/>
      <c r="G1690" s="525"/>
      <c r="H1690" s="454"/>
      <c r="I1690" s="459"/>
      <c r="J1690" s="271" t="b">
        <f>Age_Sex22[[#This Row],[Total Spending After Applying Truncation at the Member Level]]+Age_Sex22[[#This Row],[Total Dollars Excluded from Spending After Applying Truncation at the Member Level]]=Age_Sex22[[#This Row],[Total Spending before Truncation is Applied]]</f>
        <v>1</v>
      </c>
    </row>
    <row r="1691" spans="1:10" x14ac:dyDescent="0.25">
      <c r="A1691" s="449"/>
      <c r="B1691" s="443"/>
      <c r="C1691" s="444"/>
      <c r="D1691" s="520"/>
      <c r="E1691" s="445"/>
      <c r="F1691" s="446"/>
      <c r="G1691" s="524"/>
      <c r="H1691" s="446"/>
      <c r="I1691" s="458"/>
      <c r="J1691" s="271" t="b">
        <f>Age_Sex22[[#This Row],[Total Spending After Applying Truncation at the Member Level]]+Age_Sex22[[#This Row],[Total Dollars Excluded from Spending After Applying Truncation at the Member Level]]=Age_Sex22[[#This Row],[Total Spending before Truncation is Applied]]</f>
        <v>1</v>
      </c>
    </row>
    <row r="1692" spans="1:10" x14ac:dyDescent="0.25">
      <c r="A1692" s="450"/>
      <c r="B1692" s="451"/>
      <c r="C1692" s="452"/>
      <c r="D1692" s="521"/>
      <c r="E1692" s="453"/>
      <c r="F1692" s="454"/>
      <c r="G1692" s="525"/>
      <c r="H1692" s="454"/>
      <c r="I1692" s="459"/>
      <c r="J1692" s="271" t="b">
        <f>Age_Sex22[[#This Row],[Total Spending After Applying Truncation at the Member Level]]+Age_Sex22[[#This Row],[Total Dollars Excluded from Spending After Applying Truncation at the Member Level]]=Age_Sex22[[#This Row],[Total Spending before Truncation is Applied]]</f>
        <v>1</v>
      </c>
    </row>
    <row r="1693" spans="1:10" x14ac:dyDescent="0.25">
      <c r="A1693" s="449"/>
      <c r="B1693" s="443"/>
      <c r="C1693" s="444"/>
      <c r="D1693" s="520"/>
      <c r="E1693" s="445"/>
      <c r="F1693" s="446"/>
      <c r="G1693" s="524"/>
      <c r="H1693" s="446"/>
      <c r="I1693" s="458"/>
      <c r="J1693" s="271" t="b">
        <f>Age_Sex22[[#This Row],[Total Spending After Applying Truncation at the Member Level]]+Age_Sex22[[#This Row],[Total Dollars Excluded from Spending After Applying Truncation at the Member Level]]=Age_Sex22[[#This Row],[Total Spending before Truncation is Applied]]</f>
        <v>1</v>
      </c>
    </row>
    <row r="1694" spans="1:10" x14ac:dyDescent="0.25">
      <c r="A1694" s="450"/>
      <c r="B1694" s="451"/>
      <c r="C1694" s="452"/>
      <c r="D1694" s="521"/>
      <c r="E1694" s="453"/>
      <c r="F1694" s="454"/>
      <c r="G1694" s="525"/>
      <c r="H1694" s="454"/>
      <c r="I1694" s="459"/>
      <c r="J1694" s="271" t="b">
        <f>Age_Sex22[[#This Row],[Total Spending After Applying Truncation at the Member Level]]+Age_Sex22[[#This Row],[Total Dollars Excluded from Spending After Applying Truncation at the Member Level]]=Age_Sex22[[#This Row],[Total Spending before Truncation is Applied]]</f>
        <v>1</v>
      </c>
    </row>
    <row r="1695" spans="1:10" x14ac:dyDescent="0.25">
      <c r="A1695" s="449"/>
      <c r="B1695" s="443"/>
      <c r="C1695" s="444"/>
      <c r="D1695" s="520"/>
      <c r="E1695" s="445"/>
      <c r="F1695" s="446"/>
      <c r="G1695" s="524"/>
      <c r="H1695" s="446"/>
      <c r="I1695" s="458"/>
      <c r="J1695" s="271" t="b">
        <f>Age_Sex22[[#This Row],[Total Spending After Applying Truncation at the Member Level]]+Age_Sex22[[#This Row],[Total Dollars Excluded from Spending After Applying Truncation at the Member Level]]=Age_Sex22[[#This Row],[Total Spending before Truncation is Applied]]</f>
        <v>1</v>
      </c>
    </row>
    <row r="1696" spans="1:10" x14ac:dyDescent="0.25">
      <c r="A1696" s="450"/>
      <c r="B1696" s="451"/>
      <c r="C1696" s="452"/>
      <c r="D1696" s="521"/>
      <c r="E1696" s="453"/>
      <c r="F1696" s="454"/>
      <c r="G1696" s="525"/>
      <c r="H1696" s="454"/>
      <c r="I1696" s="459"/>
      <c r="J1696" s="271" t="b">
        <f>Age_Sex22[[#This Row],[Total Spending After Applying Truncation at the Member Level]]+Age_Sex22[[#This Row],[Total Dollars Excluded from Spending After Applying Truncation at the Member Level]]=Age_Sex22[[#This Row],[Total Spending before Truncation is Applied]]</f>
        <v>1</v>
      </c>
    </row>
    <row r="1697" spans="1:10" x14ac:dyDescent="0.25">
      <c r="A1697" s="449"/>
      <c r="B1697" s="443"/>
      <c r="C1697" s="444"/>
      <c r="D1697" s="520"/>
      <c r="E1697" s="445"/>
      <c r="F1697" s="446"/>
      <c r="G1697" s="524"/>
      <c r="H1697" s="446"/>
      <c r="I1697" s="458"/>
      <c r="J1697" s="271" t="b">
        <f>Age_Sex22[[#This Row],[Total Spending After Applying Truncation at the Member Level]]+Age_Sex22[[#This Row],[Total Dollars Excluded from Spending After Applying Truncation at the Member Level]]=Age_Sex22[[#This Row],[Total Spending before Truncation is Applied]]</f>
        <v>1</v>
      </c>
    </row>
    <row r="1698" spans="1:10" x14ac:dyDescent="0.25">
      <c r="A1698" s="450"/>
      <c r="B1698" s="451"/>
      <c r="C1698" s="452"/>
      <c r="D1698" s="521"/>
      <c r="E1698" s="453"/>
      <c r="F1698" s="454"/>
      <c r="G1698" s="525"/>
      <c r="H1698" s="454"/>
      <c r="I1698" s="459"/>
      <c r="J1698" s="271" t="b">
        <f>Age_Sex22[[#This Row],[Total Spending After Applying Truncation at the Member Level]]+Age_Sex22[[#This Row],[Total Dollars Excluded from Spending After Applying Truncation at the Member Level]]=Age_Sex22[[#This Row],[Total Spending before Truncation is Applied]]</f>
        <v>1</v>
      </c>
    </row>
    <row r="1699" spans="1:10" x14ac:dyDescent="0.25">
      <c r="A1699" s="449"/>
      <c r="B1699" s="443"/>
      <c r="C1699" s="444"/>
      <c r="D1699" s="520"/>
      <c r="E1699" s="445"/>
      <c r="F1699" s="446"/>
      <c r="G1699" s="524"/>
      <c r="H1699" s="446"/>
      <c r="I1699" s="458"/>
      <c r="J1699" s="271" t="b">
        <f>Age_Sex22[[#This Row],[Total Spending After Applying Truncation at the Member Level]]+Age_Sex22[[#This Row],[Total Dollars Excluded from Spending After Applying Truncation at the Member Level]]=Age_Sex22[[#This Row],[Total Spending before Truncation is Applied]]</f>
        <v>1</v>
      </c>
    </row>
    <row r="1700" spans="1:10" x14ac:dyDescent="0.25">
      <c r="A1700" s="450"/>
      <c r="B1700" s="451"/>
      <c r="C1700" s="452"/>
      <c r="D1700" s="521"/>
      <c r="E1700" s="453"/>
      <c r="F1700" s="454"/>
      <c r="G1700" s="525"/>
      <c r="H1700" s="454"/>
      <c r="I1700" s="459"/>
      <c r="J1700" s="271" t="b">
        <f>Age_Sex22[[#This Row],[Total Spending After Applying Truncation at the Member Level]]+Age_Sex22[[#This Row],[Total Dollars Excluded from Spending After Applying Truncation at the Member Level]]=Age_Sex22[[#This Row],[Total Spending before Truncation is Applied]]</f>
        <v>1</v>
      </c>
    </row>
    <row r="1701" spans="1:10" x14ac:dyDescent="0.25">
      <c r="A1701" s="449"/>
      <c r="B1701" s="443"/>
      <c r="C1701" s="444"/>
      <c r="D1701" s="520"/>
      <c r="E1701" s="445"/>
      <c r="F1701" s="446"/>
      <c r="G1701" s="524"/>
      <c r="H1701" s="446"/>
      <c r="I1701" s="458"/>
      <c r="J1701" s="271" t="b">
        <f>Age_Sex22[[#This Row],[Total Spending After Applying Truncation at the Member Level]]+Age_Sex22[[#This Row],[Total Dollars Excluded from Spending After Applying Truncation at the Member Level]]=Age_Sex22[[#This Row],[Total Spending before Truncation is Applied]]</f>
        <v>1</v>
      </c>
    </row>
    <row r="1702" spans="1:10" x14ac:dyDescent="0.25">
      <c r="A1702" s="450"/>
      <c r="B1702" s="451"/>
      <c r="C1702" s="452"/>
      <c r="D1702" s="521"/>
      <c r="E1702" s="453"/>
      <c r="F1702" s="454"/>
      <c r="G1702" s="525"/>
      <c r="H1702" s="454"/>
      <c r="I1702" s="459"/>
      <c r="J1702" s="271" t="b">
        <f>Age_Sex22[[#This Row],[Total Spending After Applying Truncation at the Member Level]]+Age_Sex22[[#This Row],[Total Dollars Excluded from Spending After Applying Truncation at the Member Level]]=Age_Sex22[[#This Row],[Total Spending before Truncation is Applied]]</f>
        <v>1</v>
      </c>
    </row>
    <row r="1703" spans="1:10" x14ac:dyDescent="0.25">
      <c r="A1703" s="449"/>
      <c r="B1703" s="443"/>
      <c r="C1703" s="444"/>
      <c r="D1703" s="520"/>
      <c r="E1703" s="445"/>
      <c r="F1703" s="446"/>
      <c r="G1703" s="524"/>
      <c r="H1703" s="446"/>
      <c r="I1703" s="458"/>
      <c r="J1703" s="271" t="b">
        <f>Age_Sex22[[#This Row],[Total Spending After Applying Truncation at the Member Level]]+Age_Sex22[[#This Row],[Total Dollars Excluded from Spending After Applying Truncation at the Member Level]]=Age_Sex22[[#This Row],[Total Spending before Truncation is Applied]]</f>
        <v>1</v>
      </c>
    </row>
    <row r="1704" spans="1:10" x14ac:dyDescent="0.25">
      <c r="A1704" s="450"/>
      <c r="B1704" s="451"/>
      <c r="C1704" s="452"/>
      <c r="D1704" s="521"/>
      <c r="E1704" s="453"/>
      <c r="F1704" s="454"/>
      <c r="G1704" s="525"/>
      <c r="H1704" s="454"/>
      <c r="I1704" s="459"/>
      <c r="J1704" s="271" t="b">
        <f>Age_Sex22[[#This Row],[Total Spending After Applying Truncation at the Member Level]]+Age_Sex22[[#This Row],[Total Dollars Excluded from Spending After Applying Truncation at the Member Level]]=Age_Sex22[[#This Row],[Total Spending before Truncation is Applied]]</f>
        <v>1</v>
      </c>
    </row>
    <row r="1705" spans="1:10" x14ac:dyDescent="0.25">
      <c r="A1705" s="449"/>
      <c r="B1705" s="443"/>
      <c r="C1705" s="444"/>
      <c r="D1705" s="520"/>
      <c r="E1705" s="445"/>
      <c r="F1705" s="446"/>
      <c r="G1705" s="524"/>
      <c r="H1705" s="446"/>
      <c r="I1705" s="458"/>
      <c r="J1705" s="271" t="b">
        <f>Age_Sex22[[#This Row],[Total Spending After Applying Truncation at the Member Level]]+Age_Sex22[[#This Row],[Total Dollars Excluded from Spending After Applying Truncation at the Member Level]]=Age_Sex22[[#This Row],[Total Spending before Truncation is Applied]]</f>
        <v>1</v>
      </c>
    </row>
    <row r="1706" spans="1:10" x14ac:dyDescent="0.25">
      <c r="A1706" s="450"/>
      <c r="B1706" s="451"/>
      <c r="C1706" s="452"/>
      <c r="D1706" s="521"/>
      <c r="E1706" s="453"/>
      <c r="F1706" s="454"/>
      <c r="G1706" s="525"/>
      <c r="H1706" s="454"/>
      <c r="I1706" s="459"/>
      <c r="J1706" s="271" t="b">
        <f>Age_Sex22[[#This Row],[Total Spending After Applying Truncation at the Member Level]]+Age_Sex22[[#This Row],[Total Dollars Excluded from Spending After Applying Truncation at the Member Level]]=Age_Sex22[[#This Row],[Total Spending before Truncation is Applied]]</f>
        <v>1</v>
      </c>
    </row>
    <row r="1707" spans="1:10" x14ac:dyDescent="0.25">
      <c r="A1707" s="449"/>
      <c r="B1707" s="443"/>
      <c r="C1707" s="444"/>
      <c r="D1707" s="520"/>
      <c r="E1707" s="445"/>
      <c r="F1707" s="446"/>
      <c r="G1707" s="524"/>
      <c r="H1707" s="446"/>
      <c r="I1707" s="458"/>
      <c r="J1707" s="271" t="b">
        <f>Age_Sex22[[#This Row],[Total Spending After Applying Truncation at the Member Level]]+Age_Sex22[[#This Row],[Total Dollars Excluded from Spending After Applying Truncation at the Member Level]]=Age_Sex22[[#This Row],[Total Spending before Truncation is Applied]]</f>
        <v>1</v>
      </c>
    </row>
    <row r="1708" spans="1:10" x14ac:dyDescent="0.25">
      <c r="A1708" s="450"/>
      <c r="B1708" s="451"/>
      <c r="C1708" s="452"/>
      <c r="D1708" s="521"/>
      <c r="E1708" s="453"/>
      <c r="F1708" s="454"/>
      <c r="G1708" s="525"/>
      <c r="H1708" s="454"/>
      <c r="I1708" s="459"/>
      <c r="J1708" s="271" t="b">
        <f>Age_Sex22[[#This Row],[Total Spending After Applying Truncation at the Member Level]]+Age_Sex22[[#This Row],[Total Dollars Excluded from Spending After Applying Truncation at the Member Level]]=Age_Sex22[[#This Row],[Total Spending before Truncation is Applied]]</f>
        <v>1</v>
      </c>
    </row>
    <row r="1709" spans="1:10" x14ac:dyDescent="0.25">
      <c r="A1709" s="449"/>
      <c r="B1709" s="443"/>
      <c r="C1709" s="444"/>
      <c r="D1709" s="520"/>
      <c r="E1709" s="445"/>
      <c r="F1709" s="446"/>
      <c r="G1709" s="524"/>
      <c r="H1709" s="446"/>
      <c r="I1709" s="458"/>
      <c r="J1709" s="271" t="b">
        <f>Age_Sex22[[#This Row],[Total Spending After Applying Truncation at the Member Level]]+Age_Sex22[[#This Row],[Total Dollars Excluded from Spending After Applying Truncation at the Member Level]]=Age_Sex22[[#This Row],[Total Spending before Truncation is Applied]]</f>
        <v>1</v>
      </c>
    </row>
    <row r="1710" spans="1:10" x14ac:dyDescent="0.25">
      <c r="A1710" s="450"/>
      <c r="B1710" s="451"/>
      <c r="C1710" s="452"/>
      <c r="D1710" s="521"/>
      <c r="E1710" s="453"/>
      <c r="F1710" s="454"/>
      <c r="G1710" s="525"/>
      <c r="H1710" s="454"/>
      <c r="I1710" s="459"/>
      <c r="J1710" s="271" t="b">
        <f>Age_Sex22[[#This Row],[Total Spending After Applying Truncation at the Member Level]]+Age_Sex22[[#This Row],[Total Dollars Excluded from Spending After Applying Truncation at the Member Level]]=Age_Sex22[[#This Row],[Total Spending before Truncation is Applied]]</f>
        <v>1</v>
      </c>
    </row>
    <row r="1711" spans="1:10" x14ac:dyDescent="0.25">
      <c r="A1711" s="449"/>
      <c r="B1711" s="443"/>
      <c r="C1711" s="444"/>
      <c r="D1711" s="520"/>
      <c r="E1711" s="445"/>
      <c r="F1711" s="446"/>
      <c r="G1711" s="524"/>
      <c r="H1711" s="446"/>
      <c r="I1711" s="458"/>
      <c r="J1711" s="271" t="b">
        <f>Age_Sex22[[#This Row],[Total Spending After Applying Truncation at the Member Level]]+Age_Sex22[[#This Row],[Total Dollars Excluded from Spending After Applying Truncation at the Member Level]]=Age_Sex22[[#This Row],[Total Spending before Truncation is Applied]]</f>
        <v>1</v>
      </c>
    </row>
    <row r="1712" spans="1:10" x14ac:dyDescent="0.25">
      <c r="A1712" s="450"/>
      <c r="B1712" s="451"/>
      <c r="C1712" s="452"/>
      <c r="D1712" s="521"/>
      <c r="E1712" s="453"/>
      <c r="F1712" s="454"/>
      <c r="G1712" s="525"/>
      <c r="H1712" s="454"/>
      <c r="I1712" s="459"/>
      <c r="J1712" s="271" t="b">
        <f>Age_Sex22[[#This Row],[Total Spending After Applying Truncation at the Member Level]]+Age_Sex22[[#This Row],[Total Dollars Excluded from Spending After Applying Truncation at the Member Level]]=Age_Sex22[[#This Row],[Total Spending before Truncation is Applied]]</f>
        <v>1</v>
      </c>
    </row>
    <row r="1713" spans="1:10" x14ac:dyDescent="0.25">
      <c r="A1713" s="449"/>
      <c r="B1713" s="443"/>
      <c r="C1713" s="444"/>
      <c r="D1713" s="520"/>
      <c r="E1713" s="445"/>
      <c r="F1713" s="446"/>
      <c r="G1713" s="524"/>
      <c r="H1713" s="446"/>
      <c r="I1713" s="458"/>
      <c r="J1713" s="271" t="b">
        <f>Age_Sex22[[#This Row],[Total Spending After Applying Truncation at the Member Level]]+Age_Sex22[[#This Row],[Total Dollars Excluded from Spending After Applying Truncation at the Member Level]]=Age_Sex22[[#This Row],[Total Spending before Truncation is Applied]]</f>
        <v>1</v>
      </c>
    </row>
    <row r="1714" spans="1:10" x14ac:dyDescent="0.25">
      <c r="A1714" s="450"/>
      <c r="B1714" s="451"/>
      <c r="C1714" s="452"/>
      <c r="D1714" s="521"/>
      <c r="E1714" s="453"/>
      <c r="F1714" s="454"/>
      <c r="G1714" s="525"/>
      <c r="H1714" s="454"/>
      <c r="I1714" s="459"/>
      <c r="J1714" s="271" t="b">
        <f>Age_Sex22[[#This Row],[Total Spending After Applying Truncation at the Member Level]]+Age_Sex22[[#This Row],[Total Dollars Excluded from Spending After Applying Truncation at the Member Level]]=Age_Sex22[[#This Row],[Total Spending before Truncation is Applied]]</f>
        <v>1</v>
      </c>
    </row>
    <row r="1715" spans="1:10" x14ac:dyDescent="0.25">
      <c r="A1715" s="449"/>
      <c r="B1715" s="443"/>
      <c r="C1715" s="444"/>
      <c r="D1715" s="520"/>
      <c r="E1715" s="445"/>
      <c r="F1715" s="446"/>
      <c r="G1715" s="524"/>
      <c r="H1715" s="446"/>
      <c r="I1715" s="458"/>
      <c r="J1715" s="271" t="b">
        <f>Age_Sex22[[#This Row],[Total Spending After Applying Truncation at the Member Level]]+Age_Sex22[[#This Row],[Total Dollars Excluded from Spending After Applying Truncation at the Member Level]]=Age_Sex22[[#This Row],[Total Spending before Truncation is Applied]]</f>
        <v>1</v>
      </c>
    </row>
    <row r="1716" spans="1:10" x14ac:dyDescent="0.25">
      <c r="A1716" s="450"/>
      <c r="B1716" s="451"/>
      <c r="C1716" s="452"/>
      <c r="D1716" s="521"/>
      <c r="E1716" s="453"/>
      <c r="F1716" s="454"/>
      <c r="G1716" s="525"/>
      <c r="H1716" s="454"/>
      <c r="I1716" s="459"/>
      <c r="J1716" s="271" t="b">
        <f>Age_Sex22[[#This Row],[Total Spending After Applying Truncation at the Member Level]]+Age_Sex22[[#This Row],[Total Dollars Excluded from Spending After Applying Truncation at the Member Level]]=Age_Sex22[[#This Row],[Total Spending before Truncation is Applied]]</f>
        <v>1</v>
      </c>
    </row>
    <row r="1717" spans="1:10" x14ac:dyDescent="0.25">
      <c r="A1717" s="449"/>
      <c r="B1717" s="443"/>
      <c r="C1717" s="444"/>
      <c r="D1717" s="520"/>
      <c r="E1717" s="445"/>
      <c r="F1717" s="446"/>
      <c r="G1717" s="524"/>
      <c r="H1717" s="446"/>
      <c r="I1717" s="458"/>
      <c r="J1717" s="271" t="b">
        <f>Age_Sex22[[#This Row],[Total Spending After Applying Truncation at the Member Level]]+Age_Sex22[[#This Row],[Total Dollars Excluded from Spending After Applying Truncation at the Member Level]]=Age_Sex22[[#This Row],[Total Spending before Truncation is Applied]]</f>
        <v>1</v>
      </c>
    </row>
    <row r="1718" spans="1:10" x14ac:dyDescent="0.25">
      <c r="A1718" s="450"/>
      <c r="B1718" s="451"/>
      <c r="C1718" s="452"/>
      <c r="D1718" s="521"/>
      <c r="E1718" s="453"/>
      <c r="F1718" s="454"/>
      <c r="G1718" s="525"/>
      <c r="H1718" s="454"/>
      <c r="I1718" s="459"/>
      <c r="J1718" s="271" t="b">
        <f>Age_Sex22[[#This Row],[Total Spending After Applying Truncation at the Member Level]]+Age_Sex22[[#This Row],[Total Dollars Excluded from Spending After Applying Truncation at the Member Level]]=Age_Sex22[[#This Row],[Total Spending before Truncation is Applied]]</f>
        <v>1</v>
      </c>
    </row>
    <row r="1719" spans="1:10" x14ac:dyDescent="0.25">
      <c r="A1719" s="449"/>
      <c r="B1719" s="443"/>
      <c r="C1719" s="444"/>
      <c r="D1719" s="520"/>
      <c r="E1719" s="445"/>
      <c r="F1719" s="446"/>
      <c r="G1719" s="524"/>
      <c r="H1719" s="446"/>
      <c r="I1719" s="458"/>
      <c r="J1719" s="271" t="b">
        <f>Age_Sex22[[#This Row],[Total Spending After Applying Truncation at the Member Level]]+Age_Sex22[[#This Row],[Total Dollars Excluded from Spending After Applying Truncation at the Member Level]]=Age_Sex22[[#This Row],[Total Spending before Truncation is Applied]]</f>
        <v>1</v>
      </c>
    </row>
    <row r="1720" spans="1:10" x14ac:dyDescent="0.25">
      <c r="A1720" s="450"/>
      <c r="B1720" s="451"/>
      <c r="C1720" s="452"/>
      <c r="D1720" s="521"/>
      <c r="E1720" s="453"/>
      <c r="F1720" s="454"/>
      <c r="G1720" s="525"/>
      <c r="H1720" s="454"/>
      <c r="I1720" s="459"/>
      <c r="J1720" s="271" t="b">
        <f>Age_Sex22[[#This Row],[Total Spending After Applying Truncation at the Member Level]]+Age_Sex22[[#This Row],[Total Dollars Excluded from Spending After Applying Truncation at the Member Level]]=Age_Sex22[[#This Row],[Total Spending before Truncation is Applied]]</f>
        <v>1</v>
      </c>
    </row>
    <row r="1721" spans="1:10" x14ac:dyDescent="0.25">
      <c r="A1721" s="449"/>
      <c r="B1721" s="443"/>
      <c r="C1721" s="444"/>
      <c r="D1721" s="520"/>
      <c r="E1721" s="445"/>
      <c r="F1721" s="446"/>
      <c r="G1721" s="524"/>
      <c r="H1721" s="446"/>
      <c r="I1721" s="458"/>
      <c r="J1721" s="271" t="b">
        <f>Age_Sex22[[#This Row],[Total Spending After Applying Truncation at the Member Level]]+Age_Sex22[[#This Row],[Total Dollars Excluded from Spending After Applying Truncation at the Member Level]]=Age_Sex22[[#This Row],[Total Spending before Truncation is Applied]]</f>
        <v>1</v>
      </c>
    </row>
    <row r="1722" spans="1:10" x14ac:dyDescent="0.25">
      <c r="A1722" s="450"/>
      <c r="B1722" s="451"/>
      <c r="C1722" s="452"/>
      <c r="D1722" s="521"/>
      <c r="E1722" s="453"/>
      <c r="F1722" s="454"/>
      <c r="G1722" s="525"/>
      <c r="H1722" s="454"/>
      <c r="I1722" s="459"/>
      <c r="J1722" s="271" t="b">
        <f>Age_Sex22[[#This Row],[Total Spending After Applying Truncation at the Member Level]]+Age_Sex22[[#This Row],[Total Dollars Excluded from Spending After Applying Truncation at the Member Level]]=Age_Sex22[[#This Row],[Total Spending before Truncation is Applied]]</f>
        <v>1</v>
      </c>
    </row>
    <row r="1723" spans="1:10" x14ac:dyDescent="0.25">
      <c r="A1723" s="449"/>
      <c r="B1723" s="443"/>
      <c r="C1723" s="444"/>
      <c r="D1723" s="520"/>
      <c r="E1723" s="445"/>
      <c r="F1723" s="446"/>
      <c r="G1723" s="524"/>
      <c r="H1723" s="446"/>
      <c r="I1723" s="458"/>
      <c r="J1723" s="271" t="b">
        <f>Age_Sex22[[#This Row],[Total Spending After Applying Truncation at the Member Level]]+Age_Sex22[[#This Row],[Total Dollars Excluded from Spending After Applying Truncation at the Member Level]]=Age_Sex22[[#This Row],[Total Spending before Truncation is Applied]]</f>
        <v>1</v>
      </c>
    </row>
    <row r="1724" spans="1:10" x14ac:dyDescent="0.25">
      <c r="A1724" s="450"/>
      <c r="B1724" s="451"/>
      <c r="C1724" s="452"/>
      <c r="D1724" s="521"/>
      <c r="E1724" s="453"/>
      <c r="F1724" s="454"/>
      <c r="G1724" s="525"/>
      <c r="H1724" s="454"/>
      <c r="I1724" s="459"/>
      <c r="J1724" s="271" t="b">
        <f>Age_Sex22[[#This Row],[Total Spending After Applying Truncation at the Member Level]]+Age_Sex22[[#This Row],[Total Dollars Excluded from Spending After Applying Truncation at the Member Level]]=Age_Sex22[[#This Row],[Total Spending before Truncation is Applied]]</f>
        <v>1</v>
      </c>
    </row>
    <row r="1725" spans="1:10" x14ac:dyDescent="0.25">
      <c r="A1725" s="449"/>
      <c r="B1725" s="443"/>
      <c r="C1725" s="444"/>
      <c r="D1725" s="520"/>
      <c r="E1725" s="445"/>
      <c r="F1725" s="446"/>
      <c r="G1725" s="524"/>
      <c r="H1725" s="446"/>
      <c r="I1725" s="458"/>
      <c r="J1725" s="271" t="b">
        <f>Age_Sex22[[#This Row],[Total Spending After Applying Truncation at the Member Level]]+Age_Sex22[[#This Row],[Total Dollars Excluded from Spending After Applying Truncation at the Member Level]]=Age_Sex22[[#This Row],[Total Spending before Truncation is Applied]]</f>
        <v>1</v>
      </c>
    </row>
    <row r="1726" spans="1:10" x14ac:dyDescent="0.25">
      <c r="A1726" s="450"/>
      <c r="B1726" s="451"/>
      <c r="C1726" s="452"/>
      <c r="D1726" s="521"/>
      <c r="E1726" s="453"/>
      <c r="F1726" s="454"/>
      <c r="G1726" s="525"/>
      <c r="H1726" s="454"/>
      <c r="I1726" s="459"/>
      <c r="J1726" s="271" t="b">
        <f>Age_Sex22[[#This Row],[Total Spending After Applying Truncation at the Member Level]]+Age_Sex22[[#This Row],[Total Dollars Excluded from Spending After Applying Truncation at the Member Level]]=Age_Sex22[[#This Row],[Total Spending before Truncation is Applied]]</f>
        <v>1</v>
      </c>
    </row>
    <row r="1727" spans="1:10" x14ac:dyDescent="0.25">
      <c r="A1727" s="449"/>
      <c r="B1727" s="443"/>
      <c r="C1727" s="444"/>
      <c r="D1727" s="520"/>
      <c r="E1727" s="445"/>
      <c r="F1727" s="446"/>
      <c r="G1727" s="524"/>
      <c r="H1727" s="446"/>
      <c r="I1727" s="458"/>
      <c r="J1727" s="271" t="b">
        <f>Age_Sex22[[#This Row],[Total Spending After Applying Truncation at the Member Level]]+Age_Sex22[[#This Row],[Total Dollars Excluded from Spending After Applying Truncation at the Member Level]]=Age_Sex22[[#This Row],[Total Spending before Truncation is Applied]]</f>
        <v>1</v>
      </c>
    </row>
    <row r="1728" spans="1:10" x14ac:dyDescent="0.25">
      <c r="A1728" s="450"/>
      <c r="B1728" s="451"/>
      <c r="C1728" s="452"/>
      <c r="D1728" s="521"/>
      <c r="E1728" s="453"/>
      <c r="F1728" s="454"/>
      <c r="G1728" s="525"/>
      <c r="H1728" s="454"/>
      <c r="I1728" s="459"/>
      <c r="J1728" s="271" t="b">
        <f>Age_Sex22[[#This Row],[Total Spending After Applying Truncation at the Member Level]]+Age_Sex22[[#This Row],[Total Dollars Excluded from Spending After Applying Truncation at the Member Level]]=Age_Sex22[[#This Row],[Total Spending before Truncation is Applied]]</f>
        <v>1</v>
      </c>
    </row>
    <row r="1729" spans="1:10" x14ac:dyDescent="0.25">
      <c r="A1729" s="449"/>
      <c r="B1729" s="443"/>
      <c r="C1729" s="444"/>
      <c r="D1729" s="520"/>
      <c r="E1729" s="445"/>
      <c r="F1729" s="446"/>
      <c r="G1729" s="524"/>
      <c r="H1729" s="446"/>
      <c r="I1729" s="458"/>
      <c r="J1729" s="271" t="b">
        <f>Age_Sex22[[#This Row],[Total Spending After Applying Truncation at the Member Level]]+Age_Sex22[[#This Row],[Total Dollars Excluded from Spending After Applying Truncation at the Member Level]]=Age_Sex22[[#This Row],[Total Spending before Truncation is Applied]]</f>
        <v>1</v>
      </c>
    </row>
    <row r="1730" spans="1:10" x14ac:dyDescent="0.25">
      <c r="A1730" s="450"/>
      <c r="B1730" s="451"/>
      <c r="C1730" s="452"/>
      <c r="D1730" s="521"/>
      <c r="E1730" s="453"/>
      <c r="F1730" s="454"/>
      <c r="G1730" s="525"/>
      <c r="H1730" s="454"/>
      <c r="I1730" s="459"/>
      <c r="J1730" s="271" t="b">
        <f>Age_Sex22[[#This Row],[Total Spending After Applying Truncation at the Member Level]]+Age_Sex22[[#This Row],[Total Dollars Excluded from Spending After Applying Truncation at the Member Level]]=Age_Sex22[[#This Row],[Total Spending before Truncation is Applied]]</f>
        <v>1</v>
      </c>
    </row>
    <row r="1731" spans="1:10" x14ac:dyDescent="0.25">
      <c r="A1731" s="449"/>
      <c r="B1731" s="443"/>
      <c r="C1731" s="444"/>
      <c r="D1731" s="520"/>
      <c r="E1731" s="445"/>
      <c r="F1731" s="446"/>
      <c r="G1731" s="524"/>
      <c r="H1731" s="446"/>
      <c r="I1731" s="458"/>
      <c r="J1731" s="271" t="b">
        <f>Age_Sex22[[#This Row],[Total Spending After Applying Truncation at the Member Level]]+Age_Sex22[[#This Row],[Total Dollars Excluded from Spending After Applying Truncation at the Member Level]]=Age_Sex22[[#This Row],[Total Spending before Truncation is Applied]]</f>
        <v>1</v>
      </c>
    </row>
    <row r="1732" spans="1:10" x14ac:dyDescent="0.25">
      <c r="A1732" s="450"/>
      <c r="B1732" s="451"/>
      <c r="C1732" s="452"/>
      <c r="D1732" s="521"/>
      <c r="E1732" s="453"/>
      <c r="F1732" s="454"/>
      <c r="G1732" s="525"/>
      <c r="H1732" s="454"/>
      <c r="I1732" s="459"/>
      <c r="J1732" s="271" t="b">
        <f>Age_Sex22[[#This Row],[Total Spending After Applying Truncation at the Member Level]]+Age_Sex22[[#This Row],[Total Dollars Excluded from Spending After Applying Truncation at the Member Level]]=Age_Sex22[[#This Row],[Total Spending before Truncation is Applied]]</f>
        <v>1</v>
      </c>
    </row>
    <row r="1733" spans="1:10" x14ac:dyDescent="0.25">
      <c r="A1733" s="449"/>
      <c r="B1733" s="443"/>
      <c r="C1733" s="444"/>
      <c r="D1733" s="520"/>
      <c r="E1733" s="445"/>
      <c r="F1733" s="446"/>
      <c r="G1733" s="524"/>
      <c r="H1733" s="446"/>
      <c r="I1733" s="458"/>
      <c r="J1733" s="271" t="b">
        <f>Age_Sex22[[#This Row],[Total Spending After Applying Truncation at the Member Level]]+Age_Sex22[[#This Row],[Total Dollars Excluded from Spending After Applying Truncation at the Member Level]]=Age_Sex22[[#This Row],[Total Spending before Truncation is Applied]]</f>
        <v>1</v>
      </c>
    </row>
    <row r="1734" spans="1:10" x14ac:dyDescent="0.25">
      <c r="A1734" s="450"/>
      <c r="B1734" s="451"/>
      <c r="C1734" s="452"/>
      <c r="D1734" s="521"/>
      <c r="E1734" s="453"/>
      <c r="F1734" s="454"/>
      <c r="G1734" s="525"/>
      <c r="H1734" s="454"/>
      <c r="I1734" s="459"/>
      <c r="J1734" s="271" t="b">
        <f>Age_Sex22[[#This Row],[Total Spending After Applying Truncation at the Member Level]]+Age_Sex22[[#This Row],[Total Dollars Excluded from Spending After Applying Truncation at the Member Level]]=Age_Sex22[[#This Row],[Total Spending before Truncation is Applied]]</f>
        <v>1</v>
      </c>
    </row>
    <row r="1735" spans="1:10" x14ac:dyDescent="0.25">
      <c r="A1735" s="449"/>
      <c r="B1735" s="443"/>
      <c r="C1735" s="444"/>
      <c r="D1735" s="520"/>
      <c r="E1735" s="445"/>
      <c r="F1735" s="446"/>
      <c r="G1735" s="524"/>
      <c r="H1735" s="446"/>
      <c r="I1735" s="458"/>
      <c r="J1735" s="271" t="b">
        <f>Age_Sex22[[#This Row],[Total Spending After Applying Truncation at the Member Level]]+Age_Sex22[[#This Row],[Total Dollars Excluded from Spending After Applying Truncation at the Member Level]]=Age_Sex22[[#This Row],[Total Spending before Truncation is Applied]]</f>
        <v>1</v>
      </c>
    </row>
    <row r="1736" spans="1:10" x14ac:dyDescent="0.25">
      <c r="A1736" s="450"/>
      <c r="B1736" s="451"/>
      <c r="C1736" s="452"/>
      <c r="D1736" s="521"/>
      <c r="E1736" s="453"/>
      <c r="F1736" s="454"/>
      <c r="G1736" s="525"/>
      <c r="H1736" s="454"/>
      <c r="I1736" s="459"/>
      <c r="J1736" s="271" t="b">
        <f>Age_Sex22[[#This Row],[Total Spending After Applying Truncation at the Member Level]]+Age_Sex22[[#This Row],[Total Dollars Excluded from Spending After Applying Truncation at the Member Level]]=Age_Sex22[[#This Row],[Total Spending before Truncation is Applied]]</f>
        <v>1</v>
      </c>
    </row>
    <row r="1737" spans="1:10" x14ac:dyDescent="0.25">
      <c r="A1737" s="449"/>
      <c r="B1737" s="443"/>
      <c r="C1737" s="444"/>
      <c r="D1737" s="520"/>
      <c r="E1737" s="445"/>
      <c r="F1737" s="446"/>
      <c r="G1737" s="524"/>
      <c r="H1737" s="446"/>
      <c r="I1737" s="458"/>
      <c r="J1737" s="271" t="b">
        <f>Age_Sex22[[#This Row],[Total Spending After Applying Truncation at the Member Level]]+Age_Sex22[[#This Row],[Total Dollars Excluded from Spending After Applying Truncation at the Member Level]]=Age_Sex22[[#This Row],[Total Spending before Truncation is Applied]]</f>
        <v>1</v>
      </c>
    </row>
    <row r="1738" spans="1:10" x14ac:dyDescent="0.25">
      <c r="A1738" s="450"/>
      <c r="B1738" s="451"/>
      <c r="C1738" s="452"/>
      <c r="D1738" s="521"/>
      <c r="E1738" s="453"/>
      <c r="F1738" s="454"/>
      <c r="G1738" s="525"/>
      <c r="H1738" s="454"/>
      <c r="I1738" s="459"/>
      <c r="J1738" s="271" t="b">
        <f>Age_Sex22[[#This Row],[Total Spending After Applying Truncation at the Member Level]]+Age_Sex22[[#This Row],[Total Dollars Excluded from Spending After Applying Truncation at the Member Level]]=Age_Sex22[[#This Row],[Total Spending before Truncation is Applied]]</f>
        <v>1</v>
      </c>
    </row>
    <row r="1739" spans="1:10" x14ac:dyDescent="0.25">
      <c r="A1739" s="449"/>
      <c r="B1739" s="443"/>
      <c r="C1739" s="444"/>
      <c r="D1739" s="520"/>
      <c r="E1739" s="445"/>
      <c r="F1739" s="446"/>
      <c r="G1739" s="524"/>
      <c r="H1739" s="446"/>
      <c r="I1739" s="458"/>
      <c r="J1739" s="271" t="b">
        <f>Age_Sex22[[#This Row],[Total Spending After Applying Truncation at the Member Level]]+Age_Sex22[[#This Row],[Total Dollars Excluded from Spending After Applying Truncation at the Member Level]]=Age_Sex22[[#This Row],[Total Spending before Truncation is Applied]]</f>
        <v>1</v>
      </c>
    </row>
    <row r="1740" spans="1:10" x14ac:dyDescent="0.25">
      <c r="A1740" s="450"/>
      <c r="B1740" s="451"/>
      <c r="C1740" s="452"/>
      <c r="D1740" s="521"/>
      <c r="E1740" s="453"/>
      <c r="F1740" s="454"/>
      <c r="G1740" s="525"/>
      <c r="H1740" s="454"/>
      <c r="I1740" s="459"/>
      <c r="J1740" s="271" t="b">
        <f>Age_Sex22[[#This Row],[Total Spending After Applying Truncation at the Member Level]]+Age_Sex22[[#This Row],[Total Dollars Excluded from Spending After Applying Truncation at the Member Level]]=Age_Sex22[[#This Row],[Total Spending before Truncation is Applied]]</f>
        <v>1</v>
      </c>
    </row>
    <row r="1741" spans="1:10" x14ac:dyDescent="0.25">
      <c r="A1741" s="449"/>
      <c r="B1741" s="443"/>
      <c r="C1741" s="444"/>
      <c r="D1741" s="520"/>
      <c r="E1741" s="445"/>
      <c r="F1741" s="446"/>
      <c r="G1741" s="524"/>
      <c r="H1741" s="446"/>
      <c r="I1741" s="458"/>
      <c r="J1741" s="271" t="b">
        <f>Age_Sex22[[#This Row],[Total Spending After Applying Truncation at the Member Level]]+Age_Sex22[[#This Row],[Total Dollars Excluded from Spending After Applying Truncation at the Member Level]]=Age_Sex22[[#This Row],[Total Spending before Truncation is Applied]]</f>
        <v>1</v>
      </c>
    </row>
    <row r="1742" spans="1:10" x14ac:dyDescent="0.25">
      <c r="A1742" s="450"/>
      <c r="B1742" s="451"/>
      <c r="C1742" s="452"/>
      <c r="D1742" s="521"/>
      <c r="E1742" s="453"/>
      <c r="F1742" s="454"/>
      <c r="G1742" s="525"/>
      <c r="H1742" s="454"/>
      <c r="I1742" s="459"/>
      <c r="J1742" s="271" t="b">
        <f>Age_Sex22[[#This Row],[Total Spending After Applying Truncation at the Member Level]]+Age_Sex22[[#This Row],[Total Dollars Excluded from Spending After Applying Truncation at the Member Level]]=Age_Sex22[[#This Row],[Total Spending before Truncation is Applied]]</f>
        <v>1</v>
      </c>
    </row>
    <row r="1743" spans="1:10" x14ac:dyDescent="0.25">
      <c r="A1743" s="449"/>
      <c r="B1743" s="443"/>
      <c r="C1743" s="444"/>
      <c r="D1743" s="520"/>
      <c r="E1743" s="445"/>
      <c r="F1743" s="446"/>
      <c r="G1743" s="524"/>
      <c r="H1743" s="446"/>
      <c r="I1743" s="458"/>
      <c r="J1743" s="271" t="b">
        <f>Age_Sex22[[#This Row],[Total Spending After Applying Truncation at the Member Level]]+Age_Sex22[[#This Row],[Total Dollars Excluded from Spending After Applying Truncation at the Member Level]]=Age_Sex22[[#This Row],[Total Spending before Truncation is Applied]]</f>
        <v>1</v>
      </c>
    </row>
    <row r="1744" spans="1:10" x14ac:dyDescent="0.25">
      <c r="A1744" s="450"/>
      <c r="B1744" s="451"/>
      <c r="C1744" s="452"/>
      <c r="D1744" s="521"/>
      <c r="E1744" s="453"/>
      <c r="F1744" s="454"/>
      <c r="G1744" s="525"/>
      <c r="H1744" s="454"/>
      <c r="I1744" s="459"/>
      <c r="J1744" s="271" t="b">
        <f>Age_Sex22[[#This Row],[Total Spending After Applying Truncation at the Member Level]]+Age_Sex22[[#This Row],[Total Dollars Excluded from Spending After Applying Truncation at the Member Level]]=Age_Sex22[[#This Row],[Total Spending before Truncation is Applied]]</f>
        <v>1</v>
      </c>
    </row>
    <row r="1745" spans="1:10" x14ac:dyDescent="0.25">
      <c r="A1745" s="449"/>
      <c r="B1745" s="443"/>
      <c r="C1745" s="444"/>
      <c r="D1745" s="520"/>
      <c r="E1745" s="445"/>
      <c r="F1745" s="446"/>
      <c r="G1745" s="524"/>
      <c r="H1745" s="446"/>
      <c r="I1745" s="458"/>
      <c r="J1745" s="271" t="b">
        <f>Age_Sex22[[#This Row],[Total Spending After Applying Truncation at the Member Level]]+Age_Sex22[[#This Row],[Total Dollars Excluded from Spending After Applying Truncation at the Member Level]]=Age_Sex22[[#This Row],[Total Spending before Truncation is Applied]]</f>
        <v>1</v>
      </c>
    </row>
    <row r="1746" spans="1:10" x14ac:dyDescent="0.25">
      <c r="A1746" s="450"/>
      <c r="B1746" s="451"/>
      <c r="C1746" s="452"/>
      <c r="D1746" s="521"/>
      <c r="E1746" s="453"/>
      <c r="F1746" s="454"/>
      <c r="G1746" s="525"/>
      <c r="H1746" s="454"/>
      <c r="I1746" s="459"/>
      <c r="J1746" s="271" t="b">
        <f>Age_Sex22[[#This Row],[Total Spending After Applying Truncation at the Member Level]]+Age_Sex22[[#This Row],[Total Dollars Excluded from Spending After Applying Truncation at the Member Level]]=Age_Sex22[[#This Row],[Total Spending before Truncation is Applied]]</f>
        <v>1</v>
      </c>
    </row>
    <row r="1747" spans="1:10" x14ac:dyDescent="0.25">
      <c r="A1747" s="449"/>
      <c r="B1747" s="443"/>
      <c r="C1747" s="444"/>
      <c r="D1747" s="520"/>
      <c r="E1747" s="445"/>
      <c r="F1747" s="446"/>
      <c r="G1747" s="524"/>
      <c r="H1747" s="446"/>
      <c r="I1747" s="458"/>
      <c r="J1747" s="271" t="b">
        <f>Age_Sex22[[#This Row],[Total Spending After Applying Truncation at the Member Level]]+Age_Sex22[[#This Row],[Total Dollars Excluded from Spending After Applying Truncation at the Member Level]]=Age_Sex22[[#This Row],[Total Spending before Truncation is Applied]]</f>
        <v>1</v>
      </c>
    </row>
    <row r="1748" spans="1:10" x14ac:dyDescent="0.25">
      <c r="A1748" s="450"/>
      <c r="B1748" s="451"/>
      <c r="C1748" s="452"/>
      <c r="D1748" s="521"/>
      <c r="E1748" s="453"/>
      <c r="F1748" s="454"/>
      <c r="G1748" s="525"/>
      <c r="H1748" s="454"/>
      <c r="I1748" s="459"/>
      <c r="J1748" s="271" t="b">
        <f>Age_Sex22[[#This Row],[Total Spending After Applying Truncation at the Member Level]]+Age_Sex22[[#This Row],[Total Dollars Excluded from Spending After Applying Truncation at the Member Level]]=Age_Sex22[[#This Row],[Total Spending before Truncation is Applied]]</f>
        <v>1</v>
      </c>
    </row>
    <row r="1749" spans="1:10" x14ac:dyDescent="0.25">
      <c r="A1749" s="449"/>
      <c r="B1749" s="443"/>
      <c r="C1749" s="444"/>
      <c r="D1749" s="520"/>
      <c r="E1749" s="445"/>
      <c r="F1749" s="446"/>
      <c r="G1749" s="524"/>
      <c r="H1749" s="446"/>
      <c r="I1749" s="458"/>
      <c r="J1749" s="271" t="b">
        <f>Age_Sex22[[#This Row],[Total Spending After Applying Truncation at the Member Level]]+Age_Sex22[[#This Row],[Total Dollars Excluded from Spending After Applying Truncation at the Member Level]]=Age_Sex22[[#This Row],[Total Spending before Truncation is Applied]]</f>
        <v>1</v>
      </c>
    </row>
    <row r="1750" spans="1:10" x14ac:dyDescent="0.25">
      <c r="A1750" s="450"/>
      <c r="B1750" s="451"/>
      <c r="C1750" s="452"/>
      <c r="D1750" s="521"/>
      <c r="E1750" s="453"/>
      <c r="F1750" s="454"/>
      <c r="G1750" s="525"/>
      <c r="H1750" s="454"/>
      <c r="I1750" s="459"/>
      <c r="J1750" s="271" t="b">
        <f>Age_Sex22[[#This Row],[Total Spending After Applying Truncation at the Member Level]]+Age_Sex22[[#This Row],[Total Dollars Excluded from Spending After Applying Truncation at the Member Level]]=Age_Sex22[[#This Row],[Total Spending before Truncation is Applied]]</f>
        <v>1</v>
      </c>
    </row>
    <row r="1751" spans="1:10" x14ac:dyDescent="0.25">
      <c r="A1751" s="449"/>
      <c r="B1751" s="443"/>
      <c r="C1751" s="444"/>
      <c r="D1751" s="520"/>
      <c r="E1751" s="445"/>
      <c r="F1751" s="446"/>
      <c r="G1751" s="524"/>
      <c r="H1751" s="446"/>
      <c r="I1751" s="458"/>
      <c r="J1751" s="271" t="b">
        <f>Age_Sex22[[#This Row],[Total Spending After Applying Truncation at the Member Level]]+Age_Sex22[[#This Row],[Total Dollars Excluded from Spending After Applying Truncation at the Member Level]]=Age_Sex22[[#This Row],[Total Spending before Truncation is Applied]]</f>
        <v>1</v>
      </c>
    </row>
    <row r="1752" spans="1:10" x14ac:dyDescent="0.25">
      <c r="A1752" s="450"/>
      <c r="B1752" s="451"/>
      <c r="C1752" s="452"/>
      <c r="D1752" s="521"/>
      <c r="E1752" s="453"/>
      <c r="F1752" s="454"/>
      <c r="G1752" s="525"/>
      <c r="H1752" s="454"/>
      <c r="I1752" s="459"/>
      <c r="J1752" s="271" t="b">
        <f>Age_Sex22[[#This Row],[Total Spending After Applying Truncation at the Member Level]]+Age_Sex22[[#This Row],[Total Dollars Excluded from Spending After Applying Truncation at the Member Level]]=Age_Sex22[[#This Row],[Total Spending before Truncation is Applied]]</f>
        <v>1</v>
      </c>
    </row>
    <row r="1753" spans="1:10" x14ac:dyDescent="0.25">
      <c r="A1753" s="449"/>
      <c r="B1753" s="443"/>
      <c r="C1753" s="444"/>
      <c r="D1753" s="520"/>
      <c r="E1753" s="445"/>
      <c r="F1753" s="446"/>
      <c r="G1753" s="524"/>
      <c r="H1753" s="446"/>
      <c r="I1753" s="458"/>
      <c r="J1753" s="271" t="b">
        <f>Age_Sex22[[#This Row],[Total Spending After Applying Truncation at the Member Level]]+Age_Sex22[[#This Row],[Total Dollars Excluded from Spending After Applying Truncation at the Member Level]]=Age_Sex22[[#This Row],[Total Spending before Truncation is Applied]]</f>
        <v>1</v>
      </c>
    </row>
    <row r="1754" spans="1:10" x14ac:dyDescent="0.25">
      <c r="A1754" s="450"/>
      <c r="B1754" s="451"/>
      <c r="C1754" s="452"/>
      <c r="D1754" s="521"/>
      <c r="E1754" s="453"/>
      <c r="F1754" s="454"/>
      <c r="G1754" s="525"/>
      <c r="H1754" s="454"/>
      <c r="I1754" s="459"/>
      <c r="J1754" s="271" t="b">
        <f>Age_Sex22[[#This Row],[Total Spending After Applying Truncation at the Member Level]]+Age_Sex22[[#This Row],[Total Dollars Excluded from Spending After Applying Truncation at the Member Level]]=Age_Sex22[[#This Row],[Total Spending before Truncation is Applied]]</f>
        <v>1</v>
      </c>
    </row>
    <row r="1755" spans="1:10" x14ac:dyDescent="0.25">
      <c r="A1755" s="449"/>
      <c r="B1755" s="443"/>
      <c r="C1755" s="444"/>
      <c r="D1755" s="520"/>
      <c r="E1755" s="445"/>
      <c r="F1755" s="446"/>
      <c r="G1755" s="524"/>
      <c r="H1755" s="446"/>
      <c r="I1755" s="458"/>
      <c r="J1755" s="271" t="b">
        <f>Age_Sex22[[#This Row],[Total Spending After Applying Truncation at the Member Level]]+Age_Sex22[[#This Row],[Total Dollars Excluded from Spending After Applying Truncation at the Member Level]]=Age_Sex22[[#This Row],[Total Spending before Truncation is Applied]]</f>
        <v>1</v>
      </c>
    </row>
    <row r="1756" spans="1:10" x14ac:dyDescent="0.25">
      <c r="A1756" s="450"/>
      <c r="B1756" s="451"/>
      <c r="C1756" s="452"/>
      <c r="D1756" s="521"/>
      <c r="E1756" s="453"/>
      <c r="F1756" s="454"/>
      <c r="G1756" s="525"/>
      <c r="H1756" s="454"/>
      <c r="I1756" s="459"/>
      <c r="J1756" s="271" t="b">
        <f>Age_Sex22[[#This Row],[Total Spending After Applying Truncation at the Member Level]]+Age_Sex22[[#This Row],[Total Dollars Excluded from Spending After Applying Truncation at the Member Level]]=Age_Sex22[[#This Row],[Total Spending before Truncation is Applied]]</f>
        <v>1</v>
      </c>
    </row>
    <row r="1757" spans="1:10" x14ac:dyDescent="0.25">
      <c r="A1757" s="449"/>
      <c r="B1757" s="443"/>
      <c r="C1757" s="444"/>
      <c r="D1757" s="520"/>
      <c r="E1757" s="445"/>
      <c r="F1757" s="446"/>
      <c r="G1757" s="524"/>
      <c r="H1757" s="446"/>
      <c r="I1757" s="458"/>
      <c r="J1757" s="271" t="b">
        <f>Age_Sex22[[#This Row],[Total Spending After Applying Truncation at the Member Level]]+Age_Sex22[[#This Row],[Total Dollars Excluded from Spending After Applying Truncation at the Member Level]]=Age_Sex22[[#This Row],[Total Spending before Truncation is Applied]]</f>
        <v>1</v>
      </c>
    </row>
    <row r="1758" spans="1:10" x14ac:dyDescent="0.25">
      <c r="A1758" s="450"/>
      <c r="B1758" s="451"/>
      <c r="C1758" s="452"/>
      <c r="D1758" s="521"/>
      <c r="E1758" s="453"/>
      <c r="F1758" s="454"/>
      <c r="G1758" s="525"/>
      <c r="H1758" s="454"/>
      <c r="I1758" s="459"/>
      <c r="J1758" s="271" t="b">
        <f>Age_Sex22[[#This Row],[Total Spending After Applying Truncation at the Member Level]]+Age_Sex22[[#This Row],[Total Dollars Excluded from Spending After Applying Truncation at the Member Level]]=Age_Sex22[[#This Row],[Total Spending before Truncation is Applied]]</f>
        <v>1</v>
      </c>
    </row>
    <row r="1759" spans="1:10" x14ac:dyDescent="0.25">
      <c r="A1759" s="449"/>
      <c r="B1759" s="443"/>
      <c r="C1759" s="444"/>
      <c r="D1759" s="520"/>
      <c r="E1759" s="445"/>
      <c r="F1759" s="446"/>
      <c r="G1759" s="524"/>
      <c r="H1759" s="446"/>
      <c r="I1759" s="458"/>
      <c r="J1759" s="271" t="b">
        <f>Age_Sex22[[#This Row],[Total Spending After Applying Truncation at the Member Level]]+Age_Sex22[[#This Row],[Total Dollars Excluded from Spending After Applying Truncation at the Member Level]]=Age_Sex22[[#This Row],[Total Spending before Truncation is Applied]]</f>
        <v>1</v>
      </c>
    </row>
    <row r="1760" spans="1:10" x14ac:dyDescent="0.25">
      <c r="A1760" s="450"/>
      <c r="B1760" s="451"/>
      <c r="C1760" s="452"/>
      <c r="D1760" s="521"/>
      <c r="E1760" s="453"/>
      <c r="F1760" s="454"/>
      <c r="G1760" s="525"/>
      <c r="H1760" s="454"/>
      <c r="I1760" s="459"/>
      <c r="J1760" s="271" t="b">
        <f>Age_Sex22[[#This Row],[Total Spending After Applying Truncation at the Member Level]]+Age_Sex22[[#This Row],[Total Dollars Excluded from Spending After Applying Truncation at the Member Level]]=Age_Sex22[[#This Row],[Total Spending before Truncation is Applied]]</f>
        <v>1</v>
      </c>
    </row>
    <row r="1761" spans="1:10" x14ac:dyDescent="0.25">
      <c r="A1761" s="449"/>
      <c r="B1761" s="443"/>
      <c r="C1761" s="444"/>
      <c r="D1761" s="520"/>
      <c r="E1761" s="445"/>
      <c r="F1761" s="446"/>
      <c r="G1761" s="524"/>
      <c r="H1761" s="446"/>
      <c r="I1761" s="458"/>
      <c r="J1761" s="271" t="b">
        <f>Age_Sex22[[#This Row],[Total Spending After Applying Truncation at the Member Level]]+Age_Sex22[[#This Row],[Total Dollars Excluded from Spending After Applying Truncation at the Member Level]]=Age_Sex22[[#This Row],[Total Spending before Truncation is Applied]]</f>
        <v>1</v>
      </c>
    </row>
    <row r="1762" spans="1:10" x14ac:dyDescent="0.25">
      <c r="A1762" s="450"/>
      <c r="B1762" s="451"/>
      <c r="C1762" s="452"/>
      <c r="D1762" s="521"/>
      <c r="E1762" s="453"/>
      <c r="F1762" s="454"/>
      <c r="G1762" s="525"/>
      <c r="H1762" s="454"/>
      <c r="I1762" s="459"/>
      <c r="J1762" s="271" t="b">
        <f>Age_Sex22[[#This Row],[Total Spending After Applying Truncation at the Member Level]]+Age_Sex22[[#This Row],[Total Dollars Excluded from Spending After Applying Truncation at the Member Level]]=Age_Sex22[[#This Row],[Total Spending before Truncation is Applied]]</f>
        <v>1</v>
      </c>
    </row>
    <row r="1763" spans="1:10" x14ac:dyDescent="0.25">
      <c r="A1763" s="449"/>
      <c r="B1763" s="443"/>
      <c r="C1763" s="444"/>
      <c r="D1763" s="520"/>
      <c r="E1763" s="445"/>
      <c r="F1763" s="446"/>
      <c r="G1763" s="524"/>
      <c r="H1763" s="446"/>
      <c r="I1763" s="458"/>
      <c r="J1763" s="271" t="b">
        <f>Age_Sex22[[#This Row],[Total Spending After Applying Truncation at the Member Level]]+Age_Sex22[[#This Row],[Total Dollars Excluded from Spending After Applying Truncation at the Member Level]]=Age_Sex22[[#This Row],[Total Spending before Truncation is Applied]]</f>
        <v>1</v>
      </c>
    </row>
    <row r="1764" spans="1:10" x14ac:dyDescent="0.25">
      <c r="A1764" s="450"/>
      <c r="B1764" s="451"/>
      <c r="C1764" s="452"/>
      <c r="D1764" s="521"/>
      <c r="E1764" s="453"/>
      <c r="F1764" s="454"/>
      <c r="G1764" s="525"/>
      <c r="H1764" s="454"/>
      <c r="I1764" s="459"/>
      <c r="J1764" s="271" t="b">
        <f>Age_Sex22[[#This Row],[Total Spending After Applying Truncation at the Member Level]]+Age_Sex22[[#This Row],[Total Dollars Excluded from Spending After Applying Truncation at the Member Level]]=Age_Sex22[[#This Row],[Total Spending before Truncation is Applied]]</f>
        <v>1</v>
      </c>
    </row>
    <row r="1765" spans="1:10" x14ac:dyDescent="0.25">
      <c r="A1765" s="449"/>
      <c r="B1765" s="443"/>
      <c r="C1765" s="444"/>
      <c r="D1765" s="520"/>
      <c r="E1765" s="445"/>
      <c r="F1765" s="446"/>
      <c r="G1765" s="524"/>
      <c r="H1765" s="446"/>
      <c r="I1765" s="458"/>
      <c r="J1765" s="271" t="b">
        <f>Age_Sex22[[#This Row],[Total Spending After Applying Truncation at the Member Level]]+Age_Sex22[[#This Row],[Total Dollars Excluded from Spending After Applying Truncation at the Member Level]]=Age_Sex22[[#This Row],[Total Spending before Truncation is Applied]]</f>
        <v>1</v>
      </c>
    </row>
    <row r="1766" spans="1:10" x14ac:dyDescent="0.25">
      <c r="A1766" s="450"/>
      <c r="B1766" s="451"/>
      <c r="C1766" s="452"/>
      <c r="D1766" s="521"/>
      <c r="E1766" s="453"/>
      <c r="F1766" s="454"/>
      <c r="G1766" s="525"/>
      <c r="H1766" s="454"/>
      <c r="I1766" s="459"/>
      <c r="J1766" s="271" t="b">
        <f>Age_Sex22[[#This Row],[Total Spending After Applying Truncation at the Member Level]]+Age_Sex22[[#This Row],[Total Dollars Excluded from Spending After Applying Truncation at the Member Level]]=Age_Sex22[[#This Row],[Total Spending before Truncation is Applied]]</f>
        <v>1</v>
      </c>
    </row>
    <row r="1767" spans="1:10" x14ac:dyDescent="0.25">
      <c r="A1767" s="449"/>
      <c r="B1767" s="443"/>
      <c r="C1767" s="444"/>
      <c r="D1767" s="520"/>
      <c r="E1767" s="445"/>
      <c r="F1767" s="446"/>
      <c r="G1767" s="524"/>
      <c r="H1767" s="446"/>
      <c r="I1767" s="458"/>
      <c r="J1767" s="271" t="b">
        <f>Age_Sex22[[#This Row],[Total Spending After Applying Truncation at the Member Level]]+Age_Sex22[[#This Row],[Total Dollars Excluded from Spending After Applying Truncation at the Member Level]]=Age_Sex22[[#This Row],[Total Spending before Truncation is Applied]]</f>
        <v>1</v>
      </c>
    </row>
    <row r="1768" spans="1:10" x14ac:dyDescent="0.25">
      <c r="A1768" s="450"/>
      <c r="B1768" s="451"/>
      <c r="C1768" s="452"/>
      <c r="D1768" s="521"/>
      <c r="E1768" s="453"/>
      <c r="F1768" s="454"/>
      <c r="G1768" s="525"/>
      <c r="H1768" s="454"/>
      <c r="I1768" s="459"/>
      <c r="J1768" s="271" t="b">
        <f>Age_Sex22[[#This Row],[Total Spending After Applying Truncation at the Member Level]]+Age_Sex22[[#This Row],[Total Dollars Excluded from Spending After Applying Truncation at the Member Level]]=Age_Sex22[[#This Row],[Total Spending before Truncation is Applied]]</f>
        <v>1</v>
      </c>
    </row>
    <row r="1769" spans="1:10" x14ac:dyDescent="0.25">
      <c r="A1769" s="449"/>
      <c r="B1769" s="443"/>
      <c r="C1769" s="444"/>
      <c r="D1769" s="520"/>
      <c r="E1769" s="445"/>
      <c r="F1769" s="446"/>
      <c r="G1769" s="524"/>
      <c r="H1769" s="446"/>
      <c r="I1769" s="458"/>
      <c r="J1769" s="271" t="b">
        <f>Age_Sex22[[#This Row],[Total Spending After Applying Truncation at the Member Level]]+Age_Sex22[[#This Row],[Total Dollars Excluded from Spending After Applying Truncation at the Member Level]]=Age_Sex22[[#This Row],[Total Spending before Truncation is Applied]]</f>
        <v>1</v>
      </c>
    </row>
    <row r="1770" spans="1:10" x14ac:dyDescent="0.25">
      <c r="A1770" s="450"/>
      <c r="B1770" s="451"/>
      <c r="C1770" s="452"/>
      <c r="D1770" s="521"/>
      <c r="E1770" s="453"/>
      <c r="F1770" s="454"/>
      <c r="G1770" s="525"/>
      <c r="H1770" s="454"/>
      <c r="I1770" s="459"/>
      <c r="J1770" s="271" t="b">
        <f>Age_Sex22[[#This Row],[Total Spending After Applying Truncation at the Member Level]]+Age_Sex22[[#This Row],[Total Dollars Excluded from Spending After Applying Truncation at the Member Level]]=Age_Sex22[[#This Row],[Total Spending before Truncation is Applied]]</f>
        <v>1</v>
      </c>
    </row>
    <row r="1771" spans="1:10" x14ac:dyDescent="0.25">
      <c r="A1771" s="449"/>
      <c r="B1771" s="443"/>
      <c r="C1771" s="444"/>
      <c r="D1771" s="520"/>
      <c r="E1771" s="445"/>
      <c r="F1771" s="446"/>
      <c r="G1771" s="524"/>
      <c r="H1771" s="446"/>
      <c r="I1771" s="458"/>
      <c r="J1771" s="271" t="b">
        <f>Age_Sex22[[#This Row],[Total Spending After Applying Truncation at the Member Level]]+Age_Sex22[[#This Row],[Total Dollars Excluded from Spending After Applying Truncation at the Member Level]]=Age_Sex22[[#This Row],[Total Spending before Truncation is Applied]]</f>
        <v>1</v>
      </c>
    </row>
    <row r="1772" spans="1:10" x14ac:dyDescent="0.25">
      <c r="A1772" s="450"/>
      <c r="B1772" s="451"/>
      <c r="C1772" s="452"/>
      <c r="D1772" s="521"/>
      <c r="E1772" s="453"/>
      <c r="F1772" s="454"/>
      <c r="G1772" s="525"/>
      <c r="H1772" s="454"/>
      <c r="I1772" s="459"/>
      <c r="J1772" s="271" t="b">
        <f>Age_Sex22[[#This Row],[Total Spending After Applying Truncation at the Member Level]]+Age_Sex22[[#This Row],[Total Dollars Excluded from Spending After Applying Truncation at the Member Level]]=Age_Sex22[[#This Row],[Total Spending before Truncation is Applied]]</f>
        <v>1</v>
      </c>
    </row>
    <row r="1773" spans="1:10" x14ac:dyDescent="0.25">
      <c r="A1773" s="449"/>
      <c r="B1773" s="443"/>
      <c r="C1773" s="444"/>
      <c r="D1773" s="520"/>
      <c r="E1773" s="445"/>
      <c r="F1773" s="446"/>
      <c r="G1773" s="524"/>
      <c r="H1773" s="446"/>
      <c r="I1773" s="458"/>
      <c r="J1773" s="271" t="b">
        <f>Age_Sex22[[#This Row],[Total Spending After Applying Truncation at the Member Level]]+Age_Sex22[[#This Row],[Total Dollars Excluded from Spending After Applying Truncation at the Member Level]]=Age_Sex22[[#This Row],[Total Spending before Truncation is Applied]]</f>
        <v>1</v>
      </c>
    </row>
    <row r="1774" spans="1:10" x14ac:dyDescent="0.25">
      <c r="A1774" s="450"/>
      <c r="B1774" s="451"/>
      <c r="C1774" s="452"/>
      <c r="D1774" s="521"/>
      <c r="E1774" s="453"/>
      <c r="F1774" s="454"/>
      <c r="G1774" s="525"/>
      <c r="H1774" s="454"/>
      <c r="I1774" s="459"/>
      <c r="J1774" s="271" t="b">
        <f>Age_Sex22[[#This Row],[Total Spending After Applying Truncation at the Member Level]]+Age_Sex22[[#This Row],[Total Dollars Excluded from Spending After Applying Truncation at the Member Level]]=Age_Sex22[[#This Row],[Total Spending before Truncation is Applied]]</f>
        <v>1</v>
      </c>
    </row>
    <row r="1775" spans="1:10" x14ac:dyDescent="0.25">
      <c r="A1775" s="449"/>
      <c r="B1775" s="443"/>
      <c r="C1775" s="444"/>
      <c r="D1775" s="520"/>
      <c r="E1775" s="445"/>
      <c r="F1775" s="446"/>
      <c r="G1775" s="524"/>
      <c r="H1775" s="446"/>
      <c r="I1775" s="458"/>
      <c r="J1775" s="271" t="b">
        <f>Age_Sex22[[#This Row],[Total Spending After Applying Truncation at the Member Level]]+Age_Sex22[[#This Row],[Total Dollars Excluded from Spending After Applying Truncation at the Member Level]]=Age_Sex22[[#This Row],[Total Spending before Truncation is Applied]]</f>
        <v>1</v>
      </c>
    </row>
    <row r="1776" spans="1:10" x14ac:dyDescent="0.25">
      <c r="A1776" s="450"/>
      <c r="B1776" s="451"/>
      <c r="C1776" s="452"/>
      <c r="D1776" s="521"/>
      <c r="E1776" s="453"/>
      <c r="F1776" s="454"/>
      <c r="G1776" s="525"/>
      <c r="H1776" s="454"/>
      <c r="I1776" s="459"/>
      <c r="J1776" s="271" t="b">
        <f>Age_Sex22[[#This Row],[Total Spending After Applying Truncation at the Member Level]]+Age_Sex22[[#This Row],[Total Dollars Excluded from Spending After Applying Truncation at the Member Level]]=Age_Sex22[[#This Row],[Total Spending before Truncation is Applied]]</f>
        <v>1</v>
      </c>
    </row>
    <row r="1777" spans="1:10" x14ac:dyDescent="0.25">
      <c r="A1777" s="449"/>
      <c r="B1777" s="443"/>
      <c r="C1777" s="444"/>
      <c r="D1777" s="520"/>
      <c r="E1777" s="445"/>
      <c r="F1777" s="446"/>
      <c r="G1777" s="524"/>
      <c r="H1777" s="446"/>
      <c r="I1777" s="458"/>
      <c r="J1777" s="271" t="b">
        <f>Age_Sex22[[#This Row],[Total Spending After Applying Truncation at the Member Level]]+Age_Sex22[[#This Row],[Total Dollars Excluded from Spending After Applying Truncation at the Member Level]]=Age_Sex22[[#This Row],[Total Spending before Truncation is Applied]]</f>
        <v>1</v>
      </c>
    </row>
    <row r="1778" spans="1:10" x14ac:dyDescent="0.25">
      <c r="A1778" s="450"/>
      <c r="B1778" s="451"/>
      <c r="C1778" s="452"/>
      <c r="D1778" s="521"/>
      <c r="E1778" s="453"/>
      <c r="F1778" s="454"/>
      <c r="G1778" s="525"/>
      <c r="H1778" s="454"/>
      <c r="I1778" s="459"/>
      <c r="J1778" s="271" t="b">
        <f>Age_Sex22[[#This Row],[Total Spending After Applying Truncation at the Member Level]]+Age_Sex22[[#This Row],[Total Dollars Excluded from Spending After Applying Truncation at the Member Level]]=Age_Sex22[[#This Row],[Total Spending before Truncation is Applied]]</f>
        <v>1</v>
      </c>
    </row>
    <row r="1779" spans="1:10" x14ac:dyDescent="0.25">
      <c r="A1779" s="449"/>
      <c r="B1779" s="443"/>
      <c r="C1779" s="444"/>
      <c r="D1779" s="520"/>
      <c r="E1779" s="445"/>
      <c r="F1779" s="446"/>
      <c r="G1779" s="524"/>
      <c r="H1779" s="446"/>
      <c r="I1779" s="458"/>
      <c r="J1779" s="271" t="b">
        <f>Age_Sex22[[#This Row],[Total Spending After Applying Truncation at the Member Level]]+Age_Sex22[[#This Row],[Total Dollars Excluded from Spending After Applying Truncation at the Member Level]]=Age_Sex22[[#This Row],[Total Spending before Truncation is Applied]]</f>
        <v>1</v>
      </c>
    </row>
    <row r="1780" spans="1:10" x14ac:dyDescent="0.25">
      <c r="A1780" s="450"/>
      <c r="B1780" s="451"/>
      <c r="C1780" s="452"/>
      <c r="D1780" s="521"/>
      <c r="E1780" s="453"/>
      <c r="F1780" s="454"/>
      <c r="G1780" s="525"/>
      <c r="H1780" s="454"/>
      <c r="I1780" s="459"/>
      <c r="J1780" s="271" t="b">
        <f>Age_Sex22[[#This Row],[Total Spending After Applying Truncation at the Member Level]]+Age_Sex22[[#This Row],[Total Dollars Excluded from Spending After Applying Truncation at the Member Level]]=Age_Sex22[[#This Row],[Total Spending before Truncation is Applied]]</f>
        <v>1</v>
      </c>
    </row>
    <row r="1781" spans="1:10" x14ac:dyDescent="0.25">
      <c r="A1781" s="449"/>
      <c r="B1781" s="443"/>
      <c r="C1781" s="444"/>
      <c r="D1781" s="520"/>
      <c r="E1781" s="445"/>
      <c r="F1781" s="446"/>
      <c r="G1781" s="524"/>
      <c r="H1781" s="446"/>
      <c r="I1781" s="458"/>
      <c r="J1781" s="271" t="b">
        <f>Age_Sex22[[#This Row],[Total Spending After Applying Truncation at the Member Level]]+Age_Sex22[[#This Row],[Total Dollars Excluded from Spending After Applying Truncation at the Member Level]]=Age_Sex22[[#This Row],[Total Spending before Truncation is Applied]]</f>
        <v>1</v>
      </c>
    </row>
    <row r="1782" spans="1:10" x14ac:dyDescent="0.25">
      <c r="A1782" s="450"/>
      <c r="B1782" s="451"/>
      <c r="C1782" s="452"/>
      <c r="D1782" s="521"/>
      <c r="E1782" s="453"/>
      <c r="F1782" s="454"/>
      <c r="G1782" s="525"/>
      <c r="H1782" s="454"/>
      <c r="I1782" s="459"/>
      <c r="J1782" s="271" t="b">
        <f>Age_Sex22[[#This Row],[Total Spending After Applying Truncation at the Member Level]]+Age_Sex22[[#This Row],[Total Dollars Excluded from Spending After Applying Truncation at the Member Level]]=Age_Sex22[[#This Row],[Total Spending before Truncation is Applied]]</f>
        <v>1</v>
      </c>
    </row>
    <row r="1783" spans="1:10" x14ac:dyDescent="0.25">
      <c r="A1783" s="449"/>
      <c r="B1783" s="443"/>
      <c r="C1783" s="444"/>
      <c r="D1783" s="520"/>
      <c r="E1783" s="445"/>
      <c r="F1783" s="446"/>
      <c r="G1783" s="524"/>
      <c r="H1783" s="446"/>
      <c r="I1783" s="458"/>
      <c r="J1783" s="271" t="b">
        <f>Age_Sex22[[#This Row],[Total Spending After Applying Truncation at the Member Level]]+Age_Sex22[[#This Row],[Total Dollars Excluded from Spending After Applying Truncation at the Member Level]]=Age_Sex22[[#This Row],[Total Spending before Truncation is Applied]]</f>
        <v>1</v>
      </c>
    </row>
    <row r="1784" spans="1:10" x14ac:dyDescent="0.25">
      <c r="A1784" s="450"/>
      <c r="B1784" s="451"/>
      <c r="C1784" s="452"/>
      <c r="D1784" s="521"/>
      <c r="E1784" s="453"/>
      <c r="F1784" s="454"/>
      <c r="G1784" s="525"/>
      <c r="H1784" s="454"/>
      <c r="I1784" s="459"/>
      <c r="J1784" s="271" t="b">
        <f>Age_Sex22[[#This Row],[Total Spending After Applying Truncation at the Member Level]]+Age_Sex22[[#This Row],[Total Dollars Excluded from Spending After Applying Truncation at the Member Level]]=Age_Sex22[[#This Row],[Total Spending before Truncation is Applied]]</f>
        <v>1</v>
      </c>
    </row>
    <row r="1785" spans="1:10" x14ac:dyDescent="0.25">
      <c r="A1785" s="449"/>
      <c r="B1785" s="443"/>
      <c r="C1785" s="444"/>
      <c r="D1785" s="520"/>
      <c r="E1785" s="445"/>
      <c r="F1785" s="446"/>
      <c r="G1785" s="524"/>
      <c r="H1785" s="446"/>
      <c r="I1785" s="458"/>
      <c r="J1785" s="271" t="b">
        <f>Age_Sex22[[#This Row],[Total Spending After Applying Truncation at the Member Level]]+Age_Sex22[[#This Row],[Total Dollars Excluded from Spending After Applying Truncation at the Member Level]]=Age_Sex22[[#This Row],[Total Spending before Truncation is Applied]]</f>
        <v>1</v>
      </c>
    </row>
    <row r="1786" spans="1:10" x14ac:dyDescent="0.25">
      <c r="A1786" s="450"/>
      <c r="B1786" s="451"/>
      <c r="C1786" s="452"/>
      <c r="D1786" s="521"/>
      <c r="E1786" s="453"/>
      <c r="F1786" s="454"/>
      <c r="G1786" s="525"/>
      <c r="H1786" s="454"/>
      <c r="I1786" s="459"/>
      <c r="J1786" s="271" t="b">
        <f>Age_Sex22[[#This Row],[Total Spending After Applying Truncation at the Member Level]]+Age_Sex22[[#This Row],[Total Dollars Excluded from Spending After Applying Truncation at the Member Level]]=Age_Sex22[[#This Row],[Total Spending before Truncation is Applied]]</f>
        <v>1</v>
      </c>
    </row>
    <row r="1787" spans="1:10" x14ac:dyDescent="0.25">
      <c r="A1787" s="449"/>
      <c r="B1787" s="443"/>
      <c r="C1787" s="444"/>
      <c r="D1787" s="520"/>
      <c r="E1787" s="445"/>
      <c r="F1787" s="446"/>
      <c r="G1787" s="524"/>
      <c r="H1787" s="446"/>
      <c r="I1787" s="458"/>
      <c r="J1787" s="271" t="b">
        <f>Age_Sex22[[#This Row],[Total Spending After Applying Truncation at the Member Level]]+Age_Sex22[[#This Row],[Total Dollars Excluded from Spending After Applying Truncation at the Member Level]]=Age_Sex22[[#This Row],[Total Spending before Truncation is Applied]]</f>
        <v>1</v>
      </c>
    </row>
    <row r="1788" spans="1:10" x14ac:dyDescent="0.25">
      <c r="A1788" s="450"/>
      <c r="B1788" s="451"/>
      <c r="C1788" s="452"/>
      <c r="D1788" s="521"/>
      <c r="E1788" s="453"/>
      <c r="F1788" s="454"/>
      <c r="G1788" s="525"/>
      <c r="H1788" s="454"/>
      <c r="I1788" s="459"/>
      <c r="J1788" s="271" t="b">
        <f>Age_Sex22[[#This Row],[Total Spending After Applying Truncation at the Member Level]]+Age_Sex22[[#This Row],[Total Dollars Excluded from Spending After Applying Truncation at the Member Level]]=Age_Sex22[[#This Row],[Total Spending before Truncation is Applied]]</f>
        <v>1</v>
      </c>
    </row>
    <row r="1789" spans="1:10" x14ac:dyDescent="0.25">
      <c r="A1789" s="449"/>
      <c r="B1789" s="443"/>
      <c r="C1789" s="444"/>
      <c r="D1789" s="520"/>
      <c r="E1789" s="445"/>
      <c r="F1789" s="446"/>
      <c r="G1789" s="524"/>
      <c r="H1789" s="446"/>
      <c r="I1789" s="458"/>
      <c r="J1789" s="271" t="b">
        <f>Age_Sex22[[#This Row],[Total Spending After Applying Truncation at the Member Level]]+Age_Sex22[[#This Row],[Total Dollars Excluded from Spending After Applying Truncation at the Member Level]]=Age_Sex22[[#This Row],[Total Spending before Truncation is Applied]]</f>
        <v>1</v>
      </c>
    </row>
    <row r="1790" spans="1:10" x14ac:dyDescent="0.25">
      <c r="A1790" s="450"/>
      <c r="B1790" s="451"/>
      <c r="C1790" s="452"/>
      <c r="D1790" s="521"/>
      <c r="E1790" s="453"/>
      <c r="F1790" s="454"/>
      <c r="G1790" s="525"/>
      <c r="H1790" s="454"/>
      <c r="I1790" s="459"/>
      <c r="J1790" s="271" t="b">
        <f>Age_Sex22[[#This Row],[Total Spending After Applying Truncation at the Member Level]]+Age_Sex22[[#This Row],[Total Dollars Excluded from Spending After Applying Truncation at the Member Level]]=Age_Sex22[[#This Row],[Total Spending before Truncation is Applied]]</f>
        <v>1</v>
      </c>
    </row>
    <row r="1791" spans="1:10" x14ac:dyDescent="0.25">
      <c r="A1791" s="449"/>
      <c r="B1791" s="443"/>
      <c r="C1791" s="444"/>
      <c r="D1791" s="520"/>
      <c r="E1791" s="445"/>
      <c r="F1791" s="446"/>
      <c r="G1791" s="524"/>
      <c r="H1791" s="446"/>
      <c r="I1791" s="458"/>
      <c r="J1791" s="271" t="b">
        <f>Age_Sex22[[#This Row],[Total Spending After Applying Truncation at the Member Level]]+Age_Sex22[[#This Row],[Total Dollars Excluded from Spending After Applying Truncation at the Member Level]]=Age_Sex22[[#This Row],[Total Spending before Truncation is Applied]]</f>
        <v>1</v>
      </c>
    </row>
    <row r="1792" spans="1:10" x14ac:dyDescent="0.25">
      <c r="A1792" s="450"/>
      <c r="B1792" s="451"/>
      <c r="C1792" s="452"/>
      <c r="D1792" s="521"/>
      <c r="E1792" s="453"/>
      <c r="F1792" s="454"/>
      <c r="G1792" s="525"/>
      <c r="H1792" s="454"/>
      <c r="I1792" s="459"/>
      <c r="J1792" s="271" t="b">
        <f>Age_Sex22[[#This Row],[Total Spending After Applying Truncation at the Member Level]]+Age_Sex22[[#This Row],[Total Dollars Excluded from Spending After Applying Truncation at the Member Level]]=Age_Sex22[[#This Row],[Total Spending before Truncation is Applied]]</f>
        <v>1</v>
      </c>
    </row>
    <row r="1793" spans="1:10" x14ac:dyDescent="0.25">
      <c r="A1793" s="449"/>
      <c r="B1793" s="443"/>
      <c r="C1793" s="444"/>
      <c r="D1793" s="520"/>
      <c r="E1793" s="445"/>
      <c r="F1793" s="446"/>
      <c r="G1793" s="524"/>
      <c r="H1793" s="446"/>
      <c r="I1793" s="458"/>
      <c r="J1793" s="271" t="b">
        <f>Age_Sex22[[#This Row],[Total Spending After Applying Truncation at the Member Level]]+Age_Sex22[[#This Row],[Total Dollars Excluded from Spending After Applying Truncation at the Member Level]]=Age_Sex22[[#This Row],[Total Spending before Truncation is Applied]]</f>
        <v>1</v>
      </c>
    </row>
    <row r="1794" spans="1:10" x14ac:dyDescent="0.25">
      <c r="A1794" s="450"/>
      <c r="B1794" s="451"/>
      <c r="C1794" s="452"/>
      <c r="D1794" s="521"/>
      <c r="E1794" s="453"/>
      <c r="F1794" s="454"/>
      <c r="G1794" s="525"/>
      <c r="H1794" s="454"/>
      <c r="I1794" s="459"/>
      <c r="J1794" s="271" t="b">
        <f>Age_Sex22[[#This Row],[Total Spending After Applying Truncation at the Member Level]]+Age_Sex22[[#This Row],[Total Dollars Excluded from Spending After Applying Truncation at the Member Level]]=Age_Sex22[[#This Row],[Total Spending before Truncation is Applied]]</f>
        <v>1</v>
      </c>
    </row>
    <row r="1795" spans="1:10" x14ac:dyDescent="0.25">
      <c r="A1795" s="449"/>
      <c r="B1795" s="443"/>
      <c r="C1795" s="444"/>
      <c r="D1795" s="520"/>
      <c r="E1795" s="445"/>
      <c r="F1795" s="446"/>
      <c r="G1795" s="524"/>
      <c r="H1795" s="446"/>
      <c r="I1795" s="458"/>
      <c r="J1795" s="271" t="b">
        <f>Age_Sex22[[#This Row],[Total Spending After Applying Truncation at the Member Level]]+Age_Sex22[[#This Row],[Total Dollars Excluded from Spending After Applying Truncation at the Member Level]]=Age_Sex22[[#This Row],[Total Spending before Truncation is Applied]]</f>
        <v>1</v>
      </c>
    </row>
    <row r="1796" spans="1:10" x14ac:dyDescent="0.25">
      <c r="A1796" s="450"/>
      <c r="B1796" s="451"/>
      <c r="C1796" s="452"/>
      <c r="D1796" s="521"/>
      <c r="E1796" s="453"/>
      <c r="F1796" s="454"/>
      <c r="G1796" s="525"/>
      <c r="H1796" s="454"/>
      <c r="I1796" s="459"/>
      <c r="J1796" s="271" t="b">
        <f>Age_Sex22[[#This Row],[Total Spending After Applying Truncation at the Member Level]]+Age_Sex22[[#This Row],[Total Dollars Excluded from Spending After Applying Truncation at the Member Level]]=Age_Sex22[[#This Row],[Total Spending before Truncation is Applied]]</f>
        <v>1</v>
      </c>
    </row>
    <row r="1797" spans="1:10" x14ac:dyDescent="0.25">
      <c r="A1797" s="449"/>
      <c r="B1797" s="443"/>
      <c r="C1797" s="444"/>
      <c r="D1797" s="520"/>
      <c r="E1797" s="445"/>
      <c r="F1797" s="446"/>
      <c r="G1797" s="524"/>
      <c r="H1797" s="446"/>
      <c r="I1797" s="458"/>
      <c r="J1797" s="271" t="b">
        <f>Age_Sex22[[#This Row],[Total Spending After Applying Truncation at the Member Level]]+Age_Sex22[[#This Row],[Total Dollars Excluded from Spending After Applying Truncation at the Member Level]]=Age_Sex22[[#This Row],[Total Spending before Truncation is Applied]]</f>
        <v>1</v>
      </c>
    </row>
    <row r="1798" spans="1:10" x14ac:dyDescent="0.25">
      <c r="A1798" s="450"/>
      <c r="B1798" s="451"/>
      <c r="C1798" s="452"/>
      <c r="D1798" s="521"/>
      <c r="E1798" s="453"/>
      <c r="F1798" s="454"/>
      <c r="G1798" s="525"/>
      <c r="H1798" s="454"/>
      <c r="I1798" s="459"/>
      <c r="J1798" s="271" t="b">
        <f>Age_Sex22[[#This Row],[Total Spending After Applying Truncation at the Member Level]]+Age_Sex22[[#This Row],[Total Dollars Excluded from Spending After Applying Truncation at the Member Level]]=Age_Sex22[[#This Row],[Total Spending before Truncation is Applied]]</f>
        <v>1</v>
      </c>
    </row>
    <row r="1799" spans="1:10" x14ac:dyDescent="0.25">
      <c r="A1799" s="449"/>
      <c r="B1799" s="443"/>
      <c r="C1799" s="444"/>
      <c r="D1799" s="520"/>
      <c r="E1799" s="445"/>
      <c r="F1799" s="446"/>
      <c r="G1799" s="524"/>
      <c r="H1799" s="446"/>
      <c r="I1799" s="458"/>
      <c r="J1799" s="271" t="b">
        <f>Age_Sex22[[#This Row],[Total Spending After Applying Truncation at the Member Level]]+Age_Sex22[[#This Row],[Total Dollars Excluded from Spending After Applying Truncation at the Member Level]]=Age_Sex22[[#This Row],[Total Spending before Truncation is Applied]]</f>
        <v>1</v>
      </c>
    </row>
    <row r="1800" spans="1:10" x14ac:dyDescent="0.25">
      <c r="A1800" s="450"/>
      <c r="B1800" s="451"/>
      <c r="C1800" s="452"/>
      <c r="D1800" s="521"/>
      <c r="E1800" s="453"/>
      <c r="F1800" s="454"/>
      <c r="G1800" s="525"/>
      <c r="H1800" s="454"/>
      <c r="I1800" s="459"/>
      <c r="J1800" s="271" t="b">
        <f>Age_Sex22[[#This Row],[Total Spending After Applying Truncation at the Member Level]]+Age_Sex22[[#This Row],[Total Dollars Excluded from Spending After Applying Truncation at the Member Level]]=Age_Sex22[[#This Row],[Total Spending before Truncation is Applied]]</f>
        <v>1</v>
      </c>
    </row>
    <row r="1801" spans="1:10" x14ac:dyDescent="0.25">
      <c r="A1801" s="449"/>
      <c r="B1801" s="443"/>
      <c r="C1801" s="444"/>
      <c r="D1801" s="520"/>
      <c r="E1801" s="445"/>
      <c r="F1801" s="446"/>
      <c r="G1801" s="524"/>
      <c r="H1801" s="446"/>
      <c r="I1801" s="458"/>
      <c r="J1801" s="271" t="b">
        <f>Age_Sex22[[#This Row],[Total Spending After Applying Truncation at the Member Level]]+Age_Sex22[[#This Row],[Total Dollars Excluded from Spending After Applying Truncation at the Member Level]]=Age_Sex22[[#This Row],[Total Spending before Truncation is Applied]]</f>
        <v>1</v>
      </c>
    </row>
    <row r="1802" spans="1:10" x14ac:dyDescent="0.25">
      <c r="A1802" s="450"/>
      <c r="B1802" s="451"/>
      <c r="C1802" s="452"/>
      <c r="D1802" s="521"/>
      <c r="E1802" s="453"/>
      <c r="F1802" s="454"/>
      <c r="G1802" s="525"/>
      <c r="H1802" s="454"/>
      <c r="I1802" s="459"/>
      <c r="J1802" s="271" t="b">
        <f>Age_Sex22[[#This Row],[Total Spending After Applying Truncation at the Member Level]]+Age_Sex22[[#This Row],[Total Dollars Excluded from Spending After Applying Truncation at the Member Level]]=Age_Sex22[[#This Row],[Total Spending before Truncation is Applied]]</f>
        <v>1</v>
      </c>
    </row>
    <row r="1803" spans="1:10" x14ac:dyDescent="0.25">
      <c r="A1803" s="449"/>
      <c r="B1803" s="443"/>
      <c r="C1803" s="444"/>
      <c r="D1803" s="520"/>
      <c r="E1803" s="445"/>
      <c r="F1803" s="446"/>
      <c r="G1803" s="524"/>
      <c r="H1803" s="446"/>
      <c r="I1803" s="458"/>
      <c r="J1803" s="271" t="b">
        <f>Age_Sex22[[#This Row],[Total Spending After Applying Truncation at the Member Level]]+Age_Sex22[[#This Row],[Total Dollars Excluded from Spending After Applying Truncation at the Member Level]]=Age_Sex22[[#This Row],[Total Spending before Truncation is Applied]]</f>
        <v>1</v>
      </c>
    </row>
    <row r="1804" spans="1:10" x14ac:dyDescent="0.25">
      <c r="A1804" s="450"/>
      <c r="B1804" s="451"/>
      <c r="C1804" s="452"/>
      <c r="D1804" s="521"/>
      <c r="E1804" s="453"/>
      <c r="F1804" s="454"/>
      <c r="G1804" s="525"/>
      <c r="H1804" s="454"/>
      <c r="I1804" s="459"/>
      <c r="J1804" s="271" t="b">
        <f>Age_Sex22[[#This Row],[Total Spending After Applying Truncation at the Member Level]]+Age_Sex22[[#This Row],[Total Dollars Excluded from Spending After Applying Truncation at the Member Level]]=Age_Sex22[[#This Row],[Total Spending before Truncation is Applied]]</f>
        <v>1</v>
      </c>
    </row>
    <row r="1805" spans="1:10" x14ac:dyDescent="0.25">
      <c r="A1805" s="449"/>
      <c r="B1805" s="443"/>
      <c r="C1805" s="444"/>
      <c r="D1805" s="520"/>
      <c r="E1805" s="445"/>
      <c r="F1805" s="446"/>
      <c r="G1805" s="524"/>
      <c r="H1805" s="446"/>
      <c r="I1805" s="458"/>
      <c r="J1805" s="271" t="b">
        <f>Age_Sex22[[#This Row],[Total Spending After Applying Truncation at the Member Level]]+Age_Sex22[[#This Row],[Total Dollars Excluded from Spending After Applying Truncation at the Member Level]]=Age_Sex22[[#This Row],[Total Spending before Truncation is Applied]]</f>
        <v>1</v>
      </c>
    </row>
    <row r="1806" spans="1:10" x14ac:dyDescent="0.25">
      <c r="A1806" s="450"/>
      <c r="B1806" s="451"/>
      <c r="C1806" s="452"/>
      <c r="D1806" s="521"/>
      <c r="E1806" s="453"/>
      <c r="F1806" s="454"/>
      <c r="G1806" s="525"/>
      <c r="H1806" s="454"/>
      <c r="I1806" s="459"/>
      <c r="J1806" s="271" t="b">
        <f>Age_Sex22[[#This Row],[Total Spending After Applying Truncation at the Member Level]]+Age_Sex22[[#This Row],[Total Dollars Excluded from Spending After Applying Truncation at the Member Level]]=Age_Sex22[[#This Row],[Total Spending before Truncation is Applied]]</f>
        <v>1</v>
      </c>
    </row>
    <row r="1807" spans="1:10" x14ac:dyDescent="0.25">
      <c r="A1807" s="449"/>
      <c r="B1807" s="443"/>
      <c r="C1807" s="444"/>
      <c r="D1807" s="520"/>
      <c r="E1807" s="445"/>
      <c r="F1807" s="446"/>
      <c r="G1807" s="524"/>
      <c r="H1807" s="446"/>
      <c r="I1807" s="458"/>
      <c r="J1807" s="271" t="b">
        <f>Age_Sex22[[#This Row],[Total Spending After Applying Truncation at the Member Level]]+Age_Sex22[[#This Row],[Total Dollars Excluded from Spending After Applying Truncation at the Member Level]]=Age_Sex22[[#This Row],[Total Spending before Truncation is Applied]]</f>
        <v>1</v>
      </c>
    </row>
    <row r="1808" spans="1:10" x14ac:dyDescent="0.25">
      <c r="A1808" s="450"/>
      <c r="B1808" s="451"/>
      <c r="C1808" s="452"/>
      <c r="D1808" s="521"/>
      <c r="E1808" s="453"/>
      <c r="F1808" s="454"/>
      <c r="G1808" s="525"/>
      <c r="H1808" s="454"/>
      <c r="I1808" s="459"/>
      <c r="J1808" s="271" t="b">
        <f>Age_Sex22[[#This Row],[Total Spending After Applying Truncation at the Member Level]]+Age_Sex22[[#This Row],[Total Dollars Excluded from Spending After Applying Truncation at the Member Level]]=Age_Sex22[[#This Row],[Total Spending before Truncation is Applied]]</f>
        <v>1</v>
      </c>
    </row>
    <row r="1809" spans="1:10" x14ac:dyDescent="0.25">
      <c r="A1809" s="449"/>
      <c r="B1809" s="443"/>
      <c r="C1809" s="444"/>
      <c r="D1809" s="520"/>
      <c r="E1809" s="445"/>
      <c r="F1809" s="446"/>
      <c r="G1809" s="524"/>
      <c r="H1809" s="446"/>
      <c r="I1809" s="458"/>
      <c r="J1809" s="271" t="b">
        <f>Age_Sex22[[#This Row],[Total Spending After Applying Truncation at the Member Level]]+Age_Sex22[[#This Row],[Total Dollars Excluded from Spending After Applying Truncation at the Member Level]]=Age_Sex22[[#This Row],[Total Spending before Truncation is Applied]]</f>
        <v>1</v>
      </c>
    </row>
    <row r="1810" spans="1:10" x14ac:dyDescent="0.25">
      <c r="A1810" s="450"/>
      <c r="B1810" s="451"/>
      <c r="C1810" s="452"/>
      <c r="D1810" s="521"/>
      <c r="E1810" s="453"/>
      <c r="F1810" s="454"/>
      <c r="G1810" s="525"/>
      <c r="H1810" s="454"/>
      <c r="I1810" s="459"/>
      <c r="J1810" s="271" t="b">
        <f>Age_Sex22[[#This Row],[Total Spending After Applying Truncation at the Member Level]]+Age_Sex22[[#This Row],[Total Dollars Excluded from Spending After Applying Truncation at the Member Level]]=Age_Sex22[[#This Row],[Total Spending before Truncation is Applied]]</f>
        <v>1</v>
      </c>
    </row>
    <row r="1811" spans="1:10" x14ac:dyDescent="0.25">
      <c r="A1811" s="449"/>
      <c r="B1811" s="443"/>
      <c r="C1811" s="444"/>
      <c r="D1811" s="520"/>
      <c r="E1811" s="445"/>
      <c r="F1811" s="446"/>
      <c r="G1811" s="524"/>
      <c r="H1811" s="446"/>
      <c r="I1811" s="458"/>
      <c r="J1811" s="271" t="b">
        <f>Age_Sex22[[#This Row],[Total Spending After Applying Truncation at the Member Level]]+Age_Sex22[[#This Row],[Total Dollars Excluded from Spending After Applying Truncation at the Member Level]]=Age_Sex22[[#This Row],[Total Spending before Truncation is Applied]]</f>
        <v>1</v>
      </c>
    </row>
    <row r="1812" spans="1:10" x14ac:dyDescent="0.25">
      <c r="A1812" s="450"/>
      <c r="B1812" s="451"/>
      <c r="C1812" s="452"/>
      <c r="D1812" s="521"/>
      <c r="E1812" s="453"/>
      <c r="F1812" s="454"/>
      <c r="G1812" s="525"/>
      <c r="H1812" s="454"/>
      <c r="I1812" s="459"/>
      <c r="J1812" s="271" t="b">
        <f>Age_Sex22[[#This Row],[Total Spending After Applying Truncation at the Member Level]]+Age_Sex22[[#This Row],[Total Dollars Excluded from Spending After Applying Truncation at the Member Level]]=Age_Sex22[[#This Row],[Total Spending before Truncation is Applied]]</f>
        <v>1</v>
      </c>
    </row>
    <row r="1813" spans="1:10" x14ac:dyDescent="0.25">
      <c r="A1813" s="449"/>
      <c r="B1813" s="443"/>
      <c r="C1813" s="444"/>
      <c r="D1813" s="520"/>
      <c r="E1813" s="445"/>
      <c r="F1813" s="446"/>
      <c r="G1813" s="524"/>
      <c r="H1813" s="446"/>
      <c r="I1813" s="458"/>
      <c r="J1813" s="271" t="b">
        <f>Age_Sex22[[#This Row],[Total Spending After Applying Truncation at the Member Level]]+Age_Sex22[[#This Row],[Total Dollars Excluded from Spending After Applying Truncation at the Member Level]]=Age_Sex22[[#This Row],[Total Spending before Truncation is Applied]]</f>
        <v>1</v>
      </c>
    </row>
    <row r="1814" spans="1:10" x14ac:dyDescent="0.25">
      <c r="A1814" s="450"/>
      <c r="B1814" s="451"/>
      <c r="C1814" s="452"/>
      <c r="D1814" s="521"/>
      <c r="E1814" s="453"/>
      <c r="F1814" s="454"/>
      <c r="G1814" s="525"/>
      <c r="H1814" s="454"/>
      <c r="I1814" s="459"/>
      <c r="J1814" s="271" t="b">
        <f>Age_Sex22[[#This Row],[Total Spending After Applying Truncation at the Member Level]]+Age_Sex22[[#This Row],[Total Dollars Excluded from Spending After Applying Truncation at the Member Level]]=Age_Sex22[[#This Row],[Total Spending before Truncation is Applied]]</f>
        <v>1</v>
      </c>
    </row>
    <row r="1815" spans="1:10" x14ac:dyDescent="0.25">
      <c r="A1815" s="449"/>
      <c r="B1815" s="443"/>
      <c r="C1815" s="444"/>
      <c r="D1815" s="520"/>
      <c r="E1815" s="445"/>
      <c r="F1815" s="446"/>
      <c r="G1815" s="524"/>
      <c r="H1815" s="446"/>
      <c r="I1815" s="458"/>
      <c r="J1815" s="271" t="b">
        <f>Age_Sex22[[#This Row],[Total Spending After Applying Truncation at the Member Level]]+Age_Sex22[[#This Row],[Total Dollars Excluded from Spending After Applying Truncation at the Member Level]]=Age_Sex22[[#This Row],[Total Spending before Truncation is Applied]]</f>
        <v>1</v>
      </c>
    </row>
    <row r="1816" spans="1:10" x14ac:dyDescent="0.25">
      <c r="A1816" s="450"/>
      <c r="B1816" s="451"/>
      <c r="C1816" s="452"/>
      <c r="D1816" s="521"/>
      <c r="E1816" s="453"/>
      <c r="F1816" s="454"/>
      <c r="G1816" s="525"/>
      <c r="H1816" s="454"/>
      <c r="I1816" s="459"/>
      <c r="J1816" s="271" t="b">
        <f>Age_Sex22[[#This Row],[Total Spending After Applying Truncation at the Member Level]]+Age_Sex22[[#This Row],[Total Dollars Excluded from Spending After Applying Truncation at the Member Level]]=Age_Sex22[[#This Row],[Total Spending before Truncation is Applied]]</f>
        <v>1</v>
      </c>
    </row>
    <row r="1817" spans="1:10" x14ac:dyDescent="0.25">
      <c r="A1817" s="449"/>
      <c r="B1817" s="443"/>
      <c r="C1817" s="444"/>
      <c r="D1817" s="520"/>
      <c r="E1817" s="445"/>
      <c r="F1817" s="446"/>
      <c r="G1817" s="524"/>
      <c r="H1817" s="446"/>
      <c r="I1817" s="458"/>
      <c r="J1817" s="271" t="b">
        <f>Age_Sex22[[#This Row],[Total Spending After Applying Truncation at the Member Level]]+Age_Sex22[[#This Row],[Total Dollars Excluded from Spending After Applying Truncation at the Member Level]]=Age_Sex22[[#This Row],[Total Spending before Truncation is Applied]]</f>
        <v>1</v>
      </c>
    </row>
    <row r="1818" spans="1:10" x14ac:dyDescent="0.25">
      <c r="A1818" s="450"/>
      <c r="B1818" s="451"/>
      <c r="C1818" s="452"/>
      <c r="D1818" s="521"/>
      <c r="E1818" s="453"/>
      <c r="F1818" s="454"/>
      <c r="G1818" s="525"/>
      <c r="H1818" s="454"/>
      <c r="I1818" s="459"/>
      <c r="J1818" s="271" t="b">
        <f>Age_Sex22[[#This Row],[Total Spending After Applying Truncation at the Member Level]]+Age_Sex22[[#This Row],[Total Dollars Excluded from Spending After Applying Truncation at the Member Level]]=Age_Sex22[[#This Row],[Total Spending before Truncation is Applied]]</f>
        <v>1</v>
      </c>
    </row>
    <row r="1819" spans="1:10" x14ac:dyDescent="0.25">
      <c r="A1819" s="449"/>
      <c r="B1819" s="443"/>
      <c r="C1819" s="444"/>
      <c r="D1819" s="520"/>
      <c r="E1819" s="445"/>
      <c r="F1819" s="446"/>
      <c r="G1819" s="524"/>
      <c r="H1819" s="446"/>
      <c r="I1819" s="458"/>
      <c r="J1819" s="271" t="b">
        <f>Age_Sex22[[#This Row],[Total Spending After Applying Truncation at the Member Level]]+Age_Sex22[[#This Row],[Total Dollars Excluded from Spending After Applying Truncation at the Member Level]]=Age_Sex22[[#This Row],[Total Spending before Truncation is Applied]]</f>
        <v>1</v>
      </c>
    </row>
    <row r="1820" spans="1:10" x14ac:dyDescent="0.25">
      <c r="A1820" s="450"/>
      <c r="B1820" s="451"/>
      <c r="C1820" s="452"/>
      <c r="D1820" s="521"/>
      <c r="E1820" s="453"/>
      <c r="F1820" s="454"/>
      <c r="G1820" s="525"/>
      <c r="H1820" s="454"/>
      <c r="I1820" s="459"/>
      <c r="J1820" s="271" t="b">
        <f>Age_Sex22[[#This Row],[Total Spending After Applying Truncation at the Member Level]]+Age_Sex22[[#This Row],[Total Dollars Excluded from Spending After Applying Truncation at the Member Level]]=Age_Sex22[[#This Row],[Total Spending before Truncation is Applied]]</f>
        <v>1</v>
      </c>
    </row>
    <row r="1821" spans="1:10" x14ac:dyDescent="0.25">
      <c r="A1821" s="449"/>
      <c r="B1821" s="443"/>
      <c r="C1821" s="444"/>
      <c r="D1821" s="520"/>
      <c r="E1821" s="445"/>
      <c r="F1821" s="446"/>
      <c r="G1821" s="524"/>
      <c r="H1821" s="446"/>
      <c r="I1821" s="458"/>
      <c r="J1821" s="271" t="b">
        <f>Age_Sex22[[#This Row],[Total Spending After Applying Truncation at the Member Level]]+Age_Sex22[[#This Row],[Total Dollars Excluded from Spending After Applying Truncation at the Member Level]]=Age_Sex22[[#This Row],[Total Spending before Truncation is Applied]]</f>
        <v>1</v>
      </c>
    </row>
    <row r="1822" spans="1:10" x14ac:dyDescent="0.25">
      <c r="A1822" s="450"/>
      <c r="B1822" s="451"/>
      <c r="C1822" s="452"/>
      <c r="D1822" s="521"/>
      <c r="E1822" s="453"/>
      <c r="F1822" s="454"/>
      <c r="G1822" s="525"/>
      <c r="H1822" s="454"/>
      <c r="I1822" s="459"/>
      <c r="J1822" s="271" t="b">
        <f>Age_Sex22[[#This Row],[Total Spending After Applying Truncation at the Member Level]]+Age_Sex22[[#This Row],[Total Dollars Excluded from Spending After Applying Truncation at the Member Level]]=Age_Sex22[[#This Row],[Total Spending before Truncation is Applied]]</f>
        <v>1</v>
      </c>
    </row>
    <row r="1823" spans="1:10" x14ac:dyDescent="0.25">
      <c r="A1823" s="449"/>
      <c r="B1823" s="443"/>
      <c r="C1823" s="444"/>
      <c r="D1823" s="520"/>
      <c r="E1823" s="445"/>
      <c r="F1823" s="446"/>
      <c r="G1823" s="524"/>
      <c r="H1823" s="446"/>
      <c r="I1823" s="458"/>
      <c r="J1823" s="271" t="b">
        <f>Age_Sex22[[#This Row],[Total Spending After Applying Truncation at the Member Level]]+Age_Sex22[[#This Row],[Total Dollars Excluded from Spending After Applying Truncation at the Member Level]]=Age_Sex22[[#This Row],[Total Spending before Truncation is Applied]]</f>
        <v>1</v>
      </c>
    </row>
    <row r="1824" spans="1:10" x14ac:dyDescent="0.25">
      <c r="A1824" s="450"/>
      <c r="B1824" s="451"/>
      <c r="C1824" s="452"/>
      <c r="D1824" s="521"/>
      <c r="E1824" s="453"/>
      <c r="F1824" s="454"/>
      <c r="G1824" s="525"/>
      <c r="H1824" s="454"/>
      <c r="I1824" s="459"/>
      <c r="J1824" s="271" t="b">
        <f>Age_Sex22[[#This Row],[Total Spending After Applying Truncation at the Member Level]]+Age_Sex22[[#This Row],[Total Dollars Excluded from Spending After Applying Truncation at the Member Level]]=Age_Sex22[[#This Row],[Total Spending before Truncation is Applied]]</f>
        <v>1</v>
      </c>
    </row>
    <row r="1825" spans="1:10" x14ac:dyDescent="0.25">
      <c r="A1825" s="449"/>
      <c r="B1825" s="443"/>
      <c r="C1825" s="444"/>
      <c r="D1825" s="520"/>
      <c r="E1825" s="445"/>
      <c r="F1825" s="446"/>
      <c r="G1825" s="524"/>
      <c r="H1825" s="446"/>
      <c r="I1825" s="458"/>
      <c r="J1825" s="271" t="b">
        <f>Age_Sex22[[#This Row],[Total Spending After Applying Truncation at the Member Level]]+Age_Sex22[[#This Row],[Total Dollars Excluded from Spending After Applying Truncation at the Member Level]]=Age_Sex22[[#This Row],[Total Spending before Truncation is Applied]]</f>
        <v>1</v>
      </c>
    </row>
    <row r="1826" spans="1:10" x14ac:dyDescent="0.25">
      <c r="A1826" s="450"/>
      <c r="B1826" s="451"/>
      <c r="C1826" s="452"/>
      <c r="D1826" s="521"/>
      <c r="E1826" s="453"/>
      <c r="F1826" s="454"/>
      <c r="G1826" s="525"/>
      <c r="H1826" s="454"/>
      <c r="I1826" s="459"/>
      <c r="J1826" s="271" t="b">
        <f>Age_Sex22[[#This Row],[Total Spending After Applying Truncation at the Member Level]]+Age_Sex22[[#This Row],[Total Dollars Excluded from Spending After Applying Truncation at the Member Level]]=Age_Sex22[[#This Row],[Total Spending before Truncation is Applied]]</f>
        <v>1</v>
      </c>
    </row>
    <row r="1827" spans="1:10" x14ac:dyDescent="0.25">
      <c r="A1827" s="449"/>
      <c r="B1827" s="443"/>
      <c r="C1827" s="444"/>
      <c r="D1827" s="520"/>
      <c r="E1827" s="445"/>
      <c r="F1827" s="446"/>
      <c r="G1827" s="524"/>
      <c r="H1827" s="446"/>
      <c r="I1827" s="458"/>
      <c r="J1827" s="271" t="b">
        <f>Age_Sex22[[#This Row],[Total Spending After Applying Truncation at the Member Level]]+Age_Sex22[[#This Row],[Total Dollars Excluded from Spending After Applying Truncation at the Member Level]]=Age_Sex22[[#This Row],[Total Spending before Truncation is Applied]]</f>
        <v>1</v>
      </c>
    </row>
    <row r="1828" spans="1:10" x14ac:dyDescent="0.25">
      <c r="A1828" s="450"/>
      <c r="B1828" s="451"/>
      <c r="C1828" s="452"/>
      <c r="D1828" s="521"/>
      <c r="E1828" s="453"/>
      <c r="F1828" s="454"/>
      <c r="G1828" s="525"/>
      <c r="H1828" s="454"/>
      <c r="I1828" s="459"/>
      <c r="J1828" s="271" t="b">
        <f>Age_Sex22[[#This Row],[Total Spending After Applying Truncation at the Member Level]]+Age_Sex22[[#This Row],[Total Dollars Excluded from Spending After Applying Truncation at the Member Level]]=Age_Sex22[[#This Row],[Total Spending before Truncation is Applied]]</f>
        <v>1</v>
      </c>
    </row>
    <row r="1829" spans="1:10" x14ac:dyDescent="0.25">
      <c r="A1829" s="449"/>
      <c r="B1829" s="443"/>
      <c r="C1829" s="444"/>
      <c r="D1829" s="520"/>
      <c r="E1829" s="445"/>
      <c r="F1829" s="446"/>
      <c r="G1829" s="524"/>
      <c r="H1829" s="446"/>
      <c r="I1829" s="458"/>
      <c r="J1829" s="271" t="b">
        <f>Age_Sex22[[#This Row],[Total Spending After Applying Truncation at the Member Level]]+Age_Sex22[[#This Row],[Total Dollars Excluded from Spending After Applying Truncation at the Member Level]]=Age_Sex22[[#This Row],[Total Spending before Truncation is Applied]]</f>
        <v>1</v>
      </c>
    </row>
    <row r="1830" spans="1:10" x14ac:dyDescent="0.25">
      <c r="A1830" s="450"/>
      <c r="B1830" s="451"/>
      <c r="C1830" s="452"/>
      <c r="D1830" s="521"/>
      <c r="E1830" s="453"/>
      <c r="F1830" s="454"/>
      <c r="G1830" s="525"/>
      <c r="H1830" s="454"/>
      <c r="I1830" s="459"/>
      <c r="J1830" s="271" t="b">
        <f>Age_Sex22[[#This Row],[Total Spending After Applying Truncation at the Member Level]]+Age_Sex22[[#This Row],[Total Dollars Excluded from Spending After Applying Truncation at the Member Level]]=Age_Sex22[[#This Row],[Total Spending before Truncation is Applied]]</f>
        <v>1</v>
      </c>
    </row>
    <row r="1831" spans="1:10" x14ac:dyDescent="0.25">
      <c r="A1831" s="449"/>
      <c r="B1831" s="443"/>
      <c r="C1831" s="444"/>
      <c r="D1831" s="520"/>
      <c r="E1831" s="445"/>
      <c r="F1831" s="446"/>
      <c r="G1831" s="524"/>
      <c r="H1831" s="446"/>
      <c r="I1831" s="458"/>
      <c r="J1831" s="271" t="b">
        <f>Age_Sex22[[#This Row],[Total Spending After Applying Truncation at the Member Level]]+Age_Sex22[[#This Row],[Total Dollars Excluded from Spending After Applying Truncation at the Member Level]]=Age_Sex22[[#This Row],[Total Spending before Truncation is Applied]]</f>
        <v>1</v>
      </c>
    </row>
    <row r="1832" spans="1:10" x14ac:dyDescent="0.25">
      <c r="A1832" s="450"/>
      <c r="B1832" s="451"/>
      <c r="C1832" s="452"/>
      <c r="D1832" s="521"/>
      <c r="E1832" s="453"/>
      <c r="F1832" s="454"/>
      <c r="G1832" s="525"/>
      <c r="H1832" s="454"/>
      <c r="I1832" s="459"/>
      <c r="J1832" s="271" t="b">
        <f>Age_Sex22[[#This Row],[Total Spending After Applying Truncation at the Member Level]]+Age_Sex22[[#This Row],[Total Dollars Excluded from Spending After Applying Truncation at the Member Level]]=Age_Sex22[[#This Row],[Total Spending before Truncation is Applied]]</f>
        <v>1</v>
      </c>
    </row>
    <row r="1833" spans="1:10" x14ac:dyDescent="0.25">
      <c r="A1833" s="449"/>
      <c r="B1833" s="443"/>
      <c r="C1833" s="444"/>
      <c r="D1833" s="520"/>
      <c r="E1833" s="445"/>
      <c r="F1833" s="446"/>
      <c r="G1833" s="524"/>
      <c r="H1833" s="446"/>
      <c r="I1833" s="458"/>
      <c r="J1833" s="271" t="b">
        <f>Age_Sex22[[#This Row],[Total Spending After Applying Truncation at the Member Level]]+Age_Sex22[[#This Row],[Total Dollars Excluded from Spending After Applying Truncation at the Member Level]]=Age_Sex22[[#This Row],[Total Spending before Truncation is Applied]]</f>
        <v>1</v>
      </c>
    </row>
    <row r="1834" spans="1:10" x14ac:dyDescent="0.25">
      <c r="A1834" s="450"/>
      <c r="B1834" s="451"/>
      <c r="C1834" s="452"/>
      <c r="D1834" s="521"/>
      <c r="E1834" s="453"/>
      <c r="F1834" s="454"/>
      <c r="G1834" s="525"/>
      <c r="H1834" s="454"/>
      <c r="I1834" s="459"/>
      <c r="J1834" s="271" t="b">
        <f>Age_Sex22[[#This Row],[Total Spending After Applying Truncation at the Member Level]]+Age_Sex22[[#This Row],[Total Dollars Excluded from Spending After Applying Truncation at the Member Level]]=Age_Sex22[[#This Row],[Total Spending before Truncation is Applied]]</f>
        <v>1</v>
      </c>
    </row>
    <row r="1835" spans="1:10" x14ac:dyDescent="0.25">
      <c r="A1835" s="449"/>
      <c r="B1835" s="443"/>
      <c r="C1835" s="444"/>
      <c r="D1835" s="520"/>
      <c r="E1835" s="445"/>
      <c r="F1835" s="446"/>
      <c r="G1835" s="524"/>
      <c r="H1835" s="446"/>
      <c r="I1835" s="458"/>
      <c r="J1835" s="271" t="b">
        <f>Age_Sex22[[#This Row],[Total Spending After Applying Truncation at the Member Level]]+Age_Sex22[[#This Row],[Total Dollars Excluded from Spending After Applying Truncation at the Member Level]]=Age_Sex22[[#This Row],[Total Spending before Truncation is Applied]]</f>
        <v>1</v>
      </c>
    </row>
    <row r="1836" spans="1:10" x14ac:dyDescent="0.25">
      <c r="A1836" s="450"/>
      <c r="B1836" s="451"/>
      <c r="C1836" s="452"/>
      <c r="D1836" s="521"/>
      <c r="E1836" s="453"/>
      <c r="F1836" s="454"/>
      <c r="G1836" s="525"/>
      <c r="H1836" s="454"/>
      <c r="I1836" s="459"/>
      <c r="J1836" s="271" t="b">
        <f>Age_Sex22[[#This Row],[Total Spending After Applying Truncation at the Member Level]]+Age_Sex22[[#This Row],[Total Dollars Excluded from Spending After Applying Truncation at the Member Level]]=Age_Sex22[[#This Row],[Total Spending before Truncation is Applied]]</f>
        <v>1</v>
      </c>
    </row>
    <row r="1837" spans="1:10" x14ac:dyDescent="0.25">
      <c r="A1837" s="449"/>
      <c r="B1837" s="443"/>
      <c r="C1837" s="444"/>
      <c r="D1837" s="520"/>
      <c r="E1837" s="445"/>
      <c r="F1837" s="446"/>
      <c r="G1837" s="524"/>
      <c r="H1837" s="446"/>
      <c r="I1837" s="458"/>
      <c r="J1837" s="271" t="b">
        <f>Age_Sex22[[#This Row],[Total Spending After Applying Truncation at the Member Level]]+Age_Sex22[[#This Row],[Total Dollars Excluded from Spending After Applying Truncation at the Member Level]]=Age_Sex22[[#This Row],[Total Spending before Truncation is Applied]]</f>
        <v>1</v>
      </c>
    </row>
    <row r="1838" spans="1:10" x14ac:dyDescent="0.25">
      <c r="A1838" s="450"/>
      <c r="B1838" s="451"/>
      <c r="C1838" s="452"/>
      <c r="D1838" s="521"/>
      <c r="E1838" s="453"/>
      <c r="F1838" s="454"/>
      <c r="G1838" s="525"/>
      <c r="H1838" s="454"/>
      <c r="I1838" s="459"/>
      <c r="J1838" s="271" t="b">
        <f>Age_Sex22[[#This Row],[Total Spending After Applying Truncation at the Member Level]]+Age_Sex22[[#This Row],[Total Dollars Excluded from Spending After Applying Truncation at the Member Level]]=Age_Sex22[[#This Row],[Total Spending before Truncation is Applied]]</f>
        <v>1</v>
      </c>
    </row>
    <row r="1839" spans="1:10" x14ac:dyDescent="0.25">
      <c r="A1839" s="449"/>
      <c r="B1839" s="443"/>
      <c r="C1839" s="444"/>
      <c r="D1839" s="520"/>
      <c r="E1839" s="445"/>
      <c r="F1839" s="446"/>
      <c r="G1839" s="524"/>
      <c r="H1839" s="446"/>
      <c r="I1839" s="458"/>
      <c r="J1839" s="271" t="b">
        <f>Age_Sex22[[#This Row],[Total Spending After Applying Truncation at the Member Level]]+Age_Sex22[[#This Row],[Total Dollars Excluded from Spending After Applying Truncation at the Member Level]]=Age_Sex22[[#This Row],[Total Spending before Truncation is Applied]]</f>
        <v>1</v>
      </c>
    </row>
    <row r="1840" spans="1:10" x14ac:dyDescent="0.25">
      <c r="A1840" s="450"/>
      <c r="B1840" s="451"/>
      <c r="C1840" s="452"/>
      <c r="D1840" s="521"/>
      <c r="E1840" s="453"/>
      <c r="F1840" s="454"/>
      <c r="G1840" s="525"/>
      <c r="H1840" s="454"/>
      <c r="I1840" s="459"/>
      <c r="J1840" s="271" t="b">
        <f>Age_Sex22[[#This Row],[Total Spending After Applying Truncation at the Member Level]]+Age_Sex22[[#This Row],[Total Dollars Excluded from Spending After Applying Truncation at the Member Level]]=Age_Sex22[[#This Row],[Total Spending before Truncation is Applied]]</f>
        <v>1</v>
      </c>
    </row>
    <row r="1841" spans="1:10" x14ac:dyDescent="0.25">
      <c r="A1841" s="449"/>
      <c r="B1841" s="443"/>
      <c r="C1841" s="444"/>
      <c r="D1841" s="520"/>
      <c r="E1841" s="445"/>
      <c r="F1841" s="446"/>
      <c r="G1841" s="524"/>
      <c r="H1841" s="446"/>
      <c r="I1841" s="458"/>
      <c r="J1841" s="271" t="b">
        <f>Age_Sex22[[#This Row],[Total Spending After Applying Truncation at the Member Level]]+Age_Sex22[[#This Row],[Total Dollars Excluded from Spending After Applying Truncation at the Member Level]]=Age_Sex22[[#This Row],[Total Spending before Truncation is Applied]]</f>
        <v>1</v>
      </c>
    </row>
    <row r="1842" spans="1:10" x14ac:dyDescent="0.25">
      <c r="A1842" s="450"/>
      <c r="B1842" s="451"/>
      <c r="C1842" s="452"/>
      <c r="D1842" s="521"/>
      <c r="E1842" s="453"/>
      <c r="F1842" s="454"/>
      <c r="G1842" s="525"/>
      <c r="H1842" s="454"/>
      <c r="I1842" s="459"/>
      <c r="J1842" s="271" t="b">
        <f>Age_Sex22[[#This Row],[Total Spending After Applying Truncation at the Member Level]]+Age_Sex22[[#This Row],[Total Dollars Excluded from Spending After Applying Truncation at the Member Level]]=Age_Sex22[[#This Row],[Total Spending before Truncation is Applied]]</f>
        <v>1</v>
      </c>
    </row>
    <row r="1843" spans="1:10" x14ac:dyDescent="0.25">
      <c r="A1843" s="449"/>
      <c r="B1843" s="443"/>
      <c r="C1843" s="444"/>
      <c r="D1843" s="520"/>
      <c r="E1843" s="445"/>
      <c r="F1843" s="446"/>
      <c r="G1843" s="524"/>
      <c r="H1843" s="446"/>
      <c r="I1843" s="458"/>
      <c r="J1843" s="271" t="b">
        <f>Age_Sex22[[#This Row],[Total Spending After Applying Truncation at the Member Level]]+Age_Sex22[[#This Row],[Total Dollars Excluded from Spending After Applying Truncation at the Member Level]]=Age_Sex22[[#This Row],[Total Spending before Truncation is Applied]]</f>
        <v>1</v>
      </c>
    </row>
    <row r="1844" spans="1:10" x14ac:dyDescent="0.25">
      <c r="A1844" s="450"/>
      <c r="B1844" s="451"/>
      <c r="C1844" s="452"/>
      <c r="D1844" s="521"/>
      <c r="E1844" s="453"/>
      <c r="F1844" s="454"/>
      <c r="G1844" s="525"/>
      <c r="H1844" s="454"/>
      <c r="I1844" s="459"/>
      <c r="J1844" s="271" t="b">
        <f>Age_Sex22[[#This Row],[Total Spending After Applying Truncation at the Member Level]]+Age_Sex22[[#This Row],[Total Dollars Excluded from Spending After Applying Truncation at the Member Level]]=Age_Sex22[[#This Row],[Total Spending before Truncation is Applied]]</f>
        <v>1</v>
      </c>
    </row>
    <row r="1845" spans="1:10" x14ac:dyDescent="0.25">
      <c r="A1845" s="449"/>
      <c r="B1845" s="443"/>
      <c r="C1845" s="444"/>
      <c r="D1845" s="520"/>
      <c r="E1845" s="445"/>
      <c r="F1845" s="446"/>
      <c r="G1845" s="524"/>
      <c r="H1845" s="446"/>
      <c r="I1845" s="458"/>
      <c r="J1845" s="271" t="b">
        <f>Age_Sex22[[#This Row],[Total Spending After Applying Truncation at the Member Level]]+Age_Sex22[[#This Row],[Total Dollars Excluded from Spending After Applying Truncation at the Member Level]]=Age_Sex22[[#This Row],[Total Spending before Truncation is Applied]]</f>
        <v>1</v>
      </c>
    </row>
    <row r="1846" spans="1:10" x14ac:dyDescent="0.25">
      <c r="A1846" s="450"/>
      <c r="B1846" s="451"/>
      <c r="C1846" s="452"/>
      <c r="D1846" s="521"/>
      <c r="E1846" s="453"/>
      <c r="F1846" s="454"/>
      <c r="G1846" s="525"/>
      <c r="H1846" s="454"/>
      <c r="I1846" s="459"/>
      <c r="J1846" s="271" t="b">
        <f>Age_Sex22[[#This Row],[Total Spending After Applying Truncation at the Member Level]]+Age_Sex22[[#This Row],[Total Dollars Excluded from Spending After Applying Truncation at the Member Level]]=Age_Sex22[[#This Row],[Total Spending before Truncation is Applied]]</f>
        <v>1</v>
      </c>
    </row>
    <row r="1847" spans="1:10" x14ac:dyDescent="0.25">
      <c r="A1847" s="449"/>
      <c r="B1847" s="443"/>
      <c r="C1847" s="444"/>
      <c r="D1847" s="520"/>
      <c r="E1847" s="445"/>
      <c r="F1847" s="446"/>
      <c r="G1847" s="524"/>
      <c r="H1847" s="446"/>
      <c r="I1847" s="458"/>
      <c r="J1847" s="271" t="b">
        <f>Age_Sex22[[#This Row],[Total Spending After Applying Truncation at the Member Level]]+Age_Sex22[[#This Row],[Total Dollars Excluded from Spending After Applying Truncation at the Member Level]]=Age_Sex22[[#This Row],[Total Spending before Truncation is Applied]]</f>
        <v>1</v>
      </c>
    </row>
    <row r="1848" spans="1:10" x14ac:dyDescent="0.25">
      <c r="A1848" s="450"/>
      <c r="B1848" s="451"/>
      <c r="C1848" s="452"/>
      <c r="D1848" s="521"/>
      <c r="E1848" s="453"/>
      <c r="F1848" s="454"/>
      <c r="G1848" s="525"/>
      <c r="H1848" s="454"/>
      <c r="I1848" s="459"/>
      <c r="J1848" s="271" t="b">
        <f>Age_Sex22[[#This Row],[Total Spending After Applying Truncation at the Member Level]]+Age_Sex22[[#This Row],[Total Dollars Excluded from Spending After Applying Truncation at the Member Level]]=Age_Sex22[[#This Row],[Total Spending before Truncation is Applied]]</f>
        <v>1</v>
      </c>
    </row>
    <row r="1849" spans="1:10" x14ac:dyDescent="0.25">
      <c r="A1849" s="449"/>
      <c r="B1849" s="443"/>
      <c r="C1849" s="444"/>
      <c r="D1849" s="520"/>
      <c r="E1849" s="445"/>
      <c r="F1849" s="446"/>
      <c r="G1849" s="524"/>
      <c r="H1849" s="446"/>
      <c r="I1849" s="458"/>
      <c r="J1849" s="271" t="b">
        <f>Age_Sex22[[#This Row],[Total Spending After Applying Truncation at the Member Level]]+Age_Sex22[[#This Row],[Total Dollars Excluded from Spending After Applying Truncation at the Member Level]]=Age_Sex22[[#This Row],[Total Spending before Truncation is Applied]]</f>
        <v>1</v>
      </c>
    </row>
    <row r="1850" spans="1:10" x14ac:dyDescent="0.25">
      <c r="A1850" s="450"/>
      <c r="B1850" s="451"/>
      <c r="C1850" s="452"/>
      <c r="D1850" s="521"/>
      <c r="E1850" s="453"/>
      <c r="F1850" s="454"/>
      <c r="G1850" s="525"/>
      <c r="H1850" s="454"/>
      <c r="I1850" s="459"/>
      <c r="J1850" s="271" t="b">
        <f>Age_Sex22[[#This Row],[Total Spending After Applying Truncation at the Member Level]]+Age_Sex22[[#This Row],[Total Dollars Excluded from Spending After Applying Truncation at the Member Level]]=Age_Sex22[[#This Row],[Total Spending before Truncation is Applied]]</f>
        <v>1</v>
      </c>
    </row>
    <row r="1851" spans="1:10" x14ac:dyDescent="0.25">
      <c r="A1851" s="449"/>
      <c r="B1851" s="443"/>
      <c r="C1851" s="444"/>
      <c r="D1851" s="520"/>
      <c r="E1851" s="445"/>
      <c r="F1851" s="446"/>
      <c r="G1851" s="524"/>
      <c r="H1851" s="446"/>
      <c r="I1851" s="458"/>
      <c r="J1851" s="271" t="b">
        <f>Age_Sex22[[#This Row],[Total Spending After Applying Truncation at the Member Level]]+Age_Sex22[[#This Row],[Total Dollars Excluded from Spending After Applying Truncation at the Member Level]]=Age_Sex22[[#This Row],[Total Spending before Truncation is Applied]]</f>
        <v>1</v>
      </c>
    </row>
    <row r="1852" spans="1:10" x14ac:dyDescent="0.25">
      <c r="A1852" s="450"/>
      <c r="B1852" s="451"/>
      <c r="C1852" s="452"/>
      <c r="D1852" s="521"/>
      <c r="E1852" s="453"/>
      <c r="F1852" s="454"/>
      <c r="G1852" s="525"/>
      <c r="H1852" s="454"/>
      <c r="I1852" s="459"/>
      <c r="J1852" s="271" t="b">
        <f>Age_Sex22[[#This Row],[Total Spending After Applying Truncation at the Member Level]]+Age_Sex22[[#This Row],[Total Dollars Excluded from Spending After Applying Truncation at the Member Level]]=Age_Sex22[[#This Row],[Total Spending before Truncation is Applied]]</f>
        <v>1</v>
      </c>
    </row>
    <row r="1853" spans="1:10" x14ac:dyDescent="0.25">
      <c r="A1853" s="449"/>
      <c r="B1853" s="443"/>
      <c r="C1853" s="444"/>
      <c r="D1853" s="520"/>
      <c r="E1853" s="445"/>
      <c r="F1853" s="446"/>
      <c r="G1853" s="524"/>
      <c r="H1853" s="446"/>
      <c r="I1853" s="458"/>
      <c r="J1853" s="271" t="b">
        <f>Age_Sex22[[#This Row],[Total Spending After Applying Truncation at the Member Level]]+Age_Sex22[[#This Row],[Total Dollars Excluded from Spending After Applying Truncation at the Member Level]]=Age_Sex22[[#This Row],[Total Spending before Truncation is Applied]]</f>
        <v>1</v>
      </c>
    </row>
    <row r="1854" spans="1:10" x14ac:dyDescent="0.25">
      <c r="A1854" s="450"/>
      <c r="B1854" s="451"/>
      <c r="C1854" s="452"/>
      <c r="D1854" s="521"/>
      <c r="E1854" s="453"/>
      <c r="F1854" s="454"/>
      <c r="G1854" s="525"/>
      <c r="H1854" s="454"/>
      <c r="I1854" s="459"/>
      <c r="J1854" s="271" t="b">
        <f>Age_Sex22[[#This Row],[Total Spending After Applying Truncation at the Member Level]]+Age_Sex22[[#This Row],[Total Dollars Excluded from Spending After Applying Truncation at the Member Level]]=Age_Sex22[[#This Row],[Total Spending before Truncation is Applied]]</f>
        <v>1</v>
      </c>
    </row>
    <row r="1855" spans="1:10" x14ac:dyDescent="0.25">
      <c r="A1855" s="449"/>
      <c r="B1855" s="443"/>
      <c r="C1855" s="444"/>
      <c r="D1855" s="520"/>
      <c r="E1855" s="445"/>
      <c r="F1855" s="446"/>
      <c r="G1855" s="524"/>
      <c r="H1855" s="446"/>
      <c r="I1855" s="458"/>
      <c r="J1855" s="271" t="b">
        <f>Age_Sex22[[#This Row],[Total Spending After Applying Truncation at the Member Level]]+Age_Sex22[[#This Row],[Total Dollars Excluded from Spending After Applying Truncation at the Member Level]]=Age_Sex22[[#This Row],[Total Spending before Truncation is Applied]]</f>
        <v>1</v>
      </c>
    </row>
    <row r="1856" spans="1:10" x14ac:dyDescent="0.25">
      <c r="A1856" s="450"/>
      <c r="B1856" s="451"/>
      <c r="C1856" s="452"/>
      <c r="D1856" s="521"/>
      <c r="E1856" s="453"/>
      <c r="F1856" s="454"/>
      <c r="G1856" s="525"/>
      <c r="H1856" s="454"/>
      <c r="I1856" s="459"/>
      <c r="J1856" s="271" t="b">
        <f>Age_Sex22[[#This Row],[Total Spending After Applying Truncation at the Member Level]]+Age_Sex22[[#This Row],[Total Dollars Excluded from Spending After Applying Truncation at the Member Level]]=Age_Sex22[[#This Row],[Total Spending before Truncation is Applied]]</f>
        <v>1</v>
      </c>
    </row>
    <row r="1857" spans="1:10" x14ac:dyDescent="0.25">
      <c r="A1857" s="449"/>
      <c r="B1857" s="443"/>
      <c r="C1857" s="444"/>
      <c r="D1857" s="520"/>
      <c r="E1857" s="445"/>
      <c r="F1857" s="446"/>
      <c r="G1857" s="524"/>
      <c r="H1857" s="446"/>
      <c r="I1857" s="458"/>
      <c r="J1857" s="271" t="b">
        <f>Age_Sex22[[#This Row],[Total Spending After Applying Truncation at the Member Level]]+Age_Sex22[[#This Row],[Total Dollars Excluded from Spending After Applying Truncation at the Member Level]]=Age_Sex22[[#This Row],[Total Spending before Truncation is Applied]]</f>
        <v>1</v>
      </c>
    </row>
    <row r="1858" spans="1:10" x14ac:dyDescent="0.25">
      <c r="A1858" s="450"/>
      <c r="B1858" s="451"/>
      <c r="C1858" s="452"/>
      <c r="D1858" s="521"/>
      <c r="E1858" s="453"/>
      <c r="F1858" s="454"/>
      <c r="G1858" s="525"/>
      <c r="H1858" s="454"/>
      <c r="I1858" s="459"/>
      <c r="J1858" s="271" t="b">
        <f>Age_Sex22[[#This Row],[Total Spending After Applying Truncation at the Member Level]]+Age_Sex22[[#This Row],[Total Dollars Excluded from Spending After Applying Truncation at the Member Level]]=Age_Sex22[[#This Row],[Total Spending before Truncation is Applied]]</f>
        <v>1</v>
      </c>
    </row>
    <row r="1859" spans="1:10" x14ac:dyDescent="0.25">
      <c r="A1859" s="449"/>
      <c r="B1859" s="443"/>
      <c r="C1859" s="444"/>
      <c r="D1859" s="520"/>
      <c r="E1859" s="445"/>
      <c r="F1859" s="446"/>
      <c r="G1859" s="524"/>
      <c r="H1859" s="446"/>
      <c r="I1859" s="458"/>
      <c r="J1859" s="271" t="b">
        <f>Age_Sex22[[#This Row],[Total Spending After Applying Truncation at the Member Level]]+Age_Sex22[[#This Row],[Total Dollars Excluded from Spending After Applying Truncation at the Member Level]]=Age_Sex22[[#This Row],[Total Spending before Truncation is Applied]]</f>
        <v>1</v>
      </c>
    </row>
    <row r="1860" spans="1:10" x14ac:dyDescent="0.25">
      <c r="A1860" s="450"/>
      <c r="B1860" s="451"/>
      <c r="C1860" s="452"/>
      <c r="D1860" s="521"/>
      <c r="E1860" s="453"/>
      <c r="F1860" s="454"/>
      <c r="G1860" s="525"/>
      <c r="H1860" s="454"/>
      <c r="I1860" s="459"/>
      <c r="J1860" s="271" t="b">
        <f>Age_Sex22[[#This Row],[Total Spending After Applying Truncation at the Member Level]]+Age_Sex22[[#This Row],[Total Dollars Excluded from Spending After Applying Truncation at the Member Level]]=Age_Sex22[[#This Row],[Total Spending before Truncation is Applied]]</f>
        <v>1</v>
      </c>
    </row>
    <row r="1861" spans="1:10" x14ac:dyDescent="0.25">
      <c r="A1861" s="449"/>
      <c r="B1861" s="443"/>
      <c r="C1861" s="444"/>
      <c r="D1861" s="520"/>
      <c r="E1861" s="445"/>
      <c r="F1861" s="446"/>
      <c r="G1861" s="524"/>
      <c r="H1861" s="446"/>
      <c r="I1861" s="458"/>
      <c r="J1861" s="271" t="b">
        <f>Age_Sex22[[#This Row],[Total Spending After Applying Truncation at the Member Level]]+Age_Sex22[[#This Row],[Total Dollars Excluded from Spending After Applying Truncation at the Member Level]]=Age_Sex22[[#This Row],[Total Spending before Truncation is Applied]]</f>
        <v>1</v>
      </c>
    </row>
    <row r="1862" spans="1:10" x14ac:dyDescent="0.25">
      <c r="A1862" s="450"/>
      <c r="B1862" s="451"/>
      <c r="C1862" s="452"/>
      <c r="D1862" s="521"/>
      <c r="E1862" s="453"/>
      <c r="F1862" s="454"/>
      <c r="G1862" s="525"/>
      <c r="H1862" s="454"/>
      <c r="I1862" s="459"/>
      <c r="J1862" s="271" t="b">
        <f>Age_Sex22[[#This Row],[Total Spending After Applying Truncation at the Member Level]]+Age_Sex22[[#This Row],[Total Dollars Excluded from Spending After Applying Truncation at the Member Level]]=Age_Sex22[[#This Row],[Total Spending before Truncation is Applied]]</f>
        <v>1</v>
      </c>
    </row>
    <row r="1863" spans="1:10" x14ac:dyDescent="0.25">
      <c r="A1863" s="449"/>
      <c r="B1863" s="443"/>
      <c r="C1863" s="444"/>
      <c r="D1863" s="520"/>
      <c r="E1863" s="445"/>
      <c r="F1863" s="446"/>
      <c r="G1863" s="524"/>
      <c r="H1863" s="446"/>
      <c r="I1863" s="458"/>
      <c r="J1863" s="271" t="b">
        <f>Age_Sex22[[#This Row],[Total Spending After Applying Truncation at the Member Level]]+Age_Sex22[[#This Row],[Total Dollars Excluded from Spending After Applying Truncation at the Member Level]]=Age_Sex22[[#This Row],[Total Spending before Truncation is Applied]]</f>
        <v>1</v>
      </c>
    </row>
    <row r="1864" spans="1:10" x14ac:dyDescent="0.25">
      <c r="A1864" s="450"/>
      <c r="B1864" s="451"/>
      <c r="C1864" s="452"/>
      <c r="D1864" s="521"/>
      <c r="E1864" s="453"/>
      <c r="F1864" s="454"/>
      <c r="G1864" s="525"/>
      <c r="H1864" s="454"/>
      <c r="I1864" s="459"/>
      <c r="J1864" s="271" t="b">
        <f>Age_Sex22[[#This Row],[Total Spending After Applying Truncation at the Member Level]]+Age_Sex22[[#This Row],[Total Dollars Excluded from Spending After Applying Truncation at the Member Level]]=Age_Sex22[[#This Row],[Total Spending before Truncation is Applied]]</f>
        <v>1</v>
      </c>
    </row>
    <row r="1865" spans="1:10" x14ac:dyDescent="0.25">
      <c r="A1865" s="449"/>
      <c r="B1865" s="443"/>
      <c r="C1865" s="444"/>
      <c r="D1865" s="520"/>
      <c r="E1865" s="445"/>
      <c r="F1865" s="446"/>
      <c r="G1865" s="524"/>
      <c r="H1865" s="446"/>
      <c r="I1865" s="458"/>
      <c r="J1865" s="271" t="b">
        <f>Age_Sex22[[#This Row],[Total Spending After Applying Truncation at the Member Level]]+Age_Sex22[[#This Row],[Total Dollars Excluded from Spending After Applying Truncation at the Member Level]]=Age_Sex22[[#This Row],[Total Spending before Truncation is Applied]]</f>
        <v>1</v>
      </c>
    </row>
    <row r="1866" spans="1:10" x14ac:dyDescent="0.25">
      <c r="A1866" s="450"/>
      <c r="B1866" s="451"/>
      <c r="C1866" s="452"/>
      <c r="D1866" s="521"/>
      <c r="E1866" s="453"/>
      <c r="F1866" s="454"/>
      <c r="G1866" s="525"/>
      <c r="H1866" s="454"/>
      <c r="I1866" s="459"/>
      <c r="J1866" s="271" t="b">
        <f>Age_Sex22[[#This Row],[Total Spending After Applying Truncation at the Member Level]]+Age_Sex22[[#This Row],[Total Dollars Excluded from Spending After Applying Truncation at the Member Level]]=Age_Sex22[[#This Row],[Total Spending before Truncation is Applied]]</f>
        <v>1</v>
      </c>
    </row>
    <row r="1867" spans="1:10" x14ac:dyDescent="0.25">
      <c r="A1867" s="449"/>
      <c r="B1867" s="443"/>
      <c r="C1867" s="444"/>
      <c r="D1867" s="520"/>
      <c r="E1867" s="445"/>
      <c r="F1867" s="446"/>
      <c r="G1867" s="524"/>
      <c r="H1867" s="446"/>
      <c r="I1867" s="458"/>
      <c r="J1867" s="271" t="b">
        <f>Age_Sex22[[#This Row],[Total Spending After Applying Truncation at the Member Level]]+Age_Sex22[[#This Row],[Total Dollars Excluded from Spending After Applying Truncation at the Member Level]]=Age_Sex22[[#This Row],[Total Spending before Truncation is Applied]]</f>
        <v>1</v>
      </c>
    </row>
    <row r="1868" spans="1:10" x14ac:dyDescent="0.25">
      <c r="A1868" s="450"/>
      <c r="B1868" s="451"/>
      <c r="C1868" s="452"/>
      <c r="D1868" s="521"/>
      <c r="E1868" s="453"/>
      <c r="F1868" s="454"/>
      <c r="G1868" s="525"/>
      <c r="H1868" s="454"/>
      <c r="I1868" s="459"/>
      <c r="J1868" s="271" t="b">
        <f>Age_Sex22[[#This Row],[Total Spending After Applying Truncation at the Member Level]]+Age_Sex22[[#This Row],[Total Dollars Excluded from Spending After Applying Truncation at the Member Level]]=Age_Sex22[[#This Row],[Total Spending before Truncation is Applied]]</f>
        <v>1</v>
      </c>
    </row>
    <row r="1869" spans="1:10" x14ac:dyDescent="0.25">
      <c r="A1869" s="449"/>
      <c r="B1869" s="443"/>
      <c r="C1869" s="444"/>
      <c r="D1869" s="520"/>
      <c r="E1869" s="445"/>
      <c r="F1869" s="446"/>
      <c r="G1869" s="524"/>
      <c r="H1869" s="446"/>
      <c r="I1869" s="458"/>
      <c r="J1869" s="271" t="b">
        <f>Age_Sex22[[#This Row],[Total Spending After Applying Truncation at the Member Level]]+Age_Sex22[[#This Row],[Total Dollars Excluded from Spending After Applying Truncation at the Member Level]]=Age_Sex22[[#This Row],[Total Spending before Truncation is Applied]]</f>
        <v>1</v>
      </c>
    </row>
    <row r="1870" spans="1:10" x14ac:dyDescent="0.25">
      <c r="A1870" s="450"/>
      <c r="B1870" s="451"/>
      <c r="C1870" s="452"/>
      <c r="D1870" s="521"/>
      <c r="E1870" s="453"/>
      <c r="F1870" s="454"/>
      <c r="G1870" s="525"/>
      <c r="H1870" s="454"/>
      <c r="I1870" s="459"/>
      <c r="J1870" s="271" t="b">
        <f>Age_Sex22[[#This Row],[Total Spending After Applying Truncation at the Member Level]]+Age_Sex22[[#This Row],[Total Dollars Excluded from Spending After Applying Truncation at the Member Level]]=Age_Sex22[[#This Row],[Total Spending before Truncation is Applied]]</f>
        <v>1</v>
      </c>
    </row>
    <row r="1871" spans="1:10" x14ac:dyDescent="0.25">
      <c r="A1871" s="449"/>
      <c r="B1871" s="443"/>
      <c r="C1871" s="444"/>
      <c r="D1871" s="520"/>
      <c r="E1871" s="445"/>
      <c r="F1871" s="446"/>
      <c r="G1871" s="524"/>
      <c r="H1871" s="446"/>
      <c r="I1871" s="458"/>
      <c r="J1871" s="271" t="b">
        <f>Age_Sex22[[#This Row],[Total Spending After Applying Truncation at the Member Level]]+Age_Sex22[[#This Row],[Total Dollars Excluded from Spending After Applying Truncation at the Member Level]]=Age_Sex22[[#This Row],[Total Spending before Truncation is Applied]]</f>
        <v>1</v>
      </c>
    </row>
    <row r="1872" spans="1:10" x14ac:dyDescent="0.25">
      <c r="A1872" s="450"/>
      <c r="B1872" s="451"/>
      <c r="C1872" s="452"/>
      <c r="D1872" s="521"/>
      <c r="E1872" s="453"/>
      <c r="F1872" s="454"/>
      <c r="G1872" s="525"/>
      <c r="H1872" s="454"/>
      <c r="I1872" s="459"/>
      <c r="J1872" s="271" t="b">
        <f>Age_Sex22[[#This Row],[Total Spending After Applying Truncation at the Member Level]]+Age_Sex22[[#This Row],[Total Dollars Excluded from Spending After Applying Truncation at the Member Level]]=Age_Sex22[[#This Row],[Total Spending before Truncation is Applied]]</f>
        <v>1</v>
      </c>
    </row>
    <row r="1873" spans="1:10" x14ac:dyDescent="0.25">
      <c r="A1873" s="449"/>
      <c r="B1873" s="443"/>
      <c r="C1873" s="444"/>
      <c r="D1873" s="520"/>
      <c r="E1873" s="445"/>
      <c r="F1873" s="446"/>
      <c r="G1873" s="524"/>
      <c r="H1873" s="446"/>
      <c r="I1873" s="458"/>
      <c r="J1873" s="271" t="b">
        <f>Age_Sex22[[#This Row],[Total Spending After Applying Truncation at the Member Level]]+Age_Sex22[[#This Row],[Total Dollars Excluded from Spending After Applying Truncation at the Member Level]]=Age_Sex22[[#This Row],[Total Spending before Truncation is Applied]]</f>
        <v>1</v>
      </c>
    </row>
    <row r="1874" spans="1:10" x14ac:dyDescent="0.25">
      <c r="A1874" s="450"/>
      <c r="B1874" s="451"/>
      <c r="C1874" s="452"/>
      <c r="D1874" s="521"/>
      <c r="E1874" s="453"/>
      <c r="F1874" s="454"/>
      <c r="G1874" s="525"/>
      <c r="H1874" s="454"/>
      <c r="I1874" s="459"/>
      <c r="J1874" s="271" t="b">
        <f>Age_Sex22[[#This Row],[Total Spending After Applying Truncation at the Member Level]]+Age_Sex22[[#This Row],[Total Dollars Excluded from Spending After Applying Truncation at the Member Level]]=Age_Sex22[[#This Row],[Total Spending before Truncation is Applied]]</f>
        <v>1</v>
      </c>
    </row>
    <row r="1875" spans="1:10" x14ac:dyDescent="0.25">
      <c r="A1875" s="449"/>
      <c r="B1875" s="443"/>
      <c r="C1875" s="444"/>
      <c r="D1875" s="520"/>
      <c r="E1875" s="445"/>
      <c r="F1875" s="446"/>
      <c r="G1875" s="524"/>
      <c r="H1875" s="446"/>
      <c r="I1875" s="458"/>
      <c r="J1875" s="271" t="b">
        <f>Age_Sex22[[#This Row],[Total Spending After Applying Truncation at the Member Level]]+Age_Sex22[[#This Row],[Total Dollars Excluded from Spending After Applying Truncation at the Member Level]]=Age_Sex22[[#This Row],[Total Spending before Truncation is Applied]]</f>
        <v>1</v>
      </c>
    </row>
    <row r="1876" spans="1:10" x14ac:dyDescent="0.25">
      <c r="A1876" s="450"/>
      <c r="B1876" s="451"/>
      <c r="C1876" s="452"/>
      <c r="D1876" s="521"/>
      <c r="E1876" s="453"/>
      <c r="F1876" s="454"/>
      <c r="G1876" s="525"/>
      <c r="H1876" s="454"/>
      <c r="I1876" s="459"/>
      <c r="J1876" s="271" t="b">
        <f>Age_Sex22[[#This Row],[Total Spending After Applying Truncation at the Member Level]]+Age_Sex22[[#This Row],[Total Dollars Excluded from Spending After Applying Truncation at the Member Level]]=Age_Sex22[[#This Row],[Total Spending before Truncation is Applied]]</f>
        <v>1</v>
      </c>
    </row>
    <row r="1877" spans="1:10" x14ac:dyDescent="0.25">
      <c r="A1877" s="449"/>
      <c r="B1877" s="443"/>
      <c r="C1877" s="444"/>
      <c r="D1877" s="520"/>
      <c r="E1877" s="445"/>
      <c r="F1877" s="446"/>
      <c r="G1877" s="524"/>
      <c r="H1877" s="446"/>
      <c r="I1877" s="458"/>
      <c r="J1877" s="271" t="b">
        <f>Age_Sex22[[#This Row],[Total Spending After Applying Truncation at the Member Level]]+Age_Sex22[[#This Row],[Total Dollars Excluded from Spending After Applying Truncation at the Member Level]]=Age_Sex22[[#This Row],[Total Spending before Truncation is Applied]]</f>
        <v>1</v>
      </c>
    </row>
    <row r="1878" spans="1:10" x14ac:dyDescent="0.25">
      <c r="A1878" s="450"/>
      <c r="B1878" s="451"/>
      <c r="C1878" s="452"/>
      <c r="D1878" s="521"/>
      <c r="E1878" s="453"/>
      <c r="F1878" s="454"/>
      <c r="G1878" s="525"/>
      <c r="H1878" s="454"/>
      <c r="I1878" s="459"/>
      <c r="J1878" s="271" t="b">
        <f>Age_Sex22[[#This Row],[Total Spending After Applying Truncation at the Member Level]]+Age_Sex22[[#This Row],[Total Dollars Excluded from Spending After Applying Truncation at the Member Level]]=Age_Sex22[[#This Row],[Total Spending before Truncation is Applied]]</f>
        <v>1</v>
      </c>
    </row>
    <row r="1879" spans="1:10" x14ac:dyDescent="0.25">
      <c r="A1879" s="449"/>
      <c r="B1879" s="443"/>
      <c r="C1879" s="444"/>
      <c r="D1879" s="520"/>
      <c r="E1879" s="445"/>
      <c r="F1879" s="446"/>
      <c r="G1879" s="524"/>
      <c r="H1879" s="446"/>
      <c r="I1879" s="458"/>
      <c r="J1879" s="271" t="b">
        <f>Age_Sex22[[#This Row],[Total Spending After Applying Truncation at the Member Level]]+Age_Sex22[[#This Row],[Total Dollars Excluded from Spending After Applying Truncation at the Member Level]]=Age_Sex22[[#This Row],[Total Spending before Truncation is Applied]]</f>
        <v>1</v>
      </c>
    </row>
    <row r="1880" spans="1:10" x14ac:dyDescent="0.25">
      <c r="A1880" s="450"/>
      <c r="B1880" s="451"/>
      <c r="C1880" s="452"/>
      <c r="D1880" s="521"/>
      <c r="E1880" s="453"/>
      <c r="F1880" s="454"/>
      <c r="G1880" s="525"/>
      <c r="H1880" s="454"/>
      <c r="I1880" s="459"/>
      <c r="J1880" s="271" t="b">
        <f>Age_Sex22[[#This Row],[Total Spending After Applying Truncation at the Member Level]]+Age_Sex22[[#This Row],[Total Dollars Excluded from Spending After Applying Truncation at the Member Level]]=Age_Sex22[[#This Row],[Total Spending before Truncation is Applied]]</f>
        <v>1</v>
      </c>
    </row>
    <row r="1881" spans="1:10" x14ac:dyDescent="0.25">
      <c r="A1881" s="449"/>
      <c r="B1881" s="443"/>
      <c r="C1881" s="444"/>
      <c r="D1881" s="520"/>
      <c r="E1881" s="445"/>
      <c r="F1881" s="446"/>
      <c r="G1881" s="524"/>
      <c r="H1881" s="446"/>
      <c r="I1881" s="458"/>
      <c r="J1881" s="271" t="b">
        <f>Age_Sex22[[#This Row],[Total Spending After Applying Truncation at the Member Level]]+Age_Sex22[[#This Row],[Total Dollars Excluded from Spending After Applying Truncation at the Member Level]]=Age_Sex22[[#This Row],[Total Spending before Truncation is Applied]]</f>
        <v>1</v>
      </c>
    </row>
    <row r="1882" spans="1:10" x14ac:dyDescent="0.25">
      <c r="A1882" s="450"/>
      <c r="B1882" s="451"/>
      <c r="C1882" s="452"/>
      <c r="D1882" s="521"/>
      <c r="E1882" s="453"/>
      <c r="F1882" s="454"/>
      <c r="G1882" s="525"/>
      <c r="H1882" s="454"/>
      <c r="I1882" s="459"/>
      <c r="J1882" s="271" t="b">
        <f>Age_Sex22[[#This Row],[Total Spending After Applying Truncation at the Member Level]]+Age_Sex22[[#This Row],[Total Dollars Excluded from Spending After Applying Truncation at the Member Level]]=Age_Sex22[[#This Row],[Total Spending before Truncation is Applied]]</f>
        <v>1</v>
      </c>
    </row>
    <row r="1883" spans="1:10" x14ac:dyDescent="0.25">
      <c r="A1883" s="449"/>
      <c r="B1883" s="443"/>
      <c r="C1883" s="444"/>
      <c r="D1883" s="520"/>
      <c r="E1883" s="445"/>
      <c r="F1883" s="446"/>
      <c r="G1883" s="524"/>
      <c r="H1883" s="446"/>
      <c r="I1883" s="458"/>
      <c r="J1883" s="271" t="b">
        <f>Age_Sex22[[#This Row],[Total Spending After Applying Truncation at the Member Level]]+Age_Sex22[[#This Row],[Total Dollars Excluded from Spending After Applying Truncation at the Member Level]]=Age_Sex22[[#This Row],[Total Spending before Truncation is Applied]]</f>
        <v>1</v>
      </c>
    </row>
    <row r="1884" spans="1:10" x14ac:dyDescent="0.25">
      <c r="A1884" s="450"/>
      <c r="B1884" s="451"/>
      <c r="C1884" s="452"/>
      <c r="D1884" s="521"/>
      <c r="E1884" s="453"/>
      <c r="F1884" s="454"/>
      <c r="G1884" s="525"/>
      <c r="H1884" s="454"/>
      <c r="I1884" s="459"/>
      <c r="J1884" s="271" t="b">
        <f>Age_Sex22[[#This Row],[Total Spending After Applying Truncation at the Member Level]]+Age_Sex22[[#This Row],[Total Dollars Excluded from Spending After Applying Truncation at the Member Level]]=Age_Sex22[[#This Row],[Total Spending before Truncation is Applied]]</f>
        <v>1</v>
      </c>
    </row>
    <row r="1885" spans="1:10" x14ac:dyDescent="0.25">
      <c r="A1885" s="449"/>
      <c r="B1885" s="443"/>
      <c r="C1885" s="444"/>
      <c r="D1885" s="520"/>
      <c r="E1885" s="445"/>
      <c r="F1885" s="446"/>
      <c r="G1885" s="524"/>
      <c r="H1885" s="446"/>
      <c r="I1885" s="458"/>
      <c r="J1885" s="271" t="b">
        <f>Age_Sex22[[#This Row],[Total Spending After Applying Truncation at the Member Level]]+Age_Sex22[[#This Row],[Total Dollars Excluded from Spending After Applying Truncation at the Member Level]]=Age_Sex22[[#This Row],[Total Spending before Truncation is Applied]]</f>
        <v>1</v>
      </c>
    </row>
    <row r="1886" spans="1:10" x14ac:dyDescent="0.25">
      <c r="A1886" s="450"/>
      <c r="B1886" s="451"/>
      <c r="C1886" s="452"/>
      <c r="D1886" s="521"/>
      <c r="E1886" s="453"/>
      <c r="F1886" s="454"/>
      <c r="G1886" s="525"/>
      <c r="H1886" s="454"/>
      <c r="I1886" s="459"/>
      <c r="J1886" s="271" t="b">
        <f>Age_Sex22[[#This Row],[Total Spending After Applying Truncation at the Member Level]]+Age_Sex22[[#This Row],[Total Dollars Excluded from Spending After Applying Truncation at the Member Level]]=Age_Sex22[[#This Row],[Total Spending before Truncation is Applied]]</f>
        <v>1</v>
      </c>
    </row>
    <row r="1887" spans="1:10" x14ac:dyDescent="0.25">
      <c r="A1887" s="449"/>
      <c r="B1887" s="443"/>
      <c r="C1887" s="444"/>
      <c r="D1887" s="520"/>
      <c r="E1887" s="445"/>
      <c r="F1887" s="446"/>
      <c r="G1887" s="524"/>
      <c r="H1887" s="446"/>
      <c r="I1887" s="458"/>
      <c r="J1887" s="271" t="b">
        <f>Age_Sex22[[#This Row],[Total Spending After Applying Truncation at the Member Level]]+Age_Sex22[[#This Row],[Total Dollars Excluded from Spending After Applying Truncation at the Member Level]]=Age_Sex22[[#This Row],[Total Spending before Truncation is Applied]]</f>
        <v>1</v>
      </c>
    </row>
    <row r="1888" spans="1:10" x14ac:dyDescent="0.25">
      <c r="A1888" s="450"/>
      <c r="B1888" s="451"/>
      <c r="C1888" s="452"/>
      <c r="D1888" s="521"/>
      <c r="E1888" s="453"/>
      <c r="F1888" s="454"/>
      <c r="G1888" s="525"/>
      <c r="H1888" s="454"/>
      <c r="I1888" s="459"/>
      <c r="J1888" s="271" t="b">
        <f>Age_Sex22[[#This Row],[Total Spending After Applying Truncation at the Member Level]]+Age_Sex22[[#This Row],[Total Dollars Excluded from Spending After Applying Truncation at the Member Level]]=Age_Sex22[[#This Row],[Total Spending before Truncation is Applied]]</f>
        <v>1</v>
      </c>
    </row>
    <row r="1889" spans="1:10" x14ac:dyDescent="0.25">
      <c r="A1889" s="449"/>
      <c r="B1889" s="443"/>
      <c r="C1889" s="444"/>
      <c r="D1889" s="520"/>
      <c r="E1889" s="445"/>
      <c r="F1889" s="446"/>
      <c r="G1889" s="524"/>
      <c r="H1889" s="446"/>
      <c r="I1889" s="458"/>
      <c r="J1889" s="271" t="b">
        <f>Age_Sex22[[#This Row],[Total Spending After Applying Truncation at the Member Level]]+Age_Sex22[[#This Row],[Total Dollars Excluded from Spending After Applying Truncation at the Member Level]]=Age_Sex22[[#This Row],[Total Spending before Truncation is Applied]]</f>
        <v>1</v>
      </c>
    </row>
    <row r="1890" spans="1:10" x14ac:dyDescent="0.25">
      <c r="A1890" s="450"/>
      <c r="B1890" s="451"/>
      <c r="C1890" s="452"/>
      <c r="D1890" s="521"/>
      <c r="E1890" s="453"/>
      <c r="F1890" s="454"/>
      <c r="G1890" s="525"/>
      <c r="H1890" s="454"/>
      <c r="I1890" s="459"/>
      <c r="J1890" s="271" t="b">
        <f>Age_Sex22[[#This Row],[Total Spending After Applying Truncation at the Member Level]]+Age_Sex22[[#This Row],[Total Dollars Excluded from Spending After Applying Truncation at the Member Level]]=Age_Sex22[[#This Row],[Total Spending before Truncation is Applied]]</f>
        <v>1</v>
      </c>
    </row>
    <row r="1891" spans="1:10" x14ac:dyDescent="0.25">
      <c r="A1891" s="449"/>
      <c r="B1891" s="443"/>
      <c r="C1891" s="444"/>
      <c r="D1891" s="520"/>
      <c r="E1891" s="445"/>
      <c r="F1891" s="446"/>
      <c r="G1891" s="524"/>
      <c r="H1891" s="446"/>
      <c r="I1891" s="458"/>
      <c r="J1891" s="271" t="b">
        <f>Age_Sex22[[#This Row],[Total Spending After Applying Truncation at the Member Level]]+Age_Sex22[[#This Row],[Total Dollars Excluded from Spending After Applying Truncation at the Member Level]]=Age_Sex22[[#This Row],[Total Spending before Truncation is Applied]]</f>
        <v>1</v>
      </c>
    </row>
    <row r="1892" spans="1:10" x14ac:dyDescent="0.25">
      <c r="A1892" s="450"/>
      <c r="B1892" s="451"/>
      <c r="C1892" s="452"/>
      <c r="D1892" s="521"/>
      <c r="E1892" s="453"/>
      <c r="F1892" s="454"/>
      <c r="G1892" s="525"/>
      <c r="H1892" s="454"/>
      <c r="I1892" s="459"/>
      <c r="J1892" s="271" t="b">
        <f>Age_Sex22[[#This Row],[Total Spending After Applying Truncation at the Member Level]]+Age_Sex22[[#This Row],[Total Dollars Excluded from Spending After Applying Truncation at the Member Level]]=Age_Sex22[[#This Row],[Total Spending before Truncation is Applied]]</f>
        <v>1</v>
      </c>
    </row>
    <row r="1893" spans="1:10" x14ac:dyDescent="0.25">
      <c r="A1893" s="449"/>
      <c r="B1893" s="443"/>
      <c r="C1893" s="444"/>
      <c r="D1893" s="520"/>
      <c r="E1893" s="445"/>
      <c r="F1893" s="446"/>
      <c r="G1893" s="524"/>
      <c r="H1893" s="446"/>
      <c r="I1893" s="458"/>
      <c r="J1893" s="271" t="b">
        <f>Age_Sex22[[#This Row],[Total Spending After Applying Truncation at the Member Level]]+Age_Sex22[[#This Row],[Total Dollars Excluded from Spending After Applying Truncation at the Member Level]]=Age_Sex22[[#This Row],[Total Spending before Truncation is Applied]]</f>
        <v>1</v>
      </c>
    </row>
    <row r="1894" spans="1:10" x14ac:dyDescent="0.25">
      <c r="A1894" s="450"/>
      <c r="B1894" s="451"/>
      <c r="C1894" s="452"/>
      <c r="D1894" s="521"/>
      <c r="E1894" s="453"/>
      <c r="F1894" s="454"/>
      <c r="G1894" s="525"/>
      <c r="H1894" s="454"/>
      <c r="I1894" s="459"/>
      <c r="J1894" s="271" t="b">
        <f>Age_Sex22[[#This Row],[Total Spending After Applying Truncation at the Member Level]]+Age_Sex22[[#This Row],[Total Dollars Excluded from Spending After Applying Truncation at the Member Level]]=Age_Sex22[[#This Row],[Total Spending before Truncation is Applied]]</f>
        <v>1</v>
      </c>
    </row>
    <row r="1895" spans="1:10" x14ac:dyDescent="0.25">
      <c r="A1895" s="449"/>
      <c r="B1895" s="443"/>
      <c r="C1895" s="444"/>
      <c r="D1895" s="520"/>
      <c r="E1895" s="445"/>
      <c r="F1895" s="446"/>
      <c r="G1895" s="524"/>
      <c r="H1895" s="446"/>
      <c r="I1895" s="458"/>
      <c r="J1895" s="271" t="b">
        <f>Age_Sex22[[#This Row],[Total Spending After Applying Truncation at the Member Level]]+Age_Sex22[[#This Row],[Total Dollars Excluded from Spending After Applying Truncation at the Member Level]]=Age_Sex22[[#This Row],[Total Spending before Truncation is Applied]]</f>
        <v>1</v>
      </c>
    </row>
    <row r="1896" spans="1:10" x14ac:dyDescent="0.25">
      <c r="A1896" s="450"/>
      <c r="B1896" s="451"/>
      <c r="C1896" s="452"/>
      <c r="D1896" s="521"/>
      <c r="E1896" s="453"/>
      <c r="F1896" s="454"/>
      <c r="G1896" s="525"/>
      <c r="H1896" s="454"/>
      <c r="I1896" s="459"/>
      <c r="J1896" s="271" t="b">
        <f>Age_Sex22[[#This Row],[Total Spending After Applying Truncation at the Member Level]]+Age_Sex22[[#This Row],[Total Dollars Excluded from Spending After Applying Truncation at the Member Level]]=Age_Sex22[[#This Row],[Total Spending before Truncation is Applied]]</f>
        <v>1</v>
      </c>
    </row>
    <row r="1897" spans="1:10" x14ac:dyDescent="0.25">
      <c r="A1897" s="449"/>
      <c r="B1897" s="443"/>
      <c r="C1897" s="444"/>
      <c r="D1897" s="520"/>
      <c r="E1897" s="445"/>
      <c r="F1897" s="446"/>
      <c r="G1897" s="524"/>
      <c r="H1897" s="446"/>
      <c r="I1897" s="458"/>
      <c r="J1897" s="271" t="b">
        <f>Age_Sex22[[#This Row],[Total Spending After Applying Truncation at the Member Level]]+Age_Sex22[[#This Row],[Total Dollars Excluded from Spending After Applying Truncation at the Member Level]]=Age_Sex22[[#This Row],[Total Spending before Truncation is Applied]]</f>
        <v>1</v>
      </c>
    </row>
    <row r="1898" spans="1:10" x14ac:dyDescent="0.25">
      <c r="A1898" s="450"/>
      <c r="B1898" s="451"/>
      <c r="C1898" s="452"/>
      <c r="D1898" s="521"/>
      <c r="E1898" s="453"/>
      <c r="F1898" s="454"/>
      <c r="G1898" s="525"/>
      <c r="H1898" s="454"/>
      <c r="I1898" s="459"/>
      <c r="J1898" s="271" t="b">
        <f>Age_Sex22[[#This Row],[Total Spending After Applying Truncation at the Member Level]]+Age_Sex22[[#This Row],[Total Dollars Excluded from Spending After Applying Truncation at the Member Level]]=Age_Sex22[[#This Row],[Total Spending before Truncation is Applied]]</f>
        <v>1</v>
      </c>
    </row>
    <row r="1899" spans="1:10" x14ac:dyDescent="0.25">
      <c r="A1899" s="449"/>
      <c r="B1899" s="443"/>
      <c r="C1899" s="444"/>
      <c r="D1899" s="520"/>
      <c r="E1899" s="445"/>
      <c r="F1899" s="446"/>
      <c r="G1899" s="524"/>
      <c r="H1899" s="446"/>
      <c r="I1899" s="458"/>
      <c r="J1899" s="271" t="b">
        <f>Age_Sex22[[#This Row],[Total Spending After Applying Truncation at the Member Level]]+Age_Sex22[[#This Row],[Total Dollars Excluded from Spending After Applying Truncation at the Member Level]]=Age_Sex22[[#This Row],[Total Spending before Truncation is Applied]]</f>
        <v>1</v>
      </c>
    </row>
    <row r="1900" spans="1:10" x14ac:dyDescent="0.25">
      <c r="A1900" s="450"/>
      <c r="B1900" s="451"/>
      <c r="C1900" s="452"/>
      <c r="D1900" s="521"/>
      <c r="E1900" s="453"/>
      <c r="F1900" s="454"/>
      <c r="G1900" s="525"/>
      <c r="H1900" s="454"/>
      <c r="I1900" s="459"/>
      <c r="J1900" s="271" t="b">
        <f>Age_Sex22[[#This Row],[Total Spending After Applying Truncation at the Member Level]]+Age_Sex22[[#This Row],[Total Dollars Excluded from Spending After Applying Truncation at the Member Level]]=Age_Sex22[[#This Row],[Total Spending before Truncation is Applied]]</f>
        <v>1</v>
      </c>
    </row>
    <row r="1901" spans="1:10" x14ac:dyDescent="0.25">
      <c r="A1901" s="449"/>
      <c r="B1901" s="443"/>
      <c r="C1901" s="444"/>
      <c r="D1901" s="520"/>
      <c r="E1901" s="445"/>
      <c r="F1901" s="446"/>
      <c r="G1901" s="524"/>
      <c r="H1901" s="446"/>
      <c r="I1901" s="458"/>
      <c r="J1901" s="271" t="b">
        <f>Age_Sex22[[#This Row],[Total Spending After Applying Truncation at the Member Level]]+Age_Sex22[[#This Row],[Total Dollars Excluded from Spending After Applying Truncation at the Member Level]]=Age_Sex22[[#This Row],[Total Spending before Truncation is Applied]]</f>
        <v>1</v>
      </c>
    </row>
    <row r="1902" spans="1:10" x14ac:dyDescent="0.25">
      <c r="A1902" s="450"/>
      <c r="B1902" s="451"/>
      <c r="C1902" s="452"/>
      <c r="D1902" s="521"/>
      <c r="E1902" s="453"/>
      <c r="F1902" s="454"/>
      <c r="G1902" s="525"/>
      <c r="H1902" s="454"/>
      <c r="I1902" s="459"/>
      <c r="J1902" s="271" t="b">
        <f>Age_Sex22[[#This Row],[Total Spending After Applying Truncation at the Member Level]]+Age_Sex22[[#This Row],[Total Dollars Excluded from Spending After Applying Truncation at the Member Level]]=Age_Sex22[[#This Row],[Total Spending before Truncation is Applied]]</f>
        <v>1</v>
      </c>
    </row>
    <row r="1903" spans="1:10" x14ac:dyDescent="0.25">
      <c r="A1903" s="449"/>
      <c r="B1903" s="443"/>
      <c r="C1903" s="444"/>
      <c r="D1903" s="520"/>
      <c r="E1903" s="445"/>
      <c r="F1903" s="446"/>
      <c r="G1903" s="524"/>
      <c r="H1903" s="446"/>
      <c r="I1903" s="458"/>
      <c r="J1903" s="271" t="b">
        <f>Age_Sex22[[#This Row],[Total Spending After Applying Truncation at the Member Level]]+Age_Sex22[[#This Row],[Total Dollars Excluded from Spending After Applying Truncation at the Member Level]]=Age_Sex22[[#This Row],[Total Spending before Truncation is Applied]]</f>
        <v>1</v>
      </c>
    </row>
    <row r="1904" spans="1:10" x14ac:dyDescent="0.25">
      <c r="A1904" s="450"/>
      <c r="B1904" s="451"/>
      <c r="C1904" s="452"/>
      <c r="D1904" s="521"/>
      <c r="E1904" s="453"/>
      <c r="F1904" s="454"/>
      <c r="G1904" s="525"/>
      <c r="H1904" s="454"/>
      <c r="I1904" s="459"/>
      <c r="J1904" s="271" t="b">
        <f>Age_Sex22[[#This Row],[Total Spending After Applying Truncation at the Member Level]]+Age_Sex22[[#This Row],[Total Dollars Excluded from Spending After Applying Truncation at the Member Level]]=Age_Sex22[[#This Row],[Total Spending before Truncation is Applied]]</f>
        <v>1</v>
      </c>
    </row>
    <row r="1905" spans="1:10" x14ac:dyDescent="0.25">
      <c r="A1905" s="449"/>
      <c r="B1905" s="443"/>
      <c r="C1905" s="444"/>
      <c r="D1905" s="520"/>
      <c r="E1905" s="445"/>
      <c r="F1905" s="446"/>
      <c r="G1905" s="524"/>
      <c r="H1905" s="446"/>
      <c r="I1905" s="458"/>
      <c r="J1905" s="271" t="b">
        <f>Age_Sex22[[#This Row],[Total Spending After Applying Truncation at the Member Level]]+Age_Sex22[[#This Row],[Total Dollars Excluded from Spending After Applying Truncation at the Member Level]]=Age_Sex22[[#This Row],[Total Spending before Truncation is Applied]]</f>
        <v>1</v>
      </c>
    </row>
    <row r="1906" spans="1:10" x14ac:dyDescent="0.25">
      <c r="A1906" s="450"/>
      <c r="B1906" s="451"/>
      <c r="C1906" s="452"/>
      <c r="D1906" s="521"/>
      <c r="E1906" s="453"/>
      <c r="F1906" s="454"/>
      <c r="G1906" s="525"/>
      <c r="H1906" s="454"/>
      <c r="I1906" s="459"/>
      <c r="J1906" s="271" t="b">
        <f>Age_Sex22[[#This Row],[Total Spending After Applying Truncation at the Member Level]]+Age_Sex22[[#This Row],[Total Dollars Excluded from Spending After Applying Truncation at the Member Level]]=Age_Sex22[[#This Row],[Total Spending before Truncation is Applied]]</f>
        <v>1</v>
      </c>
    </row>
    <row r="1907" spans="1:10" x14ac:dyDescent="0.25">
      <c r="A1907" s="449"/>
      <c r="B1907" s="443"/>
      <c r="C1907" s="444"/>
      <c r="D1907" s="520"/>
      <c r="E1907" s="445"/>
      <c r="F1907" s="446"/>
      <c r="G1907" s="524"/>
      <c r="H1907" s="446"/>
      <c r="I1907" s="458"/>
      <c r="J1907" s="271" t="b">
        <f>Age_Sex22[[#This Row],[Total Spending After Applying Truncation at the Member Level]]+Age_Sex22[[#This Row],[Total Dollars Excluded from Spending After Applying Truncation at the Member Level]]=Age_Sex22[[#This Row],[Total Spending before Truncation is Applied]]</f>
        <v>1</v>
      </c>
    </row>
    <row r="1908" spans="1:10" x14ac:dyDescent="0.25">
      <c r="A1908" s="450"/>
      <c r="B1908" s="451"/>
      <c r="C1908" s="452"/>
      <c r="D1908" s="521"/>
      <c r="E1908" s="453"/>
      <c r="F1908" s="454"/>
      <c r="G1908" s="525"/>
      <c r="H1908" s="454"/>
      <c r="I1908" s="459"/>
      <c r="J1908" s="271" t="b">
        <f>Age_Sex22[[#This Row],[Total Spending After Applying Truncation at the Member Level]]+Age_Sex22[[#This Row],[Total Dollars Excluded from Spending After Applying Truncation at the Member Level]]=Age_Sex22[[#This Row],[Total Spending before Truncation is Applied]]</f>
        <v>1</v>
      </c>
    </row>
    <row r="1909" spans="1:10" x14ac:dyDescent="0.25">
      <c r="A1909" s="449"/>
      <c r="B1909" s="443"/>
      <c r="C1909" s="444"/>
      <c r="D1909" s="520"/>
      <c r="E1909" s="445"/>
      <c r="F1909" s="446"/>
      <c r="G1909" s="524"/>
      <c r="H1909" s="446"/>
      <c r="I1909" s="458"/>
      <c r="J1909" s="271" t="b">
        <f>Age_Sex22[[#This Row],[Total Spending After Applying Truncation at the Member Level]]+Age_Sex22[[#This Row],[Total Dollars Excluded from Spending After Applying Truncation at the Member Level]]=Age_Sex22[[#This Row],[Total Spending before Truncation is Applied]]</f>
        <v>1</v>
      </c>
    </row>
    <row r="1910" spans="1:10" x14ac:dyDescent="0.25">
      <c r="A1910" s="450"/>
      <c r="B1910" s="451"/>
      <c r="C1910" s="452"/>
      <c r="D1910" s="521"/>
      <c r="E1910" s="453"/>
      <c r="F1910" s="454"/>
      <c r="G1910" s="525"/>
      <c r="H1910" s="454"/>
      <c r="I1910" s="459"/>
      <c r="J1910" s="271" t="b">
        <f>Age_Sex22[[#This Row],[Total Spending After Applying Truncation at the Member Level]]+Age_Sex22[[#This Row],[Total Dollars Excluded from Spending After Applying Truncation at the Member Level]]=Age_Sex22[[#This Row],[Total Spending before Truncation is Applied]]</f>
        <v>1</v>
      </c>
    </row>
    <row r="1911" spans="1:10" x14ac:dyDescent="0.25">
      <c r="A1911" s="449"/>
      <c r="B1911" s="443"/>
      <c r="C1911" s="444"/>
      <c r="D1911" s="520"/>
      <c r="E1911" s="445"/>
      <c r="F1911" s="446"/>
      <c r="G1911" s="524"/>
      <c r="H1911" s="446"/>
      <c r="I1911" s="458"/>
      <c r="J1911" s="271" t="b">
        <f>Age_Sex22[[#This Row],[Total Spending After Applying Truncation at the Member Level]]+Age_Sex22[[#This Row],[Total Dollars Excluded from Spending After Applying Truncation at the Member Level]]=Age_Sex22[[#This Row],[Total Spending before Truncation is Applied]]</f>
        <v>1</v>
      </c>
    </row>
    <row r="1912" spans="1:10" x14ac:dyDescent="0.25">
      <c r="A1912" s="450"/>
      <c r="B1912" s="451"/>
      <c r="C1912" s="452"/>
      <c r="D1912" s="521"/>
      <c r="E1912" s="453"/>
      <c r="F1912" s="454"/>
      <c r="G1912" s="525"/>
      <c r="H1912" s="454"/>
      <c r="I1912" s="459"/>
      <c r="J1912" s="271" t="b">
        <f>Age_Sex22[[#This Row],[Total Spending After Applying Truncation at the Member Level]]+Age_Sex22[[#This Row],[Total Dollars Excluded from Spending After Applying Truncation at the Member Level]]=Age_Sex22[[#This Row],[Total Spending before Truncation is Applied]]</f>
        <v>1</v>
      </c>
    </row>
    <row r="1913" spans="1:10" x14ac:dyDescent="0.25">
      <c r="A1913" s="449"/>
      <c r="B1913" s="443"/>
      <c r="C1913" s="444"/>
      <c r="D1913" s="520"/>
      <c r="E1913" s="445"/>
      <c r="F1913" s="446"/>
      <c r="G1913" s="524"/>
      <c r="H1913" s="446"/>
      <c r="I1913" s="458"/>
      <c r="J1913" s="271" t="b">
        <f>Age_Sex22[[#This Row],[Total Spending After Applying Truncation at the Member Level]]+Age_Sex22[[#This Row],[Total Dollars Excluded from Spending After Applying Truncation at the Member Level]]=Age_Sex22[[#This Row],[Total Spending before Truncation is Applied]]</f>
        <v>1</v>
      </c>
    </row>
    <row r="1914" spans="1:10" x14ac:dyDescent="0.25">
      <c r="A1914" s="450"/>
      <c r="B1914" s="451"/>
      <c r="C1914" s="452"/>
      <c r="D1914" s="521"/>
      <c r="E1914" s="453"/>
      <c r="F1914" s="454"/>
      <c r="G1914" s="525"/>
      <c r="H1914" s="454"/>
      <c r="I1914" s="459"/>
      <c r="J1914" s="271" t="b">
        <f>Age_Sex22[[#This Row],[Total Spending After Applying Truncation at the Member Level]]+Age_Sex22[[#This Row],[Total Dollars Excluded from Spending After Applying Truncation at the Member Level]]=Age_Sex22[[#This Row],[Total Spending before Truncation is Applied]]</f>
        <v>1</v>
      </c>
    </row>
    <row r="1915" spans="1:10" x14ac:dyDescent="0.25">
      <c r="A1915" s="449"/>
      <c r="B1915" s="443"/>
      <c r="C1915" s="444"/>
      <c r="D1915" s="520"/>
      <c r="E1915" s="445"/>
      <c r="F1915" s="446"/>
      <c r="G1915" s="524"/>
      <c r="H1915" s="446"/>
      <c r="I1915" s="458"/>
      <c r="J1915" s="271" t="b">
        <f>Age_Sex22[[#This Row],[Total Spending After Applying Truncation at the Member Level]]+Age_Sex22[[#This Row],[Total Dollars Excluded from Spending After Applying Truncation at the Member Level]]=Age_Sex22[[#This Row],[Total Spending before Truncation is Applied]]</f>
        <v>1</v>
      </c>
    </row>
    <row r="1916" spans="1:10" x14ac:dyDescent="0.25">
      <c r="A1916" s="450"/>
      <c r="B1916" s="451"/>
      <c r="C1916" s="452"/>
      <c r="D1916" s="521"/>
      <c r="E1916" s="453"/>
      <c r="F1916" s="454"/>
      <c r="G1916" s="525"/>
      <c r="H1916" s="454"/>
      <c r="I1916" s="459"/>
      <c r="J1916" s="271" t="b">
        <f>Age_Sex22[[#This Row],[Total Spending After Applying Truncation at the Member Level]]+Age_Sex22[[#This Row],[Total Dollars Excluded from Spending After Applying Truncation at the Member Level]]=Age_Sex22[[#This Row],[Total Spending before Truncation is Applied]]</f>
        <v>1</v>
      </c>
    </row>
    <row r="1917" spans="1:10" x14ac:dyDescent="0.25">
      <c r="A1917" s="449"/>
      <c r="B1917" s="443"/>
      <c r="C1917" s="444"/>
      <c r="D1917" s="520"/>
      <c r="E1917" s="445"/>
      <c r="F1917" s="446"/>
      <c r="G1917" s="524"/>
      <c r="H1917" s="446"/>
      <c r="I1917" s="458"/>
      <c r="J1917" s="271" t="b">
        <f>Age_Sex22[[#This Row],[Total Spending After Applying Truncation at the Member Level]]+Age_Sex22[[#This Row],[Total Dollars Excluded from Spending After Applying Truncation at the Member Level]]=Age_Sex22[[#This Row],[Total Spending before Truncation is Applied]]</f>
        <v>1</v>
      </c>
    </row>
    <row r="1918" spans="1:10" x14ac:dyDescent="0.25">
      <c r="A1918" s="450"/>
      <c r="B1918" s="451"/>
      <c r="C1918" s="452"/>
      <c r="D1918" s="521"/>
      <c r="E1918" s="453"/>
      <c r="F1918" s="454"/>
      <c r="G1918" s="525"/>
      <c r="H1918" s="454"/>
      <c r="I1918" s="459"/>
      <c r="J1918" s="271" t="b">
        <f>Age_Sex22[[#This Row],[Total Spending After Applying Truncation at the Member Level]]+Age_Sex22[[#This Row],[Total Dollars Excluded from Spending After Applying Truncation at the Member Level]]=Age_Sex22[[#This Row],[Total Spending before Truncation is Applied]]</f>
        <v>1</v>
      </c>
    </row>
    <row r="1919" spans="1:10" x14ac:dyDescent="0.25">
      <c r="A1919" s="449"/>
      <c r="B1919" s="443"/>
      <c r="C1919" s="444"/>
      <c r="D1919" s="520"/>
      <c r="E1919" s="445"/>
      <c r="F1919" s="446"/>
      <c r="G1919" s="524"/>
      <c r="H1919" s="446"/>
      <c r="I1919" s="458"/>
      <c r="J1919" s="271" t="b">
        <f>Age_Sex22[[#This Row],[Total Spending After Applying Truncation at the Member Level]]+Age_Sex22[[#This Row],[Total Dollars Excluded from Spending After Applying Truncation at the Member Level]]=Age_Sex22[[#This Row],[Total Spending before Truncation is Applied]]</f>
        <v>1</v>
      </c>
    </row>
    <row r="1920" spans="1:10" x14ac:dyDescent="0.25">
      <c r="A1920" s="450"/>
      <c r="B1920" s="451"/>
      <c r="C1920" s="452"/>
      <c r="D1920" s="521"/>
      <c r="E1920" s="453"/>
      <c r="F1920" s="454"/>
      <c r="G1920" s="525"/>
      <c r="H1920" s="454"/>
      <c r="I1920" s="459"/>
      <c r="J1920" s="271" t="b">
        <f>Age_Sex22[[#This Row],[Total Spending After Applying Truncation at the Member Level]]+Age_Sex22[[#This Row],[Total Dollars Excluded from Spending After Applying Truncation at the Member Level]]=Age_Sex22[[#This Row],[Total Spending before Truncation is Applied]]</f>
        <v>1</v>
      </c>
    </row>
    <row r="1921" spans="1:10" x14ac:dyDescent="0.25">
      <c r="A1921" s="449"/>
      <c r="B1921" s="443"/>
      <c r="C1921" s="444"/>
      <c r="D1921" s="520"/>
      <c r="E1921" s="445"/>
      <c r="F1921" s="446"/>
      <c r="G1921" s="524"/>
      <c r="H1921" s="446"/>
      <c r="I1921" s="458"/>
      <c r="J1921" s="271" t="b">
        <f>Age_Sex22[[#This Row],[Total Spending After Applying Truncation at the Member Level]]+Age_Sex22[[#This Row],[Total Dollars Excluded from Spending After Applying Truncation at the Member Level]]=Age_Sex22[[#This Row],[Total Spending before Truncation is Applied]]</f>
        <v>1</v>
      </c>
    </row>
    <row r="1922" spans="1:10" x14ac:dyDescent="0.25">
      <c r="A1922" s="450"/>
      <c r="B1922" s="451"/>
      <c r="C1922" s="452"/>
      <c r="D1922" s="521"/>
      <c r="E1922" s="453"/>
      <c r="F1922" s="454"/>
      <c r="G1922" s="525"/>
      <c r="H1922" s="454"/>
      <c r="I1922" s="459"/>
      <c r="J1922" s="271" t="b">
        <f>Age_Sex22[[#This Row],[Total Spending After Applying Truncation at the Member Level]]+Age_Sex22[[#This Row],[Total Dollars Excluded from Spending After Applying Truncation at the Member Level]]=Age_Sex22[[#This Row],[Total Spending before Truncation is Applied]]</f>
        <v>1</v>
      </c>
    </row>
    <row r="1923" spans="1:10" x14ac:dyDescent="0.25">
      <c r="A1923" s="449"/>
      <c r="B1923" s="443"/>
      <c r="C1923" s="444"/>
      <c r="D1923" s="520"/>
      <c r="E1923" s="445"/>
      <c r="F1923" s="446"/>
      <c r="G1923" s="524"/>
      <c r="H1923" s="446"/>
      <c r="I1923" s="458"/>
      <c r="J1923" s="271" t="b">
        <f>Age_Sex22[[#This Row],[Total Spending After Applying Truncation at the Member Level]]+Age_Sex22[[#This Row],[Total Dollars Excluded from Spending After Applying Truncation at the Member Level]]=Age_Sex22[[#This Row],[Total Spending before Truncation is Applied]]</f>
        <v>1</v>
      </c>
    </row>
    <row r="1924" spans="1:10" x14ac:dyDescent="0.25">
      <c r="A1924" s="450"/>
      <c r="B1924" s="451"/>
      <c r="C1924" s="452"/>
      <c r="D1924" s="521"/>
      <c r="E1924" s="453"/>
      <c r="F1924" s="454"/>
      <c r="G1924" s="525"/>
      <c r="H1924" s="454"/>
      <c r="I1924" s="459"/>
      <c r="J1924" s="271" t="b">
        <f>Age_Sex22[[#This Row],[Total Spending After Applying Truncation at the Member Level]]+Age_Sex22[[#This Row],[Total Dollars Excluded from Spending After Applying Truncation at the Member Level]]=Age_Sex22[[#This Row],[Total Spending before Truncation is Applied]]</f>
        <v>1</v>
      </c>
    </row>
    <row r="1925" spans="1:10" x14ac:dyDescent="0.25">
      <c r="A1925" s="449"/>
      <c r="B1925" s="443"/>
      <c r="C1925" s="444"/>
      <c r="D1925" s="520"/>
      <c r="E1925" s="445"/>
      <c r="F1925" s="446"/>
      <c r="G1925" s="524"/>
      <c r="H1925" s="446"/>
      <c r="I1925" s="458"/>
      <c r="J1925" s="271" t="b">
        <f>Age_Sex22[[#This Row],[Total Spending After Applying Truncation at the Member Level]]+Age_Sex22[[#This Row],[Total Dollars Excluded from Spending After Applying Truncation at the Member Level]]=Age_Sex22[[#This Row],[Total Spending before Truncation is Applied]]</f>
        <v>1</v>
      </c>
    </row>
    <row r="1926" spans="1:10" x14ac:dyDescent="0.25">
      <c r="A1926" s="450"/>
      <c r="B1926" s="451"/>
      <c r="C1926" s="452"/>
      <c r="D1926" s="521"/>
      <c r="E1926" s="453"/>
      <c r="F1926" s="454"/>
      <c r="G1926" s="525"/>
      <c r="H1926" s="454"/>
      <c r="I1926" s="459"/>
      <c r="J1926" s="271" t="b">
        <f>Age_Sex22[[#This Row],[Total Spending After Applying Truncation at the Member Level]]+Age_Sex22[[#This Row],[Total Dollars Excluded from Spending After Applying Truncation at the Member Level]]=Age_Sex22[[#This Row],[Total Spending before Truncation is Applied]]</f>
        <v>1</v>
      </c>
    </row>
    <row r="1927" spans="1:10" x14ac:dyDescent="0.25">
      <c r="A1927" s="449"/>
      <c r="B1927" s="443"/>
      <c r="C1927" s="444"/>
      <c r="D1927" s="520"/>
      <c r="E1927" s="445"/>
      <c r="F1927" s="446"/>
      <c r="G1927" s="524"/>
      <c r="H1927" s="446"/>
      <c r="I1927" s="458"/>
      <c r="J1927" s="271" t="b">
        <f>Age_Sex22[[#This Row],[Total Spending After Applying Truncation at the Member Level]]+Age_Sex22[[#This Row],[Total Dollars Excluded from Spending After Applying Truncation at the Member Level]]=Age_Sex22[[#This Row],[Total Spending before Truncation is Applied]]</f>
        <v>1</v>
      </c>
    </row>
    <row r="1928" spans="1:10" x14ac:dyDescent="0.25">
      <c r="A1928" s="450"/>
      <c r="B1928" s="451"/>
      <c r="C1928" s="452"/>
      <c r="D1928" s="521"/>
      <c r="E1928" s="453"/>
      <c r="F1928" s="454"/>
      <c r="G1928" s="525"/>
      <c r="H1928" s="454"/>
      <c r="I1928" s="459"/>
      <c r="J1928" s="271" t="b">
        <f>Age_Sex22[[#This Row],[Total Spending After Applying Truncation at the Member Level]]+Age_Sex22[[#This Row],[Total Dollars Excluded from Spending After Applying Truncation at the Member Level]]=Age_Sex22[[#This Row],[Total Spending before Truncation is Applied]]</f>
        <v>1</v>
      </c>
    </row>
    <row r="1929" spans="1:10" x14ac:dyDescent="0.25">
      <c r="A1929" s="449"/>
      <c r="B1929" s="443"/>
      <c r="C1929" s="444"/>
      <c r="D1929" s="520"/>
      <c r="E1929" s="445"/>
      <c r="F1929" s="446"/>
      <c r="G1929" s="524"/>
      <c r="H1929" s="446"/>
      <c r="I1929" s="458"/>
      <c r="J1929" s="271" t="b">
        <f>Age_Sex22[[#This Row],[Total Spending After Applying Truncation at the Member Level]]+Age_Sex22[[#This Row],[Total Dollars Excluded from Spending After Applying Truncation at the Member Level]]=Age_Sex22[[#This Row],[Total Spending before Truncation is Applied]]</f>
        <v>1</v>
      </c>
    </row>
    <row r="1930" spans="1:10" x14ac:dyDescent="0.25">
      <c r="A1930" s="450"/>
      <c r="B1930" s="451"/>
      <c r="C1930" s="452"/>
      <c r="D1930" s="521"/>
      <c r="E1930" s="453"/>
      <c r="F1930" s="454"/>
      <c r="G1930" s="525"/>
      <c r="H1930" s="454"/>
      <c r="I1930" s="459"/>
      <c r="J1930" s="271" t="b">
        <f>Age_Sex22[[#This Row],[Total Spending After Applying Truncation at the Member Level]]+Age_Sex22[[#This Row],[Total Dollars Excluded from Spending After Applying Truncation at the Member Level]]=Age_Sex22[[#This Row],[Total Spending before Truncation is Applied]]</f>
        <v>1</v>
      </c>
    </row>
    <row r="1931" spans="1:10" x14ac:dyDescent="0.25">
      <c r="A1931" s="449"/>
      <c r="B1931" s="443"/>
      <c r="C1931" s="444"/>
      <c r="D1931" s="520"/>
      <c r="E1931" s="445"/>
      <c r="F1931" s="446"/>
      <c r="G1931" s="524"/>
      <c r="H1931" s="446"/>
      <c r="I1931" s="458"/>
      <c r="J1931" s="271" t="b">
        <f>Age_Sex22[[#This Row],[Total Spending After Applying Truncation at the Member Level]]+Age_Sex22[[#This Row],[Total Dollars Excluded from Spending After Applying Truncation at the Member Level]]=Age_Sex22[[#This Row],[Total Spending before Truncation is Applied]]</f>
        <v>1</v>
      </c>
    </row>
    <row r="1932" spans="1:10" x14ac:dyDescent="0.25">
      <c r="A1932" s="450"/>
      <c r="B1932" s="451"/>
      <c r="C1932" s="452"/>
      <c r="D1932" s="521"/>
      <c r="E1932" s="453"/>
      <c r="F1932" s="454"/>
      <c r="G1932" s="525"/>
      <c r="H1932" s="454"/>
      <c r="I1932" s="459"/>
      <c r="J1932" s="271" t="b">
        <f>Age_Sex22[[#This Row],[Total Spending After Applying Truncation at the Member Level]]+Age_Sex22[[#This Row],[Total Dollars Excluded from Spending After Applying Truncation at the Member Level]]=Age_Sex22[[#This Row],[Total Spending before Truncation is Applied]]</f>
        <v>1</v>
      </c>
    </row>
    <row r="1933" spans="1:10" x14ac:dyDescent="0.25">
      <c r="A1933" s="449"/>
      <c r="B1933" s="443"/>
      <c r="C1933" s="444"/>
      <c r="D1933" s="520"/>
      <c r="E1933" s="445"/>
      <c r="F1933" s="446"/>
      <c r="G1933" s="524"/>
      <c r="H1933" s="446"/>
      <c r="I1933" s="458"/>
      <c r="J1933" s="271" t="b">
        <f>Age_Sex22[[#This Row],[Total Spending After Applying Truncation at the Member Level]]+Age_Sex22[[#This Row],[Total Dollars Excluded from Spending After Applying Truncation at the Member Level]]=Age_Sex22[[#This Row],[Total Spending before Truncation is Applied]]</f>
        <v>1</v>
      </c>
    </row>
    <row r="1934" spans="1:10" x14ac:dyDescent="0.25">
      <c r="A1934" s="450"/>
      <c r="B1934" s="451"/>
      <c r="C1934" s="452"/>
      <c r="D1934" s="521"/>
      <c r="E1934" s="453"/>
      <c r="F1934" s="454"/>
      <c r="G1934" s="525"/>
      <c r="H1934" s="454"/>
      <c r="I1934" s="459"/>
      <c r="J1934" s="271" t="b">
        <f>Age_Sex22[[#This Row],[Total Spending After Applying Truncation at the Member Level]]+Age_Sex22[[#This Row],[Total Dollars Excluded from Spending After Applying Truncation at the Member Level]]=Age_Sex22[[#This Row],[Total Spending before Truncation is Applied]]</f>
        <v>1</v>
      </c>
    </row>
    <row r="1935" spans="1:10" x14ac:dyDescent="0.25">
      <c r="A1935" s="449"/>
      <c r="B1935" s="443"/>
      <c r="C1935" s="444"/>
      <c r="D1935" s="520"/>
      <c r="E1935" s="445"/>
      <c r="F1935" s="446"/>
      <c r="G1935" s="524"/>
      <c r="H1935" s="446"/>
      <c r="I1935" s="458"/>
      <c r="J1935" s="271" t="b">
        <f>Age_Sex22[[#This Row],[Total Spending After Applying Truncation at the Member Level]]+Age_Sex22[[#This Row],[Total Dollars Excluded from Spending After Applying Truncation at the Member Level]]=Age_Sex22[[#This Row],[Total Spending before Truncation is Applied]]</f>
        <v>1</v>
      </c>
    </row>
    <row r="1936" spans="1:10" x14ac:dyDescent="0.25">
      <c r="A1936" s="450"/>
      <c r="B1936" s="451"/>
      <c r="C1936" s="452"/>
      <c r="D1936" s="521"/>
      <c r="E1936" s="453"/>
      <c r="F1936" s="454"/>
      <c r="G1936" s="525"/>
      <c r="H1936" s="454"/>
      <c r="I1936" s="459"/>
      <c r="J1936" s="271" t="b">
        <f>Age_Sex22[[#This Row],[Total Spending After Applying Truncation at the Member Level]]+Age_Sex22[[#This Row],[Total Dollars Excluded from Spending After Applying Truncation at the Member Level]]=Age_Sex22[[#This Row],[Total Spending before Truncation is Applied]]</f>
        <v>1</v>
      </c>
    </row>
    <row r="1937" spans="1:10" x14ac:dyDescent="0.25">
      <c r="A1937" s="449"/>
      <c r="B1937" s="443"/>
      <c r="C1937" s="444"/>
      <c r="D1937" s="520"/>
      <c r="E1937" s="445"/>
      <c r="F1937" s="446"/>
      <c r="G1937" s="524"/>
      <c r="H1937" s="446"/>
      <c r="I1937" s="458"/>
      <c r="J1937" s="271" t="b">
        <f>Age_Sex22[[#This Row],[Total Spending After Applying Truncation at the Member Level]]+Age_Sex22[[#This Row],[Total Dollars Excluded from Spending After Applying Truncation at the Member Level]]=Age_Sex22[[#This Row],[Total Spending before Truncation is Applied]]</f>
        <v>1</v>
      </c>
    </row>
    <row r="1938" spans="1:10" x14ac:dyDescent="0.25">
      <c r="A1938" s="450"/>
      <c r="B1938" s="451"/>
      <c r="C1938" s="452"/>
      <c r="D1938" s="521"/>
      <c r="E1938" s="453"/>
      <c r="F1938" s="454"/>
      <c r="G1938" s="525"/>
      <c r="H1938" s="454"/>
      <c r="I1938" s="459"/>
      <c r="J1938" s="271" t="b">
        <f>Age_Sex22[[#This Row],[Total Spending After Applying Truncation at the Member Level]]+Age_Sex22[[#This Row],[Total Dollars Excluded from Spending After Applying Truncation at the Member Level]]=Age_Sex22[[#This Row],[Total Spending before Truncation is Applied]]</f>
        <v>1</v>
      </c>
    </row>
    <row r="1939" spans="1:10" x14ac:dyDescent="0.25">
      <c r="A1939" s="449"/>
      <c r="B1939" s="443"/>
      <c r="C1939" s="444"/>
      <c r="D1939" s="520"/>
      <c r="E1939" s="445"/>
      <c r="F1939" s="446"/>
      <c r="G1939" s="524"/>
      <c r="H1939" s="446"/>
      <c r="I1939" s="458"/>
      <c r="J1939" s="271" t="b">
        <f>Age_Sex22[[#This Row],[Total Spending After Applying Truncation at the Member Level]]+Age_Sex22[[#This Row],[Total Dollars Excluded from Spending After Applying Truncation at the Member Level]]=Age_Sex22[[#This Row],[Total Spending before Truncation is Applied]]</f>
        <v>1</v>
      </c>
    </row>
    <row r="1940" spans="1:10" x14ac:dyDescent="0.25">
      <c r="A1940" s="450"/>
      <c r="B1940" s="451"/>
      <c r="C1940" s="452"/>
      <c r="D1940" s="521"/>
      <c r="E1940" s="453"/>
      <c r="F1940" s="454"/>
      <c r="G1940" s="525"/>
      <c r="H1940" s="454"/>
      <c r="I1940" s="459"/>
      <c r="J1940" s="271" t="b">
        <f>Age_Sex22[[#This Row],[Total Spending After Applying Truncation at the Member Level]]+Age_Sex22[[#This Row],[Total Dollars Excluded from Spending After Applying Truncation at the Member Level]]=Age_Sex22[[#This Row],[Total Spending before Truncation is Applied]]</f>
        <v>1</v>
      </c>
    </row>
    <row r="1941" spans="1:10" x14ac:dyDescent="0.25">
      <c r="A1941" s="449"/>
      <c r="B1941" s="443"/>
      <c r="C1941" s="444"/>
      <c r="D1941" s="520"/>
      <c r="E1941" s="445"/>
      <c r="F1941" s="446"/>
      <c r="G1941" s="524"/>
      <c r="H1941" s="446"/>
      <c r="I1941" s="458"/>
      <c r="J1941" s="271" t="b">
        <f>Age_Sex22[[#This Row],[Total Spending After Applying Truncation at the Member Level]]+Age_Sex22[[#This Row],[Total Dollars Excluded from Spending After Applying Truncation at the Member Level]]=Age_Sex22[[#This Row],[Total Spending before Truncation is Applied]]</f>
        <v>1</v>
      </c>
    </row>
    <row r="1942" spans="1:10" x14ac:dyDescent="0.25">
      <c r="A1942" s="450"/>
      <c r="B1942" s="451"/>
      <c r="C1942" s="452"/>
      <c r="D1942" s="521"/>
      <c r="E1942" s="453"/>
      <c r="F1942" s="454"/>
      <c r="G1942" s="525"/>
      <c r="H1942" s="454"/>
      <c r="I1942" s="459"/>
      <c r="J1942" s="271" t="b">
        <f>Age_Sex22[[#This Row],[Total Spending After Applying Truncation at the Member Level]]+Age_Sex22[[#This Row],[Total Dollars Excluded from Spending After Applying Truncation at the Member Level]]=Age_Sex22[[#This Row],[Total Spending before Truncation is Applied]]</f>
        <v>1</v>
      </c>
    </row>
    <row r="1943" spans="1:10" x14ac:dyDescent="0.25">
      <c r="A1943" s="449"/>
      <c r="B1943" s="443"/>
      <c r="C1943" s="444"/>
      <c r="D1943" s="520"/>
      <c r="E1943" s="445"/>
      <c r="F1943" s="446"/>
      <c r="G1943" s="524"/>
      <c r="H1943" s="446"/>
      <c r="I1943" s="458"/>
      <c r="J1943" s="271" t="b">
        <f>Age_Sex22[[#This Row],[Total Spending After Applying Truncation at the Member Level]]+Age_Sex22[[#This Row],[Total Dollars Excluded from Spending After Applying Truncation at the Member Level]]=Age_Sex22[[#This Row],[Total Spending before Truncation is Applied]]</f>
        <v>1</v>
      </c>
    </row>
    <row r="1944" spans="1:10" x14ac:dyDescent="0.25">
      <c r="A1944" s="450"/>
      <c r="B1944" s="451"/>
      <c r="C1944" s="452"/>
      <c r="D1944" s="521"/>
      <c r="E1944" s="453"/>
      <c r="F1944" s="454"/>
      <c r="G1944" s="525"/>
      <c r="H1944" s="454"/>
      <c r="I1944" s="459"/>
      <c r="J1944" s="271" t="b">
        <f>Age_Sex22[[#This Row],[Total Spending After Applying Truncation at the Member Level]]+Age_Sex22[[#This Row],[Total Dollars Excluded from Spending After Applying Truncation at the Member Level]]=Age_Sex22[[#This Row],[Total Spending before Truncation is Applied]]</f>
        <v>1</v>
      </c>
    </row>
    <row r="1945" spans="1:10" x14ac:dyDescent="0.25">
      <c r="A1945" s="449"/>
      <c r="B1945" s="443"/>
      <c r="C1945" s="444"/>
      <c r="D1945" s="520"/>
      <c r="E1945" s="445"/>
      <c r="F1945" s="446"/>
      <c r="G1945" s="524"/>
      <c r="H1945" s="446"/>
      <c r="I1945" s="458"/>
      <c r="J1945" s="271" t="b">
        <f>Age_Sex22[[#This Row],[Total Spending After Applying Truncation at the Member Level]]+Age_Sex22[[#This Row],[Total Dollars Excluded from Spending After Applying Truncation at the Member Level]]=Age_Sex22[[#This Row],[Total Spending before Truncation is Applied]]</f>
        <v>1</v>
      </c>
    </row>
    <row r="1946" spans="1:10" x14ac:dyDescent="0.25">
      <c r="A1946" s="450"/>
      <c r="B1946" s="451"/>
      <c r="C1946" s="452"/>
      <c r="D1946" s="521"/>
      <c r="E1946" s="453"/>
      <c r="F1946" s="454"/>
      <c r="G1946" s="525"/>
      <c r="H1946" s="454"/>
      <c r="I1946" s="459"/>
      <c r="J1946" s="271" t="b">
        <f>Age_Sex22[[#This Row],[Total Spending After Applying Truncation at the Member Level]]+Age_Sex22[[#This Row],[Total Dollars Excluded from Spending After Applying Truncation at the Member Level]]=Age_Sex22[[#This Row],[Total Spending before Truncation is Applied]]</f>
        <v>1</v>
      </c>
    </row>
    <row r="1947" spans="1:10" x14ac:dyDescent="0.25">
      <c r="A1947" s="449"/>
      <c r="B1947" s="443"/>
      <c r="C1947" s="444"/>
      <c r="D1947" s="520"/>
      <c r="E1947" s="445"/>
      <c r="F1947" s="446"/>
      <c r="G1947" s="524"/>
      <c r="H1947" s="446"/>
      <c r="I1947" s="458"/>
      <c r="J1947" s="271" t="b">
        <f>Age_Sex22[[#This Row],[Total Spending After Applying Truncation at the Member Level]]+Age_Sex22[[#This Row],[Total Dollars Excluded from Spending After Applying Truncation at the Member Level]]=Age_Sex22[[#This Row],[Total Spending before Truncation is Applied]]</f>
        <v>1</v>
      </c>
    </row>
    <row r="1948" spans="1:10" x14ac:dyDescent="0.25">
      <c r="A1948" s="450"/>
      <c r="B1948" s="451"/>
      <c r="C1948" s="452"/>
      <c r="D1948" s="521"/>
      <c r="E1948" s="453"/>
      <c r="F1948" s="454"/>
      <c r="G1948" s="525"/>
      <c r="H1948" s="454"/>
      <c r="I1948" s="459"/>
      <c r="J1948" s="271" t="b">
        <f>Age_Sex22[[#This Row],[Total Spending After Applying Truncation at the Member Level]]+Age_Sex22[[#This Row],[Total Dollars Excluded from Spending After Applying Truncation at the Member Level]]=Age_Sex22[[#This Row],[Total Spending before Truncation is Applied]]</f>
        <v>1</v>
      </c>
    </row>
    <row r="1949" spans="1:10" x14ac:dyDescent="0.25">
      <c r="A1949" s="449"/>
      <c r="B1949" s="443"/>
      <c r="C1949" s="444"/>
      <c r="D1949" s="520"/>
      <c r="E1949" s="445"/>
      <c r="F1949" s="446"/>
      <c r="G1949" s="524"/>
      <c r="H1949" s="446"/>
      <c r="I1949" s="458"/>
      <c r="J1949" s="271" t="b">
        <f>Age_Sex22[[#This Row],[Total Spending After Applying Truncation at the Member Level]]+Age_Sex22[[#This Row],[Total Dollars Excluded from Spending After Applying Truncation at the Member Level]]=Age_Sex22[[#This Row],[Total Spending before Truncation is Applied]]</f>
        <v>1</v>
      </c>
    </row>
    <row r="1950" spans="1:10" x14ac:dyDescent="0.25">
      <c r="A1950" s="450"/>
      <c r="B1950" s="451"/>
      <c r="C1950" s="452"/>
      <c r="D1950" s="521"/>
      <c r="E1950" s="453"/>
      <c r="F1950" s="454"/>
      <c r="G1950" s="525"/>
      <c r="H1950" s="454"/>
      <c r="I1950" s="459"/>
      <c r="J1950" s="271" t="b">
        <f>Age_Sex22[[#This Row],[Total Spending After Applying Truncation at the Member Level]]+Age_Sex22[[#This Row],[Total Dollars Excluded from Spending After Applying Truncation at the Member Level]]=Age_Sex22[[#This Row],[Total Spending before Truncation is Applied]]</f>
        <v>1</v>
      </c>
    </row>
    <row r="1951" spans="1:10" x14ac:dyDescent="0.25">
      <c r="A1951" s="449"/>
      <c r="B1951" s="443"/>
      <c r="C1951" s="444"/>
      <c r="D1951" s="520"/>
      <c r="E1951" s="445"/>
      <c r="F1951" s="446"/>
      <c r="G1951" s="524"/>
      <c r="H1951" s="446"/>
      <c r="I1951" s="458"/>
      <c r="J1951" s="271" t="b">
        <f>Age_Sex22[[#This Row],[Total Spending After Applying Truncation at the Member Level]]+Age_Sex22[[#This Row],[Total Dollars Excluded from Spending After Applying Truncation at the Member Level]]=Age_Sex22[[#This Row],[Total Spending before Truncation is Applied]]</f>
        <v>1</v>
      </c>
    </row>
    <row r="1952" spans="1:10" x14ac:dyDescent="0.25">
      <c r="A1952" s="450"/>
      <c r="B1952" s="451"/>
      <c r="C1952" s="452"/>
      <c r="D1952" s="521"/>
      <c r="E1952" s="453"/>
      <c r="F1952" s="454"/>
      <c r="G1952" s="525"/>
      <c r="H1952" s="454"/>
      <c r="I1952" s="459"/>
      <c r="J1952" s="271" t="b">
        <f>Age_Sex22[[#This Row],[Total Spending After Applying Truncation at the Member Level]]+Age_Sex22[[#This Row],[Total Dollars Excluded from Spending After Applying Truncation at the Member Level]]=Age_Sex22[[#This Row],[Total Spending before Truncation is Applied]]</f>
        <v>1</v>
      </c>
    </row>
    <row r="1953" spans="1:10" x14ac:dyDescent="0.25">
      <c r="A1953" s="449"/>
      <c r="B1953" s="443"/>
      <c r="C1953" s="444"/>
      <c r="D1953" s="520"/>
      <c r="E1953" s="445"/>
      <c r="F1953" s="446"/>
      <c r="G1953" s="524"/>
      <c r="H1953" s="446"/>
      <c r="I1953" s="458"/>
      <c r="J1953" s="271" t="b">
        <f>Age_Sex22[[#This Row],[Total Spending After Applying Truncation at the Member Level]]+Age_Sex22[[#This Row],[Total Dollars Excluded from Spending After Applying Truncation at the Member Level]]=Age_Sex22[[#This Row],[Total Spending before Truncation is Applied]]</f>
        <v>1</v>
      </c>
    </row>
    <row r="1954" spans="1:10" x14ac:dyDescent="0.25">
      <c r="A1954" s="450"/>
      <c r="B1954" s="451"/>
      <c r="C1954" s="452"/>
      <c r="D1954" s="521"/>
      <c r="E1954" s="453"/>
      <c r="F1954" s="454"/>
      <c r="G1954" s="525"/>
      <c r="H1954" s="454"/>
      <c r="I1954" s="459"/>
      <c r="J1954" s="271" t="b">
        <f>Age_Sex22[[#This Row],[Total Spending After Applying Truncation at the Member Level]]+Age_Sex22[[#This Row],[Total Dollars Excluded from Spending After Applying Truncation at the Member Level]]=Age_Sex22[[#This Row],[Total Spending before Truncation is Applied]]</f>
        <v>1</v>
      </c>
    </row>
    <row r="1955" spans="1:10" x14ac:dyDescent="0.25">
      <c r="A1955" s="449"/>
      <c r="B1955" s="443"/>
      <c r="C1955" s="444"/>
      <c r="D1955" s="520"/>
      <c r="E1955" s="445"/>
      <c r="F1955" s="446"/>
      <c r="G1955" s="524"/>
      <c r="H1955" s="446"/>
      <c r="I1955" s="458"/>
      <c r="J1955" s="271" t="b">
        <f>Age_Sex22[[#This Row],[Total Spending After Applying Truncation at the Member Level]]+Age_Sex22[[#This Row],[Total Dollars Excluded from Spending After Applying Truncation at the Member Level]]=Age_Sex22[[#This Row],[Total Spending before Truncation is Applied]]</f>
        <v>1</v>
      </c>
    </row>
    <row r="1956" spans="1:10" x14ac:dyDescent="0.25">
      <c r="A1956" s="450"/>
      <c r="B1956" s="451"/>
      <c r="C1956" s="452"/>
      <c r="D1956" s="521"/>
      <c r="E1956" s="453"/>
      <c r="F1956" s="454"/>
      <c r="G1956" s="525"/>
      <c r="H1956" s="454"/>
      <c r="I1956" s="459"/>
      <c r="J1956" s="271" t="b">
        <f>Age_Sex22[[#This Row],[Total Spending After Applying Truncation at the Member Level]]+Age_Sex22[[#This Row],[Total Dollars Excluded from Spending After Applying Truncation at the Member Level]]=Age_Sex22[[#This Row],[Total Spending before Truncation is Applied]]</f>
        <v>1</v>
      </c>
    </row>
    <row r="1957" spans="1:10" x14ac:dyDescent="0.25">
      <c r="A1957" s="449"/>
      <c r="B1957" s="443"/>
      <c r="C1957" s="444"/>
      <c r="D1957" s="520"/>
      <c r="E1957" s="445"/>
      <c r="F1957" s="446"/>
      <c r="G1957" s="524"/>
      <c r="H1957" s="446"/>
      <c r="I1957" s="458"/>
      <c r="J1957" s="271" t="b">
        <f>Age_Sex22[[#This Row],[Total Spending After Applying Truncation at the Member Level]]+Age_Sex22[[#This Row],[Total Dollars Excluded from Spending After Applying Truncation at the Member Level]]=Age_Sex22[[#This Row],[Total Spending before Truncation is Applied]]</f>
        <v>1</v>
      </c>
    </row>
    <row r="1958" spans="1:10" x14ac:dyDescent="0.25">
      <c r="A1958" s="450"/>
      <c r="B1958" s="451"/>
      <c r="C1958" s="452"/>
      <c r="D1958" s="521"/>
      <c r="E1958" s="453"/>
      <c r="F1958" s="454"/>
      <c r="G1958" s="525"/>
      <c r="H1958" s="454"/>
      <c r="I1958" s="459"/>
      <c r="J1958" s="271" t="b">
        <f>Age_Sex22[[#This Row],[Total Spending After Applying Truncation at the Member Level]]+Age_Sex22[[#This Row],[Total Dollars Excluded from Spending After Applying Truncation at the Member Level]]=Age_Sex22[[#This Row],[Total Spending before Truncation is Applied]]</f>
        <v>1</v>
      </c>
    </row>
    <row r="1959" spans="1:10" x14ac:dyDescent="0.25">
      <c r="A1959" s="449"/>
      <c r="B1959" s="443"/>
      <c r="C1959" s="444"/>
      <c r="D1959" s="520"/>
      <c r="E1959" s="445"/>
      <c r="F1959" s="446"/>
      <c r="G1959" s="524"/>
      <c r="H1959" s="446"/>
      <c r="I1959" s="458"/>
      <c r="J1959" s="271" t="b">
        <f>Age_Sex22[[#This Row],[Total Spending After Applying Truncation at the Member Level]]+Age_Sex22[[#This Row],[Total Dollars Excluded from Spending After Applying Truncation at the Member Level]]=Age_Sex22[[#This Row],[Total Spending before Truncation is Applied]]</f>
        <v>1</v>
      </c>
    </row>
    <row r="1960" spans="1:10" x14ac:dyDescent="0.25">
      <c r="A1960" s="450"/>
      <c r="B1960" s="451"/>
      <c r="C1960" s="452"/>
      <c r="D1960" s="521"/>
      <c r="E1960" s="453"/>
      <c r="F1960" s="454"/>
      <c r="G1960" s="525"/>
      <c r="H1960" s="454"/>
      <c r="I1960" s="459"/>
      <c r="J1960" s="271" t="b">
        <f>Age_Sex22[[#This Row],[Total Spending After Applying Truncation at the Member Level]]+Age_Sex22[[#This Row],[Total Dollars Excluded from Spending After Applying Truncation at the Member Level]]=Age_Sex22[[#This Row],[Total Spending before Truncation is Applied]]</f>
        <v>1</v>
      </c>
    </row>
    <row r="1961" spans="1:10" x14ac:dyDescent="0.25">
      <c r="A1961" s="449"/>
      <c r="B1961" s="443"/>
      <c r="C1961" s="444"/>
      <c r="D1961" s="520"/>
      <c r="E1961" s="445"/>
      <c r="F1961" s="446"/>
      <c r="G1961" s="524"/>
      <c r="H1961" s="446"/>
      <c r="I1961" s="458"/>
      <c r="J1961" s="271" t="b">
        <f>Age_Sex22[[#This Row],[Total Spending After Applying Truncation at the Member Level]]+Age_Sex22[[#This Row],[Total Dollars Excluded from Spending After Applying Truncation at the Member Level]]=Age_Sex22[[#This Row],[Total Spending before Truncation is Applied]]</f>
        <v>1</v>
      </c>
    </row>
    <row r="1962" spans="1:10" x14ac:dyDescent="0.25">
      <c r="A1962" s="450"/>
      <c r="B1962" s="451"/>
      <c r="C1962" s="452"/>
      <c r="D1962" s="521"/>
      <c r="E1962" s="453"/>
      <c r="F1962" s="454"/>
      <c r="G1962" s="525"/>
      <c r="H1962" s="454"/>
      <c r="I1962" s="459"/>
      <c r="J1962" s="271" t="b">
        <f>Age_Sex22[[#This Row],[Total Spending After Applying Truncation at the Member Level]]+Age_Sex22[[#This Row],[Total Dollars Excluded from Spending After Applying Truncation at the Member Level]]=Age_Sex22[[#This Row],[Total Spending before Truncation is Applied]]</f>
        <v>1</v>
      </c>
    </row>
    <row r="1963" spans="1:10" x14ac:dyDescent="0.25">
      <c r="A1963" s="449"/>
      <c r="B1963" s="443"/>
      <c r="C1963" s="444"/>
      <c r="D1963" s="520"/>
      <c r="E1963" s="445"/>
      <c r="F1963" s="446"/>
      <c r="G1963" s="524"/>
      <c r="H1963" s="446"/>
      <c r="I1963" s="458"/>
      <c r="J1963" s="271" t="b">
        <f>Age_Sex22[[#This Row],[Total Spending After Applying Truncation at the Member Level]]+Age_Sex22[[#This Row],[Total Dollars Excluded from Spending After Applying Truncation at the Member Level]]=Age_Sex22[[#This Row],[Total Spending before Truncation is Applied]]</f>
        <v>1</v>
      </c>
    </row>
    <row r="1964" spans="1:10" x14ac:dyDescent="0.25">
      <c r="A1964" s="450"/>
      <c r="B1964" s="451"/>
      <c r="C1964" s="452"/>
      <c r="D1964" s="521"/>
      <c r="E1964" s="453"/>
      <c r="F1964" s="454"/>
      <c r="G1964" s="525"/>
      <c r="H1964" s="454"/>
      <c r="I1964" s="459"/>
      <c r="J1964" s="271" t="b">
        <f>Age_Sex22[[#This Row],[Total Spending After Applying Truncation at the Member Level]]+Age_Sex22[[#This Row],[Total Dollars Excluded from Spending After Applying Truncation at the Member Level]]=Age_Sex22[[#This Row],[Total Spending before Truncation is Applied]]</f>
        <v>1</v>
      </c>
    </row>
    <row r="1965" spans="1:10" x14ac:dyDescent="0.25">
      <c r="A1965" s="449"/>
      <c r="B1965" s="443"/>
      <c r="C1965" s="444"/>
      <c r="D1965" s="520"/>
      <c r="E1965" s="445"/>
      <c r="F1965" s="446"/>
      <c r="G1965" s="524"/>
      <c r="H1965" s="446"/>
      <c r="I1965" s="458"/>
      <c r="J1965" s="271" t="b">
        <f>Age_Sex22[[#This Row],[Total Spending After Applying Truncation at the Member Level]]+Age_Sex22[[#This Row],[Total Dollars Excluded from Spending After Applying Truncation at the Member Level]]=Age_Sex22[[#This Row],[Total Spending before Truncation is Applied]]</f>
        <v>1</v>
      </c>
    </row>
    <row r="1966" spans="1:10" x14ac:dyDescent="0.25">
      <c r="A1966" s="450"/>
      <c r="B1966" s="451"/>
      <c r="C1966" s="452"/>
      <c r="D1966" s="521"/>
      <c r="E1966" s="453"/>
      <c r="F1966" s="454"/>
      <c r="G1966" s="525"/>
      <c r="H1966" s="454"/>
      <c r="I1966" s="459"/>
      <c r="J1966" s="271" t="b">
        <f>Age_Sex22[[#This Row],[Total Spending After Applying Truncation at the Member Level]]+Age_Sex22[[#This Row],[Total Dollars Excluded from Spending After Applying Truncation at the Member Level]]=Age_Sex22[[#This Row],[Total Spending before Truncation is Applied]]</f>
        <v>1</v>
      </c>
    </row>
    <row r="1967" spans="1:10" x14ac:dyDescent="0.25">
      <c r="A1967" s="449"/>
      <c r="B1967" s="443"/>
      <c r="C1967" s="444"/>
      <c r="D1967" s="520"/>
      <c r="E1967" s="445"/>
      <c r="F1967" s="446"/>
      <c r="G1967" s="524"/>
      <c r="H1967" s="446"/>
      <c r="I1967" s="458"/>
      <c r="J1967" s="271" t="b">
        <f>Age_Sex22[[#This Row],[Total Spending After Applying Truncation at the Member Level]]+Age_Sex22[[#This Row],[Total Dollars Excluded from Spending After Applying Truncation at the Member Level]]=Age_Sex22[[#This Row],[Total Spending before Truncation is Applied]]</f>
        <v>1</v>
      </c>
    </row>
    <row r="1968" spans="1:10" x14ac:dyDescent="0.25">
      <c r="A1968" s="450"/>
      <c r="B1968" s="451"/>
      <c r="C1968" s="452"/>
      <c r="D1968" s="521"/>
      <c r="E1968" s="453"/>
      <c r="F1968" s="454"/>
      <c r="G1968" s="525"/>
      <c r="H1968" s="454"/>
      <c r="I1968" s="459"/>
      <c r="J1968" s="271" t="b">
        <f>Age_Sex22[[#This Row],[Total Spending After Applying Truncation at the Member Level]]+Age_Sex22[[#This Row],[Total Dollars Excluded from Spending After Applying Truncation at the Member Level]]=Age_Sex22[[#This Row],[Total Spending before Truncation is Applied]]</f>
        <v>1</v>
      </c>
    </row>
    <row r="1969" spans="1:10" x14ac:dyDescent="0.25">
      <c r="A1969" s="449"/>
      <c r="B1969" s="443"/>
      <c r="C1969" s="444"/>
      <c r="D1969" s="520"/>
      <c r="E1969" s="445"/>
      <c r="F1969" s="446"/>
      <c r="G1969" s="524"/>
      <c r="H1969" s="446"/>
      <c r="I1969" s="458"/>
      <c r="J1969" s="271" t="b">
        <f>Age_Sex22[[#This Row],[Total Spending After Applying Truncation at the Member Level]]+Age_Sex22[[#This Row],[Total Dollars Excluded from Spending After Applying Truncation at the Member Level]]=Age_Sex22[[#This Row],[Total Spending before Truncation is Applied]]</f>
        <v>1</v>
      </c>
    </row>
    <row r="1970" spans="1:10" x14ac:dyDescent="0.25">
      <c r="A1970" s="450"/>
      <c r="B1970" s="451"/>
      <c r="C1970" s="452"/>
      <c r="D1970" s="521"/>
      <c r="E1970" s="453"/>
      <c r="F1970" s="454"/>
      <c r="G1970" s="525"/>
      <c r="H1970" s="454"/>
      <c r="I1970" s="459"/>
      <c r="J1970" s="271" t="b">
        <f>Age_Sex22[[#This Row],[Total Spending After Applying Truncation at the Member Level]]+Age_Sex22[[#This Row],[Total Dollars Excluded from Spending After Applying Truncation at the Member Level]]=Age_Sex22[[#This Row],[Total Spending before Truncation is Applied]]</f>
        <v>1</v>
      </c>
    </row>
    <row r="1971" spans="1:10" x14ac:dyDescent="0.25">
      <c r="A1971" s="449"/>
      <c r="B1971" s="443"/>
      <c r="C1971" s="444"/>
      <c r="D1971" s="520"/>
      <c r="E1971" s="445"/>
      <c r="F1971" s="446"/>
      <c r="G1971" s="524"/>
      <c r="H1971" s="446"/>
      <c r="I1971" s="458"/>
      <c r="J1971" s="271" t="b">
        <f>Age_Sex22[[#This Row],[Total Spending After Applying Truncation at the Member Level]]+Age_Sex22[[#This Row],[Total Dollars Excluded from Spending After Applying Truncation at the Member Level]]=Age_Sex22[[#This Row],[Total Spending before Truncation is Applied]]</f>
        <v>1</v>
      </c>
    </row>
    <row r="1972" spans="1:10" x14ac:dyDescent="0.25">
      <c r="A1972" s="450"/>
      <c r="B1972" s="451"/>
      <c r="C1972" s="452"/>
      <c r="D1972" s="521"/>
      <c r="E1972" s="453"/>
      <c r="F1972" s="454"/>
      <c r="G1972" s="525"/>
      <c r="H1972" s="454"/>
      <c r="I1972" s="459"/>
      <c r="J1972" s="271" t="b">
        <f>Age_Sex22[[#This Row],[Total Spending After Applying Truncation at the Member Level]]+Age_Sex22[[#This Row],[Total Dollars Excluded from Spending After Applying Truncation at the Member Level]]=Age_Sex22[[#This Row],[Total Spending before Truncation is Applied]]</f>
        <v>1</v>
      </c>
    </row>
    <row r="1973" spans="1:10" x14ac:dyDescent="0.25">
      <c r="A1973" s="449"/>
      <c r="B1973" s="443"/>
      <c r="C1973" s="444"/>
      <c r="D1973" s="520"/>
      <c r="E1973" s="445"/>
      <c r="F1973" s="446"/>
      <c r="G1973" s="524"/>
      <c r="H1973" s="446"/>
      <c r="I1973" s="458"/>
      <c r="J1973" s="271" t="b">
        <f>Age_Sex22[[#This Row],[Total Spending After Applying Truncation at the Member Level]]+Age_Sex22[[#This Row],[Total Dollars Excluded from Spending After Applying Truncation at the Member Level]]=Age_Sex22[[#This Row],[Total Spending before Truncation is Applied]]</f>
        <v>1</v>
      </c>
    </row>
    <row r="1974" spans="1:10" x14ac:dyDescent="0.25">
      <c r="A1974" s="450"/>
      <c r="B1974" s="451"/>
      <c r="C1974" s="452"/>
      <c r="D1974" s="521"/>
      <c r="E1974" s="453"/>
      <c r="F1974" s="454"/>
      <c r="G1974" s="525"/>
      <c r="H1974" s="454"/>
      <c r="I1974" s="459"/>
      <c r="J1974" s="271" t="b">
        <f>Age_Sex22[[#This Row],[Total Spending After Applying Truncation at the Member Level]]+Age_Sex22[[#This Row],[Total Dollars Excluded from Spending After Applying Truncation at the Member Level]]=Age_Sex22[[#This Row],[Total Spending before Truncation is Applied]]</f>
        <v>1</v>
      </c>
    </row>
    <row r="1975" spans="1:10" x14ac:dyDescent="0.25">
      <c r="A1975" s="449"/>
      <c r="B1975" s="443"/>
      <c r="C1975" s="444"/>
      <c r="D1975" s="520"/>
      <c r="E1975" s="445"/>
      <c r="F1975" s="446"/>
      <c r="G1975" s="524"/>
      <c r="H1975" s="446"/>
      <c r="I1975" s="458"/>
      <c r="J1975" s="271" t="b">
        <f>Age_Sex22[[#This Row],[Total Spending After Applying Truncation at the Member Level]]+Age_Sex22[[#This Row],[Total Dollars Excluded from Spending After Applying Truncation at the Member Level]]=Age_Sex22[[#This Row],[Total Spending before Truncation is Applied]]</f>
        <v>1</v>
      </c>
    </row>
    <row r="1976" spans="1:10" x14ac:dyDescent="0.25">
      <c r="A1976" s="450"/>
      <c r="B1976" s="451"/>
      <c r="C1976" s="452"/>
      <c r="D1976" s="521"/>
      <c r="E1976" s="453"/>
      <c r="F1976" s="454"/>
      <c r="G1976" s="525"/>
      <c r="H1976" s="454"/>
      <c r="I1976" s="459"/>
      <c r="J1976" s="271" t="b">
        <f>Age_Sex22[[#This Row],[Total Spending After Applying Truncation at the Member Level]]+Age_Sex22[[#This Row],[Total Dollars Excluded from Spending After Applying Truncation at the Member Level]]=Age_Sex22[[#This Row],[Total Spending before Truncation is Applied]]</f>
        <v>1</v>
      </c>
    </row>
    <row r="1977" spans="1:10" x14ac:dyDescent="0.25">
      <c r="A1977" s="449"/>
      <c r="B1977" s="443"/>
      <c r="C1977" s="444"/>
      <c r="D1977" s="520"/>
      <c r="E1977" s="445"/>
      <c r="F1977" s="446"/>
      <c r="G1977" s="524"/>
      <c r="H1977" s="446"/>
      <c r="I1977" s="458"/>
      <c r="J1977" s="271" t="b">
        <f>Age_Sex22[[#This Row],[Total Spending After Applying Truncation at the Member Level]]+Age_Sex22[[#This Row],[Total Dollars Excluded from Spending After Applying Truncation at the Member Level]]=Age_Sex22[[#This Row],[Total Spending before Truncation is Applied]]</f>
        <v>1</v>
      </c>
    </row>
    <row r="1978" spans="1:10" x14ac:dyDescent="0.25">
      <c r="A1978" s="450"/>
      <c r="B1978" s="451"/>
      <c r="C1978" s="452"/>
      <c r="D1978" s="521"/>
      <c r="E1978" s="453"/>
      <c r="F1978" s="454"/>
      <c r="G1978" s="525"/>
      <c r="H1978" s="454"/>
      <c r="I1978" s="459"/>
      <c r="J1978" s="271" t="b">
        <f>Age_Sex22[[#This Row],[Total Spending After Applying Truncation at the Member Level]]+Age_Sex22[[#This Row],[Total Dollars Excluded from Spending After Applying Truncation at the Member Level]]=Age_Sex22[[#This Row],[Total Spending before Truncation is Applied]]</f>
        <v>1</v>
      </c>
    </row>
    <row r="1979" spans="1:10" x14ac:dyDescent="0.25">
      <c r="A1979" s="449"/>
      <c r="B1979" s="443"/>
      <c r="C1979" s="444"/>
      <c r="D1979" s="520"/>
      <c r="E1979" s="445"/>
      <c r="F1979" s="446"/>
      <c r="G1979" s="524"/>
      <c r="H1979" s="446"/>
      <c r="I1979" s="458"/>
      <c r="J1979" s="271" t="b">
        <f>Age_Sex22[[#This Row],[Total Spending After Applying Truncation at the Member Level]]+Age_Sex22[[#This Row],[Total Dollars Excluded from Spending After Applying Truncation at the Member Level]]=Age_Sex22[[#This Row],[Total Spending before Truncation is Applied]]</f>
        <v>1</v>
      </c>
    </row>
    <row r="1980" spans="1:10" x14ac:dyDescent="0.25">
      <c r="A1980" s="450"/>
      <c r="B1980" s="451"/>
      <c r="C1980" s="452"/>
      <c r="D1980" s="521"/>
      <c r="E1980" s="453"/>
      <c r="F1980" s="454"/>
      <c r="G1980" s="525"/>
      <c r="H1980" s="454"/>
      <c r="I1980" s="459"/>
      <c r="J1980" s="271" t="b">
        <f>Age_Sex22[[#This Row],[Total Spending After Applying Truncation at the Member Level]]+Age_Sex22[[#This Row],[Total Dollars Excluded from Spending After Applying Truncation at the Member Level]]=Age_Sex22[[#This Row],[Total Spending before Truncation is Applied]]</f>
        <v>1</v>
      </c>
    </row>
    <row r="1981" spans="1:10" x14ac:dyDescent="0.25">
      <c r="A1981" s="449"/>
      <c r="B1981" s="443"/>
      <c r="C1981" s="444"/>
      <c r="D1981" s="520"/>
      <c r="E1981" s="445"/>
      <c r="F1981" s="446"/>
      <c r="G1981" s="524"/>
      <c r="H1981" s="446"/>
      <c r="I1981" s="458"/>
      <c r="J1981" s="271" t="b">
        <f>Age_Sex22[[#This Row],[Total Spending After Applying Truncation at the Member Level]]+Age_Sex22[[#This Row],[Total Dollars Excluded from Spending After Applying Truncation at the Member Level]]=Age_Sex22[[#This Row],[Total Spending before Truncation is Applied]]</f>
        <v>1</v>
      </c>
    </row>
    <row r="1982" spans="1:10" x14ac:dyDescent="0.25">
      <c r="A1982" s="450"/>
      <c r="B1982" s="451"/>
      <c r="C1982" s="452"/>
      <c r="D1982" s="521"/>
      <c r="E1982" s="453"/>
      <c r="F1982" s="454"/>
      <c r="G1982" s="525"/>
      <c r="H1982" s="454"/>
      <c r="I1982" s="459"/>
      <c r="J1982" s="271" t="b">
        <f>Age_Sex22[[#This Row],[Total Spending After Applying Truncation at the Member Level]]+Age_Sex22[[#This Row],[Total Dollars Excluded from Spending After Applying Truncation at the Member Level]]=Age_Sex22[[#This Row],[Total Spending before Truncation is Applied]]</f>
        <v>1</v>
      </c>
    </row>
    <row r="1983" spans="1:10" x14ac:dyDescent="0.25">
      <c r="A1983" s="449"/>
      <c r="B1983" s="443"/>
      <c r="C1983" s="444"/>
      <c r="D1983" s="520"/>
      <c r="E1983" s="445"/>
      <c r="F1983" s="446"/>
      <c r="G1983" s="524"/>
      <c r="H1983" s="446"/>
      <c r="I1983" s="458"/>
      <c r="J1983" s="271" t="b">
        <f>Age_Sex22[[#This Row],[Total Spending After Applying Truncation at the Member Level]]+Age_Sex22[[#This Row],[Total Dollars Excluded from Spending After Applying Truncation at the Member Level]]=Age_Sex22[[#This Row],[Total Spending before Truncation is Applied]]</f>
        <v>1</v>
      </c>
    </row>
    <row r="1984" spans="1:10" x14ac:dyDescent="0.25">
      <c r="A1984" s="450"/>
      <c r="B1984" s="451"/>
      <c r="C1984" s="452"/>
      <c r="D1984" s="521"/>
      <c r="E1984" s="453"/>
      <c r="F1984" s="454"/>
      <c r="G1984" s="525"/>
      <c r="H1984" s="454"/>
      <c r="I1984" s="459"/>
      <c r="J1984" s="271" t="b">
        <f>Age_Sex22[[#This Row],[Total Spending After Applying Truncation at the Member Level]]+Age_Sex22[[#This Row],[Total Dollars Excluded from Spending After Applying Truncation at the Member Level]]=Age_Sex22[[#This Row],[Total Spending before Truncation is Applied]]</f>
        <v>1</v>
      </c>
    </row>
    <row r="1985" spans="1:10" x14ac:dyDescent="0.25">
      <c r="A1985" s="449"/>
      <c r="B1985" s="443"/>
      <c r="C1985" s="444"/>
      <c r="D1985" s="520"/>
      <c r="E1985" s="445"/>
      <c r="F1985" s="446"/>
      <c r="G1985" s="524"/>
      <c r="H1985" s="446"/>
      <c r="I1985" s="458"/>
      <c r="J1985" s="271" t="b">
        <f>Age_Sex22[[#This Row],[Total Spending After Applying Truncation at the Member Level]]+Age_Sex22[[#This Row],[Total Dollars Excluded from Spending After Applying Truncation at the Member Level]]=Age_Sex22[[#This Row],[Total Spending before Truncation is Applied]]</f>
        <v>1</v>
      </c>
    </row>
    <row r="1986" spans="1:10" x14ac:dyDescent="0.25">
      <c r="A1986" s="450"/>
      <c r="B1986" s="451"/>
      <c r="C1986" s="452"/>
      <c r="D1986" s="521"/>
      <c r="E1986" s="453"/>
      <c r="F1986" s="454"/>
      <c r="G1986" s="525"/>
      <c r="H1986" s="454"/>
      <c r="I1986" s="459"/>
      <c r="J1986" s="271" t="b">
        <f>Age_Sex22[[#This Row],[Total Spending After Applying Truncation at the Member Level]]+Age_Sex22[[#This Row],[Total Dollars Excluded from Spending After Applying Truncation at the Member Level]]=Age_Sex22[[#This Row],[Total Spending before Truncation is Applied]]</f>
        <v>1</v>
      </c>
    </row>
    <row r="1987" spans="1:10" x14ac:dyDescent="0.25">
      <c r="A1987" s="449"/>
      <c r="B1987" s="443"/>
      <c r="C1987" s="444"/>
      <c r="D1987" s="520"/>
      <c r="E1987" s="445"/>
      <c r="F1987" s="446"/>
      <c r="G1987" s="524"/>
      <c r="H1987" s="446"/>
      <c r="I1987" s="458"/>
      <c r="J1987" s="271" t="b">
        <f>Age_Sex22[[#This Row],[Total Spending After Applying Truncation at the Member Level]]+Age_Sex22[[#This Row],[Total Dollars Excluded from Spending After Applying Truncation at the Member Level]]=Age_Sex22[[#This Row],[Total Spending before Truncation is Applied]]</f>
        <v>1</v>
      </c>
    </row>
    <row r="1988" spans="1:10" x14ac:dyDescent="0.25">
      <c r="A1988" s="450"/>
      <c r="B1988" s="451"/>
      <c r="C1988" s="452"/>
      <c r="D1988" s="521"/>
      <c r="E1988" s="453"/>
      <c r="F1988" s="454"/>
      <c r="G1988" s="525"/>
      <c r="H1988" s="454"/>
      <c r="I1988" s="459"/>
      <c r="J1988" s="271" t="b">
        <f>Age_Sex22[[#This Row],[Total Spending After Applying Truncation at the Member Level]]+Age_Sex22[[#This Row],[Total Dollars Excluded from Spending After Applying Truncation at the Member Level]]=Age_Sex22[[#This Row],[Total Spending before Truncation is Applied]]</f>
        <v>1</v>
      </c>
    </row>
    <row r="1989" spans="1:10" x14ac:dyDescent="0.25">
      <c r="A1989" s="449"/>
      <c r="B1989" s="443"/>
      <c r="C1989" s="444"/>
      <c r="D1989" s="520"/>
      <c r="E1989" s="445"/>
      <c r="F1989" s="446"/>
      <c r="G1989" s="524"/>
      <c r="H1989" s="446"/>
      <c r="I1989" s="458"/>
      <c r="J1989" s="271" t="b">
        <f>Age_Sex22[[#This Row],[Total Spending After Applying Truncation at the Member Level]]+Age_Sex22[[#This Row],[Total Dollars Excluded from Spending After Applying Truncation at the Member Level]]=Age_Sex22[[#This Row],[Total Spending before Truncation is Applied]]</f>
        <v>1</v>
      </c>
    </row>
    <row r="1990" spans="1:10" x14ac:dyDescent="0.25">
      <c r="A1990" s="450"/>
      <c r="B1990" s="451"/>
      <c r="C1990" s="452"/>
      <c r="D1990" s="521"/>
      <c r="E1990" s="453"/>
      <c r="F1990" s="454"/>
      <c r="G1990" s="525"/>
      <c r="H1990" s="454"/>
      <c r="I1990" s="459"/>
      <c r="J1990" s="271" t="b">
        <f>Age_Sex22[[#This Row],[Total Spending After Applying Truncation at the Member Level]]+Age_Sex22[[#This Row],[Total Dollars Excluded from Spending After Applying Truncation at the Member Level]]=Age_Sex22[[#This Row],[Total Spending before Truncation is Applied]]</f>
        <v>1</v>
      </c>
    </row>
    <row r="1991" spans="1:10" x14ac:dyDescent="0.25">
      <c r="A1991" s="449"/>
      <c r="B1991" s="443"/>
      <c r="C1991" s="444"/>
      <c r="D1991" s="520"/>
      <c r="E1991" s="445"/>
      <c r="F1991" s="446"/>
      <c r="G1991" s="524"/>
      <c r="H1991" s="446"/>
      <c r="I1991" s="458"/>
      <c r="J1991" s="271" t="b">
        <f>Age_Sex22[[#This Row],[Total Spending After Applying Truncation at the Member Level]]+Age_Sex22[[#This Row],[Total Dollars Excluded from Spending After Applying Truncation at the Member Level]]=Age_Sex22[[#This Row],[Total Spending before Truncation is Applied]]</f>
        <v>1</v>
      </c>
    </row>
    <row r="1992" spans="1:10" x14ac:dyDescent="0.25">
      <c r="A1992" s="450"/>
      <c r="B1992" s="451"/>
      <c r="C1992" s="452"/>
      <c r="D1992" s="521"/>
      <c r="E1992" s="453"/>
      <c r="F1992" s="454"/>
      <c r="G1992" s="525"/>
      <c r="H1992" s="454"/>
      <c r="I1992" s="459"/>
      <c r="J1992" s="271" t="b">
        <f>Age_Sex22[[#This Row],[Total Spending After Applying Truncation at the Member Level]]+Age_Sex22[[#This Row],[Total Dollars Excluded from Spending After Applying Truncation at the Member Level]]=Age_Sex22[[#This Row],[Total Spending before Truncation is Applied]]</f>
        <v>1</v>
      </c>
    </row>
    <row r="1993" spans="1:10" x14ac:dyDescent="0.25">
      <c r="A1993" s="449"/>
      <c r="B1993" s="443"/>
      <c r="C1993" s="444"/>
      <c r="D1993" s="520"/>
      <c r="E1993" s="445"/>
      <c r="F1993" s="446"/>
      <c r="G1993" s="524"/>
      <c r="H1993" s="446"/>
      <c r="I1993" s="458"/>
      <c r="J1993" s="271" t="b">
        <f>Age_Sex22[[#This Row],[Total Spending After Applying Truncation at the Member Level]]+Age_Sex22[[#This Row],[Total Dollars Excluded from Spending After Applying Truncation at the Member Level]]=Age_Sex22[[#This Row],[Total Spending before Truncation is Applied]]</f>
        <v>1</v>
      </c>
    </row>
    <row r="1994" spans="1:10" x14ac:dyDescent="0.25">
      <c r="A1994" s="450"/>
      <c r="B1994" s="451"/>
      <c r="C1994" s="452"/>
      <c r="D1994" s="521"/>
      <c r="E1994" s="453"/>
      <c r="F1994" s="454"/>
      <c r="G1994" s="525"/>
      <c r="H1994" s="454"/>
      <c r="I1994" s="459"/>
      <c r="J1994" s="271" t="b">
        <f>Age_Sex22[[#This Row],[Total Spending After Applying Truncation at the Member Level]]+Age_Sex22[[#This Row],[Total Dollars Excluded from Spending After Applying Truncation at the Member Level]]=Age_Sex22[[#This Row],[Total Spending before Truncation is Applied]]</f>
        <v>1</v>
      </c>
    </row>
    <row r="1995" spans="1:10" x14ac:dyDescent="0.25">
      <c r="A1995" s="449"/>
      <c r="B1995" s="443"/>
      <c r="C1995" s="444"/>
      <c r="D1995" s="520"/>
      <c r="E1995" s="445"/>
      <c r="F1995" s="446"/>
      <c r="G1995" s="524"/>
      <c r="H1995" s="446"/>
      <c r="I1995" s="458"/>
      <c r="J1995" s="271" t="b">
        <f>Age_Sex22[[#This Row],[Total Spending After Applying Truncation at the Member Level]]+Age_Sex22[[#This Row],[Total Dollars Excluded from Spending After Applying Truncation at the Member Level]]=Age_Sex22[[#This Row],[Total Spending before Truncation is Applied]]</f>
        <v>1</v>
      </c>
    </row>
    <row r="1996" spans="1:10" x14ac:dyDescent="0.25">
      <c r="A1996" s="450"/>
      <c r="B1996" s="451"/>
      <c r="C1996" s="452"/>
      <c r="D1996" s="521"/>
      <c r="E1996" s="453"/>
      <c r="F1996" s="454"/>
      <c r="G1996" s="525"/>
      <c r="H1996" s="454"/>
      <c r="I1996" s="459"/>
      <c r="J1996" s="271" t="b">
        <f>Age_Sex22[[#This Row],[Total Spending After Applying Truncation at the Member Level]]+Age_Sex22[[#This Row],[Total Dollars Excluded from Spending After Applying Truncation at the Member Level]]=Age_Sex22[[#This Row],[Total Spending before Truncation is Applied]]</f>
        <v>1</v>
      </c>
    </row>
    <row r="1997" spans="1:10" x14ac:dyDescent="0.25">
      <c r="A1997" s="449"/>
      <c r="B1997" s="443"/>
      <c r="C1997" s="444"/>
      <c r="D1997" s="520"/>
      <c r="E1997" s="445"/>
      <c r="F1997" s="446"/>
      <c r="G1997" s="524"/>
      <c r="H1997" s="446"/>
      <c r="I1997" s="458"/>
      <c r="J1997" s="271" t="b">
        <f>Age_Sex22[[#This Row],[Total Spending After Applying Truncation at the Member Level]]+Age_Sex22[[#This Row],[Total Dollars Excluded from Spending After Applying Truncation at the Member Level]]=Age_Sex22[[#This Row],[Total Spending before Truncation is Applied]]</f>
        <v>1</v>
      </c>
    </row>
    <row r="1998" spans="1:10" x14ac:dyDescent="0.25">
      <c r="A1998" s="450"/>
      <c r="B1998" s="451"/>
      <c r="C1998" s="452"/>
      <c r="D1998" s="521"/>
      <c r="E1998" s="453"/>
      <c r="F1998" s="454"/>
      <c r="G1998" s="525"/>
      <c r="H1998" s="454"/>
      <c r="I1998" s="459"/>
      <c r="J1998" s="271" t="b">
        <f>Age_Sex22[[#This Row],[Total Spending After Applying Truncation at the Member Level]]+Age_Sex22[[#This Row],[Total Dollars Excluded from Spending After Applying Truncation at the Member Level]]=Age_Sex22[[#This Row],[Total Spending before Truncation is Applied]]</f>
        <v>1</v>
      </c>
    </row>
    <row r="1999" spans="1:10" x14ac:dyDescent="0.25">
      <c r="A1999" s="449"/>
      <c r="B1999" s="443"/>
      <c r="C1999" s="444"/>
      <c r="D1999" s="520"/>
      <c r="E1999" s="445"/>
      <c r="F1999" s="446"/>
      <c r="G1999" s="524"/>
      <c r="H1999" s="446"/>
      <c r="I1999" s="458"/>
      <c r="J1999" s="271" t="b">
        <f>Age_Sex22[[#This Row],[Total Spending After Applying Truncation at the Member Level]]+Age_Sex22[[#This Row],[Total Dollars Excluded from Spending After Applying Truncation at the Member Level]]=Age_Sex22[[#This Row],[Total Spending before Truncation is Applied]]</f>
        <v>1</v>
      </c>
    </row>
    <row r="2000" spans="1:10" x14ac:dyDescent="0.25">
      <c r="A2000" s="450"/>
      <c r="B2000" s="451"/>
      <c r="C2000" s="452"/>
      <c r="D2000" s="521"/>
      <c r="E2000" s="453"/>
      <c r="F2000" s="454"/>
      <c r="G2000" s="525"/>
      <c r="H2000" s="454"/>
      <c r="I2000" s="459"/>
      <c r="J2000" s="271" t="b">
        <f>Age_Sex22[[#This Row],[Total Spending After Applying Truncation at the Member Level]]+Age_Sex22[[#This Row],[Total Dollars Excluded from Spending After Applying Truncation at the Member Level]]=Age_Sex22[[#This Row],[Total Spending before Truncation is Applied]]</f>
        <v>1</v>
      </c>
    </row>
    <row r="2001" spans="1:10" x14ac:dyDescent="0.25">
      <c r="A2001" s="449"/>
      <c r="B2001" s="443"/>
      <c r="C2001" s="444"/>
      <c r="D2001" s="520"/>
      <c r="E2001" s="445"/>
      <c r="F2001" s="446"/>
      <c r="G2001" s="524"/>
      <c r="H2001" s="446"/>
      <c r="I2001" s="458"/>
      <c r="J2001" s="271" t="b">
        <f>Age_Sex22[[#This Row],[Total Spending After Applying Truncation at the Member Level]]+Age_Sex22[[#This Row],[Total Dollars Excluded from Spending After Applying Truncation at the Member Level]]=Age_Sex22[[#This Row],[Total Spending before Truncation is Applied]]</f>
        <v>1</v>
      </c>
    </row>
    <row r="2002" spans="1:10" x14ac:dyDescent="0.25">
      <c r="A2002" s="450"/>
      <c r="B2002" s="451"/>
      <c r="C2002" s="452"/>
      <c r="D2002" s="521"/>
      <c r="E2002" s="453"/>
      <c r="F2002" s="454"/>
      <c r="G2002" s="525"/>
      <c r="H2002" s="454"/>
      <c r="I2002" s="459"/>
      <c r="J2002" s="271" t="b">
        <f>Age_Sex22[[#This Row],[Total Spending After Applying Truncation at the Member Level]]+Age_Sex22[[#This Row],[Total Dollars Excluded from Spending After Applying Truncation at the Member Level]]=Age_Sex22[[#This Row],[Total Spending before Truncation is Applied]]</f>
        <v>1</v>
      </c>
    </row>
    <row r="2003" spans="1:10" x14ac:dyDescent="0.25">
      <c r="A2003" s="449"/>
      <c r="B2003" s="443"/>
      <c r="C2003" s="444"/>
      <c r="D2003" s="520"/>
      <c r="E2003" s="445"/>
      <c r="F2003" s="446"/>
      <c r="G2003" s="524"/>
      <c r="H2003" s="446"/>
      <c r="I2003" s="458"/>
      <c r="J2003" s="271" t="b">
        <f>Age_Sex22[[#This Row],[Total Spending After Applying Truncation at the Member Level]]+Age_Sex22[[#This Row],[Total Dollars Excluded from Spending After Applying Truncation at the Member Level]]=Age_Sex22[[#This Row],[Total Spending before Truncation is Applied]]</f>
        <v>1</v>
      </c>
    </row>
    <row r="2004" spans="1:10" x14ac:dyDescent="0.25">
      <c r="A2004" s="450"/>
      <c r="B2004" s="451"/>
      <c r="C2004" s="452"/>
      <c r="D2004" s="521"/>
      <c r="E2004" s="453"/>
      <c r="F2004" s="454"/>
      <c r="G2004" s="525"/>
      <c r="H2004" s="454"/>
      <c r="I2004" s="459"/>
      <c r="J2004" s="271" t="b">
        <f>Age_Sex22[[#This Row],[Total Spending After Applying Truncation at the Member Level]]+Age_Sex22[[#This Row],[Total Dollars Excluded from Spending After Applying Truncation at the Member Level]]=Age_Sex22[[#This Row],[Total Spending before Truncation is Applied]]</f>
        <v>1</v>
      </c>
    </row>
    <row r="2005" spans="1:10" x14ac:dyDescent="0.25">
      <c r="A2005" s="449"/>
      <c r="B2005" s="443"/>
      <c r="C2005" s="444"/>
      <c r="D2005" s="520"/>
      <c r="E2005" s="445"/>
      <c r="F2005" s="446"/>
      <c r="G2005" s="524"/>
      <c r="H2005" s="446"/>
      <c r="I2005" s="458"/>
      <c r="J2005" s="271" t="b">
        <f>Age_Sex22[[#This Row],[Total Spending After Applying Truncation at the Member Level]]+Age_Sex22[[#This Row],[Total Dollars Excluded from Spending After Applying Truncation at the Member Level]]=Age_Sex22[[#This Row],[Total Spending before Truncation is Applied]]</f>
        <v>1</v>
      </c>
    </row>
    <row r="2006" spans="1:10" x14ac:dyDescent="0.25">
      <c r="A2006" s="450"/>
      <c r="B2006" s="451"/>
      <c r="C2006" s="452"/>
      <c r="D2006" s="521"/>
      <c r="E2006" s="453"/>
      <c r="F2006" s="454"/>
      <c r="G2006" s="525"/>
      <c r="H2006" s="454"/>
      <c r="I2006" s="459"/>
      <c r="J2006" s="271" t="b">
        <f>Age_Sex22[[#This Row],[Total Spending After Applying Truncation at the Member Level]]+Age_Sex22[[#This Row],[Total Dollars Excluded from Spending After Applying Truncation at the Member Level]]=Age_Sex22[[#This Row],[Total Spending before Truncation is Applied]]</f>
        <v>1</v>
      </c>
    </row>
    <row r="2007" spans="1:10" x14ac:dyDescent="0.25">
      <c r="A2007" s="449"/>
      <c r="B2007" s="443"/>
      <c r="C2007" s="444"/>
      <c r="D2007" s="520"/>
      <c r="E2007" s="445"/>
      <c r="F2007" s="446"/>
      <c r="G2007" s="524"/>
      <c r="H2007" s="446"/>
      <c r="I2007" s="458"/>
      <c r="J2007" s="271" t="b">
        <f>Age_Sex22[[#This Row],[Total Spending After Applying Truncation at the Member Level]]+Age_Sex22[[#This Row],[Total Dollars Excluded from Spending After Applying Truncation at the Member Level]]=Age_Sex22[[#This Row],[Total Spending before Truncation is Applied]]</f>
        <v>1</v>
      </c>
    </row>
    <row r="2008" spans="1:10" x14ac:dyDescent="0.25">
      <c r="A2008" s="450"/>
      <c r="B2008" s="451"/>
      <c r="C2008" s="452"/>
      <c r="D2008" s="521"/>
      <c r="E2008" s="453"/>
      <c r="F2008" s="454"/>
      <c r="G2008" s="525"/>
      <c r="H2008" s="454"/>
      <c r="I2008" s="459"/>
      <c r="J2008" s="271" t="b">
        <f>Age_Sex22[[#This Row],[Total Spending After Applying Truncation at the Member Level]]+Age_Sex22[[#This Row],[Total Dollars Excluded from Spending After Applying Truncation at the Member Level]]=Age_Sex22[[#This Row],[Total Spending before Truncation is Applied]]</f>
        <v>1</v>
      </c>
    </row>
    <row r="2009" spans="1:10" x14ac:dyDescent="0.25">
      <c r="A2009" s="449"/>
      <c r="B2009" s="443"/>
      <c r="C2009" s="444"/>
      <c r="D2009" s="520"/>
      <c r="E2009" s="445"/>
      <c r="F2009" s="446"/>
      <c r="G2009" s="524"/>
      <c r="H2009" s="446"/>
      <c r="I2009" s="458"/>
      <c r="J2009" s="271" t="b">
        <f>Age_Sex22[[#This Row],[Total Spending After Applying Truncation at the Member Level]]+Age_Sex22[[#This Row],[Total Dollars Excluded from Spending After Applying Truncation at the Member Level]]=Age_Sex22[[#This Row],[Total Spending before Truncation is Applied]]</f>
        <v>1</v>
      </c>
    </row>
    <row r="2010" spans="1:10" x14ac:dyDescent="0.25">
      <c r="A2010" s="450"/>
      <c r="B2010" s="451"/>
      <c r="C2010" s="452"/>
      <c r="D2010" s="521"/>
      <c r="E2010" s="453"/>
      <c r="F2010" s="454"/>
      <c r="G2010" s="525"/>
      <c r="H2010" s="454"/>
      <c r="I2010" s="459"/>
      <c r="J2010" s="271" t="b">
        <f>Age_Sex22[[#This Row],[Total Spending After Applying Truncation at the Member Level]]+Age_Sex22[[#This Row],[Total Dollars Excluded from Spending After Applying Truncation at the Member Level]]=Age_Sex22[[#This Row],[Total Spending before Truncation is Applied]]</f>
        <v>1</v>
      </c>
    </row>
  </sheetData>
  <sheetProtection algorithmName="SHA-512" hashValue="AGyvuTM498IroIrqrKx9AEmumnW2Ljvw7HY/0ewf7fnlUkRYNPvTXZzmsaYRZFCfTssMJHVa7HXS1GKi4EuHUQ==" saltValue="5xPncb/NwmtX78stsyaaHQ==" spinCount="100000" sheet="1" insertRows="0"/>
  <protectedRanges>
    <protectedRange sqref="A11:J2010" name="Range1"/>
  </protectedRanges>
  <dataValidations xWindow="1882" yWindow="769" count="7">
    <dataValidation type="decimal" operator="greaterThanOrEqual" allowBlank="1" showInputMessage="1" showErrorMessage="1" error="See Definitions tab._x000a_No negative values." prompt="See Definitions tab._x000a_No negative values._x000a_" sqref="F11:F2010 H11:I2010" xr:uid="{30EF85CE-4229-487A-B097-38E0F0977AE7}">
      <formula1>0</formula1>
    </dataValidation>
    <dataValidation type="whole" allowBlank="1" showInputMessage="1" showErrorMessage="1" error="Please input the OHS-assigned organizational ID of the Advanced Network." prompt="Please input the OHS-assigned organizational ID of the Advanced Network." sqref="A11:A2010" xr:uid="{E5825D81-55AE-464F-935F-648F01B2E81A}">
      <formula1>100</formula1>
      <formula2>999</formula2>
    </dataValidation>
    <dataValidation type="whole" allowBlank="1" showInputMessage="1" showErrorMessage="1" error="Please input the insurance category being reported." prompt="Insurance Category Codes:_x000a_1 = Medicare Managed Care_x000a_2 = Medicaid and Medicaid MCOs_x000a_3 = Commerical: Full-Claims_x000a_4 = Commercial: Partial-Claims_x000a_5 = Medicare Expenditures for Duals_x000a_6 = Medicaid Expenditures for Duals_x000a_7 = Other" sqref="B11:B2010" xr:uid="{6483432A-9363-456F-94A1-66E7F12A05D5}">
      <formula1>1</formula1>
      <formula2>7</formula2>
    </dataValidation>
    <dataValidation type="whole" allowBlank="1" showInputMessage="1" showErrorMessage="1" error="Please input the age band being reported." prompt="1 = 0 to 1 year old_x000a_2 = 2 to 18 years old_x000a_3 = 19 to 39 years old_x000a_4 = 40 to 54 yeras old_x000a_5 = 55 to 64 years old_x000a_6 = 65 to 74 years old_x000a_7 = 75 to 84 years old_x000a_8 = 85+ years old" sqref="C11:C2010" xr:uid="{65E2243D-C58A-4912-B03C-D41342839F6B}">
      <formula1>1</formula1>
      <formula2>8</formula2>
    </dataValidation>
    <dataValidation type="decimal" allowBlank="1" showInputMessage="1" showErrorMessage="1" error="Please input the sex band being reported." prompt="1 = Female_x000a_2 = Male" sqref="D11:D2010" xr:uid="{BBF9FDD4-6653-4A44-BD4C-E59A1A23E93F}">
      <formula1>1</formula1>
      <formula2>2</formula2>
    </dataValidation>
    <dataValidation type="whole" operator="greaterThanOrEqual" allowBlank="1" showInputMessage="1" showErrorMessage="1" error="See Definitions tab._x000a_No negative values." prompt="See Definitions tab._x000a_No negative values._x000a_" sqref="G11:G2010" xr:uid="{C075FDB6-3642-43D8-A2D4-A6B94FA0E2DA}">
      <formula1>0</formula1>
    </dataValidation>
    <dataValidation type="decimal" operator="greaterThan" allowBlank="1" showInputMessage="1" showErrorMessage="1" error="The number of unique members participating in a plan each month with a medical benefit, regardless of whether the member has any paid claims." prompt="The number of unique members participating in a plan each month with a medical benefit, regardless of whether the member has any paid claims." sqref="E11:E2010" xr:uid="{6A51B6E5-D244-4589-81DC-1058AD15D145}">
      <formula1>0</formula1>
    </dataValidation>
  </dataValidations>
  <pageMargins left="0.7" right="0.7" top="0.75" bottom="0.75" header="0.3" footer="0.3"/>
  <drawing r:id="rId1"/>
  <tableParts count="1">
    <tablePart r:id="rId2"/>
  </tablePart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32267A-9476-49BF-B1A9-1F6514FEFEA2}">
  <sheetPr codeName="Sheet16">
    <tabColor theme="3"/>
  </sheetPr>
  <dimension ref="A1:J2010"/>
  <sheetViews>
    <sheetView zoomScale="90" zoomScaleNormal="90" workbookViewId="0">
      <selection activeCell="E28" sqref="E28"/>
    </sheetView>
  </sheetViews>
  <sheetFormatPr defaultRowHeight="15" x14ac:dyDescent="0.25"/>
  <cols>
    <col min="1" max="1" width="25.5703125" customWidth="1"/>
    <col min="2" max="9" width="28.5703125" customWidth="1"/>
    <col min="10" max="10" width="26.5703125" customWidth="1"/>
  </cols>
  <sheetData>
    <row r="1" spans="1:10" x14ac:dyDescent="0.25">
      <c r="A1" s="1" t="s">
        <v>160</v>
      </c>
    </row>
    <row r="2" spans="1:10" x14ac:dyDescent="0.25">
      <c r="A2" s="1" t="s">
        <v>429</v>
      </c>
    </row>
    <row r="4" spans="1:10" x14ac:dyDescent="0.25">
      <c r="A4" t="s">
        <v>161</v>
      </c>
    </row>
    <row r="5" spans="1:10" x14ac:dyDescent="0.25">
      <c r="A5" s="176"/>
    </row>
    <row r="9" spans="1:10" x14ac:dyDescent="0.25">
      <c r="C9" s="4" t="s">
        <v>181</v>
      </c>
      <c r="D9" s="4" t="s">
        <v>182</v>
      </c>
      <c r="E9" s="4" t="s">
        <v>183</v>
      </c>
      <c r="F9" s="4" t="s">
        <v>184</v>
      </c>
      <c r="G9" s="4" t="s">
        <v>185</v>
      </c>
      <c r="H9" s="4" t="s">
        <v>186</v>
      </c>
      <c r="I9" s="4" t="s">
        <v>187</v>
      </c>
      <c r="J9" s="4" t="s">
        <v>188</v>
      </c>
    </row>
    <row r="10" spans="1:10" ht="60" x14ac:dyDescent="0.25">
      <c r="A10" s="178" t="s">
        <v>235</v>
      </c>
      <c r="B10" s="179" t="s">
        <v>61</v>
      </c>
      <c r="C10" s="179" t="s">
        <v>83</v>
      </c>
      <c r="D10" s="179" t="s">
        <v>149</v>
      </c>
      <c r="E10" s="179" t="s">
        <v>151</v>
      </c>
      <c r="F10" s="179" t="s">
        <v>153</v>
      </c>
      <c r="G10" s="179" t="s">
        <v>155</v>
      </c>
      <c r="H10" s="179" t="s">
        <v>157</v>
      </c>
      <c r="I10" s="179" t="s">
        <v>236</v>
      </c>
      <c r="J10" s="274" t="s">
        <v>237</v>
      </c>
    </row>
    <row r="11" spans="1:10" x14ac:dyDescent="0.25">
      <c r="A11" s="386"/>
      <c r="B11" s="310"/>
      <c r="C11" s="311"/>
      <c r="D11" s="518"/>
      <c r="E11" s="409"/>
      <c r="F11" s="312"/>
      <c r="G11" s="522"/>
      <c r="H11" s="312"/>
      <c r="I11" s="455"/>
      <c r="J11" s="272" t="b">
        <f>Age_Sex23[[#This Row],[Total Spending After Applying Truncation at the Member Level]]+Age_Sex23[[#This Row],[Total Dollars Excluded from Spending After Applying Truncation at the Member Level]]=Age_Sex23[[#This Row],[Total Spending before Truncation is Applied]]</f>
        <v>1</v>
      </c>
    </row>
    <row r="12" spans="1:10" x14ac:dyDescent="0.25">
      <c r="A12" s="389"/>
      <c r="B12" s="4"/>
      <c r="C12" s="16"/>
      <c r="D12" s="519"/>
      <c r="E12" s="410"/>
      <c r="F12" s="313"/>
      <c r="G12" s="256"/>
      <c r="H12" s="313"/>
      <c r="I12" s="456"/>
      <c r="J12" s="272" t="b">
        <f>Age_Sex23[[#This Row],[Total Spending After Applying Truncation at the Member Level]]+Age_Sex23[[#This Row],[Total Dollars Excluded from Spending After Applying Truncation at the Member Level]]=Age_Sex23[[#This Row],[Total Spending before Truncation is Applied]]</f>
        <v>1</v>
      </c>
    </row>
    <row r="13" spans="1:10" x14ac:dyDescent="0.25">
      <c r="A13" s="386"/>
      <c r="B13" s="310"/>
      <c r="C13" s="311"/>
      <c r="D13" s="518"/>
      <c r="E13" s="409"/>
      <c r="F13" s="312"/>
      <c r="G13" s="522"/>
      <c r="H13" s="312"/>
      <c r="I13" s="455"/>
      <c r="J13" s="272" t="b">
        <f>Age_Sex23[[#This Row],[Total Spending After Applying Truncation at the Member Level]]+Age_Sex23[[#This Row],[Total Dollars Excluded from Spending After Applying Truncation at the Member Level]]=Age_Sex23[[#This Row],[Total Spending before Truncation is Applied]]</f>
        <v>1</v>
      </c>
    </row>
    <row r="14" spans="1:10" x14ac:dyDescent="0.25">
      <c r="A14" s="389"/>
      <c r="B14" s="4"/>
      <c r="C14" s="16"/>
      <c r="D14" s="519"/>
      <c r="E14" s="410"/>
      <c r="F14" s="313"/>
      <c r="G14" s="256"/>
      <c r="H14" s="313"/>
      <c r="I14" s="456"/>
      <c r="J14" s="272" t="b">
        <f>Age_Sex23[[#This Row],[Total Spending After Applying Truncation at the Member Level]]+Age_Sex23[[#This Row],[Total Dollars Excluded from Spending After Applying Truncation at the Member Level]]=Age_Sex23[[#This Row],[Total Spending before Truncation is Applied]]</f>
        <v>1</v>
      </c>
    </row>
    <row r="15" spans="1:10" x14ac:dyDescent="0.25">
      <c r="A15" s="386"/>
      <c r="B15" s="310"/>
      <c r="C15" s="311"/>
      <c r="D15" s="518"/>
      <c r="E15" s="409"/>
      <c r="F15" s="312"/>
      <c r="G15" s="522"/>
      <c r="H15" s="312"/>
      <c r="I15" s="455"/>
      <c r="J15" s="272" t="b">
        <f>Age_Sex23[[#This Row],[Total Spending After Applying Truncation at the Member Level]]+Age_Sex23[[#This Row],[Total Dollars Excluded from Spending After Applying Truncation at the Member Level]]=Age_Sex23[[#This Row],[Total Spending before Truncation is Applied]]</f>
        <v>1</v>
      </c>
    </row>
    <row r="16" spans="1:10" x14ac:dyDescent="0.25">
      <c r="A16" s="389"/>
      <c r="B16" s="4"/>
      <c r="C16" s="16"/>
      <c r="D16" s="519"/>
      <c r="E16" s="410"/>
      <c r="F16" s="313"/>
      <c r="G16" s="256"/>
      <c r="H16" s="313"/>
      <c r="I16" s="456"/>
      <c r="J16" s="272" t="b">
        <f>Age_Sex23[[#This Row],[Total Spending After Applying Truncation at the Member Level]]+Age_Sex23[[#This Row],[Total Dollars Excluded from Spending After Applying Truncation at the Member Level]]=Age_Sex23[[#This Row],[Total Spending before Truncation is Applied]]</f>
        <v>1</v>
      </c>
    </row>
    <row r="17" spans="1:10" x14ac:dyDescent="0.25">
      <c r="A17" s="386"/>
      <c r="B17" s="310"/>
      <c r="C17" s="311"/>
      <c r="D17" s="518"/>
      <c r="E17" s="409"/>
      <c r="F17" s="312"/>
      <c r="G17" s="522"/>
      <c r="H17" s="312"/>
      <c r="I17" s="455"/>
      <c r="J17" s="272" t="b">
        <f>Age_Sex23[[#This Row],[Total Spending After Applying Truncation at the Member Level]]+Age_Sex23[[#This Row],[Total Dollars Excluded from Spending After Applying Truncation at the Member Level]]=Age_Sex23[[#This Row],[Total Spending before Truncation is Applied]]</f>
        <v>1</v>
      </c>
    </row>
    <row r="18" spans="1:10" x14ac:dyDescent="0.25">
      <c r="A18" s="389"/>
      <c r="B18" s="4"/>
      <c r="C18" s="16"/>
      <c r="D18" s="519"/>
      <c r="E18" s="410"/>
      <c r="F18" s="313"/>
      <c r="G18" s="256"/>
      <c r="H18" s="313"/>
      <c r="I18" s="456"/>
      <c r="J18" s="272" t="b">
        <f>Age_Sex23[[#This Row],[Total Spending After Applying Truncation at the Member Level]]+Age_Sex23[[#This Row],[Total Dollars Excluded from Spending After Applying Truncation at the Member Level]]=Age_Sex23[[#This Row],[Total Spending before Truncation is Applied]]</f>
        <v>1</v>
      </c>
    </row>
    <row r="19" spans="1:10" x14ac:dyDescent="0.25">
      <c r="A19" s="386"/>
      <c r="B19" s="310"/>
      <c r="C19" s="311"/>
      <c r="D19" s="518"/>
      <c r="E19" s="409"/>
      <c r="F19" s="312"/>
      <c r="G19" s="522"/>
      <c r="H19" s="312"/>
      <c r="I19" s="455"/>
      <c r="J19" s="272" t="b">
        <f>Age_Sex23[[#This Row],[Total Spending After Applying Truncation at the Member Level]]+Age_Sex23[[#This Row],[Total Dollars Excluded from Spending After Applying Truncation at the Member Level]]=Age_Sex23[[#This Row],[Total Spending before Truncation is Applied]]</f>
        <v>1</v>
      </c>
    </row>
    <row r="20" spans="1:10" x14ac:dyDescent="0.25">
      <c r="A20" s="389"/>
      <c r="B20" s="4"/>
      <c r="C20" s="16"/>
      <c r="D20" s="519"/>
      <c r="E20" s="410"/>
      <c r="F20" s="313"/>
      <c r="G20" s="256"/>
      <c r="H20" s="313"/>
      <c r="I20" s="456"/>
      <c r="J20" s="272" t="b">
        <f>Age_Sex23[[#This Row],[Total Spending After Applying Truncation at the Member Level]]+Age_Sex23[[#This Row],[Total Dollars Excluded from Spending After Applying Truncation at the Member Level]]=Age_Sex23[[#This Row],[Total Spending before Truncation is Applied]]</f>
        <v>1</v>
      </c>
    </row>
    <row r="21" spans="1:10" x14ac:dyDescent="0.25">
      <c r="A21" s="386"/>
      <c r="B21" s="310"/>
      <c r="C21" s="311"/>
      <c r="D21" s="518"/>
      <c r="E21" s="409"/>
      <c r="F21" s="312"/>
      <c r="G21" s="522"/>
      <c r="H21" s="312"/>
      <c r="I21" s="455"/>
      <c r="J21" s="272" t="b">
        <f>Age_Sex23[[#This Row],[Total Spending After Applying Truncation at the Member Level]]+Age_Sex23[[#This Row],[Total Dollars Excluded from Spending After Applying Truncation at the Member Level]]=Age_Sex23[[#This Row],[Total Spending before Truncation is Applied]]</f>
        <v>1</v>
      </c>
    </row>
    <row r="22" spans="1:10" x14ac:dyDescent="0.25">
      <c r="A22" s="389"/>
      <c r="B22" s="4"/>
      <c r="C22" s="16"/>
      <c r="D22" s="519"/>
      <c r="E22" s="410"/>
      <c r="F22" s="313"/>
      <c r="G22" s="256"/>
      <c r="H22" s="313"/>
      <c r="I22" s="456"/>
      <c r="J22" s="272" t="b">
        <f>Age_Sex23[[#This Row],[Total Spending After Applying Truncation at the Member Level]]+Age_Sex23[[#This Row],[Total Dollars Excluded from Spending After Applying Truncation at the Member Level]]=Age_Sex23[[#This Row],[Total Spending before Truncation is Applied]]</f>
        <v>1</v>
      </c>
    </row>
    <row r="23" spans="1:10" x14ac:dyDescent="0.25">
      <c r="A23" s="386"/>
      <c r="B23" s="310"/>
      <c r="C23" s="311"/>
      <c r="D23" s="518"/>
      <c r="E23" s="409"/>
      <c r="F23" s="312"/>
      <c r="G23" s="522"/>
      <c r="H23" s="312"/>
      <c r="I23" s="455"/>
      <c r="J23" s="272" t="b">
        <f>Age_Sex23[[#This Row],[Total Spending After Applying Truncation at the Member Level]]+Age_Sex23[[#This Row],[Total Dollars Excluded from Spending After Applying Truncation at the Member Level]]=Age_Sex23[[#This Row],[Total Spending before Truncation is Applied]]</f>
        <v>1</v>
      </c>
    </row>
    <row r="24" spans="1:10" x14ac:dyDescent="0.25">
      <c r="A24" s="389"/>
      <c r="B24" s="4"/>
      <c r="C24" s="16"/>
      <c r="D24" s="519"/>
      <c r="E24" s="410"/>
      <c r="F24" s="313"/>
      <c r="G24" s="256"/>
      <c r="H24" s="313"/>
      <c r="I24" s="456"/>
      <c r="J24" s="272" t="b">
        <f>Age_Sex23[[#This Row],[Total Spending After Applying Truncation at the Member Level]]+Age_Sex23[[#This Row],[Total Dollars Excluded from Spending After Applying Truncation at the Member Level]]=Age_Sex23[[#This Row],[Total Spending before Truncation is Applied]]</f>
        <v>1</v>
      </c>
    </row>
    <row r="25" spans="1:10" x14ac:dyDescent="0.25">
      <c r="A25" s="386"/>
      <c r="B25" s="310"/>
      <c r="C25" s="311"/>
      <c r="D25" s="518"/>
      <c r="E25" s="409"/>
      <c r="F25" s="312"/>
      <c r="G25" s="522"/>
      <c r="H25" s="312"/>
      <c r="I25" s="455"/>
      <c r="J25" s="272" t="b">
        <f>Age_Sex23[[#This Row],[Total Spending After Applying Truncation at the Member Level]]+Age_Sex23[[#This Row],[Total Dollars Excluded from Spending After Applying Truncation at the Member Level]]=Age_Sex23[[#This Row],[Total Spending before Truncation is Applied]]</f>
        <v>1</v>
      </c>
    </row>
    <row r="26" spans="1:10" x14ac:dyDescent="0.25">
      <c r="A26" s="389"/>
      <c r="B26" s="4"/>
      <c r="C26" s="16"/>
      <c r="D26" s="519"/>
      <c r="E26" s="410"/>
      <c r="F26" s="313"/>
      <c r="G26" s="256"/>
      <c r="H26" s="313"/>
      <c r="I26" s="456"/>
      <c r="J26" s="272" t="b">
        <f>Age_Sex23[[#This Row],[Total Spending After Applying Truncation at the Member Level]]+Age_Sex23[[#This Row],[Total Dollars Excluded from Spending After Applying Truncation at the Member Level]]=Age_Sex23[[#This Row],[Total Spending before Truncation is Applied]]</f>
        <v>1</v>
      </c>
    </row>
    <row r="27" spans="1:10" x14ac:dyDescent="0.25">
      <c r="A27" s="386"/>
      <c r="B27" s="310"/>
      <c r="C27" s="311"/>
      <c r="D27" s="518"/>
      <c r="E27" s="409"/>
      <c r="F27" s="312"/>
      <c r="G27" s="522"/>
      <c r="H27" s="312"/>
      <c r="I27" s="455"/>
      <c r="J27" s="272" t="b">
        <f>Age_Sex23[[#This Row],[Total Spending After Applying Truncation at the Member Level]]+Age_Sex23[[#This Row],[Total Dollars Excluded from Spending After Applying Truncation at the Member Level]]=Age_Sex23[[#This Row],[Total Spending before Truncation is Applied]]</f>
        <v>1</v>
      </c>
    </row>
    <row r="28" spans="1:10" x14ac:dyDescent="0.25">
      <c r="A28" s="389"/>
      <c r="B28" s="4"/>
      <c r="C28" s="16"/>
      <c r="D28" s="519"/>
      <c r="E28" s="410"/>
      <c r="F28" s="313"/>
      <c r="G28" s="256"/>
      <c r="H28" s="313"/>
      <c r="I28" s="456"/>
      <c r="J28" s="272" t="b">
        <f>Age_Sex23[[#This Row],[Total Spending After Applying Truncation at the Member Level]]+Age_Sex23[[#This Row],[Total Dollars Excluded from Spending After Applying Truncation at the Member Level]]=Age_Sex23[[#This Row],[Total Spending before Truncation is Applied]]</f>
        <v>1</v>
      </c>
    </row>
    <row r="29" spans="1:10" x14ac:dyDescent="0.25">
      <c r="A29" s="386"/>
      <c r="B29" s="310"/>
      <c r="C29" s="311"/>
      <c r="D29" s="518"/>
      <c r="E29" s="409"/>
      <c r="F29" s="312"/>
      <c r="G29" s="522"/>
      <c r="H29" s="312"/>
      <c r="I29" s="455"/>
      <c r="J29" s="272" t="b">
        <f>Age_Sex23[[#This Row],[Total Spending After Applying Truncation at the Member Level]]+Age_Sex23[[#This Row],[Total Dollars Excluded from Spending After Applying Truncation at the Member Level]]=Age_Sex23[[#This Row],[Total Spending before Truncation is Applied]]</f>
        <v>1</v>
      </c>
    </row>
    <row r="30" spans="1:10" x14ac:dyDescent="0.25">
      <c r="A30" s="389"/>
      <c r="B30" s="4"/>
      <c r="C30" s="16"/>
      <c r="D30" s="519"/>
      <c r="E30" s="410"/>
      <c r="F30" s="313"/>
      <c r="G30" s="256"/>
      <c r="H30" s="313"/>
      <c r="I30" s="456"/>
      <c r="J30" s="272" t="b">
        <f>Age_Sex23[[#This Row],[Total Spending After Applying Truncation at the Member Level]]+Age_Sex23[[#This Row],[Total Dollars Excluded from Spending After Applying Truncation at the Member Level]]=Age_Sex23[[#This Row],[Total Spending before Truncation is Applied]]</f>
        <v>1</v>
      </c>
    </row>
    <row r="31" spans="1:10" x14ac:dyDescent="0.25">
      <c r="A31" s="386"/>
      <c r="B31" s="310"/>
      <c r="C31" s="311"/>
      <c r="D31" s="518"/>
      <c r="E31" s="409"/>
      <c r="F31" s="312"/>
      <c r="G31" s="522"/>
      <c r="H31" s="312"/>
      <c r="I31" s="455"/>
      <c r="J31" s="272" t="b">
        <f>Age_Sex23[[#This Row],[Total Spending After Applying Truncation at the Member Level]]+Age_Sex23[[#This Row],[Total Dollars Excluded from Spending After Applying Truncation at the Member Level]]=Age_Sex23[[#This Row],[Total Spending before Truncation is Applied]]</f>
        <v>1</v>
      </c>
    </row>
    <row r="32" spans="1:10" x14ac:dyDescent="0.25">
      <c r="A32" s="389"/>
      <c r="B32" s="4"/>
      <c r="C32" s="16"/>
      <c r="D32" s="519"/>
      <c r="E32" s="410"/>
      <c r="F32" s="313"/>
      <c r="G32" s="256"/>
      <c r="H32" s="313"/>
      <c r="I32" s="456"/>
      <c r="J32" s="272" t="b">
        <f>Age_Sex23[[#This Row],[Total Spending After Applying Truncation at the Member Level]]+Age_Sex23[[#This Row],[Total Dollars Excluded from Spending After Applying Truncation at the Member Level]]=Age_Sex23[[#This Row],[Total Spending before Truncation is Applied]]</f>
        <v>1</v>
      </c>
    </row>
    <row r="33" spans="1:10" x14ac:dyDescent="0.25">
      <c r="A33" s="386"/>
      <c r="B33" s="310"/>
      <c r="C33" s="311"/>
      <c r="D33" s="518"/>
      <c r="E33" s="409"/>
      <c r="F33" s="312"/>
      <c r="G33" s="522"/>
      <c r="H33" s="312"/>
      <c r="I33" s="455"/>
      <c r="J33" s="272" t="b">
        <f>Age_Sex23[[#This Row],[Total Spending After Applying Truncation at the Member Level]]+Age_Sex23[[#This Row],[Total Dollars Excluded from Spending After Applying Truncation at the Member Level]]=Age_Sex23[[#This Row],[Total Spending before Truncation is Applied]]</f>
        <v>1</v>
      </c>
    </row>
    <row r="34" spans="1:10" x14ac:dyDescent="0.25">
      <c r="A34" s="389"/>
      <c r="B34" s="4"/>
      <c r="C34" s="16"/>
      <c r="D34" s="519"/>
      <c r="E34" s="410"/>
      <c r="F34" s="313"/>
      <c r="G34" s="256"/>
      <c r="H34" s="313"/>
      <c r="I34" s="456"/>
      <c r="J34" s="272" t="b">
        <f>Age_Sex23[[#This Row],[Total Spending After Applying Truncation at the Member Level]]+Age_Sex23[[#This Row],[Total Dollars Excluded from Spending After Applying Truncation at the Member Level]]=Age_Sex23[[#This Row],[Total Spending before Truncation is Applied]]</f>
        <v>1</v>
      </c>
    </row>
    <row r="35" spans="1:10" x14ac:dyDescent="0.25">
      <c r="A35" s="386"/>
      <c r="B35" s="310"/>
      <c r="C35" s="311"/>
      <c r="D35" s="518"/>
      <c r="E35" s="409"/>
      <c r="F35" s="312"/>
      <c r="G35" s="522"/>
      <c r="H35" s="312"/>
      <c r="I35" s="455"/>
      <c r="J35" s="272" t="b">
        <f>Age_Sex23[[#This Row],[Total Spending After Applying Truncation at the Member Level]]+Age_Sex23[[#This Row],[Total Dollars Excluded from Spending After Applying Truncation at the Member Level]]=Age_Sex23[[#This Row],[Total Spending before Truncation is Applied]]</f>
        <v>1</v>
      </c>
    </row>
    <row r="36" spans="1:10" x14ac:dyDescent="0.25">
      <c r="A36" s="389"/>
      <c r="B36" s="4"/>
      <c r="C36" s="16"/>
      <c r="D36" s="519"/>
      <c r="E36" s="410"/>
      <c r="F36" s="313"/>
      <c r="G36" s="256"/>
      <c r="H36" s="313"/>
      <c r="I36" s="456"/>
      <c r="J36" s="272" t="b">
        <f>Age_Sex23[[#This Row],[Total Spending After Applying Truncation at the Member Level]]+Age_Sex23[[#This Row],[Total Dollars Excluded from Spending After Applying Truncation at the Member Level]]=Age_Sex23[[#This Row],[Total Spending before Truncation is Applied]]</f>
        <v>1</v>
      </c>
    </row>
    <row r="37" spans="1:10" x14ac:dyDescent="0.25">
      <c r="A37" s="386"/>
      <c r="B37" s="310"/>
      <c r="C37" s="311"/>
      <c r="D37" s="518"/>
      <c r="E37" s="409"/>
      <c r="F37" s="312"/>
      <c r="G37" s="522"/>
      <c r="H37" s="312"/>
      <c r="I37" s="455"/>
      <c r="J37" s="272" t="b">
        <f>Age_Sex23[[#This Row],[Total Spending After Applying Truncation at the Member Level]]+Age_Sex23[[#This Row],[Total Dollars Excluded from Spending After Applying Truncation at the Member Level]]=Age_Sex23[[#This Row],[Total Spending before Truncation is Applied]]</f>
        <v>1</v>
      </c>
    </row>
    <row r="38" spans="1:10" x14ac:dyDescent="0.25">
      <c r="A38" s="389"/>
      <c r="B38" s="4"/>
      <c r="C38" s="16"/>
      <c r="D38" s="519"/>
      <c r="E38" s="410"/>
      <c r="F38" s="313"/>
      <c r="G38" s="256"/>
      <c r="H38" s="313"/>
      <c r="I38" s="456"/>
      <c r="J38" s="272" t="b">
        <f>Age_Sex23[[#This Row],[Total Spending After Applying Truncation at the Member Level]]+Age_Sex23[[#This Row],[Total Dollars Excluded from Spending After Applying Truncation at the Member Level]]=Age_Sex23[[#This Row],[Total Spending before Truncation is Applied]]</f>
        <v>1</v>
      </c>
    </row>
    <row r="39" spans="1:10" x14ac:dyDescent="0.25">
      <c r="A39" s="386"/>
      <c r="B39" s="310"/>
      <c r="C39" s="311"/>
      <c r="D39" s="518"/>
      <c r="E39" s="409"/>
      <c r="F39" s="312"/>
      <c r="G39" s="522"/>
      <c r="H39" s="312"/>
      <c r="I39" s="455"/>
      <c r="J39" s="272" t="b">
        <f>Age_Sex23[[#This Row],[Total Spending After Applying Truncation at the Member Level]]+Age_Sex23[[#This Row],[Total Dollars Excluded from Spending After Applying Truncation at the Member Level]]=Age_Sex23[[#This Row],[Total Spending before Truncation is Applied]]</f>
        <v>1</v>
      </c>
    </row>
    <row r="40" spans="1:10" x14ac:dyDescent="0.25">
      <c r="A40" s="389"/>
      <c r="B40" s="4"/>
      <c r="C40" s="16"/>
      <c r="D40" s="519"/>
      <c r="E40" s="410"/>
      <c r="F40" s="313"/>
      <c r="G40" s="256"/>
      <c r="H40" s="313"/>
      <c r="I40" s="456"/>
      <c r="J40" s="272" t="b">
        <f>Age_Sex23[[#This Row],[Total Spending After Applying Truncation at the Member Level]]+Age_Sex23[[#This Row],[Total Dollars Excluded from Spending After Applying Truncation at the Member Level]]=Age_Sex23[[#This Row],[Total Spending before Truncation is Applied]]</f>
        <v>1</v>
      </c>
    </row>
    <row r="41" spans="1:10" x14ac:dyDescent="0.25">
      <c r="A41" s="386"/>
      <c r="B41" s="310"/>
      <c r="C41" s="311"/>
      <c r="D41" s="518"/>
      <c r="E41" s="409"/>
      <c r="F41" s="312"/>
      <c r="G41" s="522"/>
      <c r="H41" s="312"/>
      <c r="I41" s="455"/>
      <c r="J41" s="272" t="b">
        <f>Age_Sex23[[#This Row],[Total Spending After Applying Truncation at the Member Level]]+Age_Sex23[[#This Row],[Total Dollars Excluded from Spending After Applying Truncation at the Member Level]]=Age_Sex23[[#This Row],[Total Spending before Truncation is Applied]]</f>
        <v>1</v>
      </c>
    </row>
    <row r="42" spans="1:10" x14ac:dyDescent="0.25">
      <c r="A42" s="389"/>
      <c r="B42" s="4"/>
      <c r="C42" s="16"/>
      <c r="D42" s="519"/>
      <c r="E42" s="410"/>
      <c r="F42" s="313"/>
      <c r="G42" s="256"/>
      <c r="H42" s="313"/>
      <c r="I42" s="456"/>
      <c r="J42" s="272" t="b">
        <f>Age_Sex23[[#This Row],[Total Spending After Applying Truncation at the Member Level]]+Age_Sex23[[#This Row],[Total Dollars Excluded from Spending After Applying Truncation at the Member Level]]=Age_Sex23[[#This Row],[Total Spending before Truncation is Applied]]</f>
        <v>1</v>
      </c>
    </row>
    <row r="43" spans="1:10" x14ac:dyDescent="0.25">
      <c r="A43" s="386"/>
      <c r="B43" s="310"/>
      <c r="C43" s="311"/>
      <c r="D43" s="518"/>
      <c r="E43" s="409"/>
      <c r="F43" s="312"/>
      <c r="G43" s="522"/>
      <c r="H43" s="312"/>
      <c r="I43" s="455"/>
      <c r="J43" s="272" t="b">
        <f>Age_Sex23[[#This Row],[Total Spending After Applying Truncation at the Member Level]]+Age_Sex23[[#This Row],[Total Dollars Excluded from Spending After Applying Truncation at the Member Level]]=Age_Sex23[[#This Row],[Total Spending before Truncation is Applied]]</f>
        <v>1</v>
      </c>
    </row>
    <row r="44" spans="1:10" x14ac:dyDescent="0.25">
      <c r="A44" s="389"/>
      <c r="B44" s="4"/>
      <c r="C44" s="16"/>
      <c r="D44" s="519"/>
      <c r="E44" s="410"/>
      <c r="F44" s="313"/>
      <c r="G44" s="256"/>
      <c r="H44" s="313"/>
      <c r="I44" s="456"/>
      <c r="J44" s="272" t="b">
        <f>Age_Sex23[[#This Row],[Total Spending After Applying Truncation at the Member Level]]+Age_Sex23[[#This Row],[Total Dollars Excluded from Spending After Applying Truncation at the Member Level]]=Age_Sex23[[#This Row],[Total Spending before Truncation is Applied]]</f>
        <v>1</v>
      </c>
    </row>
    <row r="45" spans="1:10" x14ac:dyDescent="0.25">
      <c r="A45" s="386"/>
      <c r="B45" s="310"/>
      <c r="C45" s="311"/>
      <c r="D45" s="518"/>
      <c r="E45" s="409"/>
      <c r="F45" s="312"/>
      <c r="G45" s="522"/>
      <c r="H45" s="312"/>
      <c r="I45" s="455"/>
      <c r="J45" s="272" t="b">
        <f>Age_Sex23[[#This Row],[Total Spending After Applying Truncation at the Member Level]]+Age_Sex23[[#This Row],[Total Dollars Excluded from Spending After Applying Truncation at the Member Level]]=Age_Sex23[[#This Row],[Total Spending before Truncation is Applied]]</f>
        <v>1</v>
      </c>
    </row>
    <row r="46" spans="1:10" x14ac:dyDescent="0.25">
      <c r="A46" s="389"/>
      <c r="B46" s="4"/>
      <c r="C46" s="16"/>
      <c r="D46" s="519"/>
      <c r="E46" s="410"/>
      <c r="F46" s="313"/>
      <c r="G46" s="256"/>
      <c r="H46" s="313"/>
      <c r="I46" s="456"/>
      <c r="J46" s="272" t="b">
        <f>Age_Sex23[[#This Row],[Total Spending After Applying Truncation at the Member Level]]+Age_Sex23[[#This Row],[Total Dollars Excluded from Spending After Applying Truncation at the Member Level]]=Age_Sex23[[#This Row],[Total Spending before Truncation is Applied]]</f>
        <v>1</v>
      </c>
    </row>
    <row r="47" spans="1:10" x14ac:dyDescent="0.25">
      <c r="A47" s="386"/>
      <c r="B47" s="310"/>
      <c r="C47" s="311"/>
      <c r="D47" s="518"/>
      <c r="E47" s="409"/>
      <c r="F47" s="312"/>
      <c r="G47" s="522"/>
      <c r="H47" s="312"/>
      <c r="I47" s="455"/>
      <c r="J47" s="272" t="b">
        <f>Age_Sex23[[#This Row],[Total Spending After Applying Truncation at the Member Level]]+Age_Sex23[[#This Row],[Total Dollars Excluded from Spending After Applying Truncation at the Member Level]]=Age_Sex23[[#This Row],[Total Spending before Truncation is Applied]]</f>
        <v>1</v>
      </c>
    </row>
    <row r="48" spans="1:10" x14ac:dyDescent="0.25">
      <c r="A48" s="389"/>
      <c r="B48" s="4"/>
      <c r="C48" s="16"/>
      <c r="D48" s="519"/>
      <c r="E48" s="410"/>
      <c r="F48" s="313"/>
      <c r="G48" s="256"/>
      <c r="H48" s="313"/>
      <c r="I48" s="456"/>
      <c r="J48" s="272" t="b">
        <f>Age_Sex23[[#This Row],[Total Spending After Applying Truncation at the Member Level]]+Age_Sex23[[#This Row],[Total Dollars Excluded from Spending After Applying Truncation at the Member Level]]=Age_Sex23[[#This Row],[Total Spending before Truncation is Applied]]</f>
        <v>1</v>
      </c>
    </row>
    <row r="49" spans="1:10" x14ac:dyDescent="0.25">
      <c r="A49" s="386"/>
      <c r="B49" s="310"/>
      <c r="C49" s="311"/>
      <c r="D49" s="518"/>
      <c r="E49" s="409"/>
      <c r="F49" s="312"/>
      <c r="G49" s="522"/>
      <c r="H49" s="312"/>
      <c r="I49" s="455"/>
      <c r="J49" s="272" t="b">
        <f>Age_Sex23[[#This Row],[Total Spending After Applying Truncation at the Member Level]]+Age_Sex23[[#This Row],[Total Dollars Excluded from Spending After Applying Truncation at the Member Level]]=Age_Sex23[[#This Row],[Total Spending before Truncation is Applied]]</f>
        <v>1</v>
      </c>
    </row>
    <row r="50" spans="1:10" x14ac:dyDescent="0.25">
      <c r="A50" s="389"/>
      <c r="B50" s="4"/>
      <c r="C50" s="16"/>
      <c r="D50" s="519"/>
      <c r="E50" s="410"/>
      <c r="F50" s="313"/>
      <c r="G50" s="256"/>
      <c r="H50" s="313"/>
      <c r="I50" s="456"/>
      <c r="J50" s="272" t="b">
        <f>Age_Sex23[[#This Row],[Total Spending After Applying Truncation at the Member Level]]+Age_Sex23[[#This Row],[Total Dollars Excluded from Spending After Applying Truncation at the Member Level]]=Age_Sex23[[#This Row],[Total Spending before Truncation is Applied]]</f>
        <v>1</v>
      </c>
    </row>
    <row r="51" spans="1:10" x14ac:dyDescent="0.25">
      <c r="A51" s="386"/>
      <c r="B51" s="310"/>
      <c r="C51" s="311"/>
      <c r="D51" s="518"/>
      <c r="E51" s="409"/>
      <c r="F51" s="312"/>
      <c r="G51" s="522"/>
      <c r="H51" s="312"/>
      <c r="I51" s="455"/>
      <c r="J51" s="272" t="b">
        <f>Age_Sex23[[#This Row],[Total Spending After Applying Truncation at the Member Level]]+Age_Sex23[[#This Row],[Total Dollars Excluded from Spending After Applying Truncation at the Member Level]]=Age_Sex23[[#This Row],[Total Spending before Truncation is Applied]]</f>
        <v>1</v>
      </c>
    </row>
    <row r="52" spans="1:10" x14ac:dyDescent="0.25">
      <c r="A52" s="389"/>
      <c r="B52" s="4"/>
      <c r="C52" s="16"/>
      <c r="D52" s="519"/>
      <c r="E52" s="410"/>
      <c r="F52" s="313"/>
      <c r="G52" s="256"/>
      <c r="H52" s="313"/>
      <c r="I52" s="456"/>
      <c r="J52" s="272" t="b">
        <f>Age_Sex23[[#This Row],[Total Spending After Applying Truncation at the Member Level]]+Age_Sex23[[#This Row],[Total Dollars Excluded from Spending After Applying Truncation at the Member Level]]=Age_Sex23[[#This Row],[Total Spending before Truncation is Applied]]</f>
        <v>1</v>
      </c>
    </row>
    <row r="53" spans="1:10" x14ac:dyDescent="0.25">
      <c r="A53" s="386"/>
      <c r="B53" s="310"/>
      <c r="C53" s="311"/>
      <c r="D53" s="518"/>
      <c r="E53" s="409"/>
      <c r="F53" s="312"/>
      <c r="G53" s="522"/>
      <c r="H53" s="312"/>
      <c r="I53" s="455"/>
      <c r="J53" s="272" t="b">
        <f>Age_Sex23[[#This Row],[Total Spending After Applying Truncation at the Member Level]]+Age_Sex23[[#This Row],[Total Dollars Excluded from Spending After Applying Truncation at the Member Level]]=Age_Sex23[[#This Row],[Total Spending before Truncation is Applied]]</f>
        <v>1</v>
      </c>
    </row>
    <row r="54" spans="1:10" x14ac:dyDescent="0.25">
      <c r="A54" s="389"/>
      <c r="B54" s="4"/>
      <c r="C54" s="16"/>
      <c r="D54" s="519"/>
      <c r="E54" s="410"/>
      <c r="F54" s="313"/>
      <c r="G54" s="256"/>
      <c r="H54" s="313"/>
      <c r="I54" s="456"/>
      <c r="J54" s="272" t="b">
        <f>Age_Sex23[[#This Row],[Total Spending After Applying Truncation at the Member Level]]+Age_Sex23[[#This Row],[Total Dollars Excluded from Spending After Applying Truncation at the Member Level]]=Age_Sex23[[#This Row],[Total Spending before Truncation is Applied]]</f>
        <v>1</v>
      </c>
    </row>
    <row r="55" spans="1:10" x14ac:dyDescent="0.25">
      <c r="A55" s="386"/>
      <c r="B55" s="310"/>
      <c r="C55" s="311"/>
      <c r="D55" s="518"/>
      <c r="E55" s="409"/>
      <c r="F55" s="312"/>
      <c r="G55" s="522"/>
      <c r="H55" s="312"/>
      <c r="I55" s="455"/>
      <c r="J55" s="272" t="b">
        <f>Age_Sex23[[#This Row],[Total Spending After Applying Truncation at the Member Level]]+Age_Sex23[[#This Row],[Total Dollars Excluded from Spending After Applying Truncation at the Member Level]]=Age_Sex23[[#This Row],[Total Spending before Truncation is Applied]]</f>
        <v>1</v>
      </c>
    </row>
    <row r="56" spans="1:10" x14ac:dyDescent="0.25">
      <c r="A56" s="389"/>
      <c r="B56" s="4"/>
      <c r="C56" s="16"/>
      <c r="D56" s="519"/>
      <c r="E56" s="410"/>
      <c r="F56" s="313"/>
      <c r="G56" s="256"/>
      <c r="H56" s="313"/>
      <c r="I56" s="456"/>
      <c r="J56" s="272" t="b">
        <f>Age_Sex23[[#This Row],[Total Spending After Applying Truncation at the Member Level]]+Age_Sex23[[#This Row],[Total Dollars Excluded from Spending After Applying Truncation at the Member Level]]=Age_Sex23[[#This Row],[Total Spending before Truncation is Applied]]</f>
        <v>1</v>
      </c>
    </row>
    <row r="57" spans="1:10" x14ac:dyDescent="0.25">
      <c r="A57" s="386"/>
      <c r="B57" s="310"/>
      <c r="C57" s="311"/>
      <c r="D57" s="518"/>
      <c r="E57" s="409"/>
      <c r="F57" s="312"/>
      <c r="G57" s="522"/>
      <c r="H57" s="312"/>
      <c r="I57" s="455"/>
      <c r="J57" s="272" t="b">
        <f>Age_Sex23[[#This Row],[Total Spending After Applying Truncation at the Member Level]]+Age_Sex23[[#This Row],[Total Dollars Excluded from Spending After Applying Truncation at the Member Level]]=Age_Sex23[[#This Row],[Total Spending before Truncation is Applied]]</f>
        <v>1</v>
      </c>
    </row>
    <row r="58" spans="1:10" x14ac:dyDescent="0.25">
      <c r="A58" s="389"/>
      <c r="B58" s="4"/>
      <c r="C58" s="16"/>
      <c r="D58" s="519"/>
      <c r="E58" s="410"/>
      <c r="F58" s="313"/>
      <c r="G58" s="256"/>
      <c r="H58" s="313"/>
      <c r="I58" s="456"/>
      <c r="J58" s="272" t="b">
        <f>Age_Sex23[[#This Row],[Total Spending After Applying Truncation at the Member Level]]+Age_Sex23[[#This Row],[Total Dollars Excluded from Spending After Applying Truncation at the Member Level]]=Age_Sex23[[#This Row],[Total Spending before Truncation is Applied]]</f>
        <v>1</v>
      </c>
    </row>
    <row r="59" spans="1:10" x14ac:dyDescent="0.25">
      <c r="A59" s="386"/>
      <c r="B59" s="310"/>
      <c r="C59" s="311"/>
      <c r="D59" s="518"/>
      <c r="E59" s="409"/>
      <c r="F59" s="312"/>
      <c r="G59" s="522"/>
      <c r="H59" s="312"/>
      <c r="I59" s="455"/>
      <c r="J59" s="272" t="b">
        <f>Age_Sex23[[#This Row],[Total Spending After Applying Truncation at the Member Level]]+Age_Sex23[[#This Row],[Total Dollars Excluded from Spending After Applying Truncation at the Member Level]]=Age_Sex23[[#This Row],[Total Spending before Truncation is Applied]]</f>
        <v>1</v>
      </c>
    </row>
    <row r="60" spans="1:10" x14ac:dyDescent="0.25">
      <c r="A60" s="389"/>
      <c r="B60" s="4"/>
      <c r="C60" s="16"/>
      <c r="D60" s="519"/>
      <c r="E60" s="410"/>
      <c r="F60" s="313"/>
      <c r="G60" s="256"/>
      <c r="H60" s="313"/>
      <c r="I60" s="456"/>
      <c r="J60" s="272" t="b">
        <f>Age_Sex23[[#This Row],[Total Spending After Applying Truncation at the Member Level]]+Age_Sex23[[#This Row],[Total Dollars Excluded from Spending After Applying Truncation at the Member Level]]=Age_Sex23[[#This Row],[Total Spending before Truncation is Applied]]</f>
        <v>1</v>
      </c>
    </row>
    <row r="61" spans="1:10" x14ac:dyDescent="0.25">
      <c r="A61" s="386"/>
      <c r="B61" s="310"/>
      <c r="C61" s="311"/>
      <c r="D61" s="518"/>
      <c r="E61" s="409"/>
      <c r="F61" s="312"/>
      <c r="G61" s="522"/>
      <c r="H61" s="312"/>
      <c r="I61" s="455"/>
      <c r="J61" s="272" t="b">
        <f>Age_Sex23[[#This Row],[Total Spending After Applying Truncation at the Member Level]]+Age_Sex23[[#This Row],[Total Dollars Excluded from Spending After Applying Truncation at the Member Level]]=Age_Sex23[[#This Row],[Total Spending before Truncation is Applied]]</f>
        <v>1</v>
      </c>
    </row>
    <row r="62" spans="1:10" x14ac:dyDescent="0.25">
      <c r="A62" s="389"/>
      <c r="B62" s="4"/>
      <c r="C62" s="16"/>
      <c r="D62" s="519"/>
      <c r="E62" s="410"/>
      <c r="F62" s="313"/>
      <c r="G62" s="256"/>
      <c r="H62" s="313"/>
      <c r="I62" s="456"/>
      <c r="J62" s="272" t="b">
        <f>Age_Sex23[[#This Row],[Total Spending After Applying Truncation at the Member Level]]+Age_Sex23[[#This Row],[Total Dollars Excluded from Spending After Applying Truncation at the Member Level]]=Age_Sex23[[#This Row],[Total Spending before Truncation is Applied]]</f>
        <v>1</v>
      </c>
    </row>
    <row r="63" spans="1:10" x14ac:dyDescent="0.25">
      <c r="A63" s="386"/>
      <c r="B63" s="310"/>
      <c r="C63" s="311"/>
      <c r="D63" s="518"/>
      <c r="E63" s="409"/>
      <c r="F63" s="312"/>
      <c r="G63" s="522"/>
      <c r="H63" s="312"/>
      <c r="I63" s="455"/>
      <c r="J63" s="272" t="b">
        <f>Age_Sex23[[#This Row],[Total Spending After Applying Truncation at the Member Level]]+Age_Sex23[[#This Row],[Total Dollars Excluded from Spending After Applying Truncation at the Member Level]]=Age_Sex23[[#This Row],[Total Spending before Truncation is Applied]]</f>
        <v>1</v>
      </c>
    </row>
    <row r="64" spans="1:10" x14ac:dyDescent="0.25">
      <c r="A64" s="389"/>
      <c r="B64" s="4"/>
      <c r="C64" s="16"/>
      <c r="D64" s="519"/>
      <c r="E64" s="410"/>
      <c r="F64" s="313"/>
      <c r="G64" s="256"/>
      <c r="H64" s="313"/>
      <c r="I64" s="456"/>
      <c r="J64" s="272" t="b">
        <f>Age_Sex23[[#This Row],[Total Spending After Applying Truncation at the Member Level]]+Age_Sex23[[#This Row],[Total Dollars Excluded from Spending After Applying Truncation at the Member Level]]=Age_Sex23[[#This Row],[Total Spending before Truncation is Applied]]</f>
        <v>1</v>
      </c>
    </row>
    <row r="65" spans="1:10" x14ac:dyDescent="0.25">
      <c r="A65" s="386"/>
      <c r="B65" s="310"/>
      <c r="C65" s="311"/>
      <c r="D65" s="518"/>
      <c r="E65" s="409"/>
      <c r="F65" s="312"/>
      <c r="G65" s="522"/>
      <c r="H65" s="312"/>
      <c r="I65" s="455"/>
      <c r="J65" s="272" t="b">
        <f>Age_Sex23[[#This Row],[Total Spending After Applying Truncation at the Member Level]]+Age_Sex23[[#This Row],[Total Dollars Excluded from Spending After Applying Truncation at the Member Level]]=Age_Sex23[[#This Row],[Total Spending before Truncation is Applied]]</f>
        <v>1</v>
      </c>
    </row>
    <row r="66" spans="1:10" x14ac:dyDescent="0.25">
      <c r="A66" s="389"/>
      <c r="B66" s="4"/>
      <c r="C66" s="16"/>
      <c r="D66" s="519"/>
      <c r="E66" s="410"/>
      <c r="F66" s="313"/>
      <c r="G66" s="256"/>
      <c r="H66" s="313"/>
      <c r="I66" s="456"/>
      <c r="J66" s="272" t="b">
        <f>Age_Sex23[[#This Row],[Total Spending After Applying Truncation at the Member Level]]+Age_Sex23[[#This Row],[Total Dollars Excluded from Spending After Applying Truncation at the Member Level]]=Age_Sex23[[#This Row],[Total Spending before Truncation is Applied]]</f>
        <v>1</v>
      </c>
    </row>
    <row r="67" spans="1:10" x14ac:dyDescent="0.25">
      <c r="A67" s="386"/>
      <c r="B67" s="310"/>
      <c r="C67" s="311"/>
      <c r="D67" s="518"/>
      <c r="E67" s="409"/>
      <c r="F67" s="312"/>
      <c r="G67" s="522"/>
      <c r="H67" s="312"/>
      <c r="I67" s="455"/>
      <c r="J67" s="272" t="b">
        <f>Age_Sex23[[#This Row],[Total Spending After Applying Truncation at the Member Level]]+Age_Sex23[[#This Row],[Total Dollars Excluded from Spending After Applying Truncation at the Member Level]]=Age_Sex23[[#This Row],[Total Spending before Truncation is Applied]]</f>
        <v>1</v>
      </c>
    </row>
    <row r="68" spans="1:10" x14ac:dyDescent="0.25">
      <c r="A68" s="389"/>
      <c r="B68" s="4"/>
      <c r="C68" s="16"/>
      <c r="D68" s="519"/>
      <c r="E68" s="410"/>
      <c r="F68" s="313"/>
      <c r="G68" s="256"/>
      <c r="H68" s="313"/>
      <c r="I68" s="456"/>
      <c r="J68" s="272" t="b">
        <f>Age_Sex23[[#This Row],[Total Spending After Applying Truncation at the Member Level]]+Age_Sex23[[#This Row],[Total Dollars Excluded from Spending After Applying Truncation at the Member Level]]=Age_Sex23[[#This Row],[Total Spending before Truncation is Applied]]</f>
        <v>1</v>
      </c>
    </row>
    <row r="69" spans="1:10" x14ac:dyDescent="0.25">
      <c r="A69" s="386"/>
      <c r="B69" s="310"/>
      <c r="C69" s="311"/>
      <c r="D69" s="518"/>
      <c r="E69" s="409"/>
      <c r="F69" s="312"/>
      <c r="G69" s="522"/>
      <c r="H69" s="312"/>
      <c r="I69" s="455"/>
      <c r="J69" s="272" t="b">
        <f>Age_Sex23[[#This Row],[Total Spending After Applying Truncation at the Member Level]]+Age_Sex23[[#This Row],[Total Dollars Excluded from Spending After Applying Truncation at the Member Level]]=Age_Sex23[[#This Row],[Total Spending before Truncation is Applied]]</f>
        <v>1</v>
      </c>
    </row>
    <row r="70" spans="1:10" x14ac:dyDescent="0.25">
      <c r="A70" s="389"/>
      <c r="B70" s="4"/>
      <c r="C70" s="16"/>
      <c r="D70" s="519"/>
      <c r="E70" s="410"/>
      <c r="F70" s="313"/>
      <c r="G70" s="256"/>
      <c r="H70" s="313"/>
      <c r="I70" s="456"/>
      <c r="J70" s="272" t="b">
        <f>Age_Sex23[[#This Row],[Total Spending After Applying Truncation at the Member Level]]+Age_Sex23[[#This Row],[Total Dollars Excluded from Spending After Applying Truncation at the Member Level]]=Age_Sex23[[#This Row],[Total Spending before Truncation is Applied]]</f>
        <v>1</v>
      </c>
    </row>
    <row r="71" spans="1:10" x14ac:dyDescent="0.25">
      <c r="A71" s="386"/>
      <c r="B71" s="310"/>
      <c r="C71" s="311"/>
      <c r="D71" s="518"/>
      <c r="E71" s="409"/>
      <c r="F71" s="312"/>
      <c r="G71" s="522"/>
      <c r="H71" s="312"/>
      <c r="I71" s="455"/>
      <c r="J71" s="272" t="b">
        <f>Age_Sex23[[#This Row],[Total Spending After Applying Truncation at the Member Level]]+Age_Sex23[[#This Row],[Total Dollars Excluded from Spending After Applying Truncation at the Member Level]]=Age_Sex23[[#This Row],[Total Spending before Truncation is Applied]]</f>
        <v>1</v>
      </c>
    </row>
    <row r="72" spans="1:10" x14ac:dyDescent="0.25">
      <c r="A72" s="389"/>
      <c r="B72" s="4"/>
      <c r="C72" s="16"/>
      <c r="D72" s="519"/>
      <c r="E72" s="410"/>
      <c r="F72" s="313"/>
      <c r="G72" s="256"/>
      <c r="H72" s="313"/>
      <c r="I72" s="456"/>
      <c r="J72" s="272" t="b">
        <f>Age_Sex23[[#This Row],[Total Spending After Applying Truncation at the Member Level]]+Age_Sex23[[#This Row],[Total Dollars Excluded from Spending After Applying Truncation at the Member Level]]=Age_Sex23[[#This Row],[Total Spending before Truncation is Applied]]</f>
        <v>1</v>
      </c>
    </row>
    <row r="73" spans="1:10" x14ac:dyDescent="0.25">
      <c r="A73" s="386"/>
      <c r="B73" s="310"/>
      <c r="C73" s="311"/>
      <c r="D73" s="518"/>
      <c r="E73" s="409"/>
      <c r="F73" s="312"/>
      <c r="G73" s="522"/>
      <c r="H73" s="312"/>
      <c r="I73" s="455"/>
      <c r="J73" s="272" t="b">
        <f>Age_Sex23[[#This Row],[Total Spending After Applying Truncation at the Member Level]]+Age_Sex23[[#This Row],[Total Dollars Excluded from Spending After Applying Truncation at the Member Level]]=Age_Sex23[[#This Row],[Total Spending before Truncation is Applied]]</f>
        <v>1</v>
      </c>
    </row>
    <row r="74" spans="1:10" x14ac:dyDescent="0.25">
      <c r="A74" s="389"/>
      <c r="B74" s="4"/>
      <c r="C74" s="16"/>
      <c r="D74" s="519"/>
      <c r="E74" s="410"/>
      <c r="F74" s="313"/>
      <c r="G74" s="256"/>
      <c r="H74" s="313"/>
      <c r="I74" s="456"/>
      <c r="J74" s="272" t="b">
        <f>Age_Sex23[[#This Row],[Total Spending After Applying Truncation at the Member Level]]+Age_Sex23[[#This Row],[Total Dollars Excluded from Spending After Applying Truncation at the Member Level]]=Age_Sex23[[#This Row],[Total Spending before Truncation is Applied]]</f>
        <v>1</v>
      </c>
    </row>
    <row r="75" spans="1:10" x14ac:dyDescent="0.25">
      <c r="A75" s="386"/>
      <c r="B75" s="310"/>
      <c r="C75" s="311"/>
      <c r="D75" s="518"/>
      <c r="E75" s="409"/>
      <c r="F75" s="312"/>
      <c r="G75" s="522"/>
      <c r="H75" s="312"/>
      <c r="I75" s="455"/>
      <c r="J75" s="272" t="b">
        <f>Age_Sex23[[#This Row],[Total Spending After Applying Truncation at the Member Level]]+Age_Sex23[[#This Row],[Total Dollars Excluded from Spending After Applying Truncation at the Member Level]]=Age_Sex23[[#This Row],[Total Spending before Truncation is Applied]]</f>
        <v>1</v>
      </c>
    </row>
    <row r="76" spans="1:10" x14ac:dyDescent="0.25">
      <c r="A76" s="389"/>
      <c r="B76" s="4"/>
      <c r="C76" s="16"/>
      <c r="D76" s="519"/>
      <c r="E76" s="410"/>
      <c r="F76" s="313"/>
      <c r="G76" s="256"/>
      <c r="H76" s="313"/>
      <c r="I76" s="456"/>
      <c r="J76" s="272" t="b">
        <f>Age_Sex23[[#This Row],[Total Spending After Applying Truncation at the Member Level]]+Age_Sex23[[#This Row],[Total Dollars Excluded from Spending After Applying Truncation at the Member Level]]=Age_Sex23[[#This Row],[Total Spending before Truncation is Applied]]</f>
        <v>1</v>
      </c>
    </row>
    <row r="77" spans="1:10" x14ac:dyDescent="0.25">
      <c r="A77" s="386"/>
      <c r="B77" s="310"/>
      <c r="C77" s="311"/>
      <c r="D77" s="518"/>
      <c r="E77" s="409"/>
      <c r="F77" s="312"/>
      <c r="G77" s="522"/>
      <c r="H77" s="312"/>
      <c r="I77" s="455"/>
      <c r="J77" s="272" t="b">
        <f>Age_Sex23[[#This Row],[Total Spending After Applying Truncation at the Member Level]]+Age_Sex23[[#This Row],[Total Dollars Excluded from Spending After Applying Truncation at the Member Level]]=Age_Sex23[[#This Row],[Total Spending before Truncation is Applied]]</f>
        <v>1</v>
      </c>
    </row>
    <row r="78" spans="1:10" x14ac:dyDescent="0.25">
      <c r="A78" s="389"/>
      <c r="B78" s="4"/>
      <c r="C78" s="16"/>
      <c r="D78" s="519"/>
      <c r="E78" s="410"/>
      <c r="F78" s="313"/>
      <c r="G78" s="256"/>
      <c r="H78" s="313"/>
      <c r="I78" s="456"/>
      <c r="J78" s="272" t="b">
        <f>Age_Sex23[[#This Row],[Total Spending After Applying Truncation at the Member Level]]+Age_Sex23[[#This Row],[Total Dollars Excluded from Spending After Applying Truncation at the Member Level]]=Age_Sex23[[#This Row],[Total Spending before Truncation is Applied]]</f>
        <v>1</v>
      </c>
    </row>
    <row r="79" spans="1:10" x14ac:dyDescent="0.25">
      <c r="A79" s="386"/>
      <c r="B79" s="310"/>
      <c r="C79" s="311"/>
      <c r="D79" s="518"/>
      <c r="E79" s="409"/>
      <c r="F79" s="312"/>
      <c r="G79" s="522"/>
      <c r="H79" s="312"/>
      <c r="I79" s="455"/>
      <c r="J79" s="272" t="b">
        <f>Age_Sex23[[#This Row],[Total Spending After Applying Truncation at the Member Level]]+Age_Sex23[[#This Row],[Total Dollars Excluded from Spending After Applying Truncation at the Member Level]]=Age_Sex23[[#This Row],[Total Spending before Truncation is Applied]]</f>
        <v>1</v>
      </c>
    </row>
    <row r="80" spans="1:10" x14ac:dyDescent="0.25">
      <c r="A80" s="389"/>
      <c r="B80" s="4"/>
      <c r="C80" s="16"/>
      <c r="D80" s="519"/>
      <c r="E80" s="410"/>
      <c r="F80" s="313"/>
      <c r="G80" s="256"/>
      <c r="H80" s="313"/>
      <c r="I80" s="456"/>
      <c r="J80" s="272" t="b">
        <f>Age_Sex23[[#This Row],[Total Spending After Applying Truncation at the Member Level]]+Age_Sex23[[#This Row],[Total Dollars Excluded from Spending After Applying Truncation at the Member Level]]=Age_Sex23[[#This Row],[Total Spending before Truncation is Applied]]</f>
        <v>1</v>
      </c>
    </row>
    <row r="81" spans="1:10" x14ac:dyDescent="0.25">
      <c r="A81" s="386"/>
      <c r="B81" s="310"/>
      <c r="C81" s="311"/>
      <c r="D81" s="518"/>
      <c r="E81" s="409"/>
      <c r="F81" s="312"/>
      <c r="G81" s="522"/>
      <c r="H81" s="312"/>
      <c r="I81" s="455"/>
      <c r="J81" s="272" t="b">
        <f>Age_Sex23[[#This Row],[Total Spending After Applying Truncation at the Member Level]]+Age_Sex23[[#This Row],[Total Dollars Excluded from Spending After Applying Truncation at the Member Level]]=Age_Sex23[[#This Row],[Total Spending before Truncation is Applied]]</f>
        <v>1</v>
      </c>
    </row>
    <row r="82" spans="1:10" x14ac:dyDescent="0.25">
      <c r="A82" s="389"/>
      <c r="B82" s="4"/>
      <c r="C82" s="16"/>
      <c r="D82" s="519"/>
      <c r="E82" s="410"/>
      <c r="F82" s="313"/>
      <c r="G82" s="256"/>
      <c r="H82" s="313"/>
      <c r="I82" s="456"/>
      <c r="J82" s="272" t="b">
        <f>Age_Sex23[[#This Row],[Total Spending After Applying Truncation at the Member Level]]+Age_Sex23[[#This Row],[Total Dollars Excluded from Spending After Applying Truncation at the Member Level]]=Age_Sex23[[#This Row],[Total Spending before Truncation is Applied]]</f>
        <v>1</v>
      </c>
    </row>
    <row r="83" spans="1:10" x14ac:dyDescent="0.25">
      <c r="A83" s="386"/>
      <c r="B83" s="310"/>
      <c r="C83" s="311"/>
      <c r="D83" s="518"/>
      <c r="E83" s="409"/>
      <c r="F83" s="312"/>
      <c r="G83" s="522"/>
      <c r="H83" s="312"/>
      <c r="I83" s="455"/>
      <c r="J83" s="272" t="b">
        <f>Age_Sex23[[#This Row],[Total Spending After Applying Truncation at the Member Level]]+Age_Sex23[[#This Row],[Total Dollars Excluded from Spending After Applying Truncation at the Member Level]]=Age_Sex23[[#This Row],[Total Spending before Truncation is Applied]]</f>
        <v>1</v>
      </c>
    </row>
    <row r="84" spans="1:10" x14ac:dyDescent="0.25">
      <c r="A84" s="389"/>
      <c r="B84" s="4"/>
      <c r="C84" s="16"/>
      <c r="D84" s="519"/>
      <c r="E84" s="410"/>
      <c r="F84" s="313"/>
      <c r="G84" s="256"/>
      <c r="H84" s="313"/>
      <c r="I84" s="456"/>
      <c r="J84" s="272" t="b">
        <f>Age_Sex23[[#This Row],[Total Spending After Applying Truncation at the Member Level]]+Age_Sex23[[#This Row],[Total Dollars Excluded from Spending After Applying Truncation at the Member Level]]=Age_Sex23[[#This Row],[Total Spending before Truncation is Applied]]</f>
        <v>1</v>
      </c>
    </row>
    <row r="85" spans="1:10" x14ac:dyDescent="0.25">
      <c r="A85" s="386"/>
      <c r="B85" s="310"/>
      <c r="C85" s="311"/>
      <c r="D85" s="518"/>
      <c r="E85" s="409"/>
      <c r="F85" s="312"/>
      <c r="G85" s="522"/>
      <c r="H85" s="312"/>
      <c r="I85" s="455"/>
      <c r="J85" s="272" t="b">
        <f>Age_Sex23[[#This Row],[Total Spending After Applying Truncation at the Member Level]]+Age_Sex23[[#This Row],[Total Dollars Excluded from Spending After Applying Truncation at the Member Level]]=Age_Sex23[[#This Row],[Total Spending before Truncation is Applied]]</f>
        <v>1</v>
      </c>
    </row>
    <row r="86" spans="1:10" x14ac:dyDescent="0.25">
      <c r="A86" s="389"/>
      <c r="B86" s="4"/>
      <c r="C86" s="16"/>
      <c r="D86" s="519"/>
      <c r="E86" s="410"/>
      <c r="F86" s="313"/>
      <c r="G86" s="256"/>
      <c r="H86" s="313"/>
      <c r="I86" s="456"/>
      <c r="J86" s="272" t="b">
        <f>Age_Sex23[[#This Row],[Total Spending After Applying Truncation at the Member Level]]+Age_Sex23[[#This Row],[Total Dollars Excluded from Spending After Applying Truncation at the Member Level]]=Age_Sex23[[#This Row],[Total Spending before Truncation is Applied]]</f>
        <v>1</v>
      </c>
    </row>
    <row r="87" spans="1:10" x14ac:dyDescent="0.25">
      <c r="A87" s="386"/>
      <c r="B87" s="310"/>
      <c r="C87" s="311"/>
      <c r="D87" s="518"/>
      <c r="E87" s="409"/>
      <c r="F87" s="312"/>
      <c r="G87" s="522"/>
      <c r="H87" s="312"/>
      <c r="I87" s="455"/>
      <c r="J87" s="272" t="b">
        <f>Age_Sex23[[#This Row],[Total Spending After Applying Truncation at the Member Level]]+Age_Sex23[[#This Row],[Total Dollars Excluded from Spending After Applying Truncation at the Member Level]]=Age_Sex23[[#This Row],[Total Spending before Truncation is Applied]]</f>
        <v>1</v>
      </c>
    </row>
    <row r="88" spans="1:10" x14ac:dyDescent="0.25">
      <c r="A88" s="389"/>
      <c r="B88" s="4"/>
      <c r="C88" s="16"/>
      <c r="D88" s="519"/>
      <c r="E88" s="410"/>
      <c r="F88" s="313"/>
      <c r="G88" s="256"/>
      <c r="H88" s="313"/>
      <c r="I88" s="456"/>
      <c r="J88" s="272" t="b">
        <f>Age_Sex23[[#This Row],[Total Spending After Applying Truncation at the Member Level]]+Age_Sex23[[#This Row],[Total Dollars Excluded from Spending After Applying Truncation at the Member Level]]=Age_Sex23[[#This Row],[Total Spending before Truncation is Applied]]</f>
        <v>1</v>
      </c>
    </row>
    <row r="89" spans="1:10" x14ac:dyDescent="0.25">
      <c r="A89" s="386"/>
      <c r="B89" s="310"/>
      <c r="C89" s="311"/>
      <c r="D89" s="518"/>
      <c r="E89" s="409"/>
      <c r="F89" s="312"/>
      <c r="G89" s="522"/>
      <c r="H89" s="312"/>
      <c r="I89" s="455"/>
      <c r="J89" s="272" t="b">
        <f>Age_Sex23[[#This Row],[Total Spending After Applying Truncation at the Member Level]]+Age_Sex23[[#This Row],[Total Dollars Excluded from Spending After Applying Truncation at the Member Level]]=Age_Sex23[[#This Row],[Total Spending before Truncation is Applied]]</f>
        <v>1</v>
      </c>
    </row>
    <row r="90" spans="1:10" x14ac:dyDescent="0.25">
      <c r="A90" s="389"/>
      <c r="B90" s="4"/>
      <c r="C90" s="16"/>
      <c r="D90" s="519"/>
      <c r="E90" s="410"/>
      <c r="F90" s="313"/>
      <c r="G90" s="256"/>
      <c r="H90" s="313"/>
      <c r="I90" s="456"/>
      <c r="J90" s="272" t="b">
        <f>Age_Sex23[[#This Row],[Total Spending After Applying Truncation at the Member Level]]+Age_Sex23[[#This Row],[Total Dollars Excluded from Spending After Applying Truncation at the Member Level]]=Age_Sex23[[#This Row],[Total Spending before Truncation is Applied]]</f>
        <v>1</v>
      </c>
    </row>
    <row r="91" spans="1:10" x14ac:dyDescent="0.25">
      <c r="A91" s="386"/>
      <c r="B91" s="310"/>
      <c r="C91" s="311"/>
      <c r="D91" s="518"/>
      <c r="E91" s="409"/>
      <c r="F91" s="312"/>
      <c r="G91" s="522"/>
      <c r="H91" s="312"/>
      <c r="I91" s="455"/>
      <c r="J91" s="272" t="b">
        <f>Age_Sex23[[#This Row],[Total Spending After Applying Truncation at the Member Level]]+Age_Sex23[[#This Row],[Total Dollars Excluded from Spending After Applying Truncation at the Member Level]]=Age_Sex23[[#This Row],[Total Spending before Truncation is Applied]]</f>
        <v>1</v>
      </c>
    </row>
    <row r="92" spans="1:10" x14ac:dyDescent="0.25">
      <c r="A92" s="389"/>
      <c r="B92" s="4"/>
      <c r="C92" s="16"/>
      <c r="D92" s="519"/>
      <c r="E92" s="410"/>
      <c r="F92" s="313"/>
      <c r="G92" s="256"/>
      <c r="H92" s="313"/>
      <c r="I92" s="456"/>
      <c r="J92" s="272" t="b">
        <f>Age_Sex23[[#This Row],[Total Spending After Applying Truncation at the Member Level]]+Age_Sex23[[#This Row],[Total Dollars Excluded from Spending After Applying Truncation at the Member Level]]=Age_Sex23[[#This Row],[Total Spending before Truncation is Applied]]</f>
        <v>1</v>
      </c>
    </row>
    <row r="93" spans="1:10" x14ac:dyDescent="0.25">
      <c r="A93" s="386"/>
      <c r="B93" s="310"/>
      <c r="C93" s="311"/>
      <c r="D93" s="518"/>
      <c r="E93" s="409"/>
      <c r="F93" s="312"/>
      <c r="G93" s="522"/>
      <c r="H93" s="312"/>
      <c r="I93" s="455"/>
      <c r="J93" s="272" t="b">
        <f>Age_Sex23[[#This Row],[Total Spending After Applying Truncation at the Member Level]]+Age_Sex23[[#This Row],[Total Dollars Excluded from Spending After Applying Truncation at the Member Level]]=Age_Sex23[[#This Row],[Total Spending before Truncation is Applied]]</f>
        <v>1</v>
      </c>
    </row>
    <row r="94" spans="1:10" x14ac:dyDescent="0.25">
      <c r="A94" s="389"/>
      <c r="B94" s="4"/>
      <c r="C94" s="16"/>
      <c r="D94" s="519"/>
      <c r="E94" s="410"/>
      <c r="F94" s="313"/>
      <c r="G94" s="256"/>
      <c r="H94" s="313"/>
      <c r="I94" s="456"/>
      <c r="J94" s="272" t="b">
        <f>Age_Sex23[[#This Row],[Total Spending After Applying Truncation at the Member Level]]+Age_Sex23[[#This Row],[Total Dollars Excluded from Spending After Applying Truncation at the Member Level]]=Age_Sex23[[#This Row],[Total Spending before Truncation is Applied]]</f>
        <v>1</v>
      </c>
    </row>
    <row r="95" spans="1:10" x14ac:dyDescent="0.25">
      <c r="A95" s="386"/>
      <c r="B95" s="310"/>
      <c r="C95" s="311"/>
      <c r="D95" s="518"/>
      <c r="E95" s="409"/>
      <c r="F95" s="312"/>
      <c r="G95" s="522"/>
      <c r="H95" s="312"/>
      <c r="I95" s="455"/>
      <c r="J95" s="272" t="b">
        <f>Age_Sex23[[#This Row],[Total Spending After Applying Truncation at the Member Level]]+Age_Sex23[[#This Row],[Total Dollars Excluded from Spending After Applying Truncation at the Member Level]]=Age_Sex23[[#This Row],[Total Spending before Truncation is Applied]]</f>
        <v>1</v>
      </c>
    </row>
    <row r="96" spans="1:10" x14ac:dyDescent="0.25">
      <c r="A96" s="389"/>
      <c r="B96" s="4"/>
      <c r="C96" s="16"/>
      <c r="D96" s="519"/>
      <c r="E96" s="410"/>
      <c r="F96" s="313"/>
      <c r="G96" s="256"/>
      <c r="H96" s="313"/>
      <c r="I96" s="456"/>
      <c r="J96" s="272" t="b">
        <f>Age_Sex23[[#This Row],[Total Spending After Applying Truncation at the Member Level]]+Age_Sex23[[#This Row],[Total Dollars Excluded from Spending After Applying Truncation at the Member Level]]=Age_Sex23[[#This Row],[Total Spending before Truncation is Applied]]</f>
        <v>1</v>
      </c>
    </row>
    <row r="97" spans="1:10" x14ac:dyDescent="0.25">
      <c r="A97" s="386"/>
      <c r="B97" s="310"/>
      <c r="C97" s="311"/>
      <c r="D97" s="518"/>
      <c r="E97" s="409"/>
      <c r="F97" s="312"/>
      <c r="G97" s="522"/>
      <c r="H97" s="312"/>
      <c r="I97" s="455"/>
      <c r="J97" s="272" t="b">
        <f>Age_Sex23[[#This Row],[Total Spending After Applying Truncation at the Member Level]]+Age_Sex23[[#This Row],[Total Dollars Excluded from Spending After Applying Truncation at the Member Level]]=Age_Sex23[[#This Row],[Total Spending before Truncation is Applied]]</f>
        <v>1</v>
      </c>
    </row>
    <row r="98" spans="1:10" x14ac:dyDescent="0.25">
      <c r="A98" s="389"/>
      <c r="B98" s="4"/>
      <c r="C98" s="16"/>
      <c r="D98" s="519"/>
      <c r="E98" s="410"/>
      <c r="F98" s="313"/>
      <c r="G98" s="256"/>
      <c r="H98" s="313"/>
      <c r="I98" s="456"/>
      <c r="J98" s="272" t="b">
        <f>Age_Sex23[[#This Row],[Total Spending After Applying Truncation at the Member Level]]+Age_Sex23[[#This Row],[Total Dollars Excluded from Spending After Applying Truncation at the Member Level]]=Age_Sex23[[#This Row],[Total Spending before Truncation is Applied]]</f>
        <v>1</v>
      </c>
    </row>
    <row r="99" spans="1:10" x14ac:dyDescent="0.25">
      <c r="A99" s="386"/>
      <c r="B99" s="310"/>
      <c r="C99" s="311"/>
      <c r="D99" s="518"/>
      <c r="E99" s="409"/>
      <c r="F99" s="312"/>
      <c r="G99" s="522"/>
      <c r="H99" s="312"/>
      <c r="I99" s="455"/>
      <c r="J99" s="272" t="b">
        <f>Age_Sex23[[#This Row],[Total Spending After Applying Truncation at the Member Level]]+Age_Sex23[[#This Row],[Total Dollars Excluded from Spending After Applying Truncation at the Member Level]]=Age_Sex23[[#This Row],[Total Spending before Truncation is Applied]]</f>
        <v>1</v>
      </c>
    </row>
    <row r="100" spans="1:10" x14ac:dyDescent="0.25">
      <c r="A100" s="389"/>
      <c r="B100" s="4"/>
      <c r="C100" s="16"/>
      <c r="D100" s="519"/>
      <c r="E100" s="410"/>
      <c r="F100" s="313"/>
      <c r="G100" s="256"/>
      <c r="H100" s="313"/>
      <c r="I100" s="456"/>
      <c r="J100" s="272" t="b">
        <f>Age_Sex23[[#This Row],[Total Spending After Applying Truncation at the Member Level]]+Age_Sex23[[#This Row],[Total Dollars Excluded from Spending After Applying Truncation at the Member Level]]=Age_Sex23[[#This Row],[Total Spending before Truncation is Applied]]</f>
        <v>1</v>
      </c>
    </row>
    <row r="101" spans="1:10" x14ac:dyDescent="0.25">
      <c r="A101" s="386"/>
      <c r="B101" s="310"/>
      <c r="C101" s="311"/>
      <c r="D101" s="518"/>
      <c r="E101" s="409"/>
      <c r="F101" s="312"/>
      <c r="G101" s="522"/>
      <c r="H101" s="312"/>
      <c r="I101" s="455"/>
      <c r="J101" s="272" t="b">
        <f>Age_Sex23[[#This Row],[Total Spending After Applying Truncation at the Member Level]]+Age_Sex23[[#This Row],[Total Dollars Excluded from Spending After Applying Truncation at the Member Level]]=Age_Sex23[[#This Row],[Total Spending before Truncation is Applied]]</f>
        <v>1</v>
      </c>
    </row>
    <row r="102" spans="1:10" x14ac:dyDescent="0.25">
      <c r="A102" s="389"/>
      <c r="B102" s="4"/>
      <c r="C102" s="16"/>
      <c r="D102" s="519"/>
      <c r="E102" s="410"/>
      <c r="F102" s="313"/>
      <c r="G102" s="256"/>
      <c r="H102" s="313"/>
      <c r="I102" s="456"/>
      <c r="J102" s="272" t="b">
        <f>Age_Sex23[[#This Row],[Total Spending After Applying Truncation at the Member Level]]+Age_Sex23[[#This Row],[Total Dollars Excluded from Spending After Applying Truncation at the Member Level]]=Age_Sex23[[#This Row],[Total Spending before Truncation is Applied]]</f>
        <v>1</v>
      </c>
    </row>
    <row r="103" spans="1:10" x14ac:dyDescent="0.25">
      <c r="A103" s="386"/>
      <c r="B103" s="310"/>
      <c r="C103" s="311"/>
      <c r="D103" s="518"/>
      <c r="E103" s="409"/>
      <c r="F103" s="312"/>
      <c r="G103" s="522"/>
      <c r="H103" s="312"/>
      <c r="I103" s="455"/>
      <c r="J103" s="272" t="b">
        <f>Age_Sex23[[#This Row],[Total Spending After Applying Truncation at the Member Level]]+Age_Sex23[[#This Row],[Total Dollars Excluded from Spending After Applying Truncation at the Member Level]]=Age_Sex23[[#This Row],[Total Spending before Truncation is Applied]]</f>
        <v>1</v>
      </c>
    </row>
    <row r="104" spans="1:10" x14ac:dyDescent="0.25">
      <c r="A104" s="389"/>
      <c r="B104" s="4"/>
      <c r="C104" s="16"/>
      <c r="D104" s="519"/>
      <c r="E104" s="410"/>
      <c r="F104" s="313"/>
      <c r="G104" s="256"/>
      <c r="H104" s="313"/>
      <c r="I104" s="456"/>
      <c r="J104" s="272" t="b">
        <f>Age_Sex23[[#This Row],[Total Spending After Applying Truncation at the Member Level]]+Age_Sex23[[#This Row],[Total Dollars Excluded from Spending After Applying Truncation at the Member Level]]=Age_Sex23[[#This Row],[Total Spending before Truncation is Applied]]</f>
        <v>1</v>
      </c>
    </row>
    <row r="105" spans="1:10" x14ac:dyDescent="0.25">
      <c r="A105" s="386"/>
      <c r="B105" s="310"/>
      <c r="C105" s="311"/>
      <c r="D105" s="518"/>
      <c r="E105" s="409"/>
      <c r="F105" s="312"/>
      <c r="G105" s="522"/>
      <c r="H105" s="312"/>
      <c r="I105" s="455"/>
      <c r="J105" s="272" t="b">
        <f>Age_Sex23[[#This Row],[Total Spending After Applying Truncation at the Member Level]]+Age_Sex23[[#This Row],[Total Dollars Excluded from Spending After Applying Truncation at the Member Level]]=Age_Sex23[[#This Row],[Total Spending before Truncation is Applied]]</f>
        <v>1</v>
      </c>
    </row>
    <row r="106" spans="1:10" x14ac:dyDescent="0.25">
      <c r="A106" s="389"/>
      <c r="B106" s="4"/>
      <c r="C106" s="16"/>
      <c r="D106" s="519"/>
      <c r="E106" s="410"/>
      <c r="F106" s="313"/>
      <c r="G106" s="256"/>
      <c r="H106" s="313"/>
      <c r="I106" s="456"/>
      <c r="J106" s="272" t="b">
        <f>Age_Sex23[[#This Row],[Total Spending After Applying Truncation at the Member Level]]+Age_Sex23[[#This Row],[Total Dollars Excluded from Spending After Applying Truncation at the Member Level]]=Age_Sex23[[#This Row],[Total Spending before Truncation is Applied]]</f>
        <v>1</v>
      </c>
    </row>
    <row r="107" spans="1:10" x14ac:dyDescent="0.25">
      <c r="A107" s="386"/>
      <c r="B107" s="310"/>
      <c r="C107" s="311"/>
      <c r="D107" s="518"/>
      <c r="E107" s="409"/>
      <c r="F107" s="312"/>
      <c r="G107" s="522"/>
      <c r="H107" s="312"/>
      <c r="I107" s="455"/>
      <c r="J107" s="272" t="b">
        <f>Age_Sex23[[#This Row],[Total Spending After Applying Truncation at the Member Level]]+Age_Sex23[[#This Row],[Total Dollars Excluded from Spending After Applying Truncation at the Member Level]]=Age_Sex23[[#This Row],[Total Spending before Truncation is Applied]]</f>
        <v>1</v>
      </c>
    </row>
    <row r="108" spans="1:10" x14ac:dyDescent="0.25">
      <c r="A108" s="389"/>
      <c r="B108" s="4"/>
      <c r="C108" s="16"/>
      <c r="D108" s="519"/>
      <c r="E108" s="410"/>
      <c r="F108" s="313"/>
      <c r="G108" s="256"/>
      <c r="H108" s="313"/>
      <c r="I108" s="456"/>
      <c r="J108" s="272" t="b">
        <f>Age_Sex23[[#This Row],[Total Spending After Applying Truncation at the Member Level]]+Age_Sex23[[#This Row],[Total Dollars Excluded from Spending After Applying Truncation at the Member Level]]=Age_Sex23[[#This Row],[Total Spending before Truncation is Applied]]</f>
        <v>1</v>
      </c>
    </row>
    <row r="109" spans="1:10" x14ac:dyDescent="0.25">
      <c r="A109" s="386"/>
      <c r="B109" s="310"/>
      <c r="C109" s="311"/>
      <c r="D109" s="518"/>
      <c r="E109" s="409"/>
      <c r="F109" s="312"/>
      <c r="G109" s="522"/>
      <c r="H109" s="312"/>
      <c r="I109" s="455"/>
      <c r="J109" s="272" t="b">
        <f>Age_Sex23[[#This Row],[Total Spending After Applying Truncation at the Member Level]]+Age_Sex23[[#This Row],[Total Dollars Excluded from Spending After Applying Truncation at the Member Level]]=Age_Sex23[[#This Row],[Total Spending before Truncation is Applied]]</f>
        <v>1</v>
      </c>
    </row>
    <row r="110" spans="1:10" x14ac:dyDescent="0.25">
      <c r="A110" s="389"/>
      <c r="B110" s="4"/>
      <c r="C110" s="16"/>
      <c r="D110" s="519"/>
      <c r="E110" s="410"/>
      <c r="F110" s="313"/>
      <c r="G110" s="256"/>
      <c r="H110" s="313"/>
      <c r="I110" s="456"/>
      <c r="J110" s="272" t="b">
        <f>Age_Sex23[[#This Row],[Total Spending After Applying Truncation at the Member Level]]+Age_Sex23[[#This Row],[Total Dollars Excluded from Spending After Applying Truncation at the Member Level]]=Age_Sex23[[#This Row],[Total Spending before Truncation is Applied]]</f>
        <v>1</v>
      </c>
    </row>
    <row r="111" spans="1:10" x14ac:dyDescent="0.25">
      <c r="A111" s="386"/>
      <c r="B111" s="310"/>
      <c r="C111" s="311"/>
      <c r="D111" s="518"/>
      <c r="E111" s="409"/>
      <c r="F111" s="312"/>
      <c r="G111" s="522"/>
      <c r="H111" s="312"/>
      <c r="I111" s="455"/>
      <c r="J111" s="272" t="b">
        <f>Age_Sex23[[#This Row],[Total Spending After Applying Truncation at the Member Level]]+Age_Sex23[[#This Row],[Total Dollars Excluded from Spending After Applying Truncation at the Member Level]]=Age_Sex23[[#This Row],[Total Spending before Truncation is Applied]]</f>
        <v>1</v>
      </c>
    </row>
    <row r="112" spans="1:10" x14ac:dyDescent="0.25">
      <c r="A112" s="389"/>
      <c r="B112" s="4"/>
      <c r="C112" s="16"/>
      <c r="D112" s="519"/>
      <c r="E112" s="410"/>
      <c r="F112" s="313"/>
      <c r="G112" s="256"/>
      <c r="H112" s="313"/>
      <c r="I112" s="456"/>
      <c r="J112" s="272" t="b">
        <f>Age_Sex23[[#This Row],[Total Spending After Applying Truncation at the Member Level]]+Age_Sex23[[#This Row],[Total Dollars Excluded from Spending After Applying Truncation at the Member Level]]=Age_Sex23[[#This Row],[Total Spending before Truncation is Applied]]</f>
        <v>1</v>
      </c>
    </row>
    <row r="113" spans="1:10" x14ac:dyDescent="0.25">
      <c r="A113" s="386"/>
      <c r="B113" s="310"/>
      <c r="C113" s="311"/>
      <c r="D113" s="518"/>
      <c r="E113" s="409"/>
      <c r="F113" s="312"/>
      <c r="G113" s="522"/>
      <c r="H113" s="312"/>
      <c r="I113" s="455"/>
      <c r="J113" s="272" t="b">
        <f>Age_Sex23[[#This Row],[Total Spending After Applying Truncation at the Member Level]]+Age_Sex23[[#This Row],[Total Dollars Excluded from Spending After Applying Truncation at the Member Level]]=Age_Sex23[[#This Row],[Total Spending before Truncation is Applied]]</f>
        <v>1</v>
      </c>
    </row>
    <row r="114" spans="1:10" x14ac:dyDescent="0.25">
      <c r="A114" s="389"/>
      <c r="B114" s="4"/>
      <c r="C114" s="16"/>
      <c r="D114" s="519"/>
      <c r="E114" s="410"/>
      <c r="F114" s="313"/>
      <c r="G114" s="256"/>
      <c r="H114" s="313"/>
      <c r="I114" s="456"/>
      <c r="J114" s="272" t="b">
        <f>Age_Sex23[[#This Row],[Total Spending After Applying Truncation at the Member Level]]+Age_Sex23[[#This Row],[Total Dollars Excluded from Spending After Applying Truncation at the Member Level]]=Age_Sex23[[#This Row],[Total Spending before Truncation is Applied]]</f>
        <v>1</v>
      </c>
    </row>
    <row r="115" spans="1:10" x14ac:dyDescent="0.25">
      <c r="A115" s="386"/>
      <c r="B115" s="310"/>
      <c r="C115" s="311"/>
      <c r="D115" s="518"/>
      <c r="E115" s="409"/>
      <c r="F115" s="312"/>
      <c r="G115" s="522"/>
      <c r="H115" s="312"/>
      <c r="I115" s="455"/>
      <c r="J115" s="272" t="b">
        <f>Age_Sex23[[#This Row],[Total Spending After Applying Truncation at the Member Level]]+Age_Sex23[[#This Row],[Total Dollars Excluded from Spending After Applying Truncation at the Member Level]]=Age_Sex23[[#This Row],[Total Spending before Truncation is Applied]]</f>
        <v>1</v>
      </c>
    </row>
    <row r="116" spans="1:10" x14ac:dyDescent="0.25">
      <c r="A116" s="389"/>
      <c r="B116" s="4"/>
      <c r="C116" s="16"/>
      <c r="D116" s="519"/>
      <c r="E116" s="410"/>
      <c r="F116" s="313"/>
      <c r="G116" s="256"/>
      <c r="H116" s="313"/>
      <c r="I116" s="456"/>
      <c r="J116" s="272" t="b">
        <f>Age_Sex23[[#This Row],[Total Spending After Applying Truncation at the Member Level]]+Age_Sex23[[#This Row],[Total Dollars Excluded from Spending After Applying Truncation at the Member Level]]=Age_Sex23[[#This Row],[Total Spending before Truncation is Applied]]</f>
        <v>1</v>
      </c>
    </row>
    <row r="117" spans="1:10" x14ac:dyDescent="0.25">
      <c r="A117" s="386"/>
      <c r="B117" s="310"/>
      <c r="C117" s="311"/>
      <c r="D117" s="518"/>
      <c r="E117" s="409"/>
      <c r="F117" s="312"/>
      <c r="G117" s="522"/>
      <c r="H117" s="312"/>
      <c r="I117" s="455"/>
      <c r="J117" s="272" t="b">
        <f>Age_Sex23[[#This Row],[Total Spending After Applying Truncation at the Member Level]]+Age_Sex23[[#This Row],[Total Dollars Excluded from Spending After Applying Truncation at the Member Level]]=Age_Sex23[[#This Row],[Total Spending before Truncation is Applied]]</f>
        <v>1</v>
      </c>
    </row>
    <row r="118" spans="1:10" x14ac:dyDescent="0.25">
      <c r="A118" s="389"/>
      <c r="B118" s="4"/>
      <c r="C118" s="16"/>
      <c r="D118" s="519"/>
      <c r="E118" s="410"/>
      <c r="F118" s="313"/>
      <c r="G118" s="256"/>
      <c r="H118" s="313"/>
      <c r="I118" s="456"/>
      <c r="J118" s="272" t="b">
        <f>Age_Sex23[[#This Row],[Total Spending After Applying Truncation at the Member Level]]+Age_Sex23[[#This Row],[Total Dollars Excluded from Spending After Applying Truncation at the Member Level]]=Age_Sex23[[#This Row],[Total Spending before Truncation is Applied]]</f>
        <v>1</v>
      </c>
    </row>
    <row r="119" spans="1:10" x14ac:dyDescent="0.25">
      <c r="A119" s="386"/>
      <c r="B119" s="310"/>
      <c r="C119" s="311"/>
      <c r="D119" s="518"/>
      <c r="E119" s="409"/>
      <c r="F119" s="312"/>
      <c r="G119" s="522"/>
      <c r="H119" s="312"/>
      <c r="I119" s="455"/>
      <c r="J119" s="272" t="b">
        <f>Age_Sex23[[#This Row],[Total Spending After Applying Truncation at the Member Level]]+Age_Sex23[[#This Row],[Total Dollars Excluded from Spending After Applying Truncation at the Member Level]]=Age_Sex23[[#This Row],[Total Spending before Truncation is Applied]]</f>
        <v>1</v>
      </c>
    </row>
    <row r="120" spans="1:10" x14ac:dyDescent="0.25">
      <c r="A120" s="389"/>
      <c r="B120" s="4"/>
      <c r="C120" s="16"/>
      <c r="D120" s="519"/>
      <c r="E120" s="410"/>
      <c r="F120" s="313"/>
      <c r="G120" s="256"/>
      <c r="H120" s="313"/>
      <c r="I120" s="456"/>
      <c r="J120" s="272" t="b">
        <f>Age_Sex23[[#This Row],[Total Spending After Applying Truncation at the Member Level]]+Age_Sex23[[#This Row],[Total Dollars Excluded from Spending After Applying Truncation at the Member Level]]=Age_Sex23[[#This Row],[Total Spending before Truncation is Applied]]</f>
        <v>1</v>
      </c>
    </row>
    <row r="121" spans="1:10" x14ac:dyDescent="0.25">
      <c r="A121" s="386"/>
      <c r="B121" s="310"/>
      <c r="C121" s="311"/>
      <c r="D121" s="518"/>
      <c r="E121" s="409"/>
      <c r="F121" s="312"/>
      <c r="G121" s="522"/>
      <c r="H121" s="312"/>
      <c r="I121" s="455"/>
      <c r="J121" s="272" t="b">
        <f>Age_Sex23[[#This Row],[Total Spending After Applying Truncation at the Member Level]]+Age_Sex23[[#This Row],[Total Dollars Excluded from Spending After Applying Truncation at the Member Level]]=Age_Sex23[[#This Row],[Total Spending before Truncation is Applied]]</f>
        <v>1</v>
      </c>
    </row>
    <row r="122" spans="1:10" x14ac:dyDescent="0.25">
      <c r="A122" s="389"/>
      <c r="B122" s="4"/>
      <c r="C122" s="16"/>
      <c r="D122" s="519"/>
      <c r="E122" s="410"/>
      <c r="F122" s="313"/>
      <c r="G122" s="256"/>
      <c r="H122" s="313"/>
      <c r="I122" s="456"/>
      <c r="J122" s="272" t="b">
        <f>Age_Sex23[[#This Row],[Total Spending After Applying Truncation at the Member Level]]+Age_Sex23[[#This Row],[Total Dollars Excluded from Spending After Applying Truncation at the Member Level]]=Age_Sex23[[#This Row],[Total Spending before Truncation is Applied]]</f>
        <v>1</v>
      </c>
    </row>
    <row r="123" spans="1:10" x14ac:dyDescent="0.25">
      <c r="A123" s="386"/>
      <c r="B123" s="310"/>
      <c r="C123" s="311"/>
      <c r="D123" s="518"/>
      <c r="E123" s="409"/>
      <c r="F123" s="312"/>
      <c r="G123" s="522"/>
      <c r="H123" s="312"/>
      <c r="I123" s="455"/>
      <c r="J123" s="272" t="b">
        <f>Age_Sex23[[#This Row],[Total Spending After Applying Truncation at the Member Level]]+Age_Sex23[[#This Row],[Total Dollars Excluded from Spending After Applying Truncation at the Member Level]]=Age_Sex23[[#This Row],[Total Spending before Truncation is Applied]]</f>
        <v>1</v>
      </c>
    </row>
    <row r="124" spans="1:10" x14ac:dyDescent="0.25">
      <c r="A124" s="389"/>
      <c r="B124" s="4"/>
      <c r="C124" s="16"/>
      <c r="D124" s="519"/>
      <c r="E124" s="410"/>
      <c r="F124" s="313"/>
      <c r="G124" s="256"/>
      <c r="H124" s="313"/>
      <c r="I124" s="456"/>
      <c r="J124" s="272" t="b">
        <f>Age_Sex23[[#This Row],[Total Spending After Applying Truncation at the Member Level]]+Age_Sex23[[#This Row],[Total Dollars Excluded from Spending After Applying Truncation at the Member Level]]=Age_Sex23[[#This Row],[Total Spending before Truncation is Applied]]</f>
        <v>1</v>
      </c>
    </row>
    <row r="125" spans="1:10" x14ac:dyDescent="0.25">
      <c r="A125" s="386"/>
      <c r="B125" s="310"/>
      <c r="C125" s="311"/>
      <c r="D125" s="518"/>
      <c r="E125" s="409"/>
      <c r="F125" s="312"/>
      <c r="G125" s="522"/>
      <c r="H125" s="312"/>
      <c r="I125" s="455"/>
      <c r="J125" s="272" t="b">
        <f>Age_Sex23[[#This Row],[Total Spending After Applying Truncation at the Member Level]]+Age_Sex23[[#This Row],[Total Dollars Excluded from Spending After Applying Truncation at the Member Level]]=Age_Sex23[[#This Row],[Total Spending before Truncation is Applied]]</f>
        <v>1</v>
      </c>
    </row>
    <row r="126" spans="1:10" x14ac:dyDescent="0.25">
      <c r="A126" s="389"/>
      <c r="B126" s="4"/>
      <c r="C126" s="16"/>
      <c r="D126" s="519"/>
      <c r="E126" s="410"/>
      <c r="F126" s="313"/>
      <c r="G126" s="256"/>
      <c r="H126" s="313"/>
      <c r="I126" s="456"/>
      <c r="J126" s="272" t="b">
        <f>Age_Sex23[[#This Row],[Total Spending After Applying Truncation at the Member Level]]+Age_Sex23[[#This Row],[Total Dollars Excluded from Spending After Applying Truncation at the Member Level]]=Age_Sex23[[#This Row],[Total Spending before Truncation is Applied]]</f>
        <v>1</v>
      </c>
    </row>
    <row r="127" spans="1:10" x14ac:dyDescent="0.25">
      <c r="A127" s="386"/>
      <c r="B127" s="310"/>
      <c r="C127" s="311"/>
      <c r="D127" s="518"/>
      <c r="E127" s="409"/>
      <c r="F127" s="312"/>
      <c r="G127" s="522"/>
      <c r="H127" s="312"/>
      <c r="I127" s="455"/>
      <c r="J127" s="272" t="b">
        <f>Age_Sex23[[#This Row],[Total Spending After Applying Truncation at the Member Level]]+Age_Sex23[[#This Row],[Total Dollars Excluded from Spending After Applying Truncation at the Member Level]]=Age_Sex23[[#This Row],[Total Spending before Truncation is Applied]]</f>
        <v>1</v>
      </c>
    </row>
    <row r="128" spans="1:10" x14ac:dyDescent="0.25">
      <c r="A128" s="389"/>
      <c r="B128" s="4"/>
      <c r="C128" s="16"/>
      <c r="D128" s="519"/>
      <c r="E128" s="410"/>
      <c r="F128" s="313"/>
      <c r="G128" s="256"/>
      <c r="H128" s="313"/>
      <c r="I128" s="456"/>
      <c r="J128" s="272" t="b">
        <f>Age_Sex23[[#This Row],[Total Spending After Applying Truncation at the Member Level]]+Age_Sex23[[#This Row],[Total Dollars Excluded from Spending After Applying Truncation at the Member Level]]=Age_Sex23[[#This Row],[Total Spending before Truncation is Applied]]</f>
        <v>1</v>
      </c>
    </row>
    <row r="129" spans="1:10" x14ac:dyDescent="0.25">
      <c r="A129" s="386"/>
      <c r="B129" s="310"/>
      <c r="C129" s="311"/>
      <c r="D129" s="518"/>
      <c r="E129" s="409"/>
      <c r="F129" s="312"/>
      <c r="G129" s="522"/>
      <c r="H129" s="312"/>
      <c r="I129" s="455"/>
      <c r="J129" s="272" t="b">
        <f>Age_Sex23[[#This Row],[Total Spending After Applying Truncation at the Member Level]]+Age_Sex23[[#This Row],[Total Dollars Excluded from Spending After Applying Truncation at the Member Level]]=Age_Sex23[[#This Row],[Total Spending before Truncation is Applied]]</f>
        <v>1</v>
      </c>
    </row>
    <row r="130" spans="1:10" x14ac:dyDescent="0.25">
      <c r="A130" s="389"/>
      <c r="B130" s="4"/>
      <c r="C130" s="16"/>
      <c r="D130" s="519"/>
      <c r="E130" s="410"/>
      <c r="F130" s="313"/>
      <c r="G130" s="256"/>
      <c r="H130" s="313"/>
      <c r="I130" s="456"/>
      <c r="J130" s="272" t="b">
        <f>Age_Sex23[[#This Row],[Total Spending After Applying Truncation at the Member Level]]+Age_Sex23[[#This Row],[Total Dollars Excluded from Spending After Applying Truncation at the Member Level]]=Age_Sex23[[#This Row],[Total Spending before Truncation is Applied]]</f>
        <v>1</v>
      </c>
    </row>
    <row r="131" spans="1:10" x14ac:dyDescent="0.25">
      <c r="A131" s="386"/>
      <c r="B131" s="310"/>
      <c r="C131" s="311"/>
      <c r="D131" s="518"/>
      <c r="E131" s="409"/>
      <c r="F131" s="312"/>
      <c r="G131" s="522"/>
      <c r="H131" s="312"/>
      <c r="I131" s="455"/>
      <c r="J131" s="272" t="b">
        <f>Age_Sex23[[#This Row],[Total Spending After Applying Truncation at the Member Level]]+Age_Sex23[[#This Row],[Total Dollars Excluded from Spending After Applying Truncation at the Member Level]]=Age_Sex23[[#This Row],[Total Spending before Truncation is Applied]]</f>
        <v>1</v>
      </c>
    </row>
    <row r="132" spans="1:10" x14ac:dyDescent="0.25">
      <c r="A132" s="389"/>
      <c r="B132" s="4"/>
      <c r="C132" s="16"/>
      <c r="D132" s="519"/>
      <c r="E132" s="410"/>
      <c r="F132" s="313"/>
      <c r="G132" s="256"/>
      <c r="H132" s="313"/>
      <c r="I132" s="456"/>
      <c r="J132" s="272" t="b">
        <f>Age_Sex23[[#This Row],[Total Spending After Applying Truncation at the Member Level]]+Age_Sex23[[#This Row],[Total Dollars Excluded from Spending After Applying Truncation at the Member Level]]=Age_Sex23[[#This Row],[Total Spending before Truncation is Applied]]</f>
        <v>1</v>
      </c>
    </row>
    <row r="133" spans="1:10" x14ac:dyDescent="0.25">
      <c r="A133" s="386"/>
      <c r="B133" s="310"/>
      <c r="C133" s="311"/>
      <c r="D133" s="518"/>
      <c r="E133" s="409"/>
      <c r="F133" s="312"/>
      <c r="G133" s="522"/>
      <c r="H133" s="312"/>
      <c r="I133" s="455"/>
      <c r="J133" s="272" t="b">
        <f>Age_Sex23[[#This Row],[Total Spending After Applying Truncation at the Member Level]]+Age_Sex23[[#This Row],[Total Dollars Excluded from Spending After Applying Truncation at the Member Level]]=Age_Sex23[[#This Row],[Total Spending before Truncation is Applied]]</f>
        <v>1</v>
      </c>
    </row>
    <row r="134" spans="1:10" x14ac:dyDescent="0.25">
      <c r="A134" s="389"/>
      <c r="B134" s="4"/>
      <c r="C134" s="16"/>
      <c r="D134" s="519"/>
      <c r="E134" s="410"/>
      <c r="F134" s="313"/>
      <c r="G134" s="256"/>
      <c r="H134" s="313"/>
      <c r="I134" s="456"/>
      <c r="J134" s="272" t="b">
        <f>Age_Sex23[[#This Row],[Total Spending After Applying Truncation at the Member Level]]+Age_Sex23[[#This Row],[Total Dollars Excluded from Spending After Applying Truncation at the Member Level]]=Age_Sex23[[#This Row],[Total Spending before Truncation is Applied]]</f>
        <v>1</v>
      </c>
    </row>
    <row r="135" spans="1:10" x14ac:dyDescent="0.25">
      <c r="A135" s="386"/>
      <c r="B135" s="310"/>
      <c r="C135" s="311"/>
      <c r="D135" s="518"/>
      <c r="E135" s="409"/>
      <c r="F135" s="312"/>
      <c r="G135" s="522"/>
      <c r="H135" s="312"/>
      <c r="I135" s="455"/>
      <c r="J135" s="272" t="b">
        <f>Age_Sex23[[#This Row],[Total Spending After Applying Truncation at the Member Level]]+Age_Sex23[[#This Row],[Total Dollars Excluded from Spending After Applying Truncation at the Member Level]]=Age_Sex23[[#This Row],[Total Spending before Truncation is Applied]]</f>
        <v>1</v>
      </c>
    </row>
    <row r="136" spans="1:10" x14ac:dyDescent="0.25">
      <c r="A136" s="389"/>
      <c r="B136" s="4"/>
      <c r="C136" s="16"/>
      <c r="D136" s="519"/>
      <c r="E136" s="410"/>
      <c r="F136" s="313"/>
      <c r="G136" s="256"/>
      <c r="H136" s="313"/>
      <c r="I136" s="456"/>
      <c r="J136" s="272" t="b">
        <f>Age_Sex23[[#This Row],[Total Spending After Applying Truncation at the Member Level]]+Age_Sex23[[#This Row],[Total Dollars Excluded from Spending After Applying Truncation at the Member Level]]=Age_Sex23[[#This Row],[Total Spending before Truncation is Applied]]</f>
        <v>1</v>
      </c>
    </row>
    <row r="137" spans="1:10" x14ac:dyDescent="0.25">
      <c r="A137" s="386"/>
      <c r="B137" s="310"/>
      <c r="C137" s="311"/>
      <c r="D137" s="518"/>
      <c r="E137" s="409"/>
      <c r="F137" s="312"/>
      <c r="G137" s="522"/>
      <c r="H137" s="312"/>
      <c r="I137" s="455"/>
      <c r="J137" s="272" t="b">
        <f>Age_Sex23[[#This Row],[Total Spending After Applying Truncation at the Member Level]]+Age_Sex23[[#This Row],[Total Dollars Excluded from Spending After Applying Truncation at the Member Level]]=Age_Sex23[[#This Row],[Total Spending before Truncation is Applied]]</f>
        <v>1</v>
      </c>
    </row>
    <row r="138" spans="1:10" x14ac:dyDescent="0.25">
      <c r="A138" s="389"/>
      <c r="B138" s="4"/>
      <c r="C138" s="16"/>
      <c r="D138" s="519"/>
      <c r="E138" s="410"/>
      <c r="F138" s="313"/>
      <c r="G138" s="256"/>
      <c r="H138" s="313"/>
      <c r="I138" s="456"/>
      <c r="J138" s="272" t="b">
        <f>Age_Sex23[[#This Row],[Total Spending After Applying Truncation at the Member Level]]+Age_Sex23[[#This Row],[Total Dollars Excluded from Spending After Applying Truncation at the Member Level]]=Age_Sex23[[#This Row],[Total Spending before Truncation is Applied]]</f>
        <v>1</v>
      </c>
    </row>
    <row r="139" spans="1:10" x14ac:dyDescent="0.25">
      <c r="A139" s="386"/>
      <c r="B139" s="310"/>
      <c r="C139" s="311"/>
      <c r="D139" s="518"/>
      <c r="E139" s="409"/>
      <c r="F139" s="312"/>
      <c r="G139" s="522"/>
      <c r="H139" s="312"/>
      <c r="I139" s="455"/>
      <c r="J139" s="272" t="b">
        <f>Age_Sex23[[#This Row],[Total Spending After Applying Truncation at the Member Level]]+Age_Sex23[[#This Row],[Total Dollars Excluded from Spending After Applying Truncation at the Member Level]]=Age_Sex23[[#This Row],[Total Spending before Truncation is Applied]]</f>
        <v>1</v>
      </c>
    </row>
    <row r="140" spans="1:10" x14ac:dyDescent="0.25">
      <c r="A140" s="389"/>
      <c r="B140" s="4"/>
      <c r="C140" s="16"/>
      <c r="D140" s="519"/>
      <c r="E140" s="410"/>
      <c r="F140" s="313"/>
      <c r="G140" s="256"/>
      <c r="H140" s="313"/>
      <c r="I140" s="456"/>
      <c r="J140" s="272" t="b">
        <f>Age_Sex23[[#This Row],[Total Spending After Applying Truncation at the Member Level]]+Age_Sex23[[#This Row],[Total Dollars Excluded from Spending After Applying Truncation at the Member Level]]=Age_Sex23[[#This Row],[Total Spending before Truncation is Applied]]</f>
        <v>1</v>
      </c>
    </row>
    <row r="141" spans="1:10" x14ac:dyDescent="0.25">
      <c r="A141" s="386"/>
      <c r="B141" s="310"/>
      <c r="C141" s="311"/>
      <c r="D141" s="518"/>
      <c r="E141" s="409"/>
      <c r="F141" s="312"/>
      <c r="G141" s="522"/>
      <c r="H141" s="312"/>
      <c r="I141" s="455"/>
      <c r="J141" s="272" t="b">
        <f>Age_Sex23[[#This Row],[Total Spending After Applying Truncation at the Member Level]]+Age_Sex23[[#This Row],[Total Dollars Excluded from Spending After Applying Truncation at the Member Level]]=Age_Sex23[[#This Row],[Total Spending before Truncation is Applied]]</f>
        <v>1</v>
      </c>
    </row>
    <row r="142" spans="1:10" x14ac:dyDescent="0.25">
      <c r="A142" s="389"/>
      <c r="B142" s="4"/>
      <c r="C142" s="16"/>
      <c r="D142" s="519"/>
      <c r="E142" s="410"/>
      <c r="F142" s="313"/>
      <c r="G142" s="256"/>
      <c r="H142" s="313"/>
      <c r="I142" s="456"/>
      <c r="J142" s="272" t="b">
        <f>Age_Sex23[[#This Row],[Total Spending After Applying Truncation at the Member Level]]+Age_Sex23[[#This Row],[Total Dollars Excluded from Spending After Applying Truncation at the Member Level]]=Age_Sex23[[#This Row],[Total Spending before Truncation is Applied]]</f>
        <v>1</v>
      </c>
    </row>
    <row r="143" spans="1:10" x14ac:dyDescent="0.25">
      <c r="A143" s="386"/>
      <c r="B143" s="310"/>
      <c r="C143" s="311"/>
      <c r="D143" s="518"/>
      <c r="E143" s="409"/>
      <c r="F143" s="312"/>
      <c r="G143" s="522"/>
      <c r="H143" s="312"/>
      <c r="I143" s="455"/>
      <c r="J143" s="272" t="b">
        <f>Age_Sex23[[#This Row],[Total Spending After Applying Truncation at the Member Level]]+Age_Sex23[[#This Row],[Total Dollars Excluded from Spending After Applying Truncation at the Member Level]]=Age_Sex23[[#This Row],[Total Spending before Truncation is Applied]]</f>
        <v>1</v>
      </c>
    </row>
    <row r="144" spans="1:10" x14ac:dyDescent="0.25">
      <c r="A144" s="389"/>
      <c r="B144" s="4"/>
      <c r="C144" s="16"/>
      <c r="D144" s="519"/>
      <c r="E144" s="410"/>
      <c r="F144" s="313"/>
      <c r="G144" s="256"/>
      <c r="H144" s="313"/>
      <c r="I144" s="456"/>
      <c r="J144" s="272" t="b">
        <f>Age_Sex23[[#This Row],[Total Spending After Applying Truncation at the Member Level]]+Age_Sex23[[#This Row],[Total Dollars Excluded from Spending After Applying Truncation at the Member Level]]=Age_Sex23[[#This Row],[Total Spending before Truncation is Applied]]</f>
        <v>1</v>
      </c>
    </row>
    <row r="145" spans="1:10" x14ac:dyDescent="0.25">
      <c r="A145" s="386"/>
      <c r="B145" s="310"/>
      <c r="C145" s="311"/>
      <c r="D145" s="518"/>
      <c r="E145" s="409"/>
      <c r="F145" s="312"/>
      <c r="G145" s="522"/>
      <c r="H145" s="312"/>
      <c r="I145" s="455"/>
      <c r="J145" s="272" t="b">
        <f>Age_Sex23[[#This Row],[Total Spending After Applying Truncation at the Member Level]]+Age_Sex23[[#This Row],[Total Dollars Excluded from Spending After Applying Truncation at the Member Level]]=Age_Sex23[[#This Row],[Total Spending before Truncation is Applied]]</f>
        <v>1</v>
      </c>
    </row>
    <row r="146" spans="1:10" x14ac:dyDescent="0.25">
      <c r="A146" s="389"/>
      <c r="B146" s="4"/>
      <c r="C146" s="16"/>
      <c r="D146" s="519"/>
      <c r="E146" s="410"/>
      <c r="F146" s="313"/>
      <c r="G146" s="256"/>
      <c r="H146" s="313"/>
      <c r="I146" s="456"/>
      <c r="J146" s="272" t="b">
        <f>Age_Sex23[[#This Row],[Total Spending After Applying Truncation at the Member Level]]+Age_Sex23[[#This Row],[Total Dollars Excluded from Spending After Applying Truncation at the Member Level]]=Age_Sex23[[#This Row],[Total Spending before Truncation is Applied]]</f>
        <v>1</v>
      </c>
    </row>
    <row r="147" spans="1:10" x14ac:dyDescent="0.25">
      <c r="A147" s="386"/>
      <c r="B147" s="310"/>
      <c r="C147" s="311"/>
      <c r="D147" s="518"/>
      <c r="E147" s="409"/>
      <c r="F147" s="312"/>
      <c r="G147" s="522"/>
      <c r="H147" s="312"/>
      <c r="I147" s="455"/>
      <c r="J147" s="272" t="b">
        <f>Age_Sex23[[#This Row],[Total Spending After Applying Truncation at the Member Level]]+Age_Sex23[[#This Row],[Total Dollars Excluded from Spending After Applying Truncation at the Member Level]]=Age_Sex23[[#This Row],[Total Spending before Truncation is Applied]]</f>
        <v>1</v>
      </c>
    </row>
    <row r="148" spans="1:10" x14ac:dyDescent="0.25">
      <c r="A148" s="389"/>
      <c r="B148" s="4"/>
      <c r="C148" s="16"/>
      <c r="D148" s="519"/>
      <c r="E148" s="410"/>
      <c r="F148" s="313"/>
      <c r="G148" s="256"/>
      <c r="H148" s="313"/>
      <c r="I148" s="456"/>
      <c r="J148" s="272" t="b">
        <f>Age_Sex23[[#This Row],[Total Spending After Applying Truncation at the Member Level]]+Age_Sex23[[#This Row],[Total Dollars Excluded from Spending After Applying Truncation at the Member Level]]=Age_Sex23[[#This Row],[Total Spending before Truncation is Applied]]</f>
        <v>1</v>
      </c>
    </row>
    <row r="149" spans="1:10" x14ac:dyDescent="0.25">
      <c r="A149" s="386"/>
      <c r="B149" s="310"/>
      <c r="C149" s="311"/>
      <c r="D149" s="518"/>
      <c r="E149" s="409"/>
      <c r="F149" s="312"/>
      <c r="G149" s="522"/>
      <c r="H149" s="312"/>
      <c r="I149" s="455"/>
      <c r="J149" s="272" t="b">
        <f>Age_Sex23[[#This Row],[Total Spending After Applying Truncation at the Member Level]]+Age_Sex23[[#This Row],[Total Dollars Excluded from Spending After Applying Truncation at the Member Level]]=Age_Sex23[[#This Row],[Total Spending before Truncation is Applied]]</f>
        <v>1</v>
      </c>
    </row>
    <row r="150" spans="1:10" x14ac:dyDescent="0.25">
      <c r="A150" s="389"/>
      <c r="B150" s="4"/>
      <c r="C150" s="16"/>
      <c r="D150" s="519"/>
      <c r="E150" s="410"/>
      <c r="F150" s="313"/>
      <c r="G150" s="256"/>
      <c r="H150" s="313"/>
      <c r="I150" s="456"/>
      <c r="J150" s="272" t="b">
        <f>Age_Sex23[[#This Row],[Total Spending After Applying Truncation at the Member Level]]+Age_Sex23[[#This Row],[Total Dollars Excluded from Spending After Applying Truncation at the Member Level]]=Age_Sex23[[#This Row],[Total Spending before Truncation is Applied]]</f>
        <v>1</v>
      </c>
    </row>
    <row r="151" spans="1:10" x14ac:dyDescent="0.25">
      <c r="A151" s="386"/>
      <c r="B151" s="310"/>
      <c r="C151" s="311"/>
      <c r="D151" s="518"/>
      <c r="E151" s="409"/>
      <c r="F151" s="312"/>
      <c r="G151" s="522"/>
      <c r="H151" s="312"/>
      <c r="I151" s="455"/>
      <c r="J151" s="272" t="b">
        <f>Age_Sex23[[#This Row],[Total Spending After Applying Truncation at the Member Level]]+Age_Sex23[[#This Row],[Total Dollars Excluded from Spending After Applying Truncation at the Member Level]]=Age_Sex23[[#This Row],[Total Spending before Truncation is Applied]]</f>
        <v>1</v>
      </c>
    </row>
    <row r="152" spans="1:10" x14ac:dyDescent="0.25">
      <c r="A152" s="389"/>
      <c r="B152" s="4"/>
      <c r="C152" s="16"/>
      <c r="D152" s="519"/>
      <c r="E152" s="410"/>
      <c r="F152" s="313"/>
      <c r="G152" s="256"/>
      <c r="H152" s="313"/>
      <c r="I152" s="456"/>
      <c r="J152" s="272" t="b">
        <f>Age_Sex23[[#This Row],[Total Spending After Applying Truncation at the Member Level]]+Age_Sex23[[#This Row],[Total Dollars Excluded from Spending After Applying Truncation at the Member Level]]=Age_Sex23[[#This Row],[Total Spending before Truncation is Applied]]</f>
        <v>1</v>
      </c>
    </row>
    <row r="153" spans="1:10" x14ac:dyDescent="0.25">
      <c r="A153" s="386"/>
      <c r="B153" s="310"/>
      <c r="C153" s="311"/>
      <c r="D153" s="518"/>
      <c r="E153" s="409"/>
      <c r="F153" s="312"/>
      <c r="G153" s="522"/>
      <c r="H153" s="312"/>
      <c r="I153" s="455"/>
      <c r="J153" s="272" t="b">
        <f>Age_Sex23[[#This Row],[Total Spending After Applying Truncation at the Member Level]]+Age_Sex23[[#This Row],[Total Dollars Excluded from Spending After Applying Truncation at the Member Level]]=Age_Sex23[[#This Row],[Total Spending before Truncation is Applied]]</f>
        <v>1</v>
      </c>
    </row>
    <row r="154" spans="1:10" x14ac:dyDescent="0.25">
      <c r="A154" s="389"/>
      <c r="B154" s="4"/>
      <c r="C154" s="16"/>
      <c r="D154" s="519"/>
      <c r="E154" s="410"/>
      <c r="F154" s="313"/>
      <c r="G154" s="256"/>
      <c r="H154" s="313"/>
      <c r="I154" s="456"/>
      <c r="J154" s="272" t="b">
        <f>Age_Sex23[[#This Row],[Total Spending After Applying Truncation at the Member Level]]+Age_Sex23[[#This Row],[Total Dollars Excluded from Spending After Applying Truncation at the Member Level]]=Age_Sex23[[#This Row],[Total Spending before Truncation is Applied]]</f>
        <v>1</v>
      </c>
    </row>
    <row r="155" spans="1:10" x14ac:dyDescent="0.25">
      <c r="A155" s="386"/>
      <c r="B155" s="310"/>
      <c r="C155" s="311"/>
      <c r="D155" s="518"/>
      <c r="E155" s="409"/>
      <c r="F155" s="312"/>
      <c r="G155" s="522"/>
      <c r="H155" s="312"/>
      <c r="I155" s="455"/>
      <c r="J155" s="272" t="b">
        <f>Age_Sex23[[#This Row],[Total Spending After Applying Truncation at the Member Level]]+Age_Sex23[[#This Row],[Total Dollars Excluded from Spending After Applying Truncation at the Member Level]]=Age_Sex23[[#This Row],[Total Spending before Truncation is Applied]]</f>
        <v>1</v>
      </c>
    </row>
    <row r="156" spans="1:10" x14ac:dyDescent="0.25">
      <c r="A156" s="389"/>
      <c r="B156" s="4"/>
      <c r="C156" s="16"/>
      <c r="D156" s="519"/>
      <c r="E156" s="410"/>
      <c r="F156" s="313"/>
      <c r="G156" s="256"/>
      <c r="H156" s="313"/>
      <c r="I156" s="456"/>
      <c r="J156" s="272" t="b">
        <f>Age_Sex23[[#This Row],[Total Spending After Applying Truncation at the Member Level]]+Age_Sex23[[#This Row],[Total Dollars Excluded from Spending After Applying Truncation at the Member Level]]=Age_Sex23[[#This Row],[Total Spending before Truncation is Applied]]</f>
        <v>1</v>
      </c>
    </row>
    <row r="157" spans="1:10" x14ac:dyDescent="0.25">
      <c r="A157" s="386"/>
      <c r="B157" s="310"/>
      <c r="C157" s="311"/>
      <c r="D157" s="518"/>
      <c r="E157" s="409"/>
      <c r="F157" s="312"/>
      <c r="G157" s="522"/>
      <c r="H157" s="312"/>
      <c r="I157" s="455"/>
      <c r="J157" s="272" t="b">
        <f>Age_Sex23[[#This Row],[Total Spending After Applying Truncation at the Member Level]]+Age_Sex23[[#This Row],[Total Dollars Excluded from Spending After Applying Truncation at the Member Level]]=Age_Sex23[[#This Row],[Total Spending before Truncation is Applied]]</f>
        <v>1</v>
      </c>
    </row>
    <row r="158" spans="1:10" x14ac:dyDescent="0.25">
      <c r="A158" s="389"/>
      <c r="B158" s="4"/>
      <c r="C158" s="16"/>
      <c r="D158" s="519"/>
      <c r="E158" s="410"/>
      <c r="F158" s="313"/>
      <c r="G158" s="256"/>
      <c r="H158" s="313"/>
      <c r="I158" s="456"/>
      <c r="J158" s="272" t="b">
        <f>Age_Sex23[[#This Row],[Total Spending After Applying Truncation at the Member Level]]+Age_Sex23[[#This Row],[Total Dollars Excluded from Spending After Applying Truncation at the Member Level]]=Age_Sex23[[#This Row],[Total Spending before Truncation is Applied]]</f>
        <v>1</v>
      </c>
    </row>
    <row r="159" spans="1:10" x14ac:dyDescent="0.25">
      <c r="A159" s="386"/>
      <c r="B159" s="310"/>
      <c r="C159" s="311"/>
      <c r="D159" s="518"/>
      <c r="E159" s="409"/>
      <c r="F159" s="312"/>
      <c r="G159" s="522"/>
      <c r="H159" s="312"/>
      <c r="I159" s="455"/>
      <c r="J159" s="272" t="b">
        <f>Age_Sex23[[#This Row],[Total Spending After Applying Truncation at the Member Level]]+Age_Sex23[[#This Row],[Total Dollars Excluded from Spending After Applying Truncation at the Member Level]]=Age_Sex23[[#This Row],[Total Spending before Truncation is Applied]]</f>
        <v>1</v>
      </c>
    </row>
    <row r="160" spans="1:10" x14ac:dyDescent="0.25">
      <c r="A160" s="389"/>
      <c r="B160" s="4"/>
      <c r="C160" s="16"/>
      <c r="D160" s="519"/>
      <c r="E160" s="410"/>
      <c r="F160" s="313"/>
      <c r="G160" s="256"/>
      <c r="H160" s="313"/>
      <c r="I160" s="456"/>
      <c r="J160" s="272" t="b">
        <f>Age_Sex23[[#This Row],[Total Spending After Applying Truncation at the Member Level]]+Age_Sex23[[#This Row],[Total Dollars Excluded from Spending After Applying Truncation at the Member Level]]=Age_Sex23[[#This Row],[Total Spending before Truncation is Applied]]</f>
        <v>1</v>
      </c>
    </row>
    <row r="161" spans="1:10" x14ac:dyDescent="0.25">
      <c r="A161" s="386"/>
      <c r="B161" s="310"/>
      <c r="C161" s="311"/>
      <c r="D161" s="518"/>
      <c r="E161" s="409"/>
      <c r="F161" s="312"/>
      <c r="G161" s="522"/>
      <c r="H161" s="312"/>
      <c r="I161" s="455"/>
      <c r="J161" s="272" t="b">
        <f>Age_Sex23[[#This Row],[Total Spending After Applying Truncation at the Member Level]]+Age_Sex23[[#This Row],[Total Dollars Excluded from Spending After Applying Truncation at the Member Level]]=Age_Sex23[[#This Row],[Total Spending before Truncation is Applied]]</f>
        <v>1</v>
      </c>
    </row>
    <row r="162" spans="1:10" x14ac:dyDescent="0.25">
      <c r="A162" s="389"/>
      <c r="B162" s="4"/>
      <c r="C162" s="16"/>
      <c r="D162" s="519"/>
      <c r="E162" s="410"/>
      <c r="F162" s="313"/>
      <c r="G162" s="256"/>
      <c r="H162" s="313"/>
      <c r="I162" s="456"/>
      <c r="J162" s="272" t="b">
        <f>Age_Sex23[[#This Row],[Total Spending After Applying Truncation at the Member Level]]+Age_Sex23[[#This Row],[Total Dollars Excluded from Spending After Applying Truncation at the Member Level]]=Age_Sex23[[#This Row],[Total Spending before Truncation is Applied]]</f>
        <v>1</v>
      </c>
    </row>
    <row r="163" spans="1:10" x14ac:dyDescent="0.25">
      <c r="A163" s="386"/>
      <c r="B163" s="310"/>
      <c r="C163" s="311"/>
      <c r="D163" s="518"/>
      <c r="E163" s="409"/>
      <c r="F163" s="312"/>
      <c r="G163" s="522"/>
      <c r="H163" s="312"/>
      <c r="I163" s="455"/>
      <c r="J163" s="272" t="b">
        <f>Age_Sex23[[#This Row],[Total Spending After Applying Truncation at the Member Level]]+Age_Sex23[[#This Row],[Total Dollars Excluded from Spending After Applying Truncation at the Member Level]]=Age_Sex23[[#This Row],[Total Spending before Truncation is Applied]]</f>
        <v>1</v>
      </c>
    </row>
    <row r="164" spans="1:10" x14ac:dyDescent="0.25">
      <c r="A164" s="389"/>
      <c r="B164" s="4"/>
      <c r="C164" s="16"/>
      <c r="D164" s="519"/>
      <c r="E164" s="410"/>
      <c r="F164" s="313"/>
      <c r="G164" s="256"/>
      <c r="H164" s="313"/>
      <c r="I164" s="456"/>
      <c r="J164" s="272" t="b">
        <f>Age_Sex23[[#This Row],[Total Spending After Applying Truncation at the Member Level]]+Age_Sex23[[#This Row],[Total Dollars Excluded from Spending After Applying Truncation at the Member Level]]=Age_Sex23[[#This Row],[Total Spending before Truncation is Applied]]</f>
        <v>1</v>
      </c>
    </row>
    <row r="165" spans="1:10" x14ac:dyDescent="0.25">
      <c r="A165" s="386"/>
      <c r="B165" s="310"/>
      <c r="C165" s="311"/>
      <c r="D165" s="518"/>
      <c r="E165" s="409"/>
      <c r="F165" s="312"/>
      <c r="G165" s="522"/>
      <c r="H165" s="312"/>
      <c r="I165" s="455"/>
      <c r="J165" s="272" t="b">
        <f>Age_Sex23[[#This Row],[Total Spending After Applying Truncation at the Member Level]]+Age_Sex23[[#This Row],[Total Dollars Excluded from Spending After Applying Truncation at the Member Level]]=Age_Sex23[[#This Row],[Total Spending before Truncation is Applied]]</f>
        <v>1</v>
      </c>
    </row>
    <row r="166" spans="1:10" x14ac:dyDescent="0.25">
      <c r="A166" s="389"/>
      <c r="B166" s="4"/>
      <c r="C166" s="16"/>
      <c r="D166" s="519"/>
      <c r="E166" s="410"/>
      <c r="F166" s="313"/>
      <c r="G166" s="256"/>
      <c r="H166" s="313"/>
      <c r="I166" s="456"/>
      <c r="J166" s="272" t="b">
        <f>Age_Sex23[[#This Row],[Total Spending After Applying Truncation at the Member Level]]+Age_Sex23[[#This Row],[Total Dollars Excluded from Spending After Applying Truncation at the Member Level]]=Age_Sex23[[#This Row],[Total Spending before Truncation is Applied]]</f>
        <v>1</v>
      </c>
    </row>
    <row r="167" spans="1:10" x14ac:dyDescent="0.25">
      <c r="A167" s="386"/>
      <c r="B167" s="310"/>
      <c r="C167" s="311"/>
      <c r="D167" s="518"/>
      <c r="E167" s="409"/>
      <c r="F167" s="312"/>
      <c r="G167" s="522"/>
      <c r="H167" s="312"/>
      <c r="I167" s="455"/>
      <c r="J167" s="272" t="b">
        <f>Age_Sex23[[#This Row],[Total Spending After Applying Truncation at the Member Level]]+Age_Sex23[[#This Row],[Total Dollars Excluded from Spending After Applying Truncation at the Member Level]]=Age_Sex23[[#This Row],[Total Spending before Truncation is Applied]]</f>
        <v>1</v>
      </c>
    </row>
    <row r="168" spans="1:10" x14ac:dyDescent="0.25">
      <c r="A168" s="389"/>
      <c r="B168" s="4"/>
      <c r="C168" s="16"/>
      <c r="D168" s="519"/>
      <c r="E168" s="410"/>
      <c r="F168" s="313"/>
      <c r="G168" s="256"/>
      <c r="H168" s="313"/>
      <c r="I168" s="456"/>
      <c r="J168" s="272" t="b">
        <f>Age_Sex23[[#This Row],[Total Spending After Applying Truncation at the Member Level]]+Age_Sex23[[#This Row],[Total Dollars Excluded from Spending After Applying Truncation at the Member Level]]=Age_Sex23[[#This Row],[Total Spending before Truncation is Applied]]</f>
        <v>1</v>
      </c>
    </row>
    <row r="169" spans="1:10" x14ac:dyDescent="0.25">
      <c r="A169" s="386"/>
      <c r="B169" s="310"/>
      <c r="C169" s="311"/>
      <c r="D169" s="518"/>
      <c r="E169" s="409"/>
      <c r="F169" s="312"/>
      <c r="G169" s="522"/>
      <c r="H169" s="312"/>
      <c r="I169" s="455"/>
      <c r="J169" s="272" t="b">
        <f>Age_Sex23[[#This Row],[Total Spending After Applying Truncation at the Member Level]]+Age_Sex23[[#This Row],[Total Dollars Excluded from Spending After Applying Truncation at the Member Level]]=Age_Sex23[[#This Row],[Total Spending before Truncation is Applied]]</f>
        <v>1</v>
      </c>
    </row>
    <row r="170" spans="1:10" x14ac:dyDescent="0.25">
      <c r="A170" s="389"/>
      <c r="B170" s="4"/>
      <c r="C170" s="16"/>
      <c r="D170" s="519"/>
      <c r="E170" s="410"/>
      <c r="F170" s="313"/>
      <c r="G170" s="256"/>
      <c r="H170" s="313"/>
      <c r="I170" s="456"/>
      <c r="J170" s="272" t="b">
        <f>Age_Sex23[[#This Row],[Total Spending After Applying Truncation at the Member Level]]+Age_Sex23[[#This Row],[Total Dollars Excluded from Spending After Applying Truncation at the Member Level]]=Age_Sex23[[#This Row],[Total Spending before Truncation is Applied]]</f>
        <v>1</v>
      </c>
    </row>
    <row r="171" spans="1:10" x14ac:dyDescent="0.25">
      <c r="A171" s="386"/>
      <c r="B171" s="310"/>
      <c r="C171" s="311"/>
      <c r="D171" s="518"/>
      <c r="E171" s="409"/>
      <c r="F171" s="312"/>
      <c r="G171" s="522"/>
      <c r="H171" s="312"/>
      <c r="I171" s="455"/>
      <c r="J171" s="272" t="b">
        <f>Age_Sex23[[#This Row],[Total Spending After Applying Truncation at the Member Level]]+Age_Sex23[[#This Row],[Total Dollars Excluded from Spending After Applying Truncation at the Member Level]]=Age_Sex23[[#This Row],[Total Spending before Truncation is Applied]]</f>
        <v>1</v>
      </c>
    </row>
    <row r="172" spans="1:10" x14ac:dyDescent="0.25">
      <c r="A172" s="389"/>
      <c r="B172" s="4"/>
      <c r="C172" s="16"/>
      <c r="D172" s="519"/>
      <c r="E172" s="410"/>
      <c r="F172" s="313"/>
      <c r="G172" s="256"/>
      <c r="H172" s="313"/>
      <c r="I172" s="456"/>
      <c r="J172" s="272" t="b">
        <f>Age_Sex23[[#This Row],[Total Spending After Applying Truncation at the Member Level]]+Age_Sex23[[#This Row],[Total Dollars Excluded from Spending After Applying Truncation at the Member Level]]=Age_Sex23[[#This Row],[Total Spending before Truncation is Applied]]</f>
        <v>1</v>
      </c>
    </row>
    <row r="173" spans="1:10" x14ac:dyDescent="0.25">
      <c r="A173" s="386"/>
      <c r="B173" s="310"/>
      <c r="C173" s="311"/>
      <c r="D173" s="518"/>
      <c r="E173" s="409"/>
      <c r="F173" s="312"/>
      <c r="G173" s="522"/>
      <c r="H173" s="312"/>
      <c r="I173" s="455"/>
      <c r="J173" s="272" t="b">
        <f>Age_Sex23[[#This Row],[Total Spending After Applying Truncation at the Member Level]]+Age_Sex23[[#This Row],[Total Dollars Excluded from Spending After Applying Truncation at the Member Level]]=Age_Sex23[[#This Row],[Total Spending before Truncation is Applied]]</f>
        <v>1</v>
      </c>
    </row>
    <row r="174" spans="1:10" x14ac:dyDescent="0.25">
      <c r="A174" s="389"/>
      <c r="B174" s="4"/>
      <c r="C174" s="16"/>
      <c r="D174" s="519"/>
      <c r="E174" s="410"/>
      <c r="F174" s="313"/>
      <c r="G174" s="256"/>
      <c r="H174" s="313"/>
      <c r="I174" s="456"/>
      <c r="J174" s="272" t="b">
        <f>Age_Sex23[[#This Row],[Total Spending After Applying Truncation at the Member Level]]+Age_Sex23[[#This Row],[Total Dollars Excluded from Spending After Applying Truncation at the Member Level]]=Age_Sex23[[#This Row],[Total Spending before Truncation is Applied]]</f>
        <v>1</v>
      </c>
    </row>
    <row r="175" spans="1:10" x14ac:dyDescent="0.25">
      <c r="A175" s="386"/>
      <c r="B175" s="310"/>
      <c r="C175" s="311"/>
      <c r="D175" s="518"/>
      <c r="E175" s="409"/>
      <c r="F175" s="312"/>
      <c r="G175" s="522"/>
      <c r="H175" s="312"/>
      <c r="I175" s="455"/>
      <c r="J175" s="272" t="b">
        <f>Age_Sex23[[#This Row],[Total Spending After Applying Truncation at the Member Level]]+Age_Sex23[[#This Row],[Total Dollars Excluded from Spending After Applying Truncation at the Member Level]]=Age_Sex23[[#This Row],[Total Spending before Truncation is Applied]]</f>
        <v>1</v>
      </c>
    </row>
    <row r="176" spans="1:10" x14ac:dyDescent="0.25">
      <c r="A176" s="389"/>
      <c r="B176" s="4"/>
      <c r="C176" s="16"/>
      <c r="D176" s="519"/>
      <c r="E176" s="410"/>
      <c r="F176" s="313"/>
      <c r="G176" s="256"/>
      <c r="H176" s="313"/>
      <c r="I176" s="456"/>
      <c r="J176" s="272" t="b">
        <f>Age_Sex23[[#This Row],[Total Spending After Applying Truncation at the Member Level]]+Age_Sex23[[#This Row],[Total Dollars Excluded from Spending After Applying Truncation at the Member Level]]=Age_Sex23[[#This Row],[Total Spending before Truncation is Applied]]</f>
        <v>1</v>
      </c>
    </row>
    <row r="177" spans="1:10" x14ac:dyDescent="0.25">
      <c r="A177" s="386"/>
      <c r="B177" s="310"/>
      <c r="C177" s="311"/>
      <c r="D177" s="518"/>
      <c r="E177" s="409"/>
      <c r="F177" s="312"/>
      <c r="G177" s="522"/>
      <c r="H177" s="312"/>
      <c r="I177" s="455"/>
      <c r="J177" s="272" t="b">
        <f>Age_Sex23[[#This Row],[Total Spending After Applying Truncation at the Member Level]]+Age_Sex23[[#This Row],[Total Dollars Excluded from Spending After Applying Truncation at the Member Level]]=Age_Sex23[[#This Row],[Total Spending before Truncation is Applied]]</f>
        <v>1</v>
      </c>
    </row>
    <row r="178" spans="1:10" x14ac:dyDescent="0.25">
      <c r="A178" s="389"/>
      <c r="B178" s="4"/>
      <c r="C178" s="16"/>
      <c r="D178" s="519"/>
      <c r="E178" s="410"/>
      <c r="F178" s="313"/>
      <c r="G178" s="256"/>
      <c r="H178" s="313"/>
      <c r="I178" s="456"/>
      <c r="J178" s="272" t="b">
        <f>Age_Sex23[[#This Row],[Total Spending After Applying Truncation at the Member Level]]+Age_Sex23[[#This Row],[Total Dollars Excluded from Spending After Applying Truncation at the Member Level]]=Age_Sex23[[#This Row],[Total Spending before Truncation is Applied]]</f>
        <v>1</v>
      </c>
    </row>
    <row r="179" spans="1:10" x14ac:dyDescent="0.25">
      <c r="A179" s="386"/>
      <c r="B179" s="310"/>
      <c r="C179" s="311"/>
      <c r="D179" s="518"/>
      <c r="E179" s="409"/>
      <c r="F179" s="312"/>
      <c r="G179" s="522"/>
      <c r="H179" s="312"/>
      <c r="I179" s="455"/>
      <c r="J179" s="272" t="b">
        <f>Age_Sex23[[#This Row],[Total Spending After Applying Truncation at the Member Level]]+Age_Sex23[[#This Row],[Total Dollars Excluded from Spending After Applying Truncation at the Member Level]]=Age_Sex23[[#This Row],[Total Spending before Truncation is Applied]]</f>
        <v>1</v>
      </c>
    </row>
    <row r="180" spans="1:10" x14ac:dyDescent="0.25">
      <c r="A180" s="389"/>
      <c r="B180" s="4"/>
      <c r="C180" s="16"/>
      <c r="D180" s="519"/>
      <c r="E180" s="410"/>
      <c r="F180" s="313"/>
      <c r="G180" s="256"/>
      <c r="H180" s="313"/>
      <c r="I180" s="456"/>
      <c r="J180" s="272" t="b">
        <f>Age_Sex23[[#This Row],[Total Spending After Applying Truncation at the Member Level]]+Age_Sex23[[#This Row],[Total Dollars Excluded from Spending After Applying Truncation at the Member Level]]=Age_Sex23[[#This Row],[Total Spending before Truncation is Applied]]</f>
        <v>1</v>
      </c>
    </row>
    <row r="181" spans="1:10" x14ac:dyDescent="0.25">
      <c r="A181" s="386"/>
      <c r="B181" s="310"/>
      <c r="C181" s="311"/>
      <c r="D181" s="518"/>
      <c r="E181" s="409"/>
      <c r="F181" s="312"/>
      <c r="G181" s="522"/>
      <c r="H181" s="312"/>
      <c r="I181" s="455"/>
      <c r="J181" s="272" t="b">
        <f>Age_Sex23[[#This Row],[Total Spending After Applying Truncation at the Member Level]]+Age_Sex23[[#This Row],[Total Dollars Excluded from Spending After Applying Truncation at the Member Level]]=Age_Sex23[[#This Row],[Total Spending before Truncation is Applied]]</f>
        <v>1</v>
      </c>
    </row>
    <row r="182" spans="1:10" x14ac:dyDescent="0.25">
      <c r="A182" s="389"/>
      <c r="B182" s="4"/>
      <c r="C182" s="16"/>
      <c r="D182" s="519"/>
      <c r="E182" s="410"/>
      <c r="F182" s="313"/>
      <c r="G182" s="256"/>
      <c r="H182" s="313"/>
      <c r="I182" s="456"/>
      <c r="J182" s="272" t="b">
        <f>Age_Sex23[[#This Row],[Total Spending After Applying Truncation at the Member Level]]+Age_Sex23[[#This Row],[Total Dollars Excluded from Spending After Applying Truncation at the Member Level]]=Age_Sex23[[#This Row],[Total Spending before Truncation is Applied]]</f>
        <v>1</v>
      </c>
    </row>
    <row r="183" spans="1:10" x14ac:dyDescent="0.25">
      <c r="A183" s="386"/>
      <c r="B183" s="310"/>
      <c r="C183" s="311"/>
      <c r="D183" s="518"/>
      <c r="E183" s="409"/>
      <c r="F183" s="312"/>
      <c r="G183" s="522"/>
      <c r="H183" s="312"/>
      <c r="I183" s="455"/>
      <c r="J183" s="272" t="b">
        <f>Age_Sex23[[#This Row],[Total Spending After Applying Truncation at the Member Level]]+Age_Sex23[[#This Row],[Total Dollars Excluded from Spending After Applying Truncation at the Member Level]]=Age_Sex23[[#This Row],[Total Spending before Truncation is Applied]]</f>
        <v>1</v>
      </c>
    </row>
    <row r="184" spans="1:10" x14ac:dyDescent="0.25">
      <c r="A184" s="389"/>
      <c r="B184" s="4"/>
      <c r="C184" s="16"/>
      <c r="D184" s="519"/>
      <c r="E184" s="410"/>
      <c r="F184" s="313"/>
      <c r="G184" s="256"/>
      <c r="H184" s="313"/>
      <c r="I184" s="456"/>
      <c r="J184" s="272" t="b">
        <f>Age_Sex23[[#This Row],[Total Spending After Applying Truncation at the Member Level]]+Age_Sex23[[#This Row],[Total Dollars Excluded from Spending After Applying Truncation at the Member Level]]=Age_Sex23[[#This Row],[Total Spending before Truncation is Applied]]</f>
        <v>1</v>
      </c>
    </row>
    <row r="185" spans="1:10" x14ac:dyDescent="0.25">
      <c r="A185" s="386"/>
      <c r="B185" s="310"/>
      <c r="C185" s="311"/>
      <c r="D185" s="518"/>
      <c r="E185" s="409"/>
      <c r="F185" s="312"/>
      <c r="G185" s="522"/>
      <c r="H185" s="312"/>
      <c r="I185" s="455"/>
      <c r="J185" s="272" t="b">
        <f>Age_Sex23[[#This Row],[Total Spending After Applying Truncation at the Member Level]]+Age_Sex23[[#This Row],[Total Dollars Excluded from Spending After Applying Truncation at the Member Level]]=Age_Sex23[[#This Row],[Total Spending before Truncation is Applied]]</f>
        <v>1</v>
      </c>
    </row>
    <row r="186" spans="1:10" x14ac:dyDescent="0.25">
      <c r="A186" s="389"/>
      <c r="B186" s="4"/>
      <c r="C186" s="16"/>
      <c r="D186" s="519"/>
      <c r="E186" s="410"/>
      <c r="F186" s="313"/>
      <c r="G186" s="256"/>
      <c r="H186" s="313"/>
      <c r="I186" s="456"/>
      <c r="J186" s="272" t="b">
        <f>Age_Sex23[[#This Row],[Total Spending After Applying Truncation at the Member Level]]+Age_Sex23[[#This Row],[Total Dollars Excluded from Spending After Applying Truncation at the Member Level]]=Age_Sex23[[#This Row],[Total Spending before Truncation is Applied]]</f>
        <v>1</v>
      </c>
    </row>
    <row r="187" spans="1:10" x14ac:dyDescent="0.25">
      <c r="A187" s="386"/>
      <c r="B187" s="310"/>
      <c r="C187" s="311"/>
      <c r="D187" s="518"/>
      <c r="E187" s="409"/>
      <c r="F187" s="312"/>
      <c r="G187" s="522"/>
      <c r="H187" s="312"/>
      <c r="I187" s="455"/>
      <c r="J187" s="272" t="b">
        <f>Age_Sex23[[#This Row],[Total Spending After Applying Truncation at the Member Level]]+Age_Sex23[[#This Row],[Total Dollars Excluded from Spending After Applying Truncation at the Member Level]]=Age_Sex23[[#This Row],[Total Spending before Truncation is Applied]]</f>
        <v>1</v>
      </c>
    </row>
    <row r="188" spans="1:10" x14ac:dyDescent="0.25">
      <c r="A188" s="389"/>
      <c r="B188" s="4"/>
      <c r="C188" s="16"/>
      <c r="D188" s="519"/>
      <c r="E188" s="410"/>
      <c r="F188" s="313"/>
      <c r="G188" s="256"/>
      <c r="H188" s="313"/>
      <c r="I188" s="456"/>
      <c r="J188" s="272" t="b">
        <f>Age_Sex23[[#This Row],[Total Spending After Applying Truncation at the Member Level]]+Age_Sex23[[#This Row],[Total Dollars Excluded from Spending After Applying Truncation at the Member Level]]=Age_Sex23[[#This Row],[Total Spending before Truncation is Applied]]</f>
        <v>1</v>
      </c>
    </row>
    <row r="189" spans="1:10" x14ac:dyDescent="0.25">
      <c r="A189" s="386"/>
      <c r="B189" s="310"/>
      <c r="C189" s="311"/>
      <c r="D189" s="518"/>
      <c r="E189" s="409"/>
      <c r="F189" s="312"/>
      <c r="G189" s="522"/>
      <c r="H189" s="312"/>
      <c r="I189" s="455"/>
      <c r="J189" s="272" t="b">
        <f>Age_Sex23[[#This Row],[Total Spending After Applying Truncation at the Member Level]]+Age_Sex23[[#This Row],[Total Dollars Excluded from Spending After Applying Truncation at the Member Level]]=Age_Sex23[[#This Row],[Total Spending before Truncation is Applied]]</f>
        <v>1</v>
      </c>
    </row>
    <row r="190" spans="1:10" x14ac:dyDescent="0.25">
      <c r="A190" s="389"/>
      <c r="B190" s="4"/>
      <c r="C190" s="16"/>
      <c r="D190" s="519"/>
      <c r="E190" s="410"/>
      <c r="F190" s="313"/>
      <c r="G190" s="256"/>
      <c r="H190" s="313"/>
      <c r="I190" s="456"/>
      <c r="J190" s="272" t="b">
        <f>Age_Sex23[[#This Row],[Total Spending After Applying Truncation at the Member Level]]+Age_Sex23[[#This Row],[Total Dollars Excluded from Spending After Applying Truncation at the Member Level]]=Age_Sex23[[#This Row],[Total Spending before Truncation is Applied]]</f>
        <v>1</v>
      </c>
    </row>
    <row r="191" spans="1:10" x14ac:dyDescent="0.25">
      <c r="A191" s="386"/>
      <c r="B191" s="310"/>
      <c r="C191" s="311"/>
      <c r="D191" s="518"/>
      <c r="E191" s="409"/>
      <c r="F191" s="312"/>
      <c r="G191" s="522"/>
      <c r="H191" s="312"/>
      <c r="I191" s="455"/>
      <c r="J191" s="272" t="b">
        <f>Age_Sex23[[#This Row],[Total Spending After Applying Truncation at the Member Level]]+Age_Sex23[[#This Row],[Total Dollars Excluded from Spending After Applying Truncation at the Member Level]]=Age_Sex23[[#This Row],[Total Spending before Truncation is Applied]]</f>
        <v>1</v>
      </c>
    </row>
    <row r="192" spans="1:10" x14ac:dyDescent="0.25">
      <c r="A192" s="389"/>
      <c r="B192" s="4"/>
      <c r="C192" s="16"/>
      <c r="D192" s="519"/>
      <c r="E192" s="410"/>
      <c r="F192" s="313"/>
      <c r="G192" s="256"/>
      <c r="H192" s="313"/>
      <c r="I192" s="456"/>
      <c r="J192" s="272" t="b">
        <f>Age_Sex23[[#This Row],[Total Spending After Applying Truncation at the Member Level]]+Age_Sex23[[#This Row],[Total Dollars Excluded from Spending After Applying Truncation at the Member Level]]=Age_Sex23[[#This Row],[Total Spending before Truncation is Applied]]</f>
        <v>1</v>
      </c>
    </row>
    <row r="193" spans="1:10" x14ac:dyDescent="0.25">
      <c r="A193" s="386"/>
      <c r="B193" s="310"/>
      <c r="C193" s="311"/>
      <c r="D193" s="518"/>
      <c r="E193" s="409"/>
      <c r="F193" s="312"/>
      <c r="G193" s="522"/>
      <c r="H193" s="312"/>
      <c r="I193" s="455"/>
      <c r="J193" s="272" t="b">
        <f>Age_Sex23[[#This Row],[Total Spending After Applying Truncation at the Member Level]]+Age_Sex23[[#This Row],[Total Dollars Excluded from Spending After Applying Truncation at the Member Level]]=Age_Sex23[[#This Row],[Total Spending before Truncation is Applied]]</f>
        <v>1</v>
      </c>
    </row>
    <row r="194" spans="1:10" x14ac:dyDescent="0.25">
      <c r="A194" s="389"/>
      <c r="B194" s="4"/>
      <c r="C194" s="16"/>
      <c r="D194" s="519"/>
      <c r="E194" s="410"/>
      <c r="F194" s="313"/>
      <c r="G194" s="256"/>
      <c r="H194" s="313"/>
      <c r="I194" s="456"/>
      <c r="J194" s="272" t="b">
        <f>Age_Sex23[[#This Row],[Total Spending After Applying Truncation at the Member Level]]+Age_Sex23[[#This Row],[Total Dollars Excluded from Spending After Applying Truncation at the Member Level]]=Age_Sex23[[#This Row],[Total Spending before Truncation is Applied]]</f>
        <v>1</v>
      </c>
    </row>
    <row r="195" spans="1:10" x14ac:dyDescent="0.25">
      <c r="A195" s="386"/>
      <c r="B195" s="310"/>
      <c r="C195" s="311"/>
      <c r="D195" s="518"/>
      <c r="E195" s="409"/>
      <c r="F195" s="312"/>
      <c r="G195" s="522"/>
      <c r="H195" s="312"/>
      <c r="I195" s="455"/>
      <c r="J195" s="272" t="b">
        <f>Age_Sex23[[#This Row],[Total Spending After Applying Truncation at the Member Level]]+Age_Sex23[[#This Row],[Total Dollars Excluded from Spending After Applying Truncation at the Member Level]]=Age_Sex23[[#This Row],[Total Spending before Truncation is Applied]]</f>
        <v>1</v>
      </c>
    </row>
    <row r="196" spans="1:10" x14ac:dyDescent="0.25">
      <c r="A196" s="389"/>
      <c r="B196" s="4"/>
      <c r="C196" s="16"/>
      <c r="D196" s="519"/>
      <c r="E196" s="410"/>
      <c r="F196" s="313"/>
      <c r="G196" s="256"/>
      <c r="H196" s="313"/>
      <c r="I196" s="456"/>
      <c r="J196" s="272" t="b">
        <f>Age_Sex23[[#This Row],[Total Spending After Applying Truncation at the Member Level]]+Age_Sex23[[#This Row],[Total Dollars Excluded from Spending After Applying Truncation at the Member Level]]=Age_Sex23[[#This Row],[Total Spending before Truncation is Applied]]</f>
        <v>1</v>
      </c>
    </row>
    <row r="197" spans="1:10" x14ac:dyDescent="0.25">
      <c r="A197" s="386"/>
      <c r="B197" s="310"/>
      <c r="C197" s="311"/>
      <c r="D197" s="518"/>
      <c r="E197" s="409"/>
      <c r="F197" s="312"/>
      <c r="G197" s="522"/>
      <c r="H197" s="312"/>
      <c r="I197" s="455"/>
      <c r="J197" s="272" t="b">
        <f>Age_Sex23[[#This Row],[Total Spending After Applying Truncation at the Member Level]]+Age_Sex23[[#This Row],[Total Dollars Excluded from Spending After Applying Truncation at the Member Level]]=Age_Sex23[[#This Row],[Total Spending before Truncation is Applied]]</f>
        <v>1</v>
      </c>
    </row>
    <row r="198" spans="1:10" x14ac:dyDescent="0.25">
      <c r="A198" s="389"/>
      <c r="B198" s="4"/>
      <c r="C198" s="16"/>
      <c r="D198" s="519"/>
      <c r="E198" s="410"/>
      <c r="F198" s="313"/>
      <c r="G198" s="256"/>
      <c r="H198" s="313"/>
      <c r="I198" s="456"/>
      <c r="J198" s="272" t="b">
        <f>Age_Sex23[[#This Row],[Total Spending After Applying Truncation at the Member Level]]+Age_Sex23[[#This Row],[Total Dollars Excluded from Spending After Applying Truncation at the Member Level]]=Age_Sex23[[#This Row],[Total Spending before Truncation is Applied]]</f>
        <v>1</v>
      </c>
    </row>
    <row r="199" spans="1:10" x14ac:dyDescent="0.25">
      <c r="A199" s="386"/>
      <c r="B199" s="310"/>
      <c r="C199" s="311"/>
      <c r="D199" s="518"/>
      <c r="E199" s="409"/>
      <c r="F199" s="312"/>
      <c r="G199" s="522"/>
      <c r="H199" s="312"/>
      <c r="I199" s="455"/>
      <c r="J199" s="272" t="b">
        <f>Age_Sex23[[#This Row],[Total Spending After Applying Truncation at the Member Level]]+Age_Sex23[[#This Row],[Total Dollars Excluded from Spending After Applying Truncation at the Member Level]]=Age_Sex23[[#This Row],[Total Spending before Truncation is Applied]]</f>
        <v>1</v>
      </c>
    </row>
    <row r="200" spans="1:10" x14ac:dyDescent="0.25">
      <c r="A200" s="389"/>
      <c r="B200" s="4"/>
      <c r="C200" s="16"/>
      <c r="D200" s="519"/>
      <c r="E200" s="410"/>
      <c r="F200" s="313"/>
      <c r="G200" s="256"/>
      <c r="H200" s="313"/>
      <c r="I200" s="456"/>
      <c r="J200" s="272" t="b">
        <f>Age_Sex23[[#This Row],[Total Spending After Applying Truncation at the Member Level]]+Age_Sex23[[#This Row],[Total Dollars Excluded from Spending After Applying Truncation at the Member Level]]=Age_Sex23[[#This Row],[Total Spending before Truncation is Applied]]</f>
        <v>1</v>
      </c>
    </row>
    <row r="201" spans="1:10" x14ac:dyDescent="0.25">
      <c r="A201" s="386"/>
      <c r="B201" s="310"/>
      <c r="C201" s="311"/>
      <c r="D201" s="518"/>
      <c r="E201" s="409"/>
      <c r="F201" s="312"/>
      <c r="G201" s="522"/>
      <c r="H201" s="312"/>
      <c r="I201" s="455"/>
      <c r="J201" s="272" t="b">
        <f>Age_Sex23[[#This Row],[Total Spending After Applying Truncation at the Member Level]]+Age_Sex23[[#This Row],[Total Dollars Excluded from Spending After Applying Truncation at the Member Level]]=Age_Sex23[[#This Row],[Total Spending before Truncation is Applied]]</f>
        <v>1</v>
      </c>
    </row>
    <row r="202" spans="1:10" x14ac:dyDescent="0.25">
      <c r="A202" s="389"/>
      <c r="B202" s="4"/>
      <c r="C202" s="16"/>
      <c r="D202" s="519"/>
      <c r="E202" s="410"/>
      <c r="F202" s="313"/>
      <c r="G202" s="256"/>
      <c r="H202" s="313"/>
      <c r="I202" s="456"/>
      <c r="J202" s="272" t="b">
        <f>Age_Sex23[[#This Row],[Total Spending After Applying Truncation at the Member Level]]+Age_Sex23[[#This Row],[Total Dollars Excluded from Spending After Applying Truncation at the Member Level]]=Age_Sex23[[#This Row],[Total Spending before Truncation is Applied]]</f>
        <v>1</v>
      </c>
    </row>
    <row r="203" spans="1:10" x14ac:dyDescent="0.25">
      <c r="A203" s="386"/>
      <c r="B203" s="310"/>
      <c r="C203" s="311"/>
      <c r="D203" s="518"/>
      <c r="E203" s="409"/>
      <c r="F203" s="312"/>
      <c r="G203" s="522"/>
      <c r="H203" s="312"/>
      <c r="I203" s="455"/>
      <c r="J203" s="272" t="b">
        <f>Age_Sex23[[#This Row],[Total Spending After Applying Truncation at the Member Level]]+Age_Sex23[[#This Row],[Total Dollars Excluded from Spending After Applying Truncation at the Member Level]]=Age_Sex23[[#This Row],[Total Spending before Truncation is Applied]]</f>
        <v>1</v>
      </c>
    </row>
    <row r="204" spans="1:10" x14ac:dyDescent="0.25">
      <c r="A204" s="389"/>
      <c r="B204" s="4"/>
      <c r="C204" s="16"/>
      <c r="D204" s="519"/>
      <c r="E204" s="410"/>
      <c r="F204" s="313"/>
      <c r="G204" s="256"/>
      <c r="H204" s="313"/>
      <c r="I204" s="456"/>
      <c r="J204" s="272" t="b">
        <f>Age_Sex23[[#This Row],[Total Spending After Applying Truncation at the Member Level]]+Age_Sex23[[#This Row],[Total Dollars Excluded from Spending After Applying Truncation at the Member Level]]=Age_Sex23[[#This Row],[Total Spending before Truncation is Applied]]</f>
        <v>1</v>
      </c>
    </row>
    <row r="205" spans="1:10" x14ac:dyDescent="0.25">
      <c r="A205" s="386"/>
      <c r="B205" s="310"/>
      <c r="C205" s="311"/>
      <c r="D205" s="518"/>
      <c r="E205" s="409"/>
      <c r="F205" s="312"/>
      <c r="G205" s="522"/>
      <c r="H205" s="312"/>
      <c r="I205" s="455"/>
      <c r="J205" s="272" t="b">
        <f>Age_Sex23[[#This Row],[Total Spending After Applying Truncation at the Member Level]]+Age_Sex23[[#This Row],[Total Dollars Excluded from Spending After Applying Truncation at the Member Level]]=Age_Sex23[[#This Row],[Total Spending before Truncation is Applied]]</f>
        <v>1</v>
      </c>
    </row>
    <row r="206" spans="1:10" x14ac:dyDescent="0.25">
      <c r="A206" s="389"/>
      <c r="B206" s="4"/>
      <c r="C206" s="16"/>
      <c r="D206" s="519"/>
      <c r="E206" s="410"/>
      <c r="F206" s="313"/>
      <c r="G206" s="256"/>
      <c r="H206" s="313"/>
      <c r="I206" s="456"/>
      <c r="J206" s="272" t="b">
        <f>Age_Sex23[[#This Row],[Total Spending After Applying Truncation at the Member Level]]+Age_Sex23[[#This Row],[Total Dollars Excluded from Spending After Applying Truncation at the Member Level]]=Age_Sex23[[#This Row],[Total Spending before Truncation is Applied]]</f>
        <v>1</v>
      </c>
    </row>
    <row r="207" spans="1:10" x14ac:dyDescent="0.25">
      <c r="A207" s="386"/>
      <c r="B207" s="310"/>
      <c r="C207" s="311"/>
      <c r="D207" s="518"/>
      <c r="E207" s="409"/>
      <c r="F207" s="312"/>
      <c r="G207" s="522"/>
      <c r="H207" s="312"/>
      <c r="I207" s="455"/>
      <c r="J207" s="272" t="b">
        <f>Age_Sex23[[#This Row],[Total Spending After Applying Truncation at the Member Level]]+Age_Sex23[[#This Row],[Total Dollars Excluded from Spending After Applying Truncation at the Member Level]]=Age_Sex23[[#This Row],[Total Spending before Truncation is Applied]]</f>
        <v>1</v>
      </c>
    </row>
    <row r="208" spans="1:10" x14ac:dyDescent="0.25">
      <c r="A208" s="389"/>
      <c r="B208" s="4"/>
      <c r="C208" s="16"/>
      <c r="D208" s="519"/>
      <c r="E208" s="410"/>
      <c r="F208" s="313"/>
      <c r="G208" s="256"/>
      <c r="H208" s="313"/>
      <c r="I208" s="456"/>
      <c r="J208" s="272" t="b">
        <f>Age_Sex23[[#This Row],[Total Spending After Applying Truncation at the Member Level]]+Age_Sex23[[#This Row],[Total Dollars Excluded from Spending After Applying Truncation at the Member Level]]=Age_Sex23[[#This Row],[Total Spending before Truncation is Applied]]</f>
        <v>1</v>
      </c>
    </row>
    <row r="209" spans="1:10" x14ac:dyDescent="0.25">
      <c r="A209" s="386"/>
      <c r="B209" s="310"/>
      <c r="C209" s="311"/>
      <c r="D209" s="518"/>
      <c r="E209" s="409"/>
      <c r="F209" s="312"/>
      <c r="G209" s="522"/>
      <c r="H209" s="312"/>
      <c r="I209" s="455"/>
      <c r="J209" s="272" t="b">
        <f>Age_Sex23[[#This Row],[Total Spending After Applying Truncation at the Member Level]]+Age_Sex23[[#This Row],[Total Dollars Excluded from Spending After Applying Truncation at the Member Level]]=Age_Sex23[[#This Row],[Total Spending before Truncation is Applied]]</f>
        <v>1</v>
      </c>
    </row>
    <row r="210" spans="1:10" x14ac:dyDescent="0.25">
      <c r="A210" s="389"/>
      <c r="B210" s="4"/>
      <c r="C210" s="16"/>
      <c r="D210" s="519"/>
      <c r="E210" s="410"/>
      <c r="F210" s="313"/>
      <c r="G210" s="256"/>
      <c r="H210" s="313"/>
      <c r="I210" s="456"/>
      <c r="J210" s="272" t="b">
        <f>Age_Sex23[[#This Row],[Total Spending After Applying Truncation at the Member Level]]+Age_Sex23[[#This Row],[Total Dollars Excluded from Spending After Applying Truncation at the Member Level]]=Age_Sex23[[#This Row],[Total Spending before Truncation is Applied]]</f>
        <v>1</v>
      </c>
    </row>
    <row r="211" spans="1:10" x14ac:dyDescent="0.25">
      <c r="A211" s="386"/>
      <c r="B211" s="310"/>
      <c r="C211" s="311"/>
      <c r="D211" s="518"/>
      <c r="E211" s="409"/>
      <c r="F211" s="312"/>
      <c r="G211" s="522"/>
      <c r="H211" s="312"/>
      <c r="I211" s="455"/>
      <c r="J211" s="272" t="b">
        <f>Age_Sex23[[#This Row],[Total Spending After Applying Truncation at the Member Level]]+Age_Sex23[[#This Row],[Total Dollars Excluded from Spending After Applying Truncation at the Member Level]]=Age_Sex23[[#This Row],[Total Spending before Truncation is Applied]]</f>
        <v>1</v>
      </c>
    </row>
    <row r="212" spans="1:10" x14ac:dyDescent="0.25">
      <c r="A212" s="389"/>
      <c r="B212" s="4"/>
      <c r="C212" s="16"/>
      <c r="D212" s="519"/>
      <c r="E212" s="410"/>
      <c r="F212" s="313"/>
      <c r="G212" s="256"/>
      <c r="H212" s="313"/>
      <c r="I212" s="456"/>
      <c r="J212" s="272" t="b">
        <f>Age_Sex23[[#This Row],[Total Spending After Applying Truncation at the Member Level]]+Age_Sex23[[#This Row],[Total Dollars Excluded from Spending After Applying Truncation at the Member Level]]=Age_Sex23[[#This Row],[Total Spending before Truncation is Applied]]</f>
        <v>1</v>
      </c>
    </row>
    <row r="213" spans="1:10" x14ac:dyDescent="0.25">
      <c r="A213" s="386"/>
      <c r="B213" s="310"/>
      <c r="C213" s="311"/>
      <c r="D213" s="518"/>
      <c r="E213" s="409"/>
      <c r="F213" s="312"/>
      <c r="G213" s="522"/>
      <c r="H213" s="312"/>
      <c r="I213" s="455"/>
      <c r="J213" s="272" t="b">
        <f>Age_Sex23[[#This Row],[Total Spending After Applying Truncation at the Member Level]]+Age_Sex23[[#This Row],[Total Dollars Excluded from Spending After Applying Truncation at the Member Level]]=Age_Sex23[[#This Row],[Total Spending before Truncation is Applied]]</f>
        <v>1</v>
      </c>
    </row>
    <row r="214" spans="1:10" x14ac:dyDescent="0.25">
      <c r="A214" s="389"/>
      <c r="B214" s="4"/>
      <c r="C214" s="16"/>
      <c r="D214" s="519"/>
      <c r="E214" s="410"/>
      <c r="F214" s="313"/>
      <c r="G214" s="256"/>
      <c r="H214" s="313"/>
      <c r="I214" s="456"/>
      <c r="J214" s="272" t="b">
        <f>Age_Sex23[[#This Row],[Total Spending After Applying Truncation at the Member Level]]+Age_Sex23[[#This Row],[Total Dollars Excluded from Spending After Applying Truncation at the Member Level]]=Age_Sex23[[#This Row],[Total Spending before Truncation is Applied]]</f>
        <v>1</v>
      </c>
    </row>
    <row r="215" spans="1:10" x14ac:dyDescent="0.25">
      <c r="A215" s="386"/>
      <c r="B215" s="310"/>
      <c r="C215" s="311"/>
      <c r="D215" s="518"/>
      <c r="E215" s="409"/>
      <c r="F215" s="312"/>
      <c r="G215" s="522"/>
      <c r="H215" s="312"/>
      <c r="I215" s="455"/>
      <c r="J215" s="272" t="b">
        <f>Age_Sex23[[#This Row],[Total Spending After Applying Truncation at the Member Level]]+Age_Sex23[[#This Row],[Total Dollars Excluded from Spending After Applying Truncation at the Member Level]]=Age_Sex23[[#This Row],[Total Spending before Truncation is Applied]]</f>
        <v>1</v>
      </c>
    </row>
    <row r="216" spans="1:10" x14ac:dyDescent="0.25">
      <c r="A216" s="389"/>
      <c r="B216" s="4"/>
      <c r="C216" s="16"/>
      <c r="D216" s="519"/>
      <c r="E216" s="410"/>
      <c r="F216" s="313"/>
      <c r="G216" s="256"/>
      <c r="H216" s="313"/>
      <c r="I216" s="456"/>
      <c r="J216" s="272" t="b">
        <f>Age_Sex23[[#This Row],[Total Spending After Applying Truncation at the Member Level]]+Age_Sex23[[#This Row],[Total Dollars Excluded from Spending After Applying Truncation at the Member Level]]=Age_Sex23[[#This Row],[Total Spending before Truncation is Applied]]</f>
        <v>1</v>
      </c>
    </row>
    <row r="217" spans="1:10" x14ac:dyDescent="0.25">
      <c r="A217" s="386"/>
      <c r="B217" s="310"/>
      <c r="C217" s="311"/>
      <c r="D217" s="518"/>
      <c r="E217" s="409"/>
      <c r="F217" s="312"/>
      <c r="G217" s="522"/>
      <c r="H217" s="312"/>
      <c r="I217" s="455"/>
      <c r="J217" s="272" t="b">
        <f>Age_Sex23[[#This Row],[Total Spending After Applying Truncation at the Member Level]]+Age_Sex23[[#This Row],[Total Dollars Excluded from Spending After Applying Truncation at the Member Level]]=Age_Sex23[[#This Row],[Total Spending before Truncation is Applied]]</f>
        <v>1</v>
      </c>
    </row>
    <row r="218" spans="1:10" x14ac:dyDescent="0.25">
      <c r="A218" s="389"/>
      <c r="B218" s="4"/>
      <c r="C218" s="16"/>
      <c r="D218" s="519"/>
      <c r="E218" s="410"/>
      <c r="F218" s="313"/>
      <c r="G218" s="256"/>
      <c r="H218" s="313"/>
      <c r="I218" s="456"/>
      <c r="J218" s="272" t="b">
        <f>Age_Sex23[[#This Row],[Total Spending After Applying Truncation at the Member Level]]+Age_Sex23[[#This Row],[Total Dollars Excluded from Spending After Applying Truncation at the Member Level]]=Age_Sex23[[#This Row],[Total Spending before Truncation is Applied]]</f>
        <v>1</v>
      </c>
    </row>
    <row r="219" spans="1:10" x14ac:dyDescent="0.25">
      <c r="A219" s="386"/>
      <c r="B219" s="310"/>
      <c r="C219" s="311"/>
      <c r="D219" s="518"/>
      <c r="E219" s="409"/>
      <c r="F219" s="312"/>
      <c r="G219" s="522"/>
      <c r="H219" s="312"/>
      <c r="I219" s="455"/>
      <c r="J219" s="272" t="b">
        <f>Age_Sex23[[#This Row],[Total Spending After Applying Truncation at the Member Level]]+Age_Sex23[[#This Row],[Total Dollars Excluded from Spending After Applying Truncation at the Member Level]]=Age_Sex23[[#This Row],[Total Spending before Truncation is Applied]]</f>
        <v>1</v>
      </c>
    </row>
    <row r="220" spans="1:10" x14ac:dyDescent="0.25">
      <c r="A220" s="389"/>
      <c r="B220" s="4"/>
      <c r="C220" s="16"/>
      <c r="D220" s="519"/>
      <c r="E220" s="410"/>
      <c r="F220" s="313"/>
      <c r="G220" s="256"/>
      <c r="H220" s="313"/>
      <c r="I220" s="456"/>
      <c r="J220" s="272" t="b">
        <f>Age_Sex23[[#This Row],[Total Spending After Applying Truncation at the Member Level]]+Age_Sex23[[#This Row],[Total Dollars Excluded from Spending After Applying Truncation at the Member Level]]=Age_Sex23[[#This Row],[Total Spending before Truncation is Applied]]</f>
        <v>1</v>
      </c>
    </row>
    <row r="221" spans="1:10" x14ac:dyDescent="0.25">
      <c r="A221" s="386"/>
      <c r="B221" s="310"/>
      <c r="C221" s="311"/>
      <c r="D221" s="518"/>
      <c r="E221" s="409"/>
      <c r="F221" s="312"/>
      <c r="G221" s="522"/>
      <c r="H221" s="312"/>
      <c r="I221" s="455"/>
      <c r="J221" s="272" t="b">
        <f>Age_Sex23[[#This Row],[Total Spending After Applying Truncation at the Member Level]]+Age_Sex23[[#This Row],[Total Dollars Excluded from Spending After Applying Truncation at the Member Level]]=Age_Sex23[[#This Row],[Total Spending before Truncation is Applied]]</f>
        <v>1</v>
      </c>
    </row>
    <row r="222" spans="1:10" x14ac:dyDescent="0.25">
      <c r="A222" s="389"/>
      <c r="B222" s="4"/>
      <c r="C222" s="16"/>
      <c r="D222" s="519"/>
      <c r="E222" s="410"/>
      <c r="F222" s="313"/>
      <c r="G222" s="256"/>
      <c r="H222" s="313"/>
      <c r="I222" s="456"/>
      <c r="J222" s="272" t="b">
        <f>Age_Sex23[[#This Row],[Total Spending After Applying Truncation at the Member Level]]+Age_Sex23[[#This Row],[Total Dollars Excluded from Spending After Applying Truncation at the Member Level]]=Age_Sex23[[#This Row],[Total Spending before Truncation is Applied]]</f>
        <v>1</v>
      </c>
    </row>
    <row r="223" spans="1:10" x14ac:dyDescent="0.25">
      <c r="A223" s="386"/>
      <c r="B223" s="310"/>
      <c r="C223" s="311"/>
      <c r="D223" s="518"/>
      <c r="E223" s="409"/>
      <c r="F223" s="312"/>
      <c r="G223" s="522"/>
      <c r="H223" s="312"/>
      <c r="I223" s="455"/>
      <c r="J223" s="272" t="b">
        <f>Age_Sex23[[#This Row],[Total Spending After Applying Truncation at the Member Level]]+Age_Sex23[[#This Row],[Total Dollars Excluded from Spending After Applying Truncation at the Member Level]]=Age_Sex23[[#This Row],[Total Spending before Truncation is Applied]]</f>
        <v>1</v>
      </c>
    </row>
    <row r="224" spans="1:10" x14ac:dyDescent="0.25">
      <c r="A224" s="389"/>
      <c r="B224" s="4"/>
      <c r="C224" s="16"/>
      <c r="D224" s="519"/>
      <c r="E224" s="410"/>
      <c r="F224" s="313"/>
      <c r="G224" s="256"/>
      <c r="H224" s="313"/>
      <c r="I224" s="456"/>
      <c r="J224" s="272" t="b">
        <f>Age_Sex23[[#This Row],[Total Spending After Applying Truncation at the Member Level]]+Age_Sex23[[#This Row],[Total Dollars Excluded from Spending After Applying Truncation at the Member Level]]=Age_Sex23[[#This Row],[Total Spending before Truncation is Applied]]</f>
        <v>1</v>
      </c>
    </row>
    <row r="225" spans="1:10" x14ac:dyDescent="0.25">
      <c r="A225" s="386"/>
      <c r="B225" s="310"/>
      <c r="C225" s="311"/>
      <c r="D225" s="518"/>
      <c r="E225" s="409"/>
      <c r="F225" s="312"/>
      <c r="G225" s="522"/>
      <c r="H225" s="312"/>
      <c r="I225" s="455"/>
      <c r="J225" s="272" t="b">
        <f>Age_Sex23[[#This Row],[Total Spending After Applying Truncation at the Member Level]]+Age_Sex23[[#This Row],[Total Dollars Excluded from Spending After Applying Truncation at the Member Level]]=Age_Sex23[[#This Row],[Total Spending before Truncation is Applied]]</f>
        <v>1</v>
      </c>
    </row>
    <row r="226" spans="1:10" x14ac:dyDescent="0.25">
      <c r="A226" s="389"/>
      <c r="B226" s="4"/>
      <c r="C226" s="16"/>
      <c r="D226" s="519"/>
      <c r="E226" s="410"/>
      <c r="F226" s="313"/>
      <c r="G226" s="256"/>
      <c r="H226" s="313"/>
      <c r="I226" s="456"/>
      <c r="J226" s="272" t="b">
        <f>Age_Sex23[[#This Row],[Total Spending After Applying Truncation at the Member Level]]+Age_Sex23[[#This Row],[Total Dollars Excluded from Spending After Applying Truncation at the Member Level]]=Age_Sex23[[#This Row],[Total Spending before Truncation is Applied]]</f>
        <v>1</v>
      </c>
    </row>
    <row r="227" spans="1:10" x14ac:dyDescent="0.25">
      <c r="A227" s="386"/>
      <c r="B227" s="310"/>
      <c r="C227" s="311"/>
      <c r="D227" s="518"/>
      <c r="E227" s="409"/>
      <c r="F227" s="312"/>
      <c r="G227" s="522"/>
      <c r="H227" s="312"/>
      <c r="I227" s="455"/>
      <c r="J227" s="272" t="b">
        <f>Age_Sex23[[#This Row],[Total Spending After Applying Truncation at the Member Level]]+Age_Sex23[[#This Row],[Total Dollars Excluded from Spending After Applying Truncation at the Member Level]]=Age_Sex23[[#This Row],[Total Spending before Truncation is Applied]]</f>
        <v>1</v>
      </c>
    </row>
    <row r="228" spans="1:10" x14ac:dyDescent="0.25">
      <c r="A228" s="389"/>
      <c r="B228" s="4"/>
      <c r="C228" s="16"/>
      <c r="D228" s="519"/>
      <c r="E228" s="410"/>
      <c r="F228" s="313"/>
      <c r="G228" s="256"/>
      <c r="H228" s="313"/>
      <c r="I228" s="456"/>
      <c r="J228" s="272" t="b">
        <f>Age_Sex23[[#This Row],[Total Spending After Applying Truncation at the Member Level]]+Age_Sex23[[#This Row],[Total Dollars Excluded from Spending After Applying Truncation at the Member Level]]=Age_Sex23[[#This Row],[Total Spending before Truncation is Applied]]</f>
        <v>1</v>
      </c>
    </row>
    <row r="229" spans="1:10" x14ac:dyDescent="0.25">
      <c r="A229" s="386"/>
      <c r="B229" s="310"/>
      <c r="C229" s="311"/>
      <c r="D229" s="518"/>
      <c r="E229" s="409"/>
      <c r="F229" s="312"/>
      <c r="G229" s="522"/>
      <c r="H229" s="312"/>
      <c r="I229" s="455"/>
      <c r="J229" s="272" t="b">
        <f>Age_Sex23[[#This Row],[Total Spending After Applying Truncation at the Member Level]]+Age_Sex23[[#This Row],[Total Dollars Excluded from Spending After Applying Truncation at the Member Level]]=Age_Sex23[[#This Row],[Total Spending before Truncation is Applied]]</f>
        <v>1</v>
      </c>
    </row>
    <row r="230" spans="1:10" x14ac:dyDescent="0.25">
      <c r="A230" s="389"/>
      <c r="B230" s="4"/>
      <c r="C230" s="16"/>
      <c r="D230" s="519"/>
      <c r="E230" s="410"/>
      <c r="F230" s="313"/>
      <c r="G230" s="256"/>
      <c r="H230" s="313"/>
      <c r="I230" s="456"/>
      <c r="J230" s="272" t="b">
        <f>Age_Sex23[[#This Row],[Total Spending After Applying Truncation at the Member Level]]+Age_Sex23[[#This Row],[Total Dollars Excluded from Spending After Applying Truncation at the Member Level]]=Age_Sex23[[#This Row],[Total Spending before Truncation is Applied]]</f>
        <v>1</v>
      </c>
    </row>
    <row r="231" spans="1:10" x14ac:dyDescent="0.25">
      <c r="A231" s="386"/>
      <c r="B231" s="310"/>
      <c r="C231" s="311"/>
      <c r="D231" s="518"/>
      <c r="E231" s="409"/>
      <c r="F231" s="312"/>
      <c r="G231" s="522"/>
      <c r="H231" s="312"/>
      <c r="I231" s="455"/>
      <c r="J231" s="272" t="b">
        <f>Age_Sex23[[#This Row],[Total Spending After Applying Truncation at the Member Level]]+Age_Sex23[[#This Row],[Total Dollars Excluded from Spending After Applying Truncation at the Member Level]]=Age_Sex23[[#This Row],[Total Spending before Truncation is Applied]]</f>
        <v>1</v>
      </c>
    </row>
    <row r="232" spans="1:10" x14ac:dyDescent="0.25">
      <c r="A232" s="389"/>
      <c r="B232" s="4"/>
      <c r="C232" s="16"/>
      <c r="D232" s="519"/>
      <c r="E232" s="410"/>
      <c r="F232" s="313"/>
      <c r="G232" s="256"/>
      <c r="H232" s="313"/>
      <c r="I232" s="456"/>
      <c r="J232" s="272" t="b">
        <f>Age_Sex23[[#This Row],[Total Spending After Applying Truncation at the Member Level]]+Age_Sex23[[#This Row],[Total Dollars Excluded from Spending After Applying Truncation at the Member Level]]=Age_Sex23[[#This Row],[Total Spending before Truncation is Applied]]</f>
        <v>1</v>
      </c>
    </row>
    <row r="233" spans="1:10" x14ac:dyDescent="0.25">
      <c r="A233" s="386"/>
      <c r="B233" s="310"/>
      <c r="C233" s="311"/>
      <c r="D233" s="518"/>
      <c r="E233" s="409"/>
      <c r="F233" s="312"/>
      <c r="G233" s="522"/>
      <c r="H233" s="312"/>
      <c r="I233" s="455"/>
      <c r="J233" s="272" t="b">
        <f>Age_Sex23[[#This Row],[Total Spending After Applying Truncation at the Member Level]]+Age_Sex23[[#This Row],[Total Dollars Excluded from Spending After Applying Truncation at the Member Level]]=Age_Sex23[[#This Row],[Total Spending before Truncation is Applied]]</f>
        <v>1</v>
      </c>
    </row>
    <row r="234" spans="1:10" x14ac:dyDescent="0.25">
      <c r="A234" s="389"/>
      <c r="B234" s="4"/>
      <c r="C234" s="16"/>
      <c r="D234" s="519"/>
      <c r="E234" s="410"/>
      <c r="F234" s="313"/>
      <c r="G234" s="256"/>
      <c r="H234" s="313"/>
      <c r="I234" s="456"/>
      <c r="J234" s="272" t="b">
        <f>Age_Sex23[[#This Row],[Total Spending After Applying Truncation at the Member Level]]+Age_Sex23[[#This Row],[Total Dollars Excluded from Spending After Applying Truncation at the Member Level]]=Age_Sex23[[#This Row],[Total Spending before Truncation is Applied]]</f>
        <v>1</v>
      </c>
    </row>
    <row r="235" spans="1:10" x14ac:dyDescent="0.25">
      <c r="A235" s="386"/>
      <c r="B235" s="310"/>
      <c r="C235" s="311"/>
      <c r="D235" s="518"/>
      <c r="E235" s="409"/>
      <c r="F235" s="312"/>
      <c r="G235" s="522"/>
      <c r="H235" s="312"/>
      <c r="I235" s="455"/>
      <c r="J235" s="272" t="b">
        <f>Age_Sex23[[#This Row],[Total Spending After Applying Truncation at the Member Level]]+Age_Sex23[[#This Row],[Total Dollars Excluded from Spending After Applying Truncation at the Member Level]]=Age_Sex23[[#This Row],[Total Spending before Truncation is Applied]]</f>
        <v>1</v>
      </c>
    </row>
    <row r="236" spans="1:10" x14ac:dyDescent="0.25">
      <c r="A236" s="389"/>
      <c r="B236" s="4"/>
      <c r="C236" s="16"/>
      <c r="D236" s="519"/>
      <c r="E236" s="410"/>
      <c r="F236" s="313"/>
      <c r="G236" s="256"/>
      <c r="H236" s="313"/>
      <c r="I236" s="456"/>
      <c r="J236" s="272" t="b">
        <f>Age_Sex23[[#This Row],[Total Spending After Applying Truncation at the Member Level]]+Age_Sex23[[#This Row],[Total Dollars Excluded from Spending After Applying Truncation at the Member Level]]=Age_Sex23[[#This Row],[Total Spending before Truncation is Applied]]</f>
        <v>1</v>
      </c>
    </row>
    <row r="237" spans="1:10" x14ac:dyDescent="0.25">
      <c r="A237" s="386"/>
      <c r="B237" s="310"/>
      <c r="C237" s="311"/>
      <c r="D237" s="518"/>
      <c r="E237" s="409"/>
      <c r="F237" s="312"/>
      <c r="G237" s="522"/>
      <c r="H237" s="312"/>
      <c r="I237" s="455"/>
      <c r="J237" s="272" t="b">
        <f>Age_Sex23[[#This Row],[Total Spending After Applying Truncation at the Member Level]]+Age_Sex23[[#This Row],[Total Dollars Excluded from Spending After Applying Truncation at the Member Level]]=Age_Sex23[[#This Row],[Total Spending before Truncation is Applied]]</f>
        <v>1</v>
      </c>
    </row>
    <row r="238" spans="1:10" x14ac:dyDescent="0.25">
      <c r="A238" s="389"/>
      <c r="B238" s="4"/>
      <c r="C238" s="16"/>
      <c r="D238" s="519"/>
      <c r="E238" s="410"/>
      <c r="F238" s="313"/>
      <c r="G238" s="256"/>
      <c r="H238" s="313"/>
      <c r="I238" s="456"/>
      <c r="J238" s="272" t="b">
        <f>Age_Sex23[[#This Row],[Total Spending After Applying Truncation at the Member Level]]+Age_Sex23[[#This Row],[Total Dollars Excluded from Spending After Applying Truncation at the Member Level]]=Age_Sex23[[#This Row],[Total Spending before Truncation is Applied]]</f>
        <v>1</v>
      </c>
    </row>
    <row r="239" spans="1:10" x14ac:dyDescent="0.25">
      <c r="A239" s="386"/>
      <c r="B239" s="310"/>
      <c r="C239" s="311"/>
      <c r="D239" s="518"/>
      <c r="E239" s="409"/>
      <c r="F239" s="312"/>
      <c r="G239" s="522"/>
      <c r="H239" s="312"/>
      <c r="I239" s="455"/>
      <c r="J239" s="272" t="b">
        <f>Age_Sex23[[#This Row],[Total Spending After Applying Truncation at the Member Level]]+Age_Sex23[[#This Row],[Total Dollars Excluded from Spending After Applying Truncation at the Member Level]]=Age_Sex23[[#This Row],[Total Spending before Truncation is Applied]]</f>
        <v>1</v>
      </c>
    </row>
    <row r="240" spans="1:10" x14ac:dyDescent="0.25">
      <c r="A240" s="389"/>
      <c r="B240" s="4"/>
      <c r="C240" s="16"/>
      <c r="D240" s="519"/>
      <c r="E240" s="410"/>
      <c r="F240" s="313"/>
      <c r="G240" s="256"/>
      <c r="H240" s="313"/>
      <c r="I240" s="456"/>
      <c r="J240" s="272" t="b">
        <f>Age_Sex23[[#This Row],[Total Spending After Applying Truncation at the Member Level]]+Age_Sex23[[#This Row],[Total Dollars Excluded from Spending After Applying Truncation at the Member Level]]=Age_Sex23[[#This Row],[Total Spending before Truncation is Applied]]</f>
        <v>1</v>
      </c>
    </row>
    <row r="241" spans="1:10" x14ac:dyDescent="0.25">
      <c r="A241" s="386"/>
      <c r="B241" s="310"/>
      <c r="C241" s="311"/>
      <c r="D241" s="518"/>
      <c r="E241" s="409"/>
      <c r="F241" s="312"/>
      <c r="G241" s="522"/>
      <c r="H241" s="312"/>
      <c r="I241" s="455"/>
      <c r="J241" s="272" t="b">
        <f>Age_Sex23[[#This Row],[Total Spending After Applying Truncation at the Member Level]]+Age_Sex23[[#This Row],[Total Dollars Excluded from Spending After Applying Truncation at the Member Level]]=Age_Sex23[[#This Row],[Total Spending before Truncation is Applied]]</f>
        <v>1</v>
      </c>
    </row>
    <row r="242" spans="1:10" x14ac:dyDescent="0.25">
      <c r="A242" s="389"/>
      <c r="B242" s="4"/>
      <c r="C242" s="16"/>
      <c r="D242" s="519"/>
      <c r="E242" s="410"/>
      <c r="F242" s="313"/>
      <c r="G242" s="256"/>
      <c r="H242" s="313"/>
      <c r="I242" s="456"/>
      <c r="J242" s="272" t="b">
        <f>Age_Sex23[[#This Row],[Total Spending After Applying Truncation at the Member Level]]+Age_Sex23[[#This Row],[Total Dollars Excluded from Spending After Applying Truncation at the Member Level]]=Age_Sex23[[#This Row],[Total Spending before Truncation is Applied]]</f>
        <v>1</v>
      </c>
    </row>
    <row r="243" spans="1:10" x14ac:dyDescent="0.25">
      <c r="A243" s="386"/>
      <c r="B243" s="310"/>
      <c r="C243" s="311"/>
      <c r="D243" s="518"/>
      <c r="E243" s="409"/>
      <c r="F243" s="312"/>
      <c r="G243" s="522"/>
      <c r="H243" s="312"/>
      <c r="I243" s="455"/>
      <c r="J243" s="272" t="b">
        <f>Age_Sex23[[#This Row],[Total Spending After Applying Truncation at the Member Level]]+Age_Sex23[[#This Row],[Total Dollars Excluded from Spending After Applying Truncation at the Member Level]]=Age_Sex23[[#This Row],[Total Spending before Truncation is Applied]]</f>
        <v>1</v>
      </c>
    </row>
    <row r="244" spans="1:10" x14ac:dyDescent="0.25">
      <c r="A244" s="389"/>
      <c r="B244" s="4"/>
      <c r="C244" s="16"/>
      <c r="D244" s="519"/>
      <c r="E244" s="410"/>
      <c r="F244" s="313"/>
      <c r="G244" s="256"/>
      <c r="H244" s="313"/>
      <c r="I244" s="456"/>
      <c r="J244" s="272" t="b">
        <f>Age_Sex23[[#This Row],[Total Spending After Applying Truncation at the Member Level]]+Age_Sex23[[#This Row],[Total Dollars Excluded from Spending After Applying Truncation at the Member Level]]=Age_Sex23[[#This Row],[Total Spending before Truncation is Applied]]</f>
        <v>1</v>
      </c>
    </row>
    <row r="245" spans="1:10" x14ac:dyDescent="0.25">
      <c r="A245" s="386"/>
      <c r="B245" s="310"/>
      <c r="C245" s="311"/>
      <c r="D245" s="518"/>
      <c r="E245" s="409"/>
      <c r="F245" s="312"/>
      <c r="G245" s="522"/>
      <c r="H245" s="312"/>
      <c r="I245" s="455"/>
      <c r="J245" s="272" t="b">
        <f>Age_Sex23[[#This Row],[Total Spending After Applying Truncation at the Member Level]]+Age_Sex23[[#This Row],[Total Dollars Excluded from Spending After Applying Truncation at the Member Level]]=Age_Sex23[[#This Row],[Total Spending before Truncation is Applied]]</f>
        <v>1</v>
      </c>
    </row>
    <row r="246" spans="1:10" x14ac:dyDescent="0.25">
      <c r="A246" s="389"/>
      <c r="B246" s="4"/>
      <c r="C246" s="16"/>
      <c r="D246" s="519"/>
      <c r="E246" s="410"/>
      <c r="F246" s="313"/>
      <c r="G246" s="256"/>
      <c r="H246" s="313"/>
      <c r="I246" s="456"/>
      <c r="J246" s="272" t="b">
        <f>Age_Sex23[[#This Row],[Total Spending After Applying Truncation at the Member Level]]+Age_Sex23[[#This Row],[Total Dollars Excluded from Spending After Applying Truncation at the Member Level]]=Age_Sex23[[#This Row],[Total Spending before Truncation is Applied]]</f>
        <v>1</v>
      </c>
    </row>
    <row r="247" spans="1:10" x14ac:dyDescent="0.25">
      <c r="A247" s="386"/>
      <c r="B247" s="310"/>
      <c r="C247" s="311"/>
      <c r="D247" s="518"/>
      <c r="E247" s="409"/>
      <c r="F247" s="312"/>
      <c r="G247" s="522"/>
      <c r="H247" s="312"/>
      <c r="I247" s="455"/>
      <c r="J247" s="272" t="b">
        <f>Age_Sex23[[#This Row],[Total Spending After Applying Truncation at the Member Level]]+Age_Sex23[[#This Row],[Total Dollars Excluded from Spending After Applying Truncation at the Member Level]]=Age_Sex23[[#This Row],[Total Spending before Truncation is Applied]]</f>
        <v>1</v>
      </c>
    </row>
    <row r="248" spans="1:10" x14ac:dyDescent="0.25">
      <c r="A248" s="389"/>
      <c r="B248" s="4"/>
      <c r="C248" s="16"/>
      <c r="D248" s="519"/>
      <c r="E248" s="410"/>
      <c r="F248" s="313"/>
      <c r="G248" s="256"/>
      <c r="H248" s="313"/>
      <c r="I248" s="456"/>
      <c r="J248" s="272" t="b">
        <f>Age_Sex23[[#This Row],[Total Spending After Applying Truncation at the Member Level]]+Age_Sex23[[#This Row],[Total Dollars Excluded from Spending After Applying Truncation at the Member Level]]=Age_Sex23[[#This Row],[Total Spending before Truncation is Applied]]</f>
        <v>1</v>
      </c>
    </row>
    <row r="249" spans="1:10" x14ac:dyDescent="0.25">
      <c r="A249" s="386"/>
      <c r="B249" s="310"/>
      <c r="C249" s="311"/>
      <c r="D249" s="518"/>
      <c r="E249" s="409"/>
      <c r="F249" s="312"/>
      <c r="G249" s="522"/>
      <c r="H249" s="312"/>
      <c r="I249" s="455"/>
      <c r="J249" s="272" t="b">
        <f>Age_Sex23[[#This Row],[Total Spending After Applying Truncation at the Member Level]]+Age_Sex23[[#This Row],[Total Dollars Excluded from Spending After Applying Truncation at the Member Level]]=Age_Sex23[[#This Row],[Total Spending before Truncation is Applied]]</f>
        <v>1</v>
      </c>
    </row>
    <row r="250" spans="1:10" x14ac:dyDescent="0.25">
      <c r="A250" s="389"/>
      <c r="B250" s="4"/>
      <c r="C250" s="16"/>
      <c r="D250" s="519"/>
      <c r="E250" s="410"/>
      <c r="F250" s="313"/>
      <c r="G250" s="256"/>
      <c r="H250" s="313"/>
      <c r="I250" s="456"/>
      <c r="J250" s="272" t="b">
        <f>Age_Sex23[[#This Row],[Total Spending After Applying Truncation at the Member Level]]+Age_Sex23[[#This Row],[Total Dollars Excluded from Spending After Applying Truncation at the Member Level]]=Age_Sex23[[#This Row],[Total Spending before Truncation is Applied]]</f>
        <v>1</v>
      </c>
    </row>
    <row r="251" spans="1:10" x14ac:dyDescent="0.25">
      <c r="A251" s="386"/>
      <c r="B251" s="310"/>
      <c r="C251" s="311"/>
      <c r="D251" s="518"/>
      <c r="E251" s="409"/>
      <c r="F251" s="312"/>
      <c r="G251" s="522"/>
      <c r="H251" s="312"/>
      <c r="I251" s="455"/>
      <c r="J251" s="272" t="b">
        <f>Age_Sex23[[#This Row],[Total Spending After Applying Truncation at the Member Level]]+Age_Sex23[[#This Row],[Total Dollars Excluded from Spending After Applying Truncation at the Member Level]]=Age_Sex23[[#This Row],[Total Spending before Truncation is Applied]]</f>
        <v>1</v>
      </c>
    </row>
    <row r="252" spans="1:10" x14ac:dyDescent="0.25">
      <c r="A252" s="389"/>
      <c r="B252" s="4"/>
      <c r="C252" s="16"/>
      <c r="D252" s="519"/>
      <c r="E252" s="410"/>
      <c r="F252" s="313"/>
      <c r="G252" s="256"/>
      <c r="H252" s="313"/>
      <c r="I252" s="456"/>
      <c r="J252" s="272" t="b">
        <f>Age_Sex23[[#This Row],[Total Spending After Applying Truncation at the Member Level]]+Age_Sex23[[#This Row],[Total Dollars Excluded from Spending After Applying Truncation at the Member Level]]=Age_Sex23[[#This Row],[Total Spending before Truncation is Applied]]</f>
        <v>1</v>
      </c>
    </row>
    <row r="253" spans="1:10" x14ac:dyDescent="0.25">
      <c r="A253" s="386"/>
      <c r="B253" s="310"/>
      <c r="C253" s="311"/>
      <c r="D253" s="518"/>
      <c r="E253" s="409"/>
      <c r="F253" s="312"/>
      <c r="G253" s="522"/>
      <c r="H253" s="312"/>
      <c r="I253" s="455"/>
      <c r="J253" s="272" t="b">
        <f>Age_Sex23[[#This Row],[Total Spending After Applying Truncation at the Member Level]]+Age_Sex23[[#This Row],[Total Dollars Excluded from Spending After Applying Truncation at the Member Level]]=Age_Sex23[[#This Row],[Total Spending before Truncation is Applied]]</f>
        <v>1</v>
      </c>
    </row>
    <row r="254" spans="1:10" x14ac:dyDescent="0.25">
      <c r="A254" s="389"/>
      <c r="B254" s="4"/>
      <c r="C254" s="16"/>
      <c r="D254" s="519"/>
      <c r="E254" s="410"/>
      <c r="F254" s="313"/>
      <c r="G254" s="256"/>
      <c r="H254" s="313"/>
      <c r="I254" s="456"/>
      <c r="J254" s="272" t="b">
        <f>Age_Sex23[[#This Row],[Total Spending After Applying Truncation at the Member Level]]+Age_Sex23[[#This Row],[Total Dollars Excluded from Spending After Applying Truncation at the Member Level]]=Age_Sex23[[#This Row],[Total Spending before Truncation is Applied]]</f>
        <v>1</v>
      </c>
    </row>
    <row r="255" spans="1:10" x14ac:dyDescent="0.25">
      <c r="A255" s="386"/>
      <c r="B255" s="310"/>
      <c r="C255" s="311"/>
      <c r="D255" s="518"/>
      <c r="E255" s="409"/>
      <c r="F255" s="312"/>
      <c r="G255" s="522"/>
      <c r="H255" s="312"/>
      <c r="I255" s="455"/>
      <c r="J255" s="272" t="b">
        <f>Age_Sex23[[#This Row],[Total Spending After Applying Truncation at the Member Level]]+Age_Sex23[[#This Row],[Total Dollars Excluded from Spending After Applying Truncation at the Member Level]]=Age_Sex23[[#This Row],[Total Spending before Truncation is Applied]]</f>
        <v>1</v>
      </c>
    </row>
    <row r="256" spans="1:10" x14ac:dyDescent="0.25">
      <c r="A256" s="389"/>
      <c r="B256" s="4"/>
      <c r="C256" s="16"/>
      <c r="D256" s="519"/>
      <c r="E256" s="410"/>
      <c r="F256" s="313"/>
      <c r="G256" s="256"/>
      <c r="H256" s="313"/>
      <c r="I256" s="456"/>
      <c r="J256" s="272" t="b">
        <f>Age_Sex23[[#This Row],[Total Spending After Applying Truncation at the Member Level]]+Age_Sex23[[#This Row],[Total Dollars Excluded from Spending After Applying Truncation at the Member Level]]=Age_Sex23[[#This Row],[Total Spending before Truncation is Applied]]</f>
        <v>1</v>
      </c>
    </row>
    <row r="257" spans="1:10" x14ac:dyDescent="0.25">
      <c r="A257" s="386"/>
      <c r="B257" s="310"/>
      <c r="C257" s="311"/>
      <c r="D257" s="518"/>
      <c r="E257" s="409"/>
      <c r="F257" s="312"/>
      <c r="G257" s="522"/>
      <c r="H257" s="312"/>
      <c r="I257" s="455"/>
      <c r="J257" s="272" t="b">
        <f>Age_Sex23[[#This Row],[Total Spending After Applying Truncation at the Member Level]]+Age_Sex23[[#This Row],[Total Dollars Excluded from Spending After Applying Truncation at the Member Level]]=Age_Sex23[[#This Row],[Total Spending before Truncation is Applied]]</f>
        <v>1</v>
      </c>
    </row>
    <row r="258" spans="1:10" x14ac:dyDescent="0.25">
      <c r="A258" s="389"/>
      <c r="B258" s="4"/>
      <c r="C258" s="16"/>
      <c r="D258" s="519"/>
      <c r="E258" s="410"/>
      <c r="F258" s="313"/>
      <c r="G258" s="256"/>
      <c r="H258" s="313"/>
      <c r="I258" s="456"/>
      <c r="J258" s="272" t="b">
        <f>Age_Sex23[[#This Row],[Total Spending After Applying Truncation at the Member Level]]+Age_Sex23[[#This Row],[Total Dollars Excluded from Spending After Applying Truncation at the Member Level]]=Age_Sex23[[#This Row],[Total Spending before Truncation is Applied]]</f>
        <v>1</v>
      </c>
    </row>
    <row r="259" spans="1:10" x14ac:dyDescent="0.25">
      <c r="A259" s="386"/>
      <c r="B259" s="310"/>
      <c r="C259" s="311"/>
      <c r="D259" s="518"/>
      <c r="E259" s="409"/>
      <c r="F259" s="312"/>
      <c r="G259" s="522"/>
      <c r="H259" s="312"/>
      <c r="I259" s="455"/>
      <c r="J259" s="272" t="b">
        <f>Age_Sex23[[#This Row],[Total Spending After Applying Truncation at the Member Level]]+Age_Sex23[[#This Row],[Total Dollars Excluded from Spending After Applying Truncation at the Member Level]]=Age_Sex23[[#This Row],[Total Spending before Truncation is Applied]]</f>
        <v>1</v>
      </c>
    </row>
    <row r="260" spans="1:10" x14ac:dyDescent="0.25">
      <c r="A260" s="389"/>
      <c r="B260" s="4"/>
      <c r="C260" s="16"/>
      <c r="D260" s="519"/>
      <c r="E260" s="410"/>
      <c r="F260" s="313"/>
      <c r="G260" s="256"/>
      <c r="H260" s="313"/>
      <c r="I260" s="456"/>
      <c r="J260" s="272" t="b">
        <f>Age_Sex23[[#This Row],[Total Spending After Applying Truncation at the Member Level]]+Age_Sex23[[#This Row],[Total Dollars Excluded from Spending After Applying Truncation at the Member Level]]=Age_Sex23[[#This Row],[Total Spending before Truncation is Applied]]</f>
        <v>1</v>
      </c>
    </row>
    <row r="261" spans="1:10" x14ac:dyDescent="0.25">
      <c r="A261" s="386"/>
      <c r="B261" s="310"/>
      <c r="C261" s="311"/>
      <c r="D261" s="518"/>
      <c r="E261" s="409"/>
      <c r="F261" s="312"/>
      <c r="G261" s="522"/>
      <c r="H261" s="312"/>
      <c r="I261" s="455"/>
      <c r="J261" s="272" t="b">
        <f>Age_Sex23[[#This Row],[Total Spending After Applying Truncation at the Member Level]]+Age_Sex23[[#This Row],[Total Dollars Excluded from Spending After Applying Truncation at the Member Level]]=Age_Sex23[[#This Row],[Total Spending before Truncation is Applied]]</f>
        <v>1</v>
      </c>
    </row>
    <row r="262" spans="1:10" x14ac:dyDescent="0.25">
      <c r="A262" s="389"/>
      <c r="B262" s="4"/>
      <c r="C262" s="16"/>
      <c r="D262" s="519"/>
      <c r="E262" s="410"/>
      <c r="F262" s="313"/>
      <c r="G262" s="256"/>
      <c r="H262" s="313"/>
      <c r="I262" s="456"/>
      <c r="J262" s="272" t="b">
        <f>Age_Sex23[[#This Row],[Total Spending After Applying Truncation at the Member Level]]+Age_Sex23[[#This Row],[Total Dollars Excluded from Spending After Applying Truncation at the Member Level]]=Age_Sex23[[#This Row],[Total Spending before Truncation is Applied]]</f>
        <v>1</v>
      </c>
    </row>
    <row r="263" spans="1:10" x14ac:dyDescent="0.25">
      <c r="A263" s="386"/>
      <c r="B263" s="310"/>
      <c r="C263" s="311"/>
      <c r="D263" s="518"/>
      <c r="E263" s="409"/>
      <c r="F263" s="312"/>
      <c r="G263" s="522"/>
      <c r="H263" s="312"/>
      <c r="I263" s="455"/>
      <c r="J263" s="272" t="b">
        <f>Age_Sex23[[#This Row],[Total Spending After Applying Truncation at the Member Level]]+Age_Sex23[[#This Row],[Total Dollars Excluded from Spending After Applying Truncation at the Member Level]]=Age_Sex23[[#This Row],[Total Spending before Truncation is Applied]]</f>
        <v>1</v>
      </c>
    </row>
    <row r="264" spans="1:10" x14ac:dyDescent="0.25">
      <c r="A264" s="389"/>
      <c r="B264" s="4"/>
      <c r="C264" s="16"/>
      <c r="D264" s="519"/>
      <c r="E264" s="410"/>
      <c r="F264" s="313"/>
      <c r="G264" s="256"/>
      <c r="H264" s="313"/>
      <c r="I264" s="456"/>
      <c r="J264" s="272" t="b">
        <f>Age_Sex23[[#This Row],[Total Spending After Applying Truncation at the Member Level]]+Age_Sex23[[#This Row],[Total Dollars Excluded from Spending After Applying Truncation at the Member Level]]=Age_Sex23[[#This Row],[Total Spending before Truncation is Applied]]</f>
        <v>1</v>
      </c>
    </row>
    <row r="265" spans="1:10" x14ac:dyDescent="0.25">
      <c r="A265" s="386"/>
      <c r="B265" s="310"/>
      <c r="C265" s="311"/>
      <c r="D265" s="518"/>
      <c r="E265" s="409"/>
      <c r="F265" s="312"/>
      <c r="G265" s="522"/>
      <c r="H265" s="312"/>
      <c r="I265" s="455"/>
      <c r="J265" s="272" t="b">
        <f>Age_Sex23[[#This Row],[Total Spending After Applying Truncation at the Member Level]]+Age_Sex23[[#This Row],[Total Dollars Excluded from Spending After Applying Truncation at the Member Level]]=Age_Sex23[[#This Row],[Total Spending before Truncation is Applied]]</f>
        <v>1</v>
      </c>
    </row>
    <row r="266" spans="1:10" x14ac:dyDescent="0.25">
      <c r="A266" s="389"/>
      <c r="B266" s="4"/>
      <c r="C266" s="16"/>
      <c r="D266" s="519"/>
      <c r="E266" s="410"/>
      <c r="F266" s="313"/>
      <c r="G266" s="256"/>
      <c r="H266" s="313"/>
      <c r="I266" s="456"/>
      <c r="J266" s="272" t="b">
        <f>Age_Sex23[[#This Row],[Total Spending After Applying Truncation at the Member Level]]+Age_Sex23[[#This Row],[Total Dollars Excluded from Spending After Applying Truncation at the Member Level]]=Age_Sex23[[#This Row],[Total Spending before Truncation is Applied]]</f>
        <v>1</v>
      </c>
    </row>
    <row r="267" spans="1:10" x14ac:dyDescent="0.25">
      <c r="A267" s="386"/>
      <c r="B267" s="310"/>
      <c r="C267" s="311"/>
      <c r="D267" s="518"/>
      <c r="E267" s="409"/>
      <c r="F267" s="312"/>
      <c r="G267" s="522"/>
      <c r="H267" s="312"/>
      <c r="I267" s="455"/>
      <c r="J267" s="272" t="b">
        <f>Age_Sex23[[#This Row],[Total Spending After Applying Truncation at the Member Level]]+Age_Sex23[[#This Row],[Total Dollars Excluded from Spending After Applying Truncation at the Member Level]]=Age_Sex23[[#This Row],[Total Spending before Truncation is Applied]]</f>
        <v>1</v>
      </c>
    </row>
    <row r="268" spans="1:10" x14ac:dyDescent="0.25">
      <c r="A268" s="389"/>
      <c r="B268" s="4"/>
      <c r="C268" s="16"/>
      <c r="D268" s="519"/>
      <c r="E268" s="410"/>
      <c r="F268" s="313"/>
      <c r="G268" s="256"/>
      <c r="H268" s="313"/>
      <c r="I268" s="456"/>
      <c r="J268" s="272" t="b">
        <f>Age_Sex23[[#This Row],[Total Spending After Applying Truncation at the Member Level]]+Age_Sex23[[#This Row],[Total Dollars Excluded from Spending After Applying Truncation at the Member Level]]=Age_Sex23[[#This Row],[Total Spending before Truncation is Applied]]</f>
        <v>1</v>
      </c>
    </row>
    <row r="269" spans="1:10" x14ac:dyDescent="0.25">
      <c r="A269" s="386"/>
      <c r="B269" s="310"/>
      <c r="C269" s="311"/>
      <c r="D269" s="518"/>
      <c r="E269" s="409"/>
      <c r="F269" s="312"/>
      <c r="G269" s="522"/>
      <c r="H269" s="312"/>
      <c r="I269" s="455"/>
      <c r="J269" s="272" t="b">
        <f>Age_Sex23[[#This Row],[Total Spending After Applying Truncation at the Member Level]]+Age_Sex23[[#This Row],[Total Dollars Excluded from Spending After Applying Truncation at the Member Level]]=Age_Sex23[[#This Row],[Total Spending before Truncation is Applied]]</f>
        <v>1</v>
      </c>
    </row>
    <row r="270" spans="1:10" x14ac:dyDescent="0.25">
      <c r="A270" s="389"/>
      <c r="B270" s="4"/>
      <c r="C270" s="16"/>
      <c r="D270" s="519"/>
      <c r="E270" s="410"/>
      <c r="F270" s="313"/>
      <c r="G270" s="256"/>
      <c r="H270" s="313"/>
      <c r="I270" s="456"/>
      <c r="J270" s="272" t="b">
        <f>Age_Sex23[[#This Row],[Total Spending After Applying Truncation at the Member Level]]+Age_Sex23[[#This Row],[Total Dollars Excluded from Spending After Applying Truncation at the Member Level]]=Age_Sex23[[#This Row],[Total Spending before Truncation is Applied]]</f>
        <v>1</v>
      </c>
    </row>
    <row r="271" spans="1:10" x14ac:dyDescent="0.25">
      <c r="A271" s="386"/>
      <c r="B271" s="310"/>
      <c r="C271" s="311"/>
      <c r="D271" s="518"/>
      <c r="E271" s="409"/>
      <c r="F271" s="312"/>
      <c r="G271" s="522"/>
      <c r="H271" s="312"/>
      <c r="I271" s="455"/>
      <c r="J271" s="272" t="b">
        <f>Age_Sex23[[#This Row],[Total Spending After Applying Truncation at the Member Level]]+Age_Sex23[[#This Row],[Total Dollars Excluded from Spending After Applying Truncation at the Member Level]]=Age_Sex23[[#This Row],[Total Spending before Truncation is Applied]]</f>
        <v>1</v>
      </c>
    </row>
    <row r="272" spans="1:10" x14ac:dyDescent="0.25">
      <c r="A272" s="389"/>
      <c r="B272" s="4"/>
      <c r="C272" s="16"/>
      <c r="D272" s="519"/>
      <c r="E272" s="410"/>
      <c r="F272" s="313"/>
      <c r="G272" s="256"/>
      <c r="H272" s="313"/>
      <c r="I272" s="456"/>
      <c r="J272" s="272" t="b">
        <f>Age_Sex23[[#This Row],[Total Spending After Applying Truncation at the Member Level]]+Age_Sex23[[#This Row],[Total Dollars Excluded from Spending After Applying Truncation at the Member Level]]=Age_Sex23[[#This Row],[Total Spending before Truncation is Applied]]</f>
        <v>1</v>
      </c>
    </row>
    <row r="273" spans="1:10" x14ac:dyDescent="0.25">
      <c r="A273" s="386"/>
      <c r="B273" s="310"/>
      <c r="C273" s="311"/>
      <c r="D273" s="518"/>
      <c r="E273" s="409"/>
      <c r="F273" s="312"/>
      <c r="G273" s="522"/>
      <c r="H273" s="312"/>
      <c r="I273" s="455"/>
      <c r="J273" s="272" t="b">
        <f>Age_Sex23[[#This Row],[Total Spending After Applying Truncation at the Member Level]]+Age_Sex23[[#This Row],[Total Dollars Excluded from Spending After Applying Truncation at the Member Level]]=Age_Sex23[[#This Row],[Total Spending before Truncation is Applied]]</f>
        <v>1</v>
      </c>
    </row>
    <row r="274" spans="1:10" x14ac:dyDescent="0.25">
      <c r="A274" s="389"/>
      <c r="B274" s="4"/>
      <c r="C274" s="16"/>
      <c r="D274" s="519"/>
      <c r="E274" s="410"/>
      <c r="F274" s="313"/>
      <c r="G274" s="256"/>
      <c r="H274" s="313"/>
      <c r="I274" s="456"/>
      <c r="J274" s="272" t="b">
        <f>Age_Sex23[[#This Row],[Total Spending After Applying Truncation at the Member Level]]+Age_Sex23[[#This Row],[Total Dollars Excluded from Spending After Applying Truncation at the Member Level]]=Age_Sex23[[#This Row],[Total Spending before Truncation is Applied]]</f>
        <v>1</v>
      </c>
    </row>
    <row r="275" spans="1:10" x14ac:dyDescent="0.25">
      <c r="A275" s="386"/>
      <c r="B275" s="310"/>
      <c r="C275" s="311"/>
      <c r="D275" s="518"/>
      <c r="E275" s="409"/>
      <c r="F275" s="312"/>
      <c r="G275" s="522"/>
      <c r="H275" s="312"/>
      <c r="I275" s="455"/>
      <c r="J275" s="272" t="b">
        <f>Age_Sex23[[#This Row],[Total Spending After Applying Truncation at the Member Level]]+Age_Sex23[[#This Row],[Total Dollars Excluded from Spending After Applying Truncation at the Member Level]]=Age_Sex23[[#This Row],[Total Spending before Truncation is Applied]]</f>
        <v>1</v>
      </c>
    </row>
    <row r="276" spans="1:10" x14ac:dyDescent="0.25">
      <c r="A276" s="389"/>
      <c r="B276" s="4"/>
      <c r="C276" s="16"/>
      <c r="D276" s="519"/>
      <c r="E276" s="410"/>
      <c r="F276" s="313"/>
      <c r="G276" s="256"/>
      <c r="H276" s="313"/>
      <c r="I276" s="456"/>
      <c r="J276" s="272" t="b">
        <f>Age_Sex23[[#This Row],[Total Spending After Applying Truncation at the Member Level]]+Age_Sex23[[#This Row],[Total Dollars Excluded from Spending After Applying Truncation at the Member Level]]=Age_Sex23[[#This Row],[Total Spending before Truncation is Applied]]</f>
        <v>1</v>
      </c>
    </row>
    <row r="277" spans="1:10" x14ac:dyDescent="0.25">
      <c r="A277" s="386"/>
      <c r="B277" s="310"/>
      <c r="C277" s="311"/>
      <c r="D277" s="518"/>
      <c r="E277" s="409"/>
      <c r="F277" s="312"/>
      <c r="G277" s="522"/>
      <c r="H277" s="312"/>
      <c r="I277" s="455"/>
      <c r="J277" s="272" t="b">
        <f>Age_Sex23[[#This Row],[Total Spending After Applying Truncation at the Member Level]]+Age_Sex23[[#This Row],[Total Dollars Excluded from Spending After Applying Truncation at the Member Level]]=Age_Sex23[[#This Row],[Total Spending before Truncation is Applied]]</f>
        <v>1</v>
      </c>
    </row>
    <row r="278" spans="1:10" x14ac:dyDescent="0.25">
      <c r="A278" s="389"/>
      <c r="B278" s="4"/>
      <c r="C278" s="16"/>
      <c r="D278" s="519"/>
      <c r="E278" s="410"/>
      <c r="F278" s="313"/>
      <c r="G278" s="256"/>
      <c r="H278" s="313"/>
      <c r="I278" s="456"/>
      <c r="J278" s="272" t="b">
        <f>Age_Sex23[[#This Row],[Total Spending After Applying Truncation at the Member Level]]+Age_Sex23[[#This Row],[Total Dollars Excluded from Spending After Applying Truncation at the Member Level]]=Age_Sex23[[#This Row],[Total Spending before Truncation is Applied]]</f>
        <v>1</v>
      </c>
    </row>
    <row r="279" spans="1:10" x14ac:dyDescent="0.25">
      <c r="A279" s="386"/>
      <c r="B279" s="310"/>
      <c r="C279" s="311"/>
      <c r="D279" s="518"/>
      <c r="E279" s="409"/>
      <c r="F279" s="312"/>
      <c r="G279" s="522"/>
      <c r="H279" s="312"/>
      <c r="I279" s="455"/>
      <c r="J279" s="272" t="b">
        <f>Age_Sex23[[#This Row],[Total Spending After Applying Truncation at the Member Level]]+Age_Sex23[[#This Row],[Total Dollars Excluded from Spending After Applying Truncation at the Member Level]]=Age_Sex23[[#This Row],[Total Spending before Truncation is Applied]]</f>
        <v>1</v>
      </c>
    </row>
    <row r="280" spans="1:10" x14ac:dyDescent="0.25">
      <c r="A280" s="389"/>
      <c r="B280" s="4"/>
      <c r="C280" s="16"/>
      <c r="D280" s="519"/>
      <c r="E280" s="410"/>
      <c r="F280" s="313"/>
      <c r="G280" s="256"/>
      <c r="H280" s="313"/>
      <c r="I280" s="456"/>
      <c r="J280" s="272" t="b">
        <f>Age_Sex23[[#This Row],[Total Spending After Applying Truncation at the Member Level]]+Age_Sex23[[#This Row],[Total Dollars Excluded from Spending After Applying Truncation at the Member Level]]=Age_Sex23[[#This Row],[Total Spending before Truncation is Applied]]</f>
        <v>1</v>
      </c>
    </row>
    <row r="281" spans="1:10" x14ac:dyDescent="0.25">
      <c r="A281" s="386"/>
      <c r="B281" s="310"/>
      <c r="C281" s="311"/>
      <c r="D281" s="518"/>
      <c r="E281" s="409"/>
      <c r="F281" s="312"/>
      <c r="G281" s="522"/>
      <c r="H281" s="312"/>
      <c r="I281" s="455"/>
      <c r="J281" s="272" t="b">
        <f>Age_Sex23[[#This Row],[Total Spending After Applying Truncation at the Member Level]]+Age_Sex23[[#This Row],[Total Dollars Excluded from Spending After Applying Truncation at the Member Level]]=Age_Sex23[[#This Row],[Total Spending before Truncation is Applied]]</f>
        <v>1</v>
      </c>
    </row>
    <row r="282" spans="1:10" x14ac:dyDescent="0.25">
      <c r="A282" s="389"/>
      <c r="B282" s="4"/>
      <c r="C282" s="16"/>
      <c r="D282" s="519"/>
      <c r="E282" s="410"/>
      <c r="F282" s="313"/>
      <c r="G282" s="256"/>
      <c r="H282" s="313"/>
      <c r="I282" s="456"/>
      <c r="J282" s="272" t="b">
        <f>Age_Sex23[[#This Row],[Total Spending After Applying Truncation at the Member Level]]+Age_Sex23[[#This Row],[Total Dollars Excluded from Spending After Applying Truncation at the Member Level]]=Age_Sex23[[#This Row],[Total Spending before Truncation is Applied]]</f>
        <v>1</v>
      </c>
    </row>
    <row r="283" spans="1:10" x14ac:dyDescent="0.25">
      <c r="A283" s="386"/>
      <c r="B283" s="310"/>
      <c r="C283" s="311"/>
      <c r="D283" s="518"/>
      <c r="E283" s="409"/>
      <c r="F283" s="312"/>
      <c r="G283" s="522"/>
      <c r="H283" s="312"/>
      <c r="I283" s="455"/>
      <c r="J283" s="272" t="b">
        <f>Age_Sex23[[#This Row],[Total Spending After Applying Truncation at the Member Level]]+Age_Sex23[[#This Row],[Total Dollars Excluded from Spending After Applying Truncation at the Member Level]]=Age_Sex23[[#This Row],[Total Spending before Truncation is Applied]]</f>
        <v>1</v>
      </c>
    </row>
    <row r="284" spans="1:10" x14ac:dyDescent="0.25">
      <c r="A284" s="389"/>
      <c r="B284" s="4"/>
      <c r="C284" s="16"/>
      <c r="D284" s="519"/>
      <c r="E284" s="410"/>
      <c r="F284" s="313"/>
      <c r="G284" s="256"/>
      <c r="H284" s="313"/>
      <c r="I284" s="456"/>
      <c r="J284" s="272" t="b">
        <f>Age_Sex23[[#This Row],[Total Spending After Applying Truncation at the Member Level]]+Age_Sex23[[#This Row],[Total Dollars Excluded from Spending After Applying Truncation at the Member Level]]=Age_Sex23[[#This Row],[Total Spending before Truncation is Applied]]</f>
        <v>1</v>
      </c>
    </row>
    <row r="285" spans="1:10" x14ac:dyDescent="0.25">
      <c r="A285" s="386"/>
      <c r="B285" s="310"/>
      <c r="C285" s="311"/>
      <c r="D285" s="518"/>
      <c r="E285" s="409"/>
      <c r="F285" s="312"/>
      <c r="G285" s="522"/>
      <c r="H285" s="312"/>
      <c r="I285" s="455"/>
      <c r="J285" s="272" t="b">
        <f>Age_Sex23[[#This Row],[Total Spending After Applying Truncation at the Member Level]]+Age_Sex23[[#This Row],[Total Dollars Excluded from Spending After Applying Truncation at the Member Level]]=Age_Sex23[[#This Row],[Total Spending before Truncation is Applied]]</f>
        <v>1</v>
      </c>
    </row>
    <row r="286" spans="1:10" x14ac:dyDescent="0.25">
      <c r="A286" s="389"/>
      <c r="B286" s="4"/>
      <c r="C286" s="16"/>
      <c r="D286" s="519"/>
      <c r="E286" s="410"/>
      <c r="F286" s="313"/>
      <c r="G286" s="256"/>
      <c r="H286" s="313"/>
      <c r="I286" s="456"/>
      <c r="J286" s="272" t="b">
        <f>Age_Sex23[[#This Row],[Total Spending After Applying Truncation at the Member Level]]+Age_Sex23[[#This Row],[Total Dollars Excluded from Spending After Applying Truncation at the Member Level]]=Age_Sex23[[#This Row],[Total Spending before Truncation is Applied]]</f>
        <v>1</v>
      </c>
    </row>
    <row r="287" spans="1:10" x14ac:dyDescent="0.25">
      <c r="A287" s="386"/>
      <c r="B287" s="310"/>
      <c r="C287" s="311"/>
      <c r="D287" s="518"/>
      <c r="E287" s="409"/>
      <c r="F287" s="312"/>
      <c r="G287" s="522"/>
      <c r="H287" s="312"/>
      <c r="I287" s="455"/>
      <c r="J287" s="272" t="b">
        <f>Age_Sex23[[#This Row],[Total Spending After Applying Truncation at the Member Level]]+Age_Sex23[[#This Row],[Total Dollars Excluded from Spending After Applying Truncation at the Member Level]]=Age_Sex23[[#This Row],[Total Spending before Truncation is Applied]]</f>
        <v>1</v>
      </c>
    </row>
    <row r="288" spans="1:10" x14ac:dyDescent="0.25">
      <c r="A288" s="389"/>
      <c r="B288" s="4"/>
      <c r="C288" s="16"/>
      <c r="D288" s="519"/>
      <c r="E288" s="410"/>
      <c r="F288" s="313"/>
      <c r="G288" s="256"/>
      <c r="H288" s="313"/>
      <c r="I288" s="456"/>
      <c r="J288" s="272" t="b">
        <f>Age_Sex23[[#This Row],[Total Spending After Applying Truncation at the Member Level]]+Age_Sex23[[#This Row],[Total Dollars Excluded from Spending After Applying Truncation at the Member Level]]=Age_Sex23[[#This Row],[Total Spending before Truncation is Applied]]</f>
        <v>1</v>
      </c>
    </row>
    <row r="289" spans="1:10" x14ac:dyDescent="0.25">
      <c r="A289" s="386"/>
      <c r="B289" s="310"/>
      <c r="C289" s="311"/>
      <c r="D289" s="518"/>
      <c r="E289" s="409"/>
      <c r="F289" s="312"/>
      <c r="G289" s="522"/>
      <c r="H289" s="312"/>
      <c r="I289" s="455"/>
      <c r="J289" s="272" t="b">
        <f>Age_Sex23[[#This Row],[Total Spending After Applying Truncation at the Member Level]]+Age_Sex23[[#This Row],[Total Dollars Excluded from Spending After Applying Truncation at the Member Level]]=Age_Sex23[[#This Row],[Total Spending before Truncation is Applied]]</f>
        <v>1</v>
      </c>
    </row>
    <row r="290" spans="1:10" x14ac:dyDescent="0.25">
      <c r="A290" s="389"/>
      <c r="B290" s="4"/>
      <c r="C290" s="16"/>
      <c r="D290" s="519"/>
      <c r="E290" s="410"/>
      <c r="F290" s="313"/>
      <c r="G290" s="256"/>
      <c r="H290" s="313"/>
      <c r="I290" s="456"/>
      <c r="J290" s="272" t="b">
        <f>Age_Sex23[[#This Row],[Total Spending After Applying Truncation at the Member Level]]+Age_Sex23[[#This Row],[Total Dollars Excluded from Spending After Applying Truncation at the Member Level]]=Age_Sex23[[#This Row],[Total Spending before Truncation is Applied]]</f>
        <v>1</v>
      </c>
    </row>
    <row r="291" spans="1:10" x14ac:dyDescent="0.25">
      <c r="A291" s="386"/>
      <c r="B291" s="310"/>
      <c r="C291" s="311"/>
      <c r="D291" s="518"/>
      <c r="E291" s="409"/>
      <c r="F291" s="312"/>
      <c r="G291" s="522"/>
      <c r="H291" s="312"/>
      <c r="I291" s="455"/>
      <c r="J291" s="272" t="b">
        <f>Age_Sex23[[#This Row],[Total Spending After Applying Truncation at the Member Level]]+Age_Sex23[[#This Row],[Total Dollars Excluded from Spending After Applying Truncation at the Member Level]]=Age_Sex23[[#This Row],[Total Spending before Truncation is Applied]]</f>
        <v>1</v>
      </c>
    </row>
    <row r="292" spans="1:10" x14ac:dyDescent="0.25">
      <c r="A292" s="389"/>
      <c r="B292" s="4"/>
      <c r="C292" s="16"/>
      <c r="D292" s="519"/>
      <c r="E292" s="410"/>
      <c r="F292" s="313"/>
      <c r="G292" s="256"/>
      <c r="H292" s="313"/>
      <c r="I292" s="456"/>
      <c r="J292" s="272" t="b">
        <f>Age_Sex23[[#This Row],[Total Spending After Applying Truncation at the Member Level]]+Age_Sex23[[#This Row],[Total Dollars Excluded from Spending After Applying Truncation at the Member Level]]=Age_Sex23[[#This Row],[Total Spending before Truncation is Applied]]</f>
        <v>1</v>
      </c>
    </row>
    <row r="293" spans="1:10" x14ac:dyDescent="0.25">
      <c r="A293" s="386"/>
      <c r="B293" s="310"/>
      <c r="C293" s="311"/>
      <c r="D293" s="518"/>
      <c r="E293" s="409"/>
      <c r="F293" s="312"/>
      <c r="G293" s="522"/>
      <c r="H293" s="312"/>
      <c r="I293" s="455"/>
      <c r="J293" s="272" t="b">
        <f>Age_Sex23[[#This Row],[Total Spending After Applying Truncation at the Member Level]]+Age_Sex23[[#This Row],[Total Dollars Excluded from Spending After Applying Truncation at the Member Level]]=Age_Sex23[[#This Row],[Total Spending before Truncation is Applied]]</f>
        <v>1</v>
      </c>
    </row>
    <row r="294" spans="1:10" x14ac:dyDescent="0.25">
      <c r="A294" s="389"/>
      <c r="B294" s="4"/>
      <c r="C294" s="16"/>
      <c r="D294" s="519"/>
      <c r="E294" s="410"/>
      <c r="F294" s="313"/>
      <c r="G294" s="256"/>
      <c r="H294" s="313"/>
      <c r="I294" s="456"/>
      <c r="J294" s="272" t="b">
        <f>Age_Sex23[[#This Row],[Total Spending After Applying Truncation at the Member Level]]+Age_Sex23[[#This Row],[Total Dollars Excluded from Spending After Applying Truncation at the Member Level]]=Age_Sex23[[#This Row],[Total Spending before Truncation is Applied]]</f>
        <v>1</v>
      </c>
    </row>
    <row r="295" spans="1:10" x14ac:dyDescent="0.25">
      <c r="A295" s="386"/>
      <c r="B295" s="310"/>
      <c r="C295" s="311"/>
      <c r="D295" s="518"/>
      <c r="E295" s="409"/>
      <c r="F295" s="312"/>
      <c r="G295" s="522"/>
      <c r="H295" s="312"/>
      <c r="I295" s="455"/>
      <c r="J295" s="272" t="b">
        <f>Age_Sex23[[#This Row],[Total Spending After Applying Truncation at the Member Level]]+Age_Sex23[[#This Row],[Total Dollars Excluded from Spending After Applying Truncation at the Member Level]]=Age_Sex23[[#This Row],[Total Spending before Truncation is Applied]]</f>
        <v>1</v>
      </c>
    </row>
    <row r="296" spans="1:10" x14ac:dyDescent="0.25">
      <c r="A296" s="389"/>
      <c r="B296" s="4"/>
      <c r="C296" s="16"/>
      <c r="D296" s="519"/>
      <c r="E296" s="410"/>
      <c r="F296" s="313"/>
      <c r="G296" s="256"/>
      <c r="H296" s="313"/>
      <c r="I296" s="456"/>
      <c r="J296" s="272" t="b">
        <f>Age_Sex23[[#This Row],[Total Spending After Applying Truncation at the Member Level]]+Age_Sex23[[#This Row],[Total Dollars Excluded from Spending After Applying Truncation at the Member Level]]=Age_Sex23[[#This Row],[Total Spending before Truncation is Applied]]</f>
        <v>1</v>
      </c>
    </row>
    <row r="297" spans="1:10" x14ac:dyDescent="0.25">
      <c r="A297" s="386"/>
      <c r="B297" s="310"/>
      <c r="C297" s="311"/>
      <c r="D297" s="518"/>
      <c r="E297" s="409"/>
      <c r="F297" s="312"/>
      <c r="G297" s="522"/>
      <c r="H297" s="312"/>
      <c r="I297" s="455"/>
      <c r="J297" s="272" t="b">
        <f>Age_Sex23[[#This Row],[Total Spending After Applying Truncation at the Member Level]]+Age_Sex23[[#This Row],[Total Dollars Excluded from Spending After Applying Truncation at the Member Level]]=Age_Sex23[[#This Row],[Total Spending before Truncation is Applied]]</f>
        <v>1</v>
      </c>
    </row>
    <row r="298" spans="1:10" x14ac:dyDescent="0.25">
      <c r="A298" s="389"/>
      <c r="B298" s="4"/>
      <c r="C298" s="16"/>
      <c r="D298" s="519"/>
      <c r="E298" s="410"/>
      <c r="F298" s="313"/>
      <c r="G298" s="256"/>
      <c r="H298" s="313"/>
      <c r="I298" s="456"/>
      <c r="J298" s="272" t="b">
        <f>Age_Sex23[[#This Row],[Total Spending After Applying Truncation at the Member Level]]+Age_Sex23[[#This Row],[Total Dollars Excluded from Spending After Applying Truncation at the Member Level]]=Age_Sex23[[#This Row],[Total Spending before Truncation is Applied]]</f>
        <v>1</v>
      </c>
    </row>
    <row r="299" spans="1:10" x14ac:dyDescent="0.25">
      <c r="A299" s="386"/>
      <c r="B299" s="310"/>
      <c r="C299" s="311"/>
      <c r="D299" s="518"/>
      <c r="E299" s="409"/>
      <c r="F299" s="312"/>
      <c r="G299" s="522"/>
      <c r="H299" s="312"/>
      <c r="I299" s="455"/>
      <c r="J299" s="272" t="b">
        <f>Age_Sex23[[#This Row],[Total Spending After Applying Truncation at the Member Level]]+Age_Sex23[[#This Row],[Total Dollars Excluded from Spending After Applying Truncation at the Member Level]]=Age_Sex23[[#This Row],[Total Spending before Truncation is Applied]]</f>
        <v>1</v>
      </c>
    </row>
    <row r="300" spans="1:10" x14ac:dyDescent="0.25">
      <c r="A300" s="389"/>
      <c r="B300" s="4"/>
      <c r="C300" s="16"/>
      <c r="D300" s="519"/>
      <c r="E300" s="410"/>
      <c r="F300" s="313"/>
      <c r="G300" s="256"/>
      <c r="H300" s="313"/>
      <c r="I300" s="456"/>
      <c r="J300" s="272" t="b">
        <f>Age_Sex23[[#This Row],[Total Spending After Applying Truncation at the Member Level]]+Age_Sex23[[#This Row],[Total Dollars Excluded from Spending After Applying Truncation at the Member Level]]=Age_Sex23[[#This Row],[Total Spending before Truncation is Applied]]</f>
        <v>1</v>
      </c>
    </row>
    <row r="301" spans="1:10" x14ac:dyDescent="0.25">
      <c r="A301" s="386"/>
      <c r="B301" s="310"/>
      <c r="C301" s="311"/>
      <c r="D301" s="518"/>
      <c r="E301" s="409"/>
      <c r="F301" s="312"/>
      <c r="G301" s="522"/>
      <c r="H301" s="312"/>
      <c r="I301" s="455"/>
      <c r="J301" s="272" t="b">
        <f>Age_Sex23[[#This Row],[Total Spending After Applying Truncation at the Member Level]]+Age_Sex23[[#This Row],[Total Dollars Excluded from Spending After Applying Truncation at the Member Level]]=Age_Sex23[[#This Row],[Total Spending before Truncation is Applied]]</f>
        <v>1</v>
      </c>
    </row>
    <row r="302" spans="1:10" x14ac:dyDescent="0.25">
      <c r="A302" s="389"/>
      <c r="B302" s="4"/>
      <c r="C302" s="16"/>
      <c r="D302" s="519"/>
      <c r="E302" s="410"/>
      <c r="F302" s="313"/>
      <c r="G302" s="256"/>
      <c r="H302" s="313"/>
      <c r="I302" s="456"/>
      <c r="J302" s="272" t="b">
        <f>Age_Sex23[[#This Row],[Total Spending After Applying Truncation at the Member Level]]+Age_Sex23[[#This Row],[Total Dollars Excluded from Spending After Applying Truncation at the Member Level]]=Age_Sex23[[#This Row],[Total Spending before Truncation is Applied]]</f>
        <v>1</v>
      </c>
    </row>
    <row r="303" spans="1:10" x14ac:dyDescent="0.25">
      <c r="A303" s="386"/>
      <c r="B303" s="310"/>
      <c r="C303" s="311"/>
      <c r="D303" s="518"/>
      <c r="E303" s="409"/>
      <c r="F303" s="312"/>
      <c r="G303" s="522"/>
      <c r="H303" s="312"/>
      <c r="I303" s="455"/>
      <c r="J303" s="271" t="b">
        <f>Age_Sex23[[#This Row],[Total Spending After Applying Truncation at the Member Level]]+Age_Sex23[[#This Row],[Total Dollars Excluded from Spending After Applying Truncation at the Member Level]]=Age_Sex23[[#This Row],[Total Spending before Truncation is Applied]]</f>
        <v>1</v>
      </c>
    </row>
    <row r="304" spans="1:10" x14ac:dyDescent="0.25">
      <c r="A304" s="389"/>
      <c r="B304" s="4"/>
      <c r="C304" s="16"/>
      <c r="D304" s="519"/>
      <c r="E304" s="410"/>
      <c r="F304" s="313"/>
      <c r="G304" s="256"/>
      <c r="H304" s="313"/>
      <c r="I304" s="456"/>
      <c r="J304" s="271" t="b">
        <f>Age_Sex23[[#This Row],[Total Spending After Applying Truncation at the Member Level]]+Age_Sex23[[#This Row],[Total Dollars Excluded from Spending After Applying Truncation at the Member Level]]=Age_Sex23[[#This Row],[Total Spending before Truncation is Applied]]</f>
        <v>1</v>
      </c>
    </row>
    <row r="305" spans="1:10" x14ac:dyDescent="0.25">
      <c r="A305" s="386"/>
      <c r="B305" s="310"/>
      <c r="C305" s="311"/>
      <c r="D305" s="518"/>
      <c r="E305" s="409"/>
      <c r="F305" s="312"/>
      <c r="G305" s="522"/>
      <c r="H305" s="312"/>
      <c r="I305" s="455"/>
      <c r="J305" s="271" t="b">
        <f>Age_Sex23[[#This Row],[Total Spending After Applying Truncation at the Member Level]]+Age_Sex23[[#This Row],[Total Dollars Excluded from Spending After Applying Truncation at the Member Level]]=Age_Sex23[[#This Row],[Total Spending before Truncation is Applied]]</f>
        <v>1</v>
      </c>
    </row>
    <row r="306" spans="1:10" x14ac:dyDescent="0.25">
      <c r="A306" s="389"/>
      <c r="B306" s="4"/>
      <c r="C306" s="16"/>
      <c r="D306" s="519"/>
      <c r="E306" s="410"/>
      <c r="F306" s="313"/>
      <c r="G306" s="256"/>
      <c r="H306" s="313"/>
      <c r="I306" s="456"/>
      <c r="J306" s="271" t="b">
        <f>Age_Sex23[[#This Row],[Total Spending After Applying Truncation at the Member Level]]+Age_Sex23[[#This Row],[Total Dollars Excluded from Spending After Applying Truncation at the Member Level]]=Age_Sex23[[#This Row],[Total Spending before Truncation is Applied]]</f>
        <v>1</v>
      </c>
    </row>
    <row r="307" spans="1:10" x14ac:dyDescent="0.25">
      <c r="A307" s="386"/>
      <c r="B307" s="310"/>
      <c r="C307" s="311"/>
      <c r="D307" s="518"/>
      <c r="E307" s="409"/>
      <c r="F307" s="312"/>
      <c r="G307" s="522"/>
      <c r="H307" s="312"/>
      <c r="I307" s="455"/>
      <c r="J307" s="271" t="b">
        <f>Age_Sex23[[#This Row],[Total Spending After Applying Truncation at the Member Level]]+Age_Sex23[[#This Row],[Total Dollars Excluded from Spending After Applying Truncation at the Member Level]]=Age_Sex23[[#This Row],[Total Spending before Truncation is Applied]]</f>
        <v>1</v>
      </c>
    </row>
    <row r="308" spans="1:10" x14ac:dyDescent="0.25">
      <c r="A308" s="389"/>
      <c r="B308" s="4"/>
      <c r="C308" s="16"/>
      <c r="D308" s="519"/>
      <c r="E308" s="410"/>
      <c r="F308" s="313"/>
      <c r="G308" s="256"/>
      <c r="H308" s="313"/>
      <c r="I308" s="456"/>
      <c r="J308" s="271" t="b">
        <f>Age_Sex23[[#This Row],[Total Spending After Applying Truncation at the Member Level]]+Age_Sex23[[#This Row],[Total Dollars Excluded from Spending After Applying Truncation at the Member Level]]=Age_Sex23[[#This Row],[Total Spending before Truncation is Applied]]</f>
        <v>1</v>
      </c>
    </row>
    <row r="309" spans="1:10" x14ac:dyDescent="0.25">
      <c r="A309" s="386"/>
      <c r="B309" s="310"/>
      <c r="C309" s="311"/>
      <c r="D309" s="518"/>
      <c r="E309" s="409"/>
      <c r="F309" s="312"/>
      <c r="G309" s="522"/>
      <c r="H309" s="312"/>
      <c r="I309" s="455"/>
      <c r="J309" s="271" t="b">
        <f>Age_Sex23[[#This Row],[Total Spending After Applying Truncation at the Member Level]]+Age_Sex23[[#This Row],[Total Dollars Excluded from Spending After Applying Truncation at the Member Level]]=Age_Sex23[[#This Row],[Total Spending before Truncation is Applied]]</f>
        <v>1</v>
      </c>
    </row>
    <row r="310" spans="1:10" x14ac:dyDescent="0.25">
      <c r="A310" s="389"/>
      <c r="B310" s="4"/>
      <c r="C310" s="16"/>
      <c r="D310" s="519"/>
      <c r="E310" s="410"/>
      <c r="F310" s="313"/>
      <c r="G310" s="256"/>
      <c r="H310" s="313"/>
      <c r="I310" s="456"/>
      <c r="J310" s="271" t="b">
        <f>Age_Sex23[[#This Row],[Total Spending After Applying Truncation at the Member Level]]+Age_Sex23[[#This Row],[Total Dollars Excluded from Spending After Applying Truncation at the Member Level]]=Age_Sex23[[#This Row],[Total Spending before Truncation is Applied]]</f>
        <v>1</v>
      </c>
    </row>
    <row r="311" spans="1:10" x14ac:dyDescent="0.25">
      <c r="A311" s="386"/>
      <c r="B311" s="310"/>
      <c r="C311" s="311"/>
      <c r="D311" s="518"/>
      <c r="E311" s="409"/>
      <c r="F311" s="312"/>
      <c r="G311" s="522"/>
      <c r="H311" s="312"/>
      <c r="I311" s="455"/>
      <c r="J311" s="271" t="b">
        <f>Age_Sex23[[#This Row],[Total Spending After Applying Truncation at the Member Level]]+Age_Sex23[[#This Row],[Total Dollars Excluded from Spending After Applying Truncation at the Member Level]]=Age_Sex23[[#This Row],[Total Spending before Truncation is Applied]]</f>
        <v>1</v>
      </c>
    </row>
    <row r="312" spans="1:10" x14ac:dyDescent="0.25">
      <c r="A312" s="389"/>
      <c r="B312" s="4"/>
      <c r="C312" s="16"/>
      <c r="D312" s="519"/>
      <c r="E312" s="410"/>
      <c r="F312" s="313"/>
      <c r="G312" s="256"/>
      <c r="H312" s="313"/>
      <c r="I312" s="456"/>
      <c r="J312" s="271" t="b">
        <f>Age_Sex23[[#This Row],[Total Spending After Applying Truncation at the Member Level]]+Age_Sex23[[#This Row],[Total Dollars Excluded from Spending After Applying Truncation at the Member Level]]=Age_Sex23[[#This Row],[Total Spending before Truncation is Applied]]</f>
        <v>1</v>
      </c>
    </row>
    <row r="313" spans="1:10" x14ac:dyDescent="0.25">
      <c r="A313" s="386"/>
      <c r="B313" s="310"/>
      <c r="C313" s="311"/>
      <c r="D313" s="518"/>
      <c r="E313" s="409"/>
      <c r="F313" s="312"/>
      <c r="G313" s="522"/>
      <c r="H313" s="312"/>
      <c r="I313" s="455"/>
      <c r="J313" s="271" t="b">
        <f>Age_Sex23[[#This Row],[Total Spending After Applying Truncation at the Member Level]]+Age_Sex23[[#This Row],[Total Dollars Excluded from Spending After Applying Truncation at the Member Level]]=Age_Sex23[[#This Row],[Total Spending before Truncation is Applied]]</f>
        <v>1</v>
      </c>
    </row>
    <row r="314" spans="1:10" x14ac:dyDescent="0.25">
      <c r="A314" s="389"/>
      <c r="B314" s="4"/>
      <c r="C314" s="16"/>
      <c r="D314" s="519"/>
      <c r="E314" s="410"/>
      <c r="F314" s="313"/>
      <c r="G314" s="256"/>
      <c r="H314" s="313"/>
      <c r="I314" s="456"/>
      <c r="J314" s="271" t="b">
        <f>Age_Sex23[[#This Row],[Total Spending After Applying Truncation at the Member Level]]+Age_Sex23[[#This Row],[Total Dollars Excluded from Spending After Applying Truncation at the Member Level]]=Age_Sex23[[#This Row],[Total Spending before Truncation is Applied]]</f>
        <v>1</v>
      </c>
    </row>
    <row r="315" spans="1:10" x14ac:dyDescent="0.25">
      <c r="A315" s="386"/>
      <c r="B315" s="310"/>
      <c r="C315" s="311"/>
      <c r="D315" s="518"/>
      <c r="E315" s="409"/>
      <c r="F315" s="312"/>
      <c r="G315" s="522"/>
      <c r="H315" s="312"/>
      <c r="I315" s="455"/>
      <c r="J315" s="271" t="b">
        <f>Age_Sex23[[#This Row],[Total Spending After Applying Truncation at the Member Level]]+Age_Sex23[[#This Row],[Total Dollars Excluded from Spending After Applying Truncation at the Member Level]]=Age_Sex23[[#This Row],[Total Spending before Truncation is Applied]]</f>
        <v>1</v>
      </c>
    </row>
    <row r="316" spans="1:10" x14ac:dyDescent="0.25">
      <c r="A316" s="389"/>
      <c r="B316" s="4"/>
      <c r="C316" s="16"/>
      <c r="D316" s="519"/>
      <c r="E316" s="410"/>
      <c r="F316" s="313"/>
      <c r="G316" s="256"/>
      <c r="H316" s="313"/>
      <c r="I316" s="456"/>
      <c r="J316" s="271" t="b">
        <f>Age_Sex23[[#This Row],[Total Spending After Applying Truncation at the Member Level]]+Age_Sex23[[#This Row],[Total Dollars Excluded from Spending After Applying Truncation at the Member Level]]=Age_Sex23[[#This Row],[Total Spending before Truncation is Applied]]</f>
        <v>1</v>
      </c>
    </row>
    <row r="317" spans="1:10" x14ac:dyDescent="0.25">
      <c r="A317" s="386"/>
      <c r="B317" s="310"/>
      <c r="C317" s="311"/>
      <c r="D317" s="518"/>
      <c r="E317" s="409"/>
      <c r="F317" s="312"/>
      <c r="G317" s="522"/>
      <c r="H317" s="312"/>
      <c r="I317" s="455"/>
      <c r="J317" s="271" t="b">
        <f>Age_Sex23[[#This Row],[Total Spending After Applying Truncation at the Member Level]]+Age_Sex23[[#This Row],[Total Dollars Excluded from Spending After Applying Truncation at the Member Level]]=Age_Sex23[[#This Row],[Total Spending before Truncation is Applied]]</f>
        <v>1</v>
      </c>
    </row>
    <row r="318" spans="1:10" x14ac:dyDescent="0.25">
      <c r="A318" s="389"/>
      <c r="B318" s="4"/>
      <c r="C318" s="16"/>
      <c r="D318" s="519"/>
      <c r="E318" s="410"/>
      <c r="F318" s="313"/>
      <c r="G318" s="256"/>
      <c r="H318" s="313"/>
      <c r="I318" s="456"/>
      <c r="J318" s="271" t="b">
        <f>Age_Sex23[[#This Row],[Total Spending After Applying Truncation at the Member Level]]+Age_Sex23[[#This Row],[Total Dollars Excluded from Spending After Applying Truncation at the Member Level]]=Age_Sex23[[#This Row],[Total Spending before Truncation is Applied]]</f>
        <v>1</v>
      </c>
    </row>
    <row r="319" spans="1:10" x14ac:dyDescent="0.25">
      <c r="A319" s="386"/>
      <c r="B319" s="310"/>
      <c r="C319" s="311"/>
      <c r="D319" s="518"/>
      <c r="E319" s="409"/>
      <c r="F319" s="312"/>
      <c r="G319" s="522"/>
      <c r="H319" s="312"/>
      <c r="I319" s="455"/>
      <c r="J319" s="271" t="b">
        <f>Age_Sex23[[#This Row],[Total Spending After Applying Truncation at the Member Level]]+Age_Sex23[[#This Row],[Total Dollars Excluded from Spending After Applying Truncation at the Member Level]]=Age_Sex23[[#This Row],[Total Spending before Truncation is Applied]]</f>
        <v>1</v>
      </c>
    </row>
    <row r="320" spans="1:10" x14ac:dyDescent="0.25">
      <c r="A320" s="389"/>
      <c r="B320" s="4"/>
      <c r="C320" s="16"/>
      <c r="D320" s="519"/>
      <c r="E320" s="410"/>
      <c r="F320" s="313"/>
      <c r="G320" s="256"/>
      <c r="H320" s="313"/>
      <c r="I320" s="456"/>
      <c r="J320" s="271" t="b">
        <f>Age_Sex23[[#This Row],[Total Spending After Applying Truncation at the Member Level]]+Age_Sex23[[#This Row],[Total Dollars Excluded from Spending After Applying Truncation at the Member Level]]=Age_Sex23[[#This Row],[Total Spending before Truncation is Applied]]</f>
        <v>1</v>
      </c>
    </row>
    <row r="321" spans="1:10" x14ac:dyDescent="0.25">
      <c r="A321" s="386"/>
      <c r="B321" s="310"/>
      <c r="C321" s="311"/>
      <c r="D321" s="518"/>
      <c r="E321" s="409"/>
      <c r="F321" s="312"/>
      <c r="G321" s="522"/>
      <c r="H321" s="312"/>
      <c r="I321" s="455"/>
      <c r="J321" s="271" t="b">
        <f>Age_Sex23[[#This Row],[Total Spending After Applying Truncation at the Member Level]]+Age_Sex23[[#This Row],[Total Dollars Excluded from Spending After Applying Truncation at the Member Level]]=Age_Sex23[[#This Row],[Total Spending before Truncation is Applied]]</f>
        <v>1</v>
      </c>
    </row>
    <row r="322" spans="1:10" x14ac:dyDescent="0.25">
      <c r="A322" s="389"/>
      <c r="B322" s="4"/>
      <c r="C322" s="16"/>
      <c r="D322" s="519"/>
      <c r="E322" s="410"/>
      <c r="F322" s="313"/>
      <c r="G322" s="256"/>
      <c r="H322" s="313"/>
      <c r="I322" s="456"/>
      <c r="J322" s="271" t="b">
        <f>Age_Sex23[[#This Row],[Total Spending After Applying Truncation at the Member Level]]+Age_Sex23[[#This Row],[Total Dollars Excluded from Spending After Applying Truncation at the Member Level]]=Age_Sex23[[#This Row],[Total Spending before Truncation is Applied]]</f>
        <v>1</v>
      </c>
    </row>
    <row r="323" spans="1:10" x14ac:dyDescent="0.25">
      <c r="A323" s="386"/>
      <c r="B323" s="310"/>
      <c r="C323" s="311"/>
      <c r="D323" s="518"/>
      <c r="E323" s="409"/>
      <c r="F323" s="312"/>
      <c r="G323" s="522"/>
      <c r="H323" s="312"/>
      <c r="I323" s="455"/>
      <c r="J323" s="271" t="b">
        <f>Age_Sex23[[#This Row],[Total Spending After Applying Truncation at the Member Level]]+Age_Sex23[[#This Row],[Total Dollars Excluded from Spending After Applying Truncation at the Member Level]]=Age_Sex23[[#This Row],[Total Spending before Truncation is Applied]]</f>
        <v>1</v>
      </c>
    </row>
    <row r="324" spans="1:10" x14ac:dyDescent="0.25">
      <c r="A324" s="389"/>
      <c r="B324" s="4"/>
      <c r="C324" s="16"/>
      <c r="D324" s="519"/>
      <c r="E324" s="410"/>
      <c r="F324" s="313"/>
      <c r="G324" s="256"/>
      <c r="H324" s="313"/>
      <c r="I324" s="456"/>
      <c r="J324" s="271" t="b">
        <f>Age_Sex23[[#This Row],[Total Spending After Applying Truncation at the Member Level]]+Age_Sex23[[#This Row],[Total Dollars Excluded from Spending After Applying Truncation at the Member Level]]=Age_Sex23[[#This Row],[Total Spending before Truncation is Applied]]</f>
        <v>1</v>
      </c>
    </row>
    <row r="325" spans="1:10" x14ac:dyDescent="0.25">
      <c r="A325" s="386"/>
      <c r="B325" s="310"/>
      <c r="C325" s="311"/>
      <c r="D325" s="518"/>
      <c r="E325" s="409"/>
      <c r="F325" s="312"/>
      <c r="G325" s="522"/>
      <c r="H325" s="312"/>
      <c r="I325" s="455"/>
      <c r="J325" s="271" t="b">
        <f>Age_Sex23[[#This Row],[Total Spending After Applying Truncation at the Member Level]]+Age_Sex23[[#This Row],[Total Dollars Excluded from Spending After Applying Truncation at the Member Level]]=Age_Sex23[[#This Row],[Total Spending before Truncation is Applied]]</f>
        <v>1</v>
      </c>
    </row>
    <row r="326" spans="1:10" x14ac:dyDescent="0.25">
      <c r="A326" s="389"/>
      <c r="B326" s="4"/>
      <c r="C326" s="16"/>
      <c r="D326" s="519"/>
      <c r="E326" s="410"/>
      <c r="F326" s="313"/>
      <c r="G326" s="256"/>
      <c r="H326" s="313"/>
      <c r="I326" s="456"/>
      <c r="J326" s="271" t="b">
        <f>Age_Sex23[[#This Row],[Total Spending After Applying Truncation at the Member Level]]+Age_Sex23[[#This Row],[Total Dollars Excluded from Spending After Applying Truncation at the Member Level]]=Age_Sex23[[#This Row],[Total Spending before Truncation is Applied]]</f>
        <v>1</v>
      </c>
    </row>
    <row r="327" spans="1:10" x14ac:dyDescent="0.25">
      <c r="A327" s="386"/>
      <c r="B327" s="310"/>
      <c r="C327" s="311"/>
      <c r="D327" s="518"/>
      <c r="E327" s="409"/>
      <c r="F327" s="312"/>
      <c r="G327" s="522"/>
      <c r="H327" s="312"/>
      <c r="I327" s="455"/>
      <c r="J327" s="271" t="b">
        <f>Age_Sex23[[#This Row],[Total Spending After Applying Truncation at the Member Level]]+Age_Sex23[[#This Row],[Total Dollars Excluded from Spending After Applying Truncation at the Member Level]]=Age_Sex23[[#This Row],[Total Spending before Truncation is Applied]]</f>
        <v>1</v>
      </c>
    </row>
    <row r="328" spans="1:10" x14ac:dyDescent="0.25">
      <c r="A328" s="389"/>
      <c r="B328" s="4"/>
      <c r="C328" s="16"/>
      <c r="D328" s="519"/>
      <c r="E328" s="410"/>
      <c r="F328" s="313"/>
      <c r="G328" s="256"/>
      <c r="H328" s="313"/>
      <c r="I328" s="456"/>
      <c r="J328" s="271" t="b">
        <f>Age_Sex23[[#This Row],[Total Spending After Applying Truncation at the Member Level]]+Age_Sex23[[#This Row],[Total Dollars Excluded from Spending After Applying Truncation at the Member Level]]=Age_Sex23[[#This Row],[Total Spending before Truncation is Applied]]</f>
        <v>1</v>
      </c>
    </row>
    <row r="329" spans="1:10" x14ac:dyDescent="0.25">
      <c r="A329" s="386"/>
      <c r="B329" s="310"/>
      <c r="C329" s="311"/>
      <c r="D329" s="518"/>
      <c r="E329" s="409"/>
      <c r="F329" s="312"/>
      <c r="G329" s="522"/>
      <c r="H329" s="312"/>
      <c r="I329" s="455"/>
      <c r="J329" s="271" t="b">
        <f>Age_Sex23[[#This Row],[Total Spending After Applying Truncation at the Member Level]]+Age_Sex23[[#This Row],[Total Dollars Excluded from Spending After Applying Truncation at the Member Level]]=Age_Sex23[[#This Row],[Total Spending before Truncation is Applied]]</f>
        <v>1</v>
      </c>
    </row>
    <row r="330" spans="1:10" x14ac:dyDescent="0.25">
      <c r="A330" s="389"/>
      <c r="B330" s="4"/>
      <c r="C330" s="16"/>
      <c r="D330" s="519"/>
      <c r="E330" s="410"/>
      <c r="F330" s="313"/>
      <c r="G330" s="256"/>
      <c r="H330" s="313"/>
      <c r="I330" s="456"/>
      <c r="J330" s="271" t="b">
        <f>Age_Sex23[[#This Row],[Total Spending After Applying Truncation at the Member Level]]+Age_Sex23[[#This Row],[Total Dollars Excluded from Spending After Applying Truncation at the Member Level]]=Age_Sex23[[#This Row],[Total Spending before Truncation is Applied]]</f>
        <v>1</v>
      </c>
    </row>
    <row r="331" spans="1:10" x14ac:dyDescent="0.25">
      <c r="A331" s="386"/>
      <c r="B331" s="310"/>
      <c r="C331" s="311"/>
      <c r="D331" s="518"/>
      <c r="E331" s="409"/>
      <c r="F331" s="312"/>
      <c r="G331" s="522"/>
      <c r="H331" s="312"/>
      <c r="I331" s="455"/>
      <c r="J331" s="271" t="b">
        <f>Age_Sex23[[#This Row],[Total Spending After Applying Truncation at the Member Level]]+Age_Sex23[[#This Row],[Total Dollars Excluded from Spending After Applying Truncation at the Member Level]]=Age_Sex23[[#This Row],[Total Spending before Truncation is Applied]]</f>
        <v>1</v>
      </c>
    </row>
    <row r="332" spans="1:10" x14ac:dyDescent="0.25">
      <c r="A332" s="389"/>
      <c r="B332" s="4"/>
      <c r="C332" s="16"/>
      <c r="D332" s="519"/>
      <c r="E332" s="410"/>
      <c r="F332" s="313"/>
      <c r="G332" s="256"/>
      <c r="H332" s="313"/>
      <c r="I332" s="456"/>
      <c r="J332" s="271" t="b">
        <f>Age_Sex23[[#This Row],[Total Spending After Applying Truncation at the Member Level]]+Age_Sex23[[#This Row],[Total Dollars Excluded from Spending After Applying Truncation at the Member Level]]=Age_Sex23[[#This Row],[Total Spending before Truncation is Applied]]</f>
        <v>1</v>
      </c>
    </row>
    <row r="333" spans="1:10" x14ac:dyDescent="0.25">
      <c r="A333" s="386"/>
      <c r="B333" s="310"/>
      <c r="C333" s="311"/>
      <c r="D333" s="518"/>
      <c r="E333" s="409"/>
      <c r="F333" s="312"/>
      <c r="G333" s="522"/>
      <c r="H333" s="312"/>
      <c r="I333" s="455"/>
      <c r="J333" s="271" t="b">
        <f>Age_Sex23[[#This Row],[Total Spending After Applying Truncation at the Member Level]]+Age_Sex23[[#This Row],[Total Dollars Excluded from Spending After Applying Truncation at the Member Level]]=Age_Sex23[[#This Row],[Total Spending before Truncation is Applied]]</f>
        <v>1</v>
      </c>
    </row>
    <row r="334" spans="1:10" x14ac:dyDescent="0.25">
      <c r="A334" s="389"/>
      <c r="B334" s="4"/>
      <c r="C334" s="16"/>
      <c r="D334" s="519"/>
      <c r="E334" s="410"/>
      <c r="F334" s="313"/>
      <c r="G334" s="256"/>
      <c r="H334" s="313"/>
      <c r="I334" s="456"/>
      <c r="J334" s="271" t="b">
        <f>Age_Sex23[[#This Row],[Total Spending After Applying Truncation at the Member Level]]+Age_Sex23[[#This Row],[Total Dollars Excluded from Spending After Applying Truncation at the Member Level]]=Age_Sex23[[#This Row],[Total Spending before Truncation is Applied]]</f>
        <v>1</v>
      </c>
    </row>
    <row r="335" spans="1:10" x14ac:dyDescent="0.25">
      <c r="A335" s="386"/>
      <c r="B335" s="310"/>
      <c r="C335" s="311"/>
      <c r="D335" s="518"/>
      <c r="E335" s="409"/>
      <c r="F335" s="312"/>
      <c r="G335" s="522"/>
      <c r="H335" s="312"/>
      <c r="I335" s="455"/>
      <c r="J335" s="271" t="b">
        <f>Age_Sex23[[#This Row],[Total Spending After Applying Truncation at the Member Level]]+Age_Sex23[[#This Row],[Total Dollars Excluded from Spending After Applying Truncation at the Member Level]]=Age_Sex23[[#This Row],[Total Spending before Truncation is Applied]]</f>
        <v>1</v>
      </c>
    </row>
    <row r="336" spans="1:10" x14ac:dyDescent="0.25">
      <c r="A336" s="389"/>
      <c r="B336" s="4"/>
      <c r="C336" s="16"/>
      <c r="D336" s="519"/>
      <c r="E336" s="410"/>
      <c r="F336" s="313"/>
      <c r="G336" s="256"/>
      <c r="H336" s="313"/>
      <c r="I336" s="456"/>
      <c r="J336" s="271" t="b">
        <f>Age_Sex23[[#This Row],[Total Spending After Applying Truncation at the Member Level]]+Age_Sex23[[#This Row],[Total Dollars Excluded from Spending After Applying Truncation at the Member Level]]=Age_Sex23[[#This Row],[Total Spending before Truncation is Applied]]</f>
        <v>1</v>
      </c>
    </row>
    <row r="337" spans="1:10" x14ac:dyDescent="0.25">
      <c r="A337" s="386"/>
      <c r="B337" s="310"/>
      <c r="C337" s="311"/>
      <c r="D337" s="518"/>
      <c r="E337" s="409"/>
      <c r="F337" s="312"/>
      <c r="G337" s="522"/>
      <c r="H337" s="312"/>
      <c r="I337" s="455"/>
      <c r="J337" s="271" t="b">
        <f>Age_Sex23[[#This Row],[Total Spending After Applying Truncation at the Member Level]]+Age_Sex23[[#This Row],[Total Dollars Excluded from Spending After Applying Truncation at the Member Level]]=Age_Sex23[[#This Row],[Total Spending before Truncation is Applied]]</f>
        <v>1</v>
      </c>
    </row>
    <row r="338" spans="1:10" x14ac:dyDescent="0.25">
      <c r="A338" s="389"/>
      <c r="B338" s="4"/>
      <c r="C338" s="16"/>
      <c r="D338" s="519"/>
      <c r="E338" s="410"/>
      <c r="F338" s="313"/>
      <c r="G338" s="256"/>
      <c r="H338" s="313"/>
      <c r="I338" s="456"/>
      <c r="J338" s="271" t="b">
        <f>Age_Sex23[[#This Row],[Total Spending After Applying Truncation at the Member Level]]+Age_Sex23[[#This Row],[Total Dollars Excluded from Spending After Applying Truncation at the Member Level]]=Age_Sex23[[#This Row],[Total Spending before Truncation is Applied]]</f>
        <v>1</v>
      </c>
    </row>
    <row r="339" spans="1:10" x14ac:dyDescent="0.25">
      <c r="A339" s="386"/>
      <c r="B339" s="310"/>
      <c r="C339" s="311"/>
      <c r="D339" s="518"/>
      <c r="E339" s="409"/>
      <c r="F339" s="312"/>
      <c r="G339" s="522"/>
      <c r="H339" s="312"/>
      <c r="I339" s="455"/>
      <c r="J339" s="271" t="b">
        <f>Age_Sex23[[#This Row],[Total Spending After Applying Truncation at the Member Level]]+Age_Sex23[[#This Row],[Total Dollars Excluded from Spending After Applying Truncation at the Member Level]]=Age_Sex23[[#This Row],[Total Spending before Truncation is Applied]]</f>
        <v>1</v>
      </c>
    </row>
    <row r="340" spans="1:10" x14ac:dyDescent="0.25">
      <c r="A340" s="389"/>
      <c r="B340" s="4"/>
      <c r="C340" s="16"/>
      <c r="D340" s="519"/>
      <c r="E340" s="410"/>
      <c r="F340" s="313"/>
      <c r="G340" s="256"/>
      <c r="H340" s="313"/>
      <c r="I340" s="456"/>
      <c r="J340" s="271" t="b">
        <f>Age_Sex23[[#This Row],[Total Spending After Applying Truncation at the Member Level]]+Age_Sex23[[#This Row],[Total Dollars Excluded from Spending After Applying Truncation at the Member Level]]=Age_Sex23[[#This Row],[Total Spending before Truncation is Applied]]</f>
        <v>1</v>
      </c>
    </row>
    <row r="341" spans="1:10" x14ac:dyDescent="0.25">
      <c r="A341" s="386"/>
      <c r="B341" s="310"/>
      <c r="C341" s="311"/>
      <c r="D341" s="518"/>
      <c r="E341" s="409"/>
      <c r="F341" s="312"/>
      <c r="G341" s="522"/>
      <c r="H341" s="312"/>
      <c r="I341" s="455"/>
      <c r="J341" s="271" t="b">
        <f>Age_Sex23[[#This Row],[Total Spending After Applying Truncation at the Member Level]]+Age_Sex23[[#This Row],[Total Dollars Excluded from Spending After Applying Truncation at the Member Level]]=Age_Sex23[[#This Row],[Total Spending before Truncation is Applied]]</f>
        <v>1</v>
      </c>
    </row>
    <row r="342" spans="1:10" x14ac:dyDescent="0.25">
      <c r="A342" s="389"/>
      <c r="B342" s="4"/>
      <c r="C342" s="16"/>
      <c r="D342" s="519"/>
      <c r="E342" s="410"/>
      <c r="F342" s="313"/>
      <c r="G342" s="256"/>
      <c r="H342" s="313"/>
      <c r="I342" s="456"/>
      <c r="J342" s="271" t="b">
        <f>Age_Sex23[[#This Row],[Total Spending After Applying Truncation at the Member Level]]+Age_Sex23[[#This Row],[Total Dollars Excluded from Spending After Applying Truncation at the Member Level]]=Age_Sex23[[#This Row],[Total Spending before Truncation is Applied]]</f>
        <v>1</v>
      </c>
    </row>
    <row r="343" spans="1:10" x14ac:dyDescent="0.25">
      <c r="A343" s="386"/>
      <c r="B343" s="310"/>
      <c r="C343" s="311"/>
      <c r="D343" s="518"/>
      <c r="E343" s="409"/>
      <c r="F343" s="312"/>
      <c r="G343" s="522"/>
      <c r="H343" s="312"/>
      <c r="I343" s="455"/>
      <c r="J343" s="271" t="b">
        <f>Age_Sex23[[#This Row],[Total Spending After Applying Truncation at the Member Level]]+Age_Sex23[[#This Row],[Total Dollars Excluded from Spending After Applying Truncation at the Member Level]]=Age_Sex23[[#This Row],[Total Spending before Truncation is Applied]]</f>
        <v>1</v>
      </c>
    </row>
    <row r="344" spans="1:10" x14ac:dyDescent="0.25">
      <c r="A344" s="389"/>
      <c r="B344" s="4"/>
      <c r="C344" s="16"/>
      <c r="D344" s="519"/>
      <c r="E344" s="410"/>
      <c r="F344" s="313"/>
      <c r="G344" s="256"/>
      <c r="H344" s="313"/>
      <c r="I344" s="456"/>
      <c r="J344" s="271" t="b">
        <f>Age_Sex23[[#This Row],[Total Spending After Applying Truncation at the Member Level]]+Age_Sex23[[#This Row],[Total Dollars Excluded from Spending After Applying Truncation at the Member Level]]=Age_Sex23[[#This Row],[Total Spending before Truncation is Applied]]</f>
        <v>1</v>
      </c>
    </row>
    <row r="345" spans="1:10" x14ac:dyDescent="0.25">
      <c r="A345" s="386"/>
      <c r="B345" s="310"/>
      <c r="C345" s="311"/>
      <c r="D345" s="518"/>
      <c r="E345" s="409"/>
      <c r="F345" s="312"/>
      <c r="G345" s="522"/>
      <c r="H345" s="312"/>
      <c r="I345" s="455"/>
      <c r="J345" s="271" t="b">
        <f>Age_Sex23[[#This Row],[Total Spending After Applying Truncation at the Member Level]]+Age_Sex23[[#This Row],[Total Dollars Excluded from Spending After Applying Truncation at the Member Level]]=Age_Sex23[[#This Row],[Total Spending before Truncation is Applied]]</f>
        <v>1</v>
      </c>
    </row>
    <row r="346" spans="1:10" x14ac:dyDescent="0.25">
      <c r="A346" s="389"/>
      <c r="B346" s="4"/>
      <c r="C346" s="16"/>
      <c r="D346" s="519"/>
      <c r="E346" s="410"/>
      <c r="F346" s="313"/>
      <c r="G346" s="256"/>
      <c r="H346" s="313"/>
      <c r="I346" s="456"/>
      <c r="J346" s="271" t="b">
        <f>Age_Sex23[[#This Row],[Total Spending After Applying Truncation at the Member Level]]+Age_Sex23[[#This Row],[Total Dollars Excluded from Spending After Applying Truncation at the Member Level]]=Age_Sex23[[#This Row],[Total Spending before Truncation is Applied]]</f>
        <v>1</v>
      </c>
    </row>
    <row r="347" spans="1:10" x14ac:dyDescent="0.25">
      <c r="A347" s="386"/>
      <c r="B347" s="310"/>
      <c r="C347" s="311"/>
      <c r="D347" s="518"/>
      <c r="E347" s="409"/>
      <c r="F347" s="312"/>
      <c r="G347" s="522"/>
      <c r="H347" s="312"/>
      <c r="I347" s="455"/>
      <c r="J347" s="271" t="b">
        <f>Age_Sex23[[#This Row],[Total Spending After Applying Truncation at the Member Level]]+Age_Sex23[[#This Row],[Total Dollars Excluded from Spending After Applying Truncation at the Member Level]]=Age_Sex23[[#This Row],[Total Spending before Truncation is Applied]]</f>
        <v>1</v>
      </c>
    </row>
    <row r="348" spans="1:10" x14ac:dyDescent="0.25">
      <c r="A348" s="389"/>
      <c r="B348" s="4"/>
      <c r="C348" s="16"/>
      <c r="D348" s="519"/>
      <c r="E348" s="410"/>
      <c r="F348" s="313"/>
      <c r="G348" s="256"/>
      <c r="H348" s="313"/>
      <c r="I348" s="456"/>
      <c r="J348" s="271" t="b">
        <f>Age_Sex23[[#This Row],[Total Spending After Applying Truncation at the Member Level]]+Age_Sex23[[#This Row],[Total Dollars Excluded from Spending After Applying Truncation at the Member Level]]=Age_Sex23[[#This Row],[Total Spending before Truncation is Applied]]</f>
        <v>1</v>
      </c>
    </row>
    <row r="349" spans="1:10" x14ac:dyDescent="0.25">
      <c r="A349" s="386"/>
      <c r="B349" s="310"/>
      <c r="C349" s="311"/>
      <c r="D349" s="518"/>
      <c r="E349" s="409"/>
      <c r="F349" s="312"/>
      <c r="G349" s="522"/>
      <c r="H349" s="312"/>
      <c r="I349" s="455"/>
      <c r="J349" s="271" t="b">
        <f>Age_Sex23[[#This Row],[Total Spending After Applying Truncation at the Member Level]]+Age_Sex23[[#This Row],[Total Dollars Excluded from Spending After Applying Truncation at the Member Level]]=Age_Sex23[[#This Row],[Total Spending before Truncation is Applied]]</f>
        <v>1</v>
      </c>
    </row>
    <row r="350" spans="1:10" x14ac:dyDescent="0.25">
      <c r="A350" s="389"/>
      <c r="B350" s="4"/>
      <c r="C350" s="16"/>
      <c r="D350" s="519"/>
      <c r="E350" s="410"/>
      <c r="F350" s="313"/>
      <c r="G350" s="256"/>
      <c r="H350" s="313"/>
      <c r="I350" s="456"/>
      <c r="J350" s="271" t="b">
        <f>Age_Sex23[[#This Row],[Total Spending After Applying Truncation at the Member Level]]+Age_Sex23[[#This Row],[Total Dollars Excluded from Spending After Applying Truncation at the Member Level]]=Age_Sex23[[#This Row],[Total Spending before Truncation is Applied]]</f>
        <v>1</v>
      </c>
    </row>
    <row r="351" spans="1:10" x14ac:dyDescent="0.25">
      <c r="A351" s="386"/>
      <c r="B351" s="310"/>
      <c r="C351" s="311"/>
      <c r="D351" s="518"/>
      <c r="E351" s="409"/>
      <c r="F351" s="312"/>
      <c r="G351" s="522"/>
      <c r="H351" s="312"/>
      <c r="I351" s="455"/>
      <c r="J351" s="271" t="b">
        <f>Age_Sex23[[#This Row],[Total Spending After Applying Truncation at the Member Level]]+Age_Sex23[[#This Row],[Total Dollars Excluded from Spending After Applying Truncation at the Member Level]]=Age_Sex23[[#This Row],[Total Spending before Truncation is Applied]]</f>
        <v>1</v>
      </c>
    </row>
    <row r="352" spans="1:10" x14ac:dyDescent="0.25">
      <c r="A352" s="389"/>
      <c r="B352" s="4"/>
      <c r="C352" s="16"/>
      <c r="D352" s="519"/>
      <c r="E352" s="410"/>
      <c r="F352" s="313"/>
      <c r="G352" s="256"/>
      <c r="H352" s="313"/>
      <c r="I352" s="456"/>
      <c r="J352" s="271" t="b">
        <f>Age_Sex23[[#This Row],[Total Spending After Applying Truncation at the Member Level]]+Age_Sex23[[#This Row],[Total Dollars Excluded from Spending After Applying Truncation at the Member Level]]=Age_Sex23[[#This Row],[Total Spending before Truncation is Applied]]</f>
        <v>1</v>
      </c>
    </row>
    <row r="353" spans="1:10" x14ac:dyDescent="0.25">
      <c r="A353" s="386"/>
      <c r="B353" s="310"/>
      <c r="C353" s="311"/>
      <c r="D353" s="518"/>
      <c r="E353" s="409"/>
      <c r="F353" s="312"/>
      <c r="G353" s="522"/>
      <c r="H353" s="312"/>
      <c r="I353" s="455"/>
      <c r="J353" s="271" t="b">
        <f>Age_Sex23[[#This Row],[Total Spending After Applying Truncation at the Member Level]]+Age_Sex23[[#This Row],[Total Dollars Excluded from Spending After Applying Truncation at the Member Level]]=Age_Sex23[[#This Row],[Total Spending before Truncation is Applied]]</f>
        <v>1</v>
      </c>
    </row>
    <row r="354" spans="1:10" x14ac:dyDescent="0.25">
      <c r="A354" s="389"/>
      <c r="B354" s="4"/>
      <c r="C354" s="16"/>
      <c r="D354" s="519"/>
      <c r="E354" s="410"/>
      <c r="F354" s="313"/>
      <c r="G354" s="256"/>
      <c r="H354" s="313"/>
      <c r="I354" s="456"/>
      <c r="J354" s="271" t="b">
        <f>Age_Sex23[[#This Row],[Total Spending After Applying Truncation at the Member Level]]+Age_Sex23[[#This Row],[Total Dollars Excluded from Spending After Applying Truncation at the Member Level]]=Age_Sex23[[#This Row],[Total Spending before Truncation is Applied]]</f>
        <v>1</v>
      </c>
    </row>
    <row r="355" spans="1:10" x14ac:dyDescent="0.25">
      <c r="A355" s="386"/>
      <c r="B355" s="310"/>
      <c r="C355" s="311"/>
      <c r="D355" s="518"/>
      <c r="E355" s="409"/>
      <c r="F355" s="312"/>
      <c r="G355" s="522"/>
      <c r="H355" s="312"/>
      <c r="I355" s="455"/>
      <c r="J355" s="271" t="b">
        <f>Age_Sex23[[#This Row],[Total Spending After Applying Truncation at the Member Level]]+Age_Sex23[[#This Row],[Total Dollars Excluded from Spending After Applying Truncation at the Member Level]]=Age_Sex23[[#This Row],[Total Spending before Truncation is Applied]]</f>
        <v>1</v>
      </c>
    </row>
    <row r="356" spans="1:10" x14ac:dyDescent="0.25">
      <c r="A356" s="389"/>
      <c r="B356" s="4"/>
      <c r="C356" s="16"/>
      <c r="D356" s="519"/>
      <c r="E356" s="410"/>
      <c r="F356" s="313"/>
      <c r="G356" s="256"/>
      <c r="H356" s="313"/>
      <c r="I356" s="456"/>
      <c r="J356" s="271" t="b">
        <f>Age_Sex23[[#This Row],[Total Spending After Applying Truncation at the Member Level]]+Age_Sex23[[#This Row],[Total Dollars Excluded from Spending After Applying Truncation at the Member Level]]=Age_Sex23[[#This Row],[Total Spending before Truncation is Applied]]</f>
        <v>1</v>
      </c>
    </row>
    <row r="357" spans="1:10" x14ac:dyDescent="0.25">
      <c r="A357" s="386"/>
      <c r="B357" s="310"/>
      <c r="C357" s="311"/>
      <c r="D357" s="518"/>
      <c r="E357" s="409"/>
      <c r="F357" s="312"/>
      <c r="G357" s="522"/>
      <c r="H357" s="312"/>
      <c r="I357" s="455"/>
      <c r="J357" s="271" t="b">
        <f>Age_Sex23[[#This Row],[Total Spending After Applying Truncation at the Member Level]]+Age_Sex23[[#This Row],[Total Dollars Excluded from Spending After Applying Truncation at the Member Level]]=Age_Sex23[[#This Row],[Total Spending before Truncation is Applied]]</f>
        <v>1</v>
      </c>
    </row>
    <row r="358" spans="1:10" x14ac:dyDescent="0.25">
      <c r="A358" s="389"/>
      <c r="B358" s="4"/>
      <c r="C358" s="16"/>
      <c r="D358" s="519"/>
      <c r="E358" s="410"/>
      <c r="F358" s="313"/>
      <c r="G358" s="256"/>
      <c r="H358" s="313"/>
      <c r="I358" s="456"/>
      <c r="J358" s="271" t="b">
        <f>Age_Sex23[[#This Row],[Total Spending After Applying Truncation at the Member Level]]+Age_Sex23[[#This Row],[Total Dollars Excluded from Spending After Applying Truncation at the Member Level]]=Age_Sex23[[#This Row],[Total Spending before Truncation is Applied]]</f>
        <v>1</v>
      </c>
    </row>
    <row r="359" spans="1:10" x14ac:dyDescent="0.25">
      <c r="A359" s="386"/>
      <c r="B359" s="310"/>
      <c r="C359" s="311"/>
      <c r="D359" s="518"/>
      <c r="E359" s="409"/>
      <c r="F359" s="312"/>
      <c r="G359" s="522"/>
      <c r="H359" s="312"/>
      <c r="I359" s="455"/>
      <c r="J359" s="271" t="b">
        <f>Age_Sex23[[#This Row],[Total Spending After Applying Truncation at the Member Level]]+Age_Sex23[[#This Row],[Total Dollars Excluded from Spending After Applying Truncation at the Member Level]]=Age_Sex23[[#This Row],[Total Spending before Truncation is Applied]]</f>
        <v>1</v>
      </c>
    </row>
    <row r="360" spans="1:10" x14ac:dyDescent="0.25">
      <c r="A360" s="389"/>
      <c r="B360" s="4"/>
      <c r="C360" s="16"/>
      <c r="D360" s="519"/>
      <c r="E360" s="410"/>
      <c r="F360" s="313"/>
      <c r="G360" s="256"/>
      <c r="H360" s="313"/>
      <c r="I360" s="456"/>
      <c r="J360" s="271" t="b">
        <f>Age_Sex23[[#This Row],[Total Spending After Applying Truncation at the Member Level]]+Age_Sex23[[#This Row],[Total Dollars Excluded from Spending After Applying Truncation at the Member Level]]=Age_Sex23[[#This Row],[Total Spending before Truncation is Applied]]</f>
        <v>1</v>
      </c>
    </row>
    <row r="361" spans="1:10" x14ac:dyDescent="0.25">
      <c r="A361" s="386"/>
      <c r="B361" s="310"/>
      <c r="C361" s="311"/>
      <c r="D361" s="518"/>
      <c r="E361" s="409"/>
      <c r="F361" s="312"/>
      <c r="G361" s="522"/>
      <c r="H361" s="312"/>
      <c r="I361" s="455"/>
      <c r="J361" s="271" t="b">
        <f>Age_Sex23[[#This Row],[Total Spending After Applying Truncation at the Member Level]]+Age_Sex23[[#This Row],[Total Dollars Excluded from Spending After Applying Truncation at the Member Level]]=Age_Sex23[[#This Row],[Total Spending before Truncation is Applied]]</f>
        <v>1</v>
      </c>
    </row>
    <row r="362" spans="1:10" x14ac:dyDescent="0.25">
      <c r="A362" s="389"/>
      <c r="B362" s="4"/>
      <c r="C362" s="16"/>
      <c r="D362" s="519"/>
      <c r="E362" s="410"/>
      <c r="F362" s="313"/>
      <c r="G362" s="256"/>
      <c r="H362" s="313"/>
      <c r="I362" s="456"/>
      <c r="J362" s="271" t="b">
        <f>Age_Sex23[[#This Row],[Total Spending After Applying Truncation at the Member Level]]+Age_Sex23[[#This Row],[Total Dollars Excluded from Spending After Applying Truncation at the Member Level]]=Age_Sex23[[#This Row],[Total Spending before Truncation is Applied]]</f>
        <v>1</v>
      </c>
    </row>
    <row r="363" spans="1:10" x14ac:dyDescent="0.25">
      <c r="A363" s="386"/>
      <c r="B363" s="310"/>
      <c r="C363" s="311"/>
      <c r="D363" s="518"/>
      <c r="E363" s="409"/>
      <c r="F363" s="312"/>
      <c r="G363" s="522"/>
      <c r="H363" s="312"/>
      <c r="I363" s="455"/>
      <c r="J363" s="271" t="b">
        <f>Age_Sex23[[#This Row],[Total Spending After Applying Truncation at the Member Level]]+Age_Sex23[[#This Row],[Total Dollars Excluded from Spending After Applying Truncation at the Member Level]]=Age_Sex23[[#This Row],[Total Spending before Truncation is Applied]]</f>
        <v>1</v>
      </c>
    </row>
    <row r="364" spans="1:10" x14ac:dyDescent="0.25">
      <c r="A364" s="389"/>
      <c r="B364" s="4"/>
      <c r="C364" s="16"/>
      <c r="D364" s="519"/>
      <c r="E364" s="410"/>
      <c r="F364" s="313"/>
      <c r="G364" s="256"/>
      <c r="H364" s="313"/>
      <c r="I364" s="456"/>
      <c r="J364" s="271" t="b">
        <f>Age_Sex23[[#This Row],[Total Spending After Applying Truncation at the Member Level]]+Age_Sex23[[#This Row],[Total Dollars Excluded from Spending After Applying Truncation at the Member Level]]=Age_Sex23[[#This Row],[Total Spending before Truncation is Applied]]</f>
        <v>1</v>
      </c>
    </row>
    <row r="365" spans="1:10" x14ac:dyDescent="0.25">
      <c r="A365" s="386"/>
      <c r="B365" s="310"/>
      <c r="C365" s="311"/>
      <c r="D365" s="518"/>
      <c r="E365" s="409"/>
      <c r="F365" s="312"/>
      <c r="G365" s="522"/>
      <c r="H365" s="312"/>
      <c r="I365" s="455"/>
      <c r="J365" s="271" t="b">
        <f>Age_Sex23[[#This Row],[Total Spending After Applying Truncation at the Member Level]]+Age_Sex23[[#This Row],[Total Dollars Excluded from Spending After Applying Truncation at the Member Level]]=Age_Sex23[[#This Row],[Total Spending before Truncation is Applied]]</f>
        <v>1</v>
      </c>
    </row>
    <row r="366" spans="1:10" x14ac:dyDescent="0.25">
      <c r="A366" s="389"/>
      <c r="B366" s="4"/>
      <c r="C366" s="16"/>
      <c r="D366" s="519"/>
      <c r="E366" s="410"/>
      <c r="F366" s="313"/>
      <c r="G366" s="256"/>
      <c r="H366" s="313"/>
      <c r="I366" s="456"/>
      <c r="J366" s="271" t="b">
        <f>Age_Sex23[[#This Row],[Total Spending After Applying Truncation at the Member Level]]+Age_Sex23[[#This Row],[Total Dollars Excluded from Spending After Applying Truncation at the Member Level]]=Age_Sex23[[#This Row],[Total Spending before Truncation is Applied]]</f>
        <v>1</v>
      </c>
    </row>
    <row r="367" spans="1:10" x14ac:dyDescent="0.25">
      <c r="A367" s="386"/>
      <c r="B367" s="310"/>
      <c r="C367" s="311"/>
      <c r="D367" s="518"/>
      <c r="E367" s="409"/>
      <c r="F367" s="312"/>
      <c r="G367" s="522"/>
      <c r="H367" s="312"/>
      <c r="I367" s="455"/>
      <c r="J367" s="271" t="b">
        <f>Age_Sex23[[#This Row],[Total Spending After Applying Truncation at the Member Level]]+Age_Sex23[[#This Row],[Total Dollars Excluded from Spending After Applying Truncation at the Member Level]]=Age_Sex23[[#This Row],[Total Spending before Truncation is Applied]]</f>
        <v>1</v>
      </c>
    </row>
    <row r="368" spans="1:10" x14ac:dyDescent="0.25">
      <c r="A368" s="389"/>
      <c r="B368" s="4"/>
      <c r="C368" s="16"/>
      <c r="D368" s="519"/>
      <c r="E368" s="410"/>
      <c r="F368" s="313"/>
      <c r="G368" s="256"/>
      <c r="H368" s="313"/>
      <c r="I368" s="456"/>
      <c r="J368" s="271" t="b">
        <f>Age_Sex23[[#This Row],[Total Spending After Applying Truncation at the Member Level]]+Age_Sex23[[#This Row],[Total Dollars Excluded from Spending After Applying Truncation at the Member Level]]=Age_Sex23[[#This Row],[Total Spending before Truncation is Applied]]</f>
        <v>1</v>
      </c>
    </row>
    <row r="369" spans="1:10" x14ac:dyDescent="0.25">
      <c r="A369" s="386"/>
      <c r="B369" s="310"/>
      <c r="C369" s="311"/>
      <c r="D369" s="518"/>
      <c r="E369" s="409"/>
      <c r="F369" s="312"/>
      <c r="G369" s="522"/>
      <c r="H369" s="312"/>
      <c r="I369" s="455"/>
      <c r="J369" s="271" t="b">
        <f>Age_Sex23[[#This Row],[Total Spending After Applying Truncation at the Member Level]]+Age_Sex23[[#This Row],[Total Dollars Excluded from Spending After Applying Truncation at the Member Level]]=Age_Sex23[[#This Row],[Total Spending before Truncation is Applied]]</f>
        <v>1</v>
      </c>
    </row>
    <row r="370" spans="1:10" x14ac:dyDescent="0.25">
      <c r="A370" s="389"/>
      <c r="B370" s="4"/>
      <c r="C370" s="16"/>
      <c r="D370" s="519"/>
      <c r="E370" s="410"/>
      <c r="F370" s="313"/>
      <c r="G370" s="256"/>
      <c r="H370" s="313"/>
      <c r="I370" s="456"/>
      <c r="J370" s="271" t="b">
        <f>Age_Sex23[[#This Row],[Total Spending After Applying Truncation at the Member Level]]+Age_Sex23[[#This Row],[Total Dollars Excluded from Spending After Applying Truncation at the Member Level]]=Age_Sex23[[#This Row],[Total Spending before Truncation is Applied]]</f>
        <v>1</v>
      </c>
    </row>
    <row r="371" spans="1:10" x14ac:dyDescent="0.25">
      <c r="A371" s="386"/>
      <c r="B371" s="310"/>
      <c r="C371" s="311"/>
      <c r="D371" s="518"/>
      <c r="E371" s="409"/>
      <c r="F371" s="312"/>
      <c r="G371" s="522"/>
      <c r="H371" s="312"/>
      <c r="I371" s="455"/>
      <c r="J371" s="271" t="b">
        <f>Age_Sex23[[#This Row],[Total Spending After Applying Truncation at the Member Level]]+Age_Sex23[[#This Row],[Total Dollars Excluded from Spending After Applying Truncation at the Member Level]]=Age_Sex23[[#This Row],[Total Spending before Truncation is Applied]]</f>
        <v>1</v>
      </c>
    </row>
    <row r="372" spans="1:10" x14ac:dyDescent="0.25">
      <c r="A372" s="389"/>
      <c r="B372" s="4"/>
      <c r="C372" s="16"/>
      <c r="D372" s="519"/>
      <c r="E372" s="410"/>
      <c r="F372" s="313"/>
      <c r="G372" s="256"/>
      <c r="H372" s="313"/>
      <c r="I372" s="456"/>
      <c r="J372" s="271" t="b">
        <f>Age_Sex23[[#This Row],[Total Spending After Applying Truncation at the Member Level]]+Age_Sex23[[#This Row],[Total Dollars Excluded from Spending After Applying Truncation at the Member Level]]=Age_Sex23[[#This Row],[Total Spending before Truncation is Applied]]</f>
        <v>1</v>
      </c>
    </row>
    <row r="373" spans="1:10" x14ac:dyDescent="0.25">
      <c r="A373" s="386"/>
      <c r="B373" s="310"/>
      <c r="C373" s="311"/>
      <c r="D373" s="518"/>
      <c r="E373" s="409"/>
      <c r="F373" s="312"/>
      <c r="G373" s="522"/>
      <c r="H373" s="312"/>
      <c r="I373" s="455"/>
      <c r="J373" s="271" t="b">
        <f>Age_Sex23[[#This Row],[Total Spending After Applying Truncation at the Member Level]]+Age_Sex23[[#This Row],[Total Dollars Excluded from Spending After Applying Truncation at the Member Level]]=Age_Sex23[[#This Row],[Total Spending before Truncation is Applied]]</f>
        <v>1</v>
      </c>
    </row>
    <row r="374" spans="1:10" x14ac:dyDescent="0.25">
      <c r="A374" s="389"/>
      <c r="B374" s="4"/>
      <c r="C374" s="16"/>
      <c r="D374" s="519"/>
      <c r="E374" s="410"/>
      <c r="F374" s="313"/>
      <c r="G374" s="256"/>
      <c r="H374" s="313"/>
      <c r="I374" s="456"/>
      <c r="J374" s="271" t="b">
        <f>Age_Sex23[[#This Row],[Total Spending After Applying Truncation at the Member Level]]+Age_Sex23[[#This Row],[Total Dollars Excluded from Spending After Applying Truncation at the Member Level]]=Age_Sex23[[#This Row],[Total Spending before Truncation is Applied]]</f>
        <v>1</v>
      </c>
    </row>
    <row r="375" spans="1:10" x14ac:dyDescent="0.25">
      <c r="A375" s="386"/>
      <c r="B375" s="310"/>
      <c r="C375" s="311"/>
      <c r="D375" s="518"/>
      <c r="E375" s="409"/>
      <c r="F375" s="312"/>
      <c r="G375" s="522"/>
      <c r="H375" s="312"/>
      <c r="I375" s="455"/>
      <c r="J375" s="271" t="b">
        <f>Age_Sex23[[#This Row],[Total Spending After Applying Truncation at the Member Level]]+Age_Sex23[[#This Row],[Total Dollars Excluded from Spending After Applying Truncation at the Member Level]]=Age_Sex23[[#This Row],[Total Spending before Truncation is Applied]]</f>
        <v>1</v>
      </c>
    </row>
    <row r="376" spans="1:10" x14ac:dyDescent="0.25">
      <c r="A376" s="389"/>
      <c r="B376" s="4"/>
      <c r="C376" s="16"/>
      <c r="D376" s="519"/>
      <c r="E376" s="410"/>
      <c r="F376" s="313"/>
      <c r="G376" s="256"/>
      <c r="H376" s="313"/>
      <c r="I376" s="456"/>
      <c r="J376" s="271" t="b">
        <f>Age_Sex23[[#This Row],[Total Spending After Applying Truncation at the Member Level]]+Age_Sex23[[#This Row],[Total Dollars Excluded from Spending After Applying Truncation at the Member Level]]=Age_Sex23[[#This Row],[Total Spending before Truncation is Applied]]</f>
        <v>1</v>
      </c>
    </row>
    <row r="377" spans="1:10" x14ac:dyDescent="0.25">
      <c r="A377" s="386"/>
      <c r="B377" s="310"/>
      <c r="C377" s="311"/>
      <c r="D377" s="518"/>
      <c r="E377" s="409"/>
      <c r="F377" s="312"/>
      <c r="G377" s="522"/>
      <c r="H377" s="312"/>
      <c r="I377" s="455"/>
      <c r="J377" s="271" t="b">
        <f>Age_Sex23[[#This Row],[Total Spending After Applying Truncation at the Member Level]]+Age_Sex23[[#This Row],[Total Dollars Excluded from Spending After Applying Truncation at the Member Level]]=Age_Sex23[[#This Row],[Total Spending before Truncation is Applied]]</f>
        <v>1</v>
      </c>
    </row>
    <row r="378" spans="1:10" x14ac:dyDescent="0.25">
      <c r="A378" s="389"/>
      <c r="B378" s="4"/>
      <c r="C378" s="16"/>
      <c r="D378" s="519"/>
      <c r="E378" s="410"/>
      <c r="F378" s="313"/>
      <c r="G378" s="256"/>
      <c r="H378" s="313"/>
      <c r="I378" s="456"/>
      <c r="J378" s="271" t="b">
        <f>Age_Sex23[[#This Row],[Total Spending After Applying Truncation at the Member Level]]+Age_Sex23[[#This Row],[Total Dollars Excluded from Spending After Applying Truncation at the Member Level]]=Age_Sex23[[#This Row],[Total Spending before Truncation is Applied]]</f>
        <v>1</v>
      </c>
    </row>
    <row r="379" spans="1:10" x14ac:dyDescent="0.25">
      <c r="A379" s="386"/>
      <c r="B379" s="310"/>
      <c r="C379" s="311"/>
      <c r="D379" s="518"/>
      <c r="E379" s="409"/>
      <c r="F379" s="312"/>
      <c r="G379" s="522"/>
      <c r="H379" s="312"/>
      <c r="I379" s="455"/>
      <c r="J379" s="271" t="b">
        <f>Age_Sex23[[#This Row],[Total Spending After Applying Truncation at the Member Level]]+Age_Sex23[[#This Row],[Total Dollars Excluded from Spending After Applying Truncation at the Member Level]]=Age_Sex23[[#This Row],[Total Spending before Truncation is Applied]]</f>
        <v>1</v>
      </c>
    </row>
    <row r="380" spans="1:10" x14ac:dyDescent="0.25">
      <c r="A380" s="389"/>
      <c r="B380" s="4"/>
      <c r="C380" s="16"/>
      <c r="D380" s="519"/>
      <c r="E380" s="410"/>
      <c r="F380" s="313"/>
      <c r="G380" s="256"/>
      <c r="H380" s="313"/>
      <c r="I380" s="456"/>
      <c r="J380" s="271" t="b">
        <f>Age_Sex23[[#This Row],[Total Spending After Applying Truncation at the Member Level]]+Age_Sex23[[#This Row],[Total Dollars Excluded from Spending After Applying Truncation at the Member Level]]=Age_Sex23[[#This Row],[Total Spending before Truncation is Applied]]</f>
        <v>1</v>
      </c>
    </row>
    <row r="381" spans="1:10" x14ac:dyDescent="0.25">
      <c r="A381" s="386"/>
      <c r="B381" s="310"/>
      <c r="C381" s="311"/>
      <c r="D381" s="518"/>
      <c r="E381" s="409"/>
      <c r="F381" s="312"/>
      <c r="G381" s="522"/>
      <c r="H381" s="312"/>
      <c r="I381" s="455"/>
      <c r="J381" s="271" t="b">
        <f>Age_Sex23[[#This Row],[Total Spending After Applying Truncation at the Member Level]]+Age_Sex23[[#This Row],[Total Dollars Excluded from Spending After Applying Truncation at the Member Level]]=Age_Sex23[[#This Row],[Total Spending before Truncation is Applied]]</f>
        <v>1</v>
      </c>
    </row>
    <row r="382" spans="1:10" x14ac:dyDescent="0.25">
      <c r="A382" s="389"/>
      <c r="B382" s="4"/>
      <c r="C382" s="16"/>
      <c r="D382" s="519"/>
      <c r="E382" s="410"/>
      <c r="F382" s="313"/>
      <c r="G382" s="256"/>
      <c r="H382" s="313"/>
      <c r="I382" s="456"/>
      <c r="J382" s="271" t="b">
        <f>Age_Sex23[[#This Row],[Total Spending After Applying Truncation at the Member Level]]+Age_Sex23[[#This Row],[Total Dollars Excluded from Spending After Applying Truncation at the Member Level]]=Age_Sex23[[#This Row],[Total Spending before Truncation is Applied]]</f>
        <v>1</v>
      </c>
    </row>
    <row r="383" spans="1:10" x14ac:dyDescent="0.25">
      <c r="A383" s="386"/>
      <c r="B383" s="310"/>
      <c r="C383" s="311"/>
      <c r="D383" s="518"/>
      <c r="E383" s="409"/>
      <c r="F383" s="312"/>
      <c r="G383" s="522"/>
      <c r="H383" s="312"/>
      <c r="I383" s="455"/>
      <c r="J383" s="271" t="b">
        <f>Age_Sex23[[#This Row],[Total Spending After Applying Truncation at the Member Level]]+Age_Sex23[[#This Row],[Total Dollars Excluded from Spending After Applying Truncation at the Member Level]]=Age_Sex23[[#This Row],[Total Spending before Truncation is Applied]]</f>
        <v>1</v>
      </c>
    </row>
    <row r="384" spans="1:10" x14ac:dyDescent="0.25">
      <c r="A384" s="389"/>
      <c r="B384" s="4"/>
      <c r="C384" s="16"/>
      <c r="D384" s="519"/>
      <c r="E384" s="410"/>
      <c r="F384" s="313"/>
      <c r="G384" s="256"/>
      <c r="H384" s="313"/>
      <c r="I384" s="456"/>
      <c r="J384" s="271" t="b">
        <f>Age_Sex23[[#This Row],[Total Spending After Applying Truncation at the Member Level]]+Age_Sex23[[#This Row],[Total Dollars Excluded from Spending After Applying Truncation at the Member Level]]=Age_Sex23[[#This Row],[Total Spending before Truncation is Applied]]</f>
        <v>1</v>
      </c>
    </row>
    <row r="385" spans="1:10" x14ac:dyDescent="0.25">
      <c r="A385" s="386"/>
      <c r="B385" s="310"/>
      <c r="C385" s="311"/>
      <c r="D385" s="518"/>
      <c r="E385" s="409"/>
      <c r="F385" s="312"/>
      <c r="G385" s="522"/>
      <c r="H385" s="312"/>
      <c r="I385" s="455"/>
      <c r="J385" s="271" t="b">
        <f>Age_Sex23[[#This Row],[Total Spending After Applying Truncation at the Member Level]]+Age_Sex23[[#This Row],[Total Dollars Excluded from Spending After Applying Truncation at the Member Level]]=Age_Sex23[[#This Row],[Total Spending before Truncation is Applied]]</f>
        <v>1</v>
      </c>
    </row>
    <row r="386" spans="1:10" x14ac:dyDescent="0.25">
      <c r="A386" s="389"/>
      <c r="B386" s="4"/>
      <c r="C386" s="16"/>
      <c r="D386" s="519"/>
      <c r="E386" s="410"/>
      <c r="F386" s="313"/>
      <c r="G386" s="256"/>
      <c r="H386" s="313"/>
      <c r="I386" s="456"/>
      <c r="J386" s="271" t="b">
        <f>Age_Sex23[[#This Row],[Total Spending After Applying Truncation at the Member Level]]+Age_Sex23[[#This Row],[Total Dollars Excluded from Spending After Applying Truncation at the Member Level]]=Age_Sex23[[#This Row],[Total Spending before Truncation is Applied]]</f>
        <v>1</v>
      </c>
    </row>
    <row r="387" spans="1:10" x14ac:dyDescent="0.25">
      <c r="A387" s="386"/>
      <c r="B387" s="310"/>
      <c r="C387" s="311"/>
      <c r="D387" s="518"/>
      <c r="E387" s="409"/>
      <c r="F387" s="312"/>
      <c r="G387" s="522"/>
      <c r="H387" s="312"/>
      <c r="I387" s="455"/>
      <c r="J387" s="271" t="b">
        <f>Age_Sex23[[#This Row],[Total Spending After Applying Truncation at the Member Level]]+Age_Sex23[[#This Row],[Total Dollars Excluded from Spending After Applying Truncation at the Member Level]]=Age_Sex23[[#This Row],[Total Spending before Truncation is Applied]]</f>
        <v>1</v>
      </c>
    </row>
    <row r="388" spans="1:10" x14ac:dyDescent="0.25">
      <c r="A388" s="389"/>
      <c r="B388" s="4"/>
      <c r="C388" s="16"/>
      <c r="D388" s="519"/>
      <c r="E388" s="410"/>
      <c r="F388" s="313"/>
      <c r="G388" s="256"/>
      <c r="H388" s="313"/>
      <c r="I388" s="456"/>
      <c r="J388" s="271" t="b">
        <f>Age_Sex23[[#This Row],[Total Spending After Applying Truncation at the Member Level]]+Age_Sex23[[#This Row],[Total Dollars Excluded from Spending After Applying Truncation at the Member Level]]=Age_Sex23[[#This Row],[Total Spending before Truncation is Applied]]</f>
        <v>1</v>
      </c>
    </row>
    <row r="389" spans="1:10" x14ac:dyDescent="0.25">
      <c r="A389" s="386"/>
      <c r="B389" s="310"/>
      <c r="C389" s="311"/>
      <c r="D389" s="518"/>
      <c r="E389" s="409"/>
      <c r="F389" s="312"/>
      <c r="G389" s="522"/>
      <c r="H389" s="312"/>
      <c r="I389" s="455"/>
      <c r="J389" s="271" t="b">
        <f>Age_Sex23[[#This Row],[Total Spending After Applying Truncation at the Member Level]]+Age_Sex23[[#This Row],[Total Dollars Excluded from Spending After Applying Truncation at the Member Level]]=Age_Sex23[[#This Row],[Total Spending before Truncation is Applied]]</f>
        <v>1</v>
      </c>
    </row>
    <row r="390" spans="1:10" x14ac:dyDescent="0.25">
      <c r="A390" s="389"/>
      <c r="B390" s="4"/>
      <c r="C390" s="16"/>
      <c r="D390" s="519"/>
      <c r="E390" s="410"/>
      <c r="F390" s="313"/>
      <c r="G390" s="256"/>
      <c r="H390" s="313"/>
      <c r="I390" s="456"/>
      <c r="J390" s="271" t="b">
        <f>Age_Sex23[[#This Row],[Total Spending After Applying Truncation at the Member Level]]+Age_Sex23[[#This Row],[Total Dollars Excluded from Spending After Applying Truncation at the Member Level]]=Age_Sex23[[#This Row],[Total Spending before Truncation is Applied]]</f>
        <v>1</v>
      </c>
    </row>
    <row r="391" spans="1:10" x14ac:dyDescent="0.25">
      <c r="A391" s="386"/>
      <c r="B391" s="310"/>
      <c r="C391" s="311"/>
      <c r="D391" s="518"/>
      <c r="E391" s="409"/>
      <c r="F391" s="312"/>
      <c r="G391" s="522"/>
      <c r="H391" s="312"/>
      <c r="I391" s="455"/>
      <c r="J391" s="271" t="b">
        <f>Age_Sex23[[#This Row],[Total Spending After Applying Truncation at the Member Level]]+Age_Sex23[[#This Row],[Total Dollars Excluded from Spending After Applying Truncation at the Member Level]]=Age_Sex23[[#This Row],[Total Spending before Truncation is Applied]]</f>
        <v>1</v>
      </c>
    </row>
    <row r="392" spans="1:10" x14ac:dyDescent="0.25">
      <c r="A392" s="389"/>
      <c r="B392" s="4"/>
      <c r="C392" s="16"/>
      <c r="D392" s="519"/>
      <c r="E392" s="410"/>
      <c r="F392" s="313"/>
      <c r="G392" s="256"/>
      <c r="H392" s="313"/>
      <c r="I392" s="456"/>
      <c r="J392" s="271" t="b">
        <f>Age_Sex23[[#This Row],[Total Spending After Applying Truncation at the Member Level]]+Age_Sex23[[#This Row],[Total Dollars Excluded from Spending After Applying Truncation at the Member Level]]=Age_Sex23[[#This Row],[Total Spending before Truncation is Applied]]</f>
        <v>1</v>
      </c>
    </row>
    <row r="393" spans="1:10" x14ac:dyDescent="0.25">
      <c r="A393" s="386"/>
      <c r="B393" s="310"/>
      <c r="C393" s="311"/>
      <c r="D393" s="518"/>
      <c r="E393" s="409"/>
      <c r="F393" s="312"/>
      <c r="G393" s="522"/>
      <c r="H393" s="312"/>
      <c r="I393" s="455"/>
      <c r="J393" s="271" t="b">
        <f>Age_Sex23[[#This Row],[Total Spending After Applying Truncation at the Member Level]]+Age_Sex23[[#This Row],[Total Dollars Excluded from Spending After Applying Truncation at the Member Level]]=Age_Sex23[[#This Row],[Total Spending before Truncation is Applied]]</f>
        <v>1</v>
      </c>
    </row>
    <row r="394" spans="1:10" x14ac:dyDescent="0.25">
      <c r="A394" s="389"/>
      <c r="B394" s="4"/>
      <c r="C394" s="16"/>
      <c r="D394" s="519"/>
      <c r="E394" s="410"/>
      <c r="F394" s="313"/>
      <c r="G394" s="256"/>
      <c r="H394" s="313"/>
      <c r="I394" s="456"/>
      <c r="J394" s="271" t="b">
        <f>Age_Sex23[[#This Row],[Total Spending After Applying Truncation at the Member Level]]+Age_Sex23[[#This Row],[Total Dollars Excluded from Spending After Applying Truncation at the Member Level]]=Age_Sex23[[#This Row],[Total Spending before Truncation is Applied]]</f>
        <v>1</v>
      </c>
    </row>
    <row r="395" spans="1:10" x14ac:dyDescent="0.25">
      <c r="A395" s="386"/>
      <c r="B395" s="310"/>
      <c r="C395" s="311"/>
      <c r="D395" s="518"/>
      <c r="E395" s="409"/>
      <c r="F395" s="312"/>
      <c r="G395" s="522"/>
      <c r="H395" s="312"/>
      <c r="I395" s="455"/>
      <c r="J395" s="271" t="b">
        <f>Age_Sex23[[#This Row],[Total Spending After Applying Truncation at the Member Level]]+Age_Sex23[[#This Row],[Total Dollars Excluded from Spending After Applying Truncation at the Member Level]]=Age_Sex23[[#This Row],[Total Spending before Truncation is Applied]]</f>
        <v>1</v>
      </c>
    </row>
    <row r="396" spans="1:10" x14ac:dyDescent="0.25">
      <c r="A396" s="389"/>
      <c r="B396" s="4"/>
      <c r="C396" s="16"/>
      <c r="D396" s="519"/>
      <c r="E396" s="410"/>
      <c r="F396" s="313"/>
      <c r="G396" s="256"/>
      <c r="H396" s="313"/>
      <c r="I396" s="456"/>
      <c r="J396" s="271" t="b">
        <f>Age_Sex23[[#This Row],[Total Spending After Applying Truncation at the Member Level]]+Age_Sex23[[#This Row],[Total Dollars Excluded from Spending After Applying Truncation at the Member Level]]=Age_Sex23[[#This Row],[Total Spending before Truncation is Applied]]</f>
        <v>1</v>
      </c>
    </row>
    <row r="397" spans="1:10" x14ac:dyDescent="0.25">
      <c r="A397" s="386"/>
      <c r="B397" s="310"/>
      <c r="C397" s="311"/>
      <c r="D397" s="518"/>
      <c r="E397" s="409"/>
      <c r="F397" s="312"/>
      <c r="G397" s="522"/>
      <c r="H397" s="312"/>
      <c r="I397" s="455"/>
      <c r="J397" s="271" t="b">
        <f>Age_Sex23[[#This Row],[Total Spending After Applying Truncation at the Member Level]]+Age_Sex23[[#This Row],[Total Dollars Excluded from Spending After Applying Truncation at the Member Level]]=Age_Sex23[[#This Row],[Total Spending before Truncation is Applied]]</f>
        <v>1</v>
      </c>
    </row>
    <row r="398" spans="1:10" x14ac:dyDescent="0.25">
      <c r="A398" s="389"/>
      <c r="B398" s="4"/>
      <c r="C398" s="16"/>
      <c r="D398" s="519"/>
      <c r="E398" s="410"/>
      <c r="F398" s="313"/>
      <c r="G398" s="256"/>
      <c r="H398" s="313"/>
      <c r="I398" s="456"/>
      <c r="J398" s="271" t="b">
        <f>Age_Sex23[[#This Row],[Total Spending After Applying Truncation at the Member Level]]+Age_Sex23[[#This Row],[Total Dollars Excluded from Spending After Applying Truncation at the Member Level]]=Age_Sex23[[#This Row],[Total Spending before Truncation is Applied]]</f>
        <v>1</v>
      </c>
    </row>
    <row r="399" spans="1:10" x14ac:dyDescent="0.25">
      <c r="A399" s="386"/>
      <c r="B399" s="310"/>
      <c r="C399" s="311"/>
      <c r="D399" s="518"/>
      <c r="E399" s="409"/>
      <c r="F399" s="312"/>
      <c r="G399" s="522"/>
      <c r="H399" s="312"/>
      <c r="I399" s="455"/>
      <c r="J399" s="271" t="b">
        <f>Age_Sex23[[#This Row],[Total Spending After Applying Truncation at the Member Level]]+Age_Sex23[[#This Row],[Total Dollars Excluded from Spending After Applying Truncation at the Member Level]]=Age_Sex23[[#This Row],[Total Spending before Truncation is Applied]]</f>
        <v>1</v>
      </c>
    </row>
    <row r="400" spans="1:10" x14ac:dyDescent="0.25">
      <c r="A400" s="389"/>
      <c r="B400" s="4"/>
      <c r="C400" s="16"/>
      <c r="D400" s="519"/>
      <c r="E400" s="410"/>
      <c r="F400" s="313"/>
      <c r="G400" s="256"/>
      <c r="H400" s="313"/>
      <c r="I400" s="456"/>
      <c r="J400" s="271" t="b">
        <f>Age_Sex23[[#This Row],[Total Spending After Applying Truncation at the Member Level]]+Age_Sex23[[#This Row],[Total Dollars Excluded from Spending After Applying Truncation at the Member Level]]=Age_Sex23[[#This Row],[Total Spending before Truncation is Applied]]</f>
        <v>1</v>
      </c>
    </row>
    <row r="401" spans="1:10" x14ac:dyDescent="0.25">
      <c r="A401" s="386"/>
      <c r="B401" s="310"/>
      <c r="C401" s="311"/>
      <c r="D401" s="518"/>
      <c r="E401" s="409"/>
      <c r="F401" s="312"/>
      <c r="G401" s="522"/>
      <c r="H401" s="312"/>
      <c r="I401" s="455"/>
      <c r="J401" s="271" t="b">
        <f>Age_Sex23[[#This Row],[Total Spending After Applying Truncation at the Member Level]]+Age_Sex23[[#This Row],[Total Dollars Excluded from Spending After Applying Truncation at the Member Level]]=Age_Sex23[[#This Row],[Total Spending before Truncation is Applied]]</f>
        <v>1</v>
      </c>
    </row>
    <row r="402" spans="1:10" x14ac:dyDescent="0.25">
      <c r="A402" s="389"/>
      <c r="B402" s="4"/>
      <c r="C402" s="16"/>
      <c r="D402" s="519"/>
      <c r="E402" s="410"/>
      <c r="F402" s="313"/>
      <c r="G402" s="256"/>
      <c r="H402" s="313"/>
      <c r="I402" s="456"/>
      <c r="J402" s="271" t="b">
        <f>Age_Sex23[[#This Row],[Total Spending After Applying Truncation at the Member Level]]+Age_Sex23[[#This Row],[Total Dollars Excluded from Spending After Applying Truncation at the Member Level]]=Age_Sex23[[#This Row],[Total Spending before Truncation is Applied]]</f>
        <v>1</v>
      </c>
    </row>
    <row r="403" spans="1:10" x14ac:dyDescent="0.25">
      <c r="A403" s="386"/>
      <c r="B403" s="310"/>
      <c r="C403" s="311"/>
      <c r="D403" s="518"/>
      <c r="E403" s="409"/>
      <c r="F403" s="312"/>
      <c r="G403" s="522"/>
      <c r="H403" s="312"/>
      <c r="I403" s="455"/>
      <c r="J403" s="271" t="b">
        <f>Age_Sex23[[#This Row],[Total Spending After Applying Truncation at the Member Level]]+Age_Sex23[[#This Row],[Total Dollars Excluded from Spending After Applying Truncation at the Member Level]]=Age_Sex23[[#This Row],[Total Spending before Truncation is Applied]]</f>
        <v>1</v>
      </c>
    </row>
    <row r="404" spans="1:10" x14ac:dyDescent="0.25">
      <c r="A404" s="389"/>
      <c r="B404" s="4"/>
      <c r="C404" s="16"/>
      <c r="D404" s="519"/>
      <c r="E404" s="410"/>
      <c r="F404" s="313"/>
      <c r="G404" s="256"/>
      <c r="H404" s="313"/>
      <c r="I404" s="456"/>
      <c r="J404" s="271" t="b">
        <f>Age_Sex23[[#This Row],[Total Spending After Applying Truncation at the Member Level]]+Age_Sex23[[#This Row],[Total Dollars Excluded from Spending After Applying Truncation at the Member Level]]=Age_Sex23[[#This Row],[Total Spending before Truncation is Applied]]</f>
        <v>1</v>
      </c>
    </row>
    <row r="405" spans="1:10" x14ac:dyDescent="0.25">
      <c r="A405" s="386"/>
      <c r="B405" s="310"/>
      <c r="C405" s="311"/>
      <c r="D405" s="518"/>
      <c r="E405" s="409"/>
      <c r="F405" s="312"/>
      <c r="G405" s="522"/>
      <c r="H405" s="312"/>
      <c r="I405" s="455"/>
      <c r="J405" s="271" t="b">
        <f>Age_Sex23[[#This Row],[Total Spending After Applying Truncation at the Member Level]]+Age_Sex23[[#This Row],[Total Dollars Excluded from Spending After Applying Truncation at the Member Level]]=Age_Sex23[[#This Row],[Total Spending before Truncation is Applied]]</f>
        <v>1</v>
      </c>
    </row>
    <row r="406" spans="1:10" x14ac:dyDescent="0.25">
      <c r="A406" s="389"/>
      <c r="B406" s="4"/>
      <c r="C406" s="16"/>
      <c r="D406" s="519"/>
      <c r="E406" s="410"/>
      <c r="F406" s="313"/>
      <c r="G406" s="256"/>
      <c r="H406" s="313"/>
      <c r="I406" s="456"/>
      <c r="J406" s="271" t="b">
        <f>Age_Sex23[[#This Row],[Total Spending After Applying Truncation at the Member Level]]+Age_Sex23[[#This Row],[Total Dollars Excluded from Spending After Applying Truncation at the Member Level]]=Age_Sex23[[#This Row],[Total Spending before Truncation is Applied]]</f>
        <v>1</v>
      </c>
    </row>
    <row r="407" spans="1:10" x14ac:dyDescent="0.25">
      <c r="A407" s="386"/>
      <c r="B407" s="310"/>
      <c r="C407" s="311"/>
      <c r="D407" s="518"/>
      <c r="E407" s="409"/>
      <c r="F407" s="312"/>
      <c r="G407" s="522"/>
      <c r="H407" s="312"/>
      <c r="I407" s="455"/>
      <c r="J407" s="271" t="b">
        <f>Age_Sex23[[#This Row],[Total Spending After Applying Truncation at the Member Level]]+Age_Sex23[[#This Row],[Total Dollars Excluded from Spending After Applying Truncation at the Member Level]]=Age_Sex23[[#This Row],[Total Spending before Truncation is Applied]]</f>
        <v>1</v>
      </c>
    </row>
    <row r="408" spans="1:10" x14ac:dyDescent="0.25">
      <c r="A408" s="389"/>
      <c r="B408" s="4"/>
      <c r="C408" s="16"/>
      <c r="D408" s="519"/>
      <c r="E408" s="410"/>
      <c r="F408" s="313"/>
      <c r="G408" s="256"/>
      <c r="H408" s="313"/>
      <c r="I408" s="456"/>
      <c r="J408" s="271" t="b">
        <f>Age_Sex23[[#This Row],[Total Spending After Applying Truncation at the Member Level]]+Age_Sex23[[#This Row],[Total Dollars Excluded from Spending After Applying Truncation at the Member Level]]=Age_Sex23[[#This Row],[Total Spending before Truncation is Applied]]</f>
        <v>1</v>
      </c>
    </row>
    <row r="409" spans="1:10" x14ac:dyDescent="0.25">
      <c r="A409" s="386"/>
      <c r="B409" s="310"/>
      <c r="C409" s="311"/>
      <c r="D409" s="518"/>
      <c r="E409" s="409"/>
      <c r="F409" s="312"/>
      <c r="G409" s="522"/>
      <c r="H409" s="312"/>
      <c r="I409" s="455"/>
      <c r="J409" s="271" t="b">
        <f>Age_Sex23[[#This Row],[Total Spending After Applying Truncation at the Member Level]]+Age_Sex23[[#This Row],[Total Dollars Excluded from Spending After Applying Truncation at the Member Level]]=Age_Sex23[[#This Row],[Total Spending before Truncation is Applied]]</f>
        <v>1</v>
      </c>
    </row>
    <row r="410" spans="1:10" x14ac:dyDescent="0.25">
      <c r="A410" s="389"/>
      <c r="B410" s="4"/>
      <c r="C410" s="16"/>
      <c r="D410" s="519"/>
      <c r="E410" s="410"/>
      <c r="F410" s="313"/>
      <c r="G410" s="256"/>
      <c r="H410" s="313"/>
      <c r="I410" s="456"/>
      <c r="J410" s="271" t="b">
        <f>Age_Sex23[[#This Row],[Total Spending After Applying Truncation at the Member Level]]+Age_Sex23[[#This Row],[Total Dollars Excluded from Spending After Applying Truncation at the Member Level]]=Age_Sex23[[#This Row],[Total Spending before Truncation is Applied]]</f>
        <v>1</v>
      </c>
    </row>
    <row r="411" spans="1:10" x14ac:dyDescent="0.25">
      <c r="A411" s="386"/>
      <c r="B411" s="310"/>
      <c r="C411" s="311"/>
      <c r="D411" s="518"/>
      <c r="E411" s="409"/>
      <c r="F411" s="312"/>
      <c r="G411" s="522"/>
      <c r="H411" s="312"/>
      <c r="I411" s="455"/>
      <c r="J411" s="271" t="b">
        <f>Age_Sex23[[#This Row],[Total Spending After Applying Truncation at the Member Level]]+Age_Sex23[[#This Row],[Total Dollars Excluded from Spending After Applying Truncation at the Member Level]]=Age_Sex23[[#This Row],[Total Spending before Truncation is Applied]]</f>
        <v>1</v>
      </c>
    </row>
    <row r="412" spans="1:10" x14ac:dyDescent="0.25">
      <c r="A412" s="389"/>
      <c r="B412" s="4"/>
      <c r="C412" s="16"/>
      <c r="D412" s="519"/>
      <c r="E412" s="410"/>
      <c r="F412" s="313"/>
      <c r="G412" s="256"/>
      <c r="H412" s="313"/>
      <c r="I412" s="456"/>
      <c r="J412" s="271" t="b">
        <f>Age_Sex23[[#This Row],[Total Spending After Applying Truncation at the Member Level]]+Age_Sex23[[#This Row],[Total Dollars Excluded from Spending After Applying Truncation at the Member Level]]=Age_Sex23[[#This Row],[Total Spending before Truncation is Applied]]</f>
        <v>1</v>
      </c>
    </row>
    <row r="413" spans="1:10" x14ac:dyDescent="0.25">
      <c r="A413" s="386"/>
      <c r="B413" s="310"/>
      <c r="C413" s="311"/>
      <c r="D413" s="518"/>
      <c r="E413" s="409"/>
      <c r="F413" s="312"/>
      <c r="G413" s="522"/>
      <c r="H413" s="312"/>
      <c r="I413" s="455"/>
      <c r="J413" s="271" t="b">
        <f>Age_Sex23[[#This Row],[Total Spending After Applying Truncation at the Member Level]]+Age_Sex23[[#This Row],[Total Dollars Excluded from Spending After Applying Truncation at the Member Level]]=Age_Sex23[[#This Row],[Total Spending before Truncation is Applied]]</f>
        <v>1</v>
      </c>
    </row>
    <row r="414" spans="1:10" x14ac:dyDescent="0.25">
      <c r="A414" s="389"/>
      <c r="B414" s="4"/>
      <c r="C414" s="16"/>
      <c r="D414" s="519"/>
      <c r="E414" s="410"/>
      <c r="F414" s="313"/>
      <c r="G414" s="256"/>
      <c r="H414" s="313"/>
      <c r="I414" s="456"/>
      <c r="J414" s="271" t="b">
        <f>Age_Sex23[[#This Row],[Total Spending After Applying Truncation at the Member Level]]+Age_Sex23[[#This Row],[Total Dollars Excluded from Spending After Applying Truncation at the Member Level]]=Age_Sex23[[#This Row],[Total Spending before Truncation is Applied]]</f>
        <v>1</v>
      </c>
    </row>
    <row r="415" spans="1:10" x14ac:dyDescent="0.25">
      <c r="A415" s="386"/>
      <c r="B415" s="310"/>
      <c r="C415" s="311"/>
      <c r="D415" s="518"/>
      <c r="E415" s="409"/>
      <c r="F415" s="312"/>
      <c r="G415" s="522"/>
      <c r="H415" s="312"/>
      <c r="I415" s="455"/>
      <c r="J415" s="271" t="b">
        <f>Age_Sex23[[#This Row],[Total Spending After Applying Truncation at the Member Level]]+Age_Sex23[[#This Row],[Total Dollars Excluded from Spending After Applying Truncation at the Member Level]]=Age_Sex23[[#This Row],[Total Spending before Truncation is Applied]]</f>
        <v>1</v>
      </c>
    </row>
    <row r="416" spans="1:10" x14ac:dyDescent="0.25">
      <c r="A416" s="389"/>
      <c r="B416" s="4"/>
      <c r="C416" s="16"/>
      <c r="D416" s="519"/>
      <c r="E416" s="410"/>
      <c r="F416" s="313"/>
      <c r="G416" s="256"/>
      <c r="H416" s="313"/>
      <c r="I416" s="456"/>
      <c r="J416" s="271" t="b">
        <f>Age_Sex23[[#This Row],[Total Spending After Applying Truncation at the Member Level]]+Age_Sex23[[#This Row],[Total Dollars Excluded from Spending After Applying Truncation at the Member Level]]=Age_Sex23[[#This Row],[Total Spending before Truncation is Applied]]</f>
        <v>1</v>
      </c>
    </row>
    <row r="417" spans="1:10" x14ac:dyDescent="0.25">
      <c r="A417" s="386"/>
      <c r="B417" s="310"/>
      <c r="C417" s="311"/>
      <c r="D417" s="518"/>
      <c r="E417" s="409"/>
      <c r="F417" s="312"/>
      <c r="G417" s="522"/>
      <c r="H417" s="312"/>
      <c r="I417" s="455"/>
      <c r="J417" s="271" t="b">
        <f>Age_Sex23[[#This Row],[Total Spending After Applying Truncation at the Member Level]]+Age_Sex23[[#This Row],[Total Dollars Excluded from Spending After Applying Truncation at the Member Level]]=Age_Sex23[[#This Row],[Total Spending before Truncation is Applied]]</f>
        <v>1</v>
      </c>
    </row>
    <row r="418" spans="1:10" x14ac:dyDescent="0.25">
      <c r="A418" s="389"/>
      <c r="B418" s="4"/>
      <c r="C418" s="16"/>
      <c r="D418" s="519"/>
      <c r="E418" s="410"/>
      <c r="F418" s="313"/>
      <c r="G418" s="256"/>
      <c r="H418" s="313"/>
      <c r="I418" s="456"/>
      <c r="J418" s="271" t="b">
        <f>Age_Sex23[[#This Row],[Total Spending After Applying Truncation at the Member Level]]+Age_Sex23[[#This Row],[Total Dollars Excluded from Spending After Applying Truncation at the Member Level]]=Age_Sex23[[#This Row],[Total Spending before Truncation is Applied]]</f>
        <v>1</v>
      </c>
    </row>
    <row r="419" spans="1:10" x14ac:dyDescent="0.25">
      <c r="A419" s="386"/>
      <c r="B419" s="310"/>
      <c r="C419" s="311"/>
      <c r="D419" s="518"/>
      <c r="E419" s="409"/>
      <c r="F419" s="312"/>
      <c r="G419" s="522"/>
      <c r="H419" s="312"/>
      <c r="I419" s="455"/>
      <c r="J419" s="271" t="b">
        <f>Age_Sex23[[#This Row],[Total Spending After Applying Truncation at the Member Level]]+Age_Sex23[[#This Row],[Total Dollars Excluded from Spending After Applying Truncation at the Member Level]]=Age_Sex23[[#This Row],[Total Spending before Truncation is Applied]]</f>
        <v>1</v>
      </c>
    </row>
    <row r="420" spans="1:10" x14ac:dyDescent="0.25">
      <c r="A420" s="389"/>
      <c r="B420" s="4"/>
      <c r="C420" s="16"/>
      <c r="D420" s="519"/>
      <c r="E420" s="410"/>
      <c r="F420" s="313"/>
      <c r="G420" s="256"/>
      <c r="H420" s="313"/>
      <c r="I420" s="456"/>
      <c r="J420" s="271" t="b">
        <f>Age_Sex23[[#This Row],[Total Spending After Applying Truncation at the Member Level]]+Age_Sex23[[#This Row],[Total Dollars Excluded from Spending After Applying Truncation at the Member Level]]=Age_Sex23[[#This Row],[Total Spending before Truncation is Applied]]</f>
        <v>1</v>
      </c>
    </row>
    <row r="421" spans="1:10" x14ac:dyDescent="0.25">
      <c r="A421" s="386"/>
      <c r="B421" s="310"/>
      <c r="C421" s="311"/>
      <c r="D421" s="518"/>
      <c r="E421" s="409"/>
      <c r="F421" s="312"/>
      <c r="G421" s="522"/>
      <c r="H421" s="312"/>
      <c r="I421" s="455"/>
      <c r="J421" s="271" t="b">
        <f>Age_Sex23[[#This Row],[Total Spending After Applying Truncation at the Member Level]]+Age_Sex23[[#This Row],[Total Dollars Excluded from Spending After Applying Truncation at the Member Level]]=Age_Sex23[[#This Row],[Total Spending before Truncation is Applied]]</f>
        <v>1</v>
      </c>
    </row>
    <row r="422" spans="1:10" x14ac:dyDescent="0.25">
      <c r="A422" s="389"/>
      <c r="B422" s="4"/>
      <c r="C422" s="16"/>
      <c r="D422" s="519"/>
      <c r="E422" s="410"/>
      <c r="F422" s="313"/>
      <c r="G422" s="256"/>
      <c r="H422" s="313"/>
      <c r="I422" s="456"/>
      <c r="J422" s="271" t="b">
        <f>Age_Sex23[[#This Row],[Total Spending After Applying Truncation at the Member Level]]+Age_Sex23[[#This Row],[Total Dollars Excluded from Spending After Applying Truncation at the Member Level]]=Age_Sex23[[#This Row],[Total Spending before Truncation is Applied]]</f>
        <v>1</v>
      </c>
    </row>
    <row r="423" spans="1:10" x14ac:dyDescent="0.25">
      <c r="A423" s="386"/>
      <c r="B423" s="310"/>
      <c r="C423" s="311"/>
      <c r="D423" s="518"/>
      <c r="E423" s="409"/>
      <c r="F423" s="312"/>
      <c r="G423" s="522"/>
      <c r="H423" s="312"/>
      <c r="I423" s="455"/>
      <c r="J423" s="271" t="b">
        <f>Age_Sex23[[#This Row],[Total Spending After Applying Truncation at the Member Level]]+Age_Sex23[[#This Row],[Total Dollars Excluded from Spending After Applying Truncation at the Member Level]]=Age_Sex23[[#This Row],[Total Spending before Truncation is Applied]]</f>
        <v>1</v>
      </c>
    </row>
    <row r="424" spans="1:10" x14ac:dyDescent="0.25">
      <c r="A424" s="389"/>
      <c r="B424" s="4"/>
      <c r="C424" s="16"/>
      <c r="D424" s="519"/>
      <c r="E424" s="410"/>
      <c r="F424" s="313"/>
      <c r="G424" s="256"/>
      <c r="H424" s="313"/>
      <c r="I424" s="456"/>
      <c r="J424" s="271" t="b">
        <f>Age_Sex23[[#This Row],[Total Spending After Applying Truncation at the Member Level]]+Age_Sex23[[#This Row],[Total Dollars Excluded from Spending After Applying Truncation at the Member Level]]=Age_Sex23[[#This Row],[Total Spending before Truncation is Applied]]</f>
        <v>1</v>
      </c>
    </row>
    <row r="425" spans="1:10" x14ac:dyDescent="0.25">
      <c r="A425" s="386"/>
      <c r="B425" s="310"/>
      <c r="C425" s="311"/>
      <c r="D425" s="518"/>
      <c r="E425" s="409"/>
      <c r="F425" s="312"/>
      <c r="G425" s="522"/>
      <c r="H425" s="312"/>
      <c r="I425" s="455"/>
      <c r="J425" s="271" t="b">
        <f>Age_Sex23[[#This Row],[Total Spending After Applying Truncation at the Member Level]]+Age_Sex23[[#This Row],[Total Dollars Excluded from Spending After Applying Truncation at the Member Level]]=Age_Sex23[[#This Row],[Total Spending before Truncation is Applied]]</f>
        <v>1</v>
      </c>
    </row>
    <row r="426" spans="1:10" x14ac:dyDescent="0.25">
      <c r="A426" s="389"/>
      <c r="B426" s="4"/>
      <c r="C426" s="16"/>
      <c r="D426" s="519"/>
      <c r="E426" s="410"/>
      <c r="F426" s="313"/>
      <c r="G426" s="256"/>
      <c r="H426" s="313"/>
      <c r="I426" s="456"/>
      <c r="J426" s="271" t="b">
        <f>Age_Sex23[[#This Row],[Total Spending After Applying Truncation at the Member Level]]+Age_Sex23[[#This Row],[Total Dollars Excluded from Spending After Applying Truncation at the Member Level]]=Age_Sex23[[#This Row],[Total Spending before Truncation is Applied]]</f>
        <v>1</v>
      </c>
    </row>
    <row r="427" spans="1:10" x14ac:dyDescent="0.25">
      <c r="A427" s="386"/>
      <c r="B427" s="310"/>
      <c r="C427" s="311"/>
      <c r="D427" s="518"/>
      <c r="E427" s="409"/>
      <c r="F427" s="312"/>
      <c r="G427" s="522"/>
      <c r="H427" s="312"/>
      <c r="I427" s="455"/>
      <c r="J427" s="271" t="b">
        <f>Age_Sex23[[#This Row],[Total Spending After Applying Truncation at the Member Level]]+Age_Sex23[[#This Row],[Total Dollars Excluded from Spending After Applying Truncation at the Member Level]]=Age_Sex23[[#This Row],[Total Spending before Truncation is Applied]]</f>
        <v>1</v>
      </c>
    </row>
    <row r="428" spans="1:10" x14ac:dyDescent="0.25">
      <c r="A428" s="389"/>
      <c r="B428" s="4"/>
      <c r="C428" s="16"/>
      <c r="D428" s="519"/>
      <c r="E428" s="410"/>
      <c r="F428" s="313"/>
      <c r="G428" s="256"/>
      <c r="H428" s="313"/>
      <c r="I428" s="456"/>
      <c r="J428" s="271" t="b">
        <f>Age_Sex23[[#This Row],[Total Spending After Applying Truncation at the Member Level]]+Age_Sex23[[#This Row],[Total Dollars Excluded from Spending After Applying Truncation at the Member Level]]=Age_Sex23[[#This Row],[Total Spending before Truncation is Applied]]</f>
        <v>1</v>
      </c>
    </row>
    <row r="429" spans="1:10" x14ac:dyDescent="0.25">
      <c r="A429" s="386"/>
      <c r="B429" s="310"/>
      <c r="C429" s="311"/>
      <c r="D429" s="518"/>
      <c r="E429" s="409"/>
      <c r="F429" s="312"/>
      <c r="G429" s="522"/>
      <c r="H429" s="312"/>
      <c r="I429" s="455"/>
      <c r="J429" s="271" t="b">
        <f>Age_Sex23[[#This Row],[Total Spending After Applying Truncation at the Member Level]]+Age_Sex23[[#This Row],[Total Dollars Excluded from Spending After Applying Truncation at the Member Level]]=Age_Sex23[[#This Row],[Total Spending before Truncation is Applied]]</f>
        <v>1</v>
      </c>
    </row>
    <row r="430" spans="1:10" x14ac:dyDescent="0.25">
      <c r="A430" s="389"/>
      <c r="B430" s="4"/>
      <c r="C430" s="16"/>
      <c r="D430" s="519"/>
      <c r="E430" s="410"/>
      <c r="F430" s="313"/>
      <c r="G430" s="256"/>
      <c r="H430" s="313"/>
      <c r="I430" s="456"/>
      <c r="J430" s="271" t="b">
        <f>Age_Sex23[[#This Row],[Total Spending After Applying Truncation at the Member Level]]+Age_Sex23[[#This Row],[Total Dollars Excluded from Spending After Applying Truncation at the Member Level]]=Age_Sex23[[#This Row],[Total Spending before Truncation is Applied]]</f>
        <v>1</v>
      </c>
    </row>
    <row r="431" spans="1:10" x14ac:dyDescent="0.25">
      <c r="A431" s="386"/>
      <c r="B431" s="310"/>
      <c r="C431" s="311"/>
      <c r="D431" s="518"/>
      <c r="E431" s="409"/>
      <c r="F431" s="312"/>
      <c r="G431" s="522"/>
      <c r="H431" s="312"/>
      <c r="I431" s="455"/>
      <c r="J431" s="271" t="b">
        <f>Age_Sex23[[#This Row],[Total Spending After Applying Truncation at the Member Level]]+Age_Sex23[[#This Row],[Total Dollars Excluded from Spending After Applying Truncation at the Member Level]]=Age_Sex23[[#This Row],[Total Spending before Truncation is Applied]]</f>
        <v>1</v>
      </c>
    </row>
    <row r="432" spans="1:10" x14ac:dyDescent="0.25">
      <c r="A432" s="389"/>
      <c r="B432" s="4"/>
      <c r="C432" s="16"/>
      <c r="D432" s="519"/>
      <c r="E432" s="410"/>
      <c r="F432" s="313"/>
      <c r="G432" s="256"/>
      <c r="H432" s="313"/>
      <c r="I432" s="456"/>
      <c r="J432" s="271" t="b">
        <f>Age_Sex23[[#This Row],[Total Spending After Applying Truncation at the Member Level]]+Age_Sex23[[#This Row],[Total Dollars Excluded from Spending After Applying Truncation at the Member Level]]=Age_Sex23[[#This Row],[Total Spending before Truncation is Applied]]</f>
        <v>1</v>
      </c>
    </row>
    <row r="433" spans="1:10" x14ac:dyDescent="0.25">
      <c r="A433" s="386"/>
      <c r="B433" s="310"/>
      <c r="C433" s="311"/>
      <c r="D433" s="518"/>
      <c r="E433" s="409"/>
      <c r="F433" s="312"/>
      <c r="G433" s="522"/>
      <c r="H433" s="312"/>
      <c r="I433" s="455"/>
      <c r="J433" s="271" t="b">
        <f>Age_Sex23[[#This Row],[Total Spending After Applying Truncation at the Member Level]]+Age_Sex23[[#This Row],[Total Dollars Excluded from Spending After Applying Truncation at the Member Level]]=Age_Sex23[[#This Row],[Total Spending before Truncation is Applied]]</f>
        <v>1</v>
      </c>
    </row>
    <row r="434" spans="1:10" x14ac:dyDescent="0.25">
      <c r="A434" s="389"/>
      <c r="B434" s="4"/>
      <c r="C434" s="16"/>
      <c r="D434" s="519"/>
      <c r="E434" s="410"/>
      <c r="F434" s="313"/>
      <c r="G434" s="256"/>
      <c r="H434" s="313"/>
      <c r="I434" s="456"/>
      <c r="J434" s="271" t="b">
        <f>Age_Sex23[[#This Row],[Total Spending After Applying Truncation at the Member Level]]+Age_Sex23[[#This Row],[Total Dollars Excluded from Spending After Applying Truncation at the Member Level]]=Age_Sex23[[#This Row],[Total Spending before Truncation is Applied]]</f>
        <v>1</v>
      </c>
    </row>
    <row r="435" spans="1:10" x14ac:dyDescent="0.25">
      <c r="A435" s="386"/>
      <c r="B435" s="310"/>
      <c r="C435" s="311"/>
      <c r="D435" s="518"/>
      <c r="E435" s="409"/>
      <c r="F435" s="312"/>
      <c r="G435" s="522"/>
      <c r="H435" s="312"/>
      <c r="I435" s="455"/>
      <c r="J435" s="271" t="b">
        <f>Age_Sex23[[#This Row],[Total Spending After Applying Truncation at the Member Level]]+Age_Sex23[[#This Row],[Total Dollars Excluded from Spending After Applying Truncation at the Member Level]]=Age_Sex23[[#This Row],[Total Spending before Truncation is Applied]]</f>
        <v>1</v>
      </c>
    </row>
    <row r="436" spans="1:10" x14ac:dyDescent="0.25">
      <c r="A436" s="389"/>
      <c r="B436" s="4"/>
      <c r="C436" s="16"/>
      <c r="D436" s="519"/>
      <c r="E436" s="410"/>
      <c r="F436" s="313"/>
      <c r="G436" s="256"/>
      <c r="H436" s="313"/>
      <c r="I436" s="456"/>
      <c r="J436" s="271" t="b">
        <f>Age_Sex23[[#This Row],[Total Spending After Applying Truncation at the Member Level]]+Age_Sex23[[#This Row],[Total Dollars Excluded from Spending After Applying Truncation at the Member Level]]=Age_Sex23[[#This Row],[Total Spending before Truncation is Applied]]</f>
        <v>1</v>
      </c>
    </row>
    <row r="437" spans="1:10" x14ac:dyDescent="0.25">
      <c r="A437" s="386"/>
      <c r="B437" s="310"/>
      <c r="C437" s="311"/>
      <c r="D437" s="518"/>
      <c r="E437" s="409"/>
      <c r="F437" s="312"/>
      <c r="G437" s="522"/>
      <c r="H437" s="312"/>
      <c r="I437" s="455"/>
      <c r="J437" s="271" t="b">
        <f>Age_Sex23[[#This Row],[Total Spending After Applying Truncation at the Member Level]]+Age_Sex23[[#This Row],[Total Dollars Excluded from Spending After Applying Truncation at the Member Level]]=Age_Sex23[[#This Row],[Total Spending before Truncation is Applied]]</f>
        <v>1</v>
      </c>
    </row>
    <row r="438" spans="1:10" x14ac:dyDescent="0.25">
      <c r="A438" s="389"/>
      <c r="B438" s="4"/>
      <c r="C438" s="16"/>
      <c r="D438" s="519"/>
      <c r="E438" s="410"/>
      <c r="F438" s="313"/>
      <c r="G438" s="256"/>
      <c r="H438" s="313"/>
      <c r="I438" s="456"/>
      <c r="J438" s="271" t="b">
        <f>Age_Sex23[[#This Row],[Total Spending After Applying Truncation at the Member Level]]+Age_Sex23[[#This Row],[Total Dollars Excluded from Spending After Applying Truncation at the Member Level]]=Age_Sex23[[#This Row],[Total Spending before Truncation is Applied]]</f>
        <v>1</v>
      </c>
    </row>
    <row r="439" spans="1:10" x14ac:dyDescent="0.25">
      <c r="A439" s="386"/>
      <c r="B439" s="310"/>
      <c r="C439" s="311"/>
      <c r="D439" s="518"/>
      <c r="E439" s="409"/>
      <c r="F439" s="312"/>
      <c r="G439" s="522"/>
      <c r="H439" s="312"/>
      <c r="I439" s="455"/>
      <c r="J439" s="271" t="b">
        <f>Age_Sex23[[#This Row],[Total Spending After Applying Truncation at the Member Level]]+Age_Sex23[[#This Row],[Total Dollars Excluded from Spending After Applying Truncation at the Member Level]]=Age_Sex23[[#This Row],[Total Spending before Truncation is Applied]]</f>
        <v>1</v>
      </c>
    </row>
    <row r="440" spans="1:10" x14ac:dyDescent="0.25">
      <c r="A440" s="389"/>
      <c r="B440" s="4"/>
      <c r="C440" s="16"/>
      <c r="D440" s="519"/>
      <c r="E440" s="410"/>
      <c r="F440" s="313"/>
      <c r="G440" s="256"/>
      <c r="H440" s="313"/>
      <c r="I440" s="456"/>
      <c r="J440" s="271" t="b">
        <f>Age_Sex23[[#This Row],[Total Spending After Applying Truncation at the Member Level]]+Age_Sex23[[#This Row],[Total Dollars Excluded from Spending After Applying Truncation at the Member Level]]=Age_Sex23[[#This Row],[Total Spending before Truncation is Applied]]</f>
        <v>1</v>
      </c>
    </row>
    <row r="441" spans="1:10" x14ac:dyDescent="0.25">
      <c r="A441" s="386"/>
      <c r="B441" s="310"/>
      <c r="C441" s="311"/>
      <c r="D441" s="518"/>
      <c r="E441" s="409"/>
      <c r="F441" s="312"/>
      <c r="G441" s="522"/>
      <c r="H441" s="312"/>
      <c r="I441" s="455"/>
      <c r="J441" s="271" t="b">
        <f>Age_Sex23[[#This Row],[Total Spending After Applying Truncation at the Member Level]]+Age_Sex23[[#This Row],[Total Dollars Excluded from Spending After Applying Truncation at the Member Level]]=Age_Sex23[[#This Row],[Total Spending before Truncation is Applied]]</f>
        <v>1</v>
      </c>
    </row>
    <row r="442" spans="1:10" x14ac:dyDescent="0.25">
      <c r="A442" s="389"/>
      <c r="B442" s="4"/>
      <c r="C442" s="16"/>
      <c r="D442" s="519"/>
      <c r="E442" s="410"/>
      <c r="F442" s="313"/>
      <c r="G442" s="256"/>
      <c r="H442" s="313"/>
      <c r="I442" s="456"/>
      <c r="J442" s="271" t="b">
        <f>Age_Sex23[[#This Row],[Total Spending After Applying Truncation at the Member Level]]+Age_Sex23[[#This Row],[Total Dollars Excluded from Spending After Applying Truncation at the Member Level]]=Age_Sex23[[#This Row],[Total Spending before Truncation is Applied]]</f>
        <v>1</v>
      </c>
    </row>
    <row r="443" spans="1:10" x14ac:dyDescent="0.25">
      <c r="A443" s="386"/>
      <c r="B443" s="310"/>
      <c r="C443" s="311"/>
      <c r="D443" s="518"/>
      <c r="E443" s="409"/>
      <c r="F443" s="312"/>
      <c r="G443" s="522"/>
      <c r="H443" s="312"/>
      <c r="I443" s="455"/>
      <c r="J443" s="271" t="b">
        <f>Age_Sex23[[#This Row],[Total Spending After Applying Truncation at the Member Level]]+Age_Sex23[[#This Row],[Total Dollars Excluded from Spending After Applying Truncation at the Member Level]]=Age_Sex23[[#This Row],[Total Spending before Truncation is Applied]]</f>
        <v>1</v>
      </c>
    </row>
    <row r="444" spans="1:10" x14ac:dyDescent="0.25">
      <c r="A444" s="389"/>
      <c r="B444" s="4"/>
      <c r="C444" s="16"/>
      <c r="D444" s="519"/>
      <c r="E444" s="410"/>
      <c r="F444" s="313"/>
      <c r="G444" s="256"/>
      <c r="H444" s="313"/>
      <c r="I444" s="456"/>
      <c r="J444" s="271" t="b">
        <f>Age_Sex23[[#This Row],[Total Spending After Applying Truncation at the Member Level]]+Age_Sex23[[#This Row],[Total Dollars Excluded from Spending After Applying Truncation at the Member Level]]=Age_Sex23[[#This Row],[Total Spending before Truncation is Applied]]</f>
        <v>1</v>
      </c>
    </row>
    <row r="445" spans="1:10" x14ac:dyDescent="0.25">
      <c r="A445" s="386"/>
      <c r="B445" s="310"/>
      <c r="C445" s="311"/>
      <c r="D445" s="518"/>
      <c r="E445" s="409"/>
      <c r="F445" s="312"/>
      <c r="G445" s="522"/>
      <c r="H445" s="312"/>
      <c r="I445" s="455"/>
      <c r="J445" s="271" t="b">
        <f>Age_Sex23[[#This Row],[Total Spending After Applying Truncation at the Member Level]]+Age_Sex23[[#This Row],[Total Dollars Excluded from Spending After Applying Truncation at the Member Level]]=Age_Sex23[[#This Row],[Total Spending before Truncation is Applied]]</f>
        <v>1</v>
      </c>
    </row>
    <row r="446" spans="1:10" x14ac:dyDescent="0.25">
      <c r="A446" s="389"/>
      <c r="B446" s="4"/>
      <c r="C446" s="16"/>
      <c r="D446" s="519"/>
      <c r="E446" s="410"/>
      <c r="F446" s="313"/>
      <c r="G446" s="256"/>
      <c r="H446" s="313"/>
      <c r="I446" s="456"/>
      <c r="J446" s="271" t="b">
        <f>Age_Sex23[[#This Row],[Total Spending After Applying Truncation at the Member Level]]+Age_Sex23[[#This Row],[Total Dollars Excluded from Spending After Applying Truncation at the Member Level]]=Age_Sex23[[#This Row],[Total Spending before Truncation is Applied]]</f>
        <v>1</v>
      </c>
    </row>
    <row r="447" spans="1:10" x14ac:dyDescent="0.25">
      <c r="A447" s="386"/>
      <c r="B447" s="310"/>
      <c r="C447" s="311"/>
      <c r="D447" s="518"/>
      <c r="E447" s="409"/>
      <c r="F447" s="312"/>
      <c r="G447" s="522"/>
      <c r="H447" s="312"/>
      <c r="I447" s="455"/>
      <c r="J447" s="271" t="b">
        <f>Age_Sex23[[#This Row],[Total Spending After Applying Truncation at the Member Level]]+Age_Sex23[[#This Row],[Total Dollars Excluded from Spending After Applying Truncation at the Member Level]]=Age_Sex23[[#This Row],[Total Spending before Truncation is Applied]]</f>
        <v>1</v>
      </c>
    </row>
    <row r="448" spans="1:10" x14ac:dyDescent="0.25">
      <c r="A448" s="389"/>
      <c r="B448" s="4"/>
      <c r="C448" s="16"/>
      <c r="D448" s="519"/>
      <c r="E448" s="410"/>
      <c r="F448" s="313"/>
      <c r="G448" s="256"/>
      <c r="H448" s="313"/>
      <c r="I448" s="456"/>
      <c r="J448" s="271" t="b">
        <f>Age_Sex23[[#This Row],[Total Spending After Applying Truncation at the Member Level]]+Age_Sex23[[#This Row],[Total Dollars Excluded from Spending After Applying Truncation at the Member Level]]=Age_Sex23[[#This Row],[Total Spending before Truncation is Applied]]</f>
        <v>1</v>
      </c>
    </row>
    <row r="449" spans="1:10" x14ac:dyDescent="0.25">
      <c r="A449" s="386"/>
      <c r="B449" s="310"/>
      <c r="C449" s="311"/>
      <c r="D449" s="518"/>
      <c r="E449" s="409"/>
      <c r="F449" s="312"/>
      <c r="G449" s="522"/>
      <c r="H449" s="312"/>
      <c r="I449" s="455"/>
      <c r="J449" s="271" t="b">
        <f>Age_Sex23[[#This Row],[Total Spending After Applying Truncation at the Member Level]]+Age_Sex23[[#This Row],[Total Dollars Excluded from Spending After Applying Truncation at the Member Level]]=Age_Sex23[[#This Row],[Total Spending before Truncation is Applied]]</f>
        <v>1</v>
      </c>
    </row>
    <row r="450" spans="1:10" x14ac:dyDescent="0.25">
      <c r="A450" s="389"/>
      <c r="B450" s="4"/>
      <c r="C450" s="16"/>
      <c r="D450" s="519"/>
      <c r="E450" s="410"/>
      <c r="F450" s="313"/>
      <c r="G450" s="256"/>
      <c r="H450" s="313"/>
      <c r="I450" s="456"/>
      <c r="J450" s="271" t="b">
        <f>Age_Sex23[[#This Row],[Total Spending After Applying Truncation at the Member Level]]+Age_Sex23[[#This Row],[Total Dollars Excluded from Spending After Applying Truncation at the Member Level]]=Age_Sex23[[#This Row],[Total Spending before Truncation is Applied]]</f>
        <v>1</v>
      </c>
    </row>
    <row r="451" spans="1:10" x14ac:dyDescent="0.25">
      <c r="A451" s="386"/>
      <c r="B451" s="310"/>
      <c r="C451" s="311"/>
      <c r="D451" s="518"/>
      <c r="E451" s="409"/>
      <c r="F451" s="312"/>
      <c r="G451" s="522"/>
      <c r="H451" s="312"/>
      <c r="I451" s="455"/>
      <c r="J451" s="271" t="b">
        <f>Age_Sex23[[#This Row],[Total Spending After Applying Truncation at the Member Level]]+Age_Sex23[[#This Row],[Total Dollars Excluded from Spending After Applying Truncation at the Member Level]]=Age_Sex23[[#This Row],[Total Spending before Truncation is Applied]]</f>
        <v>1</v>
      </c>
    </row>
    <row r="452" spans="1:10" x14ac:dyDescent="0.25">
      <c r="A452" s="389"/>
      <c r="B452" s="4"/>
      <c r="C452" s="16"/>
      <c r="D452" s="519"/>
      <c r="E452" s="410"/>
      <c r="F452" s="313"/>
      <c r="G452" s="256"/>
      <c r="H452" s="313"/>
      <c r="I452" s="456"/>
      <c r="J452" s="271" t="b">
        <f>Age_Sex23[[#This Row],[Total Spending After Applying Truncation at the Member Level]]+Age_Sex23[[#This Row],[Total Dollars Excluded from Spending After Applying Truncation at the Member Level]]=Age_Sex23[[#This Row],[Total Spending before Truncation is Applied]]</f>
        <v>1</v>
      </c>
    </row>
    <row r="453" spans="1:10" x14ac:dyDescent="0.25">
      <c r="A453" s="386"/>
      <c r="B453" s="310"/>
      <c r="C453" s="311"/>
      <c r="D453" s="518"/>
      <c r="E453" s="409"/>
      <c r="F453" s="312"/>
      <c r="G453" s="522"/>
      <c r="H453" s="312"/>
      <c r="I453" s="455"/>
      <c r="J453" s="271" t="b">
        <f>Age_Sex23[[#This Row],[Total Spending After Applying Truncation at the Member Level]]+Age_Sex23[[#This Row],[Total Dollars Excluded from Spending After Applying Truncation at the Member Level]]=Age_Sex23[[#This Row],[Total Spending before Truncation is Applied]]</f>
        <v>1</v>
      </c>
    </row>
    <row r="454" spans="1:10" x14ac:dyDescent="0.25">
      <c r="A454" s="389"/>
      <c r="B454" s="4"/>
      <c r="C454" s="16"/>
      <c r="D454" s="519"/>
      <c r="E454" s="410"/>
      <c r="F454" s="313"/>
      <c r="G454" s="256"/>
      <c r="H454" s="313"/>
      <c r="I454" s="456"/>
      <c r="J454" s="271" t="b">
        <f>Age_Sex23[[#This Row],[Total Spending After Applying Truncation at the Member Level]]+Age_Sex23[[#This Row],[Total Dollars Excluded from Spending After Applying Truncation at the Member Level]]=Age_Sex23[[#This Row],[Total Spending before Truncation is Applied]]</f>
        <v>1</v>
      </c>
    </row>
    <row r="455" spans="1:10" x14ac:dyDescent="0.25">
      <c r="A455" s="386"/>
      <c r="B455" s="310"/>
      <c r="C455" s="311"/>
      <c r="D455" s="518"/>
      <c r="E455" s="409"/>
      <c r="F455" s="312"/>
      <c r="G455" s="522"/>
      <c r="H455" s="312"/>
      <c r="I455" s="455"/>
      <c r="J455" s="271" t="b">
        <f>Age_Sex23[[#This Row],[Total Spending After Applying Truncation at the Member Level]]+Age_Sex23[[#This Row],[Total Dollars Excluded from Spending After Applying Truncation at the Member Level]]=Age_Sex23[[#This Row],[Total Spending before Truncation is Applied]]</f>
        <v>1</v>
      </c>
    </row>
    <row r="456" spans="1:10" x14ac:dyDescent="0.25">
      <c r="A456" s="389"/>
      <c r="B456" s="4"/>
      <c r="C456" s="16"/>
      <c r="D456" s="519"/>
      <c r="E456" s="410"/>
      <c r="F456" s="313"/>
      <c r="G456" s="256"/>
      <c r="H456" s="313"/>
      <c r="I456" s="456"/>
      <c r="J456" s="271" t="b">
        <f>Age_Sex23[[#This Row],[Total Spending After Applying Truncation at the Member Level]]+Age_Sex23[[#This Row],[Total Dollars Excluded from Spending After Applying Truncation at the Member Level]]=Age_Sex23[[#This Row],[Total Spending before Truncation is Applied]]</f>
        <v>1</v>
      </c>
    </row>
    <row r="457" spans="1:10" x14ac:dyDescent="0.25">
      <c r="A457" s="386"/>
      <c r="B457" s="310"/>
      <c r="C457" s="311"/>
      <c r="D457" s="518"/>
      <c r="E457" s="409"/>
      <c r="F457" s="312"/>
      <c r="G457" s="522"/>
      <c r="H457" s="312"/>
      <c r="I457" s="455"/>
      <c r="J457" s="271" t="b">
        <f>Age_Sex23[[#This Row],[Total Spending After Applying Truncation at the Member Level]]+Age_Sex23[[#This Row],[Total Dollars Excluded from Spending After Applying Truncation at the Member Level]]=Age_Sex23[[#This Row],[Total Spending before Truncation is Applied]]</f>
        <v>1</v>
      </c>
    </row>
    <row r="458" spans="1:10" x14ac:dyDescent="0.25">
      <c r="A458" s="389"/>
      <c r="B458" s="4"/>
      <c r="C458" s="16"/>
      <c r="D458" s="519"/>
      <c r="E458" s="410"/>
      <c r="F458" s="313"/>
      <c r="G458" s="256"/>
      <c r="H458" s="313"/>
      <c r="I458" s="456"/>
      <c r="J458" s="271" t="b">
        <f>Age_Sex23[[#This Row],[Total Spending After Applying Truncation at the Member Level]]+Age_Sex23[[#This Row],[Total Dollars Excluded from Spending After Applying Truncation at the Member Level]]=Age_Sex23[[#This Row],[Total Spending before Truncation is Applied]]</f>
        <v>1</v>
      </c>
    </row>
    <row r="459" spans="1:10" x14ac:dyDescent="0.25">
      <c r="A459" s="386"/>
      <c r="B459" s="310"/>
      <c r="C459" s="311"/>
      <c r="D459" s="518"/>
      <c r="E459" s="409"/>
      <c r="F459" s="312"/>
      <c r="G459" s="522"/>
      <c r="H459" s="312"/>
      <c r="I459" s="455"/>
      <c r="J459" s="271" t="b">
        <f>Age_Sex23[[#This Row],[Total Spending After Applying Truncation at the Member Level]]+Age_Sex23[[#This Row],[Total Dollars Excluded from Spending After Applying Truncation at the Member Level]]=Age_Sex23[[#This Row],[Total Spending before Truncation is Applied]]</f>
        <v>1</v>
      </c>
    </row>
    <row r="460" spans="1:10" x14ac:dyDescent="0.25">
      <c r="A460" s="389"/>
      <c r="B460" s="4"/>
      <c r="C460" s="16"/>
      <c r="D460" s="519"/>
      <c r="E460" s="410"/>
      <c r="F460" s="313"/>
      <c r="G460" s="256"/>
      <c r="H460" s="313"/>
      <c r="I460" s="456"/>
      <c r="J460" s="271" t="b">
        <f>Age_Sex23[[#This Row],[Total Spending After Applying Truncation at the Member Level]]+Age_Sex23[[#This Row],[Total Dollars Excluded from Spending After Applying Truncation at the Member Level]]=Age_Sex23[[#This Row],[Total Spending before Truncation is Applied]]</f>
        <v>1</v>
      </c>
    </row>
    <row r="461" spans="1:10" x14ac:dyDescent="0.25">
      <c r="A461" s="386"/>
      <c r="B461" s="310"/>
      <c r="C461" s="311"/>
      <c r="D461" s="518"/>
      <c r="E461" s="409"/>
      <c r="F461" s="312"/>
      <c r="G461" s="522"/>
      <c r="H461" s="312"/>
      <c r="I461" s="455"/>
      <c r="J461" s="271" t="b">
        <f>Age_Sex23[[#This Row],[Total Spending After Applying Truncation at the Member Level]]+Age_Sex23[[#This Row],[Total Dollars Excluded from Spending After Applying Truncation at the Member Level]]=Age_Sex23[[#This Row],[Total Spending before Truncation is Applied]]</f>
        <v>1</v>
      </c>
    </row>
    <row r="462" spans="1:10" x14ac:dyDescent="0.25">
      <c r="A462" s="389"/>
      <c r="B462" s="4"/>
      <c r="C462" s="16"/>
      <c r="D462" s="519"/>
      <c r="E462" s="410"/>
      <c r="F462" s="313"/>
      <c r="G462" s="256"/>
      <c r="H462" s="313"/>
      <c r="I462" s="456"/>
      <c r="J462" s="271" t="b">
        <f>Age_Sex23[[#This Row],[Total Spending After Applying Truncation at the Member Level]]+Age_Sex23[[#This Row],[Total Dollars Excluded from Spending After Applying Truncation at the Member Level]]=Age_Sex23[[#This Row],[Total Spending before Truncation is Applied]]</f>
        <v>1</v>
      </c>
    </row>
    <row r="463" spans="1:10" x14ac:dyDescent="0.25">
      <c r="A463" s="386"/>
      <c r="B463" s="310"/>
      <c r="C463" s="311"/>
      <c r="D463" s="518"/>
      <c r="E463" s="409"/>
      <c r="F463" s="312"/>
      <c r="G463" s="522"/>
      <c r="H463" s="312"/>
      <c r="I463" s="455"/>
      <c r="J463" s="271" t="b">
        <f>Age_Sex23[[#This Row],[Total Spending After Applying Truncation at the Member Level]]+Age_Sex23[[#This Row],[Total Dollars Excluded from Spending After Applying Truncation at the Member Level]]=Age_Sex23[[#This Row],[Total Spending before Truncation is Applied]]</f>
        <v>1</v>
      </c>
    </row>
    <row r="464" spans="1:10" x14ac:dyDescent="0.25">
      <c r="A464" s="389"/>
      <c r="B464" s="4"/>
      <c r="C464" s="16"/>
      <c r="D464" s="519"/>
      <c r="E464" s="410"/>
      <c r="F464" s="313"/>
      <c r="G464" s="256"/>
      <c r="H464" s="313"/>
      <c r="I464" s="456"/>
      <c r="J464" s="271" t="b">
        <f>Age_Sex23[[#This Row],[Total Spending After Applying Truncation at the Member Level]]+Age_Sex23[[#This Row],[Total Dollars Excluded from Spending After Applying Truncation at the Member Level]]=Age_Sex23[[#This Row],[Total Spending before Truncation is Applied]]</f>
        <v>1</v>
      </c>
    </row>
    <row r="465" spans="1:10" x14ac:dyDescent="0.25">
      <c r="A465" s="386"/>
      <c r="B465" s="310"/>
      <c r="C465" s="311"/>
      <c r="D465" s="518"/>
      <c r="E465" s="409"/>
      <c r="F465" s="312"/>
      <c r="G465" s="522"/>
      <c r="H465" s="312"/>
      <c r="I465" s="455"/>
      <c r="J465" s="271" t="b">
        <f>Age_Sex23[[#This Row],[Total Spending After Applying Truncation at the Member Level]]+Age_Sex23[[#This Row],[Total Dollars Excluded from Spending After Applying Truncation at the Member Level]]=Age_Sex23[[#This Row],[Total Spending before Truncation is Applied]]</f>
        <v>1</v>
      </c>
    </row>
    <row r="466" spans="1:10" x14ac:dyDescent="0.25">
      <c r="A466" s="389"/>
      <c r="B466" s="4"/>
      <c r="C466" s="16"/>
      <c r="D466" s="519"/>
      <c r="E466" s="410"/>
      <c r="F466" s="313"/>
      <c r="G466" s="256"/>
      <c r="H466" s="313"/>
      <c r="I466" s="456"/>
      <c r="J466" s="271" t="b">
        <f>Age_Sex23[[#This Row],[Total Spending After Applying Truncation at the Member Level]]+Age_Sex23[[#This Row],[Total Dollars Excluded from Spending After Applying Truncation at the Member Level]]=Age_Sex23[[#This Row],[Total Spending before Truncation is Applied]]</f>
        <v>1</v>
      </c>
    </row>
    <row r="467" spans="1:10" x14ac:dyDescent="0.25">
      <c r="A467" s="386"/>
      <c r="B467" s="310"/>
      <c r="C467" s="311"/>
      <c r="D467" s="518"/>
      <c r="E467" s="409"/>
      <c r="F467" s="312"/>
      <c r="G467" s="522"/>
      <c r="H467" s="312"/>
      <c r="I467" s="455"/>
      <c r="J467" s="271" t="b">
        <f>Age_Sex23[[#This Row],[Total Spending After Applying Truncation at the Member Level]]+Age_Sex23[[#This Row],[Total Dollars Excluded from Spending After Applying Truncation at the Member Level]]=Age_Sex23[[#This Row],[Total Spending before Truncation is Applied]]</f>
        <v>1</v>
      </c>
    </row>
    <row r="468" spans="1:10" x14ac:dyDescent="0.25">
      <c r="A468" s="389"/>
      <c r="B468" s="4"/>
      <c r="C468" s="16"/>
      <c r="D468" s="519"/>
      <c r="E468" s="410"/>
      <c r="F468" s="313"/>
      <c r="G468" s="256"/>
      <c r="H468" s="313"/>
      <c r="I468" s="456"/>
      <c r="J468" s="271" t="b">
        <f>Age_Sex23[[#This Row],[Total Spending After Applying Truncation at the Member Level]]+Age_Sex23[[#This Row],[Total Dollars Excluded from Spending After Applying Truncation at the Member Level]]=Age_Sex23[[#This Row],[Total Spending before Truncation is Applied]]</f>
        <v>1</v>
      </c>
    </row>
    <row r="469" spans="1:10" x14ac:dyDescent="0.25">
      <c r="A469" s="386"/>
      <c r="B469" s="310"/>
      <c r="C469" s="311"/>
      <c r="D469" s="518"/>
      <c r="E469" s="409"/>
      <c r="F469" s="312"/>
      <c r="G469" s="522"/>
      <c r="H469" s="312"/>
      <c r="I469" s="455"/>
      <c r="J469" s="271" t="b">
        <f>Age_Sex23[[#This Row],[Total Spending After Applying Truncation at the Member Level]]+Age_Sex23[[#This Row],[Total Dollars Excluded from Spending After Applying Truncation at the Member Level]]=Age_Sex23[[#This Row],[Total Spending before Truncation is Applied]]</f>
        <v>1</v>
      </c>
    </row>
    <row r="470" spans="1:10" x14ac:dyDescent="0.25">
      <c r="A470" s="389"/>
      <c r="B470" s="4"/>
      <c r="C470" s="16"/>
      <c r="D470" s="519"/>
      <c r="E470" s="410"/>
      <c r="F470" s="313"/>
      <c r="G470" s="256"/>
      <c r="H470" s="313"/>
      <c r="I470" s="456"/>
      <c r="J470" s="271" t="b">
        <f>Age_Sex23[[#This Row],[Total Spending After Applying Truncation at the Member Level]]+Age_Sex23[[#This Row],[Total Dollars Excluded from Spending After Applying Truncation at the Member Level]]=Age_Sex23[[#This Row],[Total Spending before Truncation is Applied]]</f>
        <v>1</v>
      </c>
    </row>
    <row r="471" spans="1:10" x14ac:dyDescent="0.25">
      <c r="A471" s="386"/>
      <c r="B471" s="310"/>
      <c r="C471" s="311"/>
      <c r="D471" s="518"/>
      <c r="E471" s="409"/>
      <c r="F471" s="312"/>
      <c r="G471" s="522"/>
      <c r="H471" s="312"/>
      <c r="I471" s="455"/>
      <c r="J471" s="271" t="b">
        <f>Age_Sex23[[#This Row],[Total Spending After Applying Truncation at the Member Level]]+Age_Sex23[[#This Row],[Total Dollars Excluded from Spending After Applying Truncation at the Member Level]]=Age_Sex23[[#This Row],[Total Spending before Truncation is Applied]]</f>
        <v>1</v>
      </c>
    </row>
    <row r="472" spans="1:10" x14ac:dyDescent="0.25">
      <c r="A472" s="389"/>
      <c r="B472" s="4"/>
      <c r="C472" s="16"/>
      <c r="D472" s="519"/>
      <c r="E472" s="410"/>
      <c r="F472" s="313"/>
      <c r="G472" s="256"/>
      <c r="H472" s="313"/>
      <c r="I472" s="456"/>
      <c r="J472" s="271" t="b">
        <f>Age_Sex23[[#This Row],[Total Spending After Applying Truncation at the Member Level]]+Age_Sex23[[#This Row],[Total Dollars Excluded from Spending After Applying Truncation at the Member Level]]=Age_Sex23[[#This Row],[Total Spending before Truncation is Applied]]</f>
        <v>1</v>
      </c>
    </row>
    <row r="473" spans="1:10" x14ac:dyDescent="0.25">
      <c r="A473" s="386"/>
      <c r="B473" s="310"/>
      <c r="C473" s="311"/>
      <c r="D473" s="518"/>
      <c r="E473" s="409"/>
      <c r="F473" s="312"/>
      <c r="G473" s="522"/>
      <c r="H473" s="312"/>
      <c r="I473" s="455"/>
      <c r="J473" s="271" t="b">
        <f>Age_Sex23[[#This Row],[Total Spending After Applying Truncation at the Member Level]]+Age_Sex23[[#This Row],[Total Dollars Excluded from Spending After Applying Truncation at the Member Level]]=Age_Sex23[[#This Row],[Total Spending before Truncation is Applied]]</f>
        <v>1</v>
      </c>
    </row>
    <row r="474" spans="1:10" x14ac:dyDescent="0.25">
      <c r="A474" s="389"/>
      <c r="B474" s="4"/>
      <c r="C474" s="16"/>
      <c r="D474" s="519"/>
      <c r="E474" s="410"/>
      <c r="F474" s="313"/>
      <c r="G474" s="256"/>
      <c r="H474" s="313"/>
      <c r="I474" s="456"/>
      <c r="J474" s="271" t="b">
        <f>Age_Sex23[[#This Row],[Total Spending After Applying Truncation at the Member Level]]+Age_Sex23[[#This Row],[Total Dollars Excluded from Spending After Applying Truncation at the Member Level]]=Age_Sex23[[#This Row],[Total Spending before Truncation is Applied]]</f>
        <v>1</v>
      </c>
    </row>
    <row r="475" spans="1:10" x14ac:dyDescent="0.25">
      <c r="A475" s="386"/>
      <c r="B475" s="310"/>
      <c r="C475" s="311"/>
      <c r="D475" s="518"/>
      <c r="E475" s="409"/>
      <c r="F475" s="312"/>
      <c r="G475" s="522"/>
      <c r="H475" s="312"/>
      <c r="I475" s="455"/>
      <c r="J475" s="271" t="b">
        <f>Age_Sex23[[#This Row],[Total Spending After Applying Truncation at the Member Level]]+Age_Sex23[[#This Row],[Total Dollars Excluded from Spending After Applying Truncation at the Member Level]]=Age_Sex23[[#This Row],[Total Spending before Truncation is Applied]]</f>
        <v>1</v>
      </c>
    </row>
    <row r="476" spans="1:10" x14ac:dyDescent="0.25">
      <c r="A476" s="389"/>
      <c r="B476" s="4"/>
      <c r="C476" s="16"/>
      <c r="D476" s="519"/>
      <c r="E476" s="410"/>
      <c r="F476" s="313"/>
      <c r="G476" s="256"/>
      <c r="H476" s="313"/>
      <c r="I476" s="456"/>
      <c r="J476" s="271" t="b">
        <f>Age_Sex23[[#This Row],[Total Spending After Applying Truncation at the Member Level]]+Age_Sex23[[#This Row],[Total Dollars Excluded from Spending After Applying Truncation at the Member Level]]=Age_Sex23[[#This Row],[Total Spending before Truncation is Applied]]</f>
        <v>1</v>
      </c>
    </row>
    <row r="477" spans="1:10" x14ac:dyDescent="0.25">
      <c r="A477" s="386"/>
      <c r="B477" s="310"/>
      <c r="C477" s="311"/>
      <c r="D477" s="518"/>
      <c r="E477" s="409"/>
      <c r="F477" s="312"/>
      <c r="G477" s="522"/>
      <c r="H477" s="312"/>
      <c r="I477" s="455"/>
      <c r="J477" s="271" t="b">
        <f>Age_Sex23[[#This Row],[Total Spending After Applying Truncation at the Member Level]]+Age_Sex23[[#This Row],[Total Dollars Excluded from Spending After Applying Truncation at the Member Level]]=Age_Sex23[[#This Row],[Total Spending before Truncation is Applied]]</f>
        <v>1</v>
      </c>
    </row>
    <row r="478" spans="1:10" x14ac:dyDescent="0.25">
      <c r="A478" s="389"/>
      <c r="B478" s="4"/>
      <c r="C478" s="16"/>
      <c r="D478" s="519"/>
      <c r="E478" s="410"/>
      <c r="F478" s="313"/>
      <c r="G478" s="256"/>
      <c r="H478" s="313"/>
      <c r="I478" s="456"/>
      <c r="J478" s="271" t="b">
        <f>Age_Sex23[[#This Row],[Total Spending After Applying Truncation at the Member Level]]+Age_Sex23[[#This Row],[Total Dollars Excluded from Spending After Applying Truncation at the Member Level]]=Age_Sex23[[#This Row],[Total Spending before Truncation is Applied]]</f>
        <v>1</v>
      </c>
    </row>
    <row r="479" spans="1:10" x14ac:dyDescent="0.25">
      <c r="A479" s="386"/>
      <c r="B479" s="310"/>
      <c r="C479" s="311"/>
      <c r="D479" s="518"/>
      <c r="E479" s="409"/>
      <c r="F479" s="312"/>
      <c r="G479" s="522"/>
      <c r="H479" s="312"/>
      <c r="I479" s="455"/>
      <c r="J479" s="271" t="b">
        <f>Age_Sex23[[#This Row],[Total Spending After Applying Truncation at the Member Level]]+Age_Sex23[[#This Row],[Total Dollars Excluded from Spending After Applying Truncation at the Member Level]]=Age_Sex23[[#This Row],[Total Spending before Truncation is Applied]]</f>
        <v>1</v>
      </c>
    </row>
    <row r="480" spans="1:10" x14ac:dyDescent="0.25">
      <c r="A480" s="389"/>
      <c r="B480" s="4"/>
      <c r="C480" s="16"/>
      <c r="D480" s="519"/>
      <c r="E480" s="410"/>
      <c r="F480" s="313"/>
      <c r="G480" s="256"/>
      <c r="H480" s="313"/>
      <c r="I480" s="456"/>
      <c r="J480" s="271" t="b">
        <f>Age_Sex23[[#This Row],[Total Spending After Applying Truncation at the Member Level]]+Age_Sex23[[#This Row],[Total Dollars Excluded from Spending After Applying Truncation at the Member Level]]=Age_Sex23[[#This Row],[Total Spending before Truncation is Applied]]</f>
        <v>1</v>
      </c>
    </row>
    <row r="481" spans="1:10" x14ac:dyDescent="0.25">
      <c r="A481" s="386"/>
      <c r="B481" s="310"/>
      <c r="C481" s="311"/>
      <c r="D481" s="518"/>
      <c r="E481" s="409"/>
      <c r="F481" s="312"/>
      <c r="G481" s="522"/>
      <c r="H481" s="312"/>
      <c r="I481" s="455"/>
      <c r="J481" s="271" t="b">
        <f>Age_Sex23[[#This Row],[Total Spending After Applying Truncation at the Member Level]]+Age_Sex23[[#This Row],[Total Dollars Excluded from Spending After Applying Truncation at the Member Level]]=Age_Sex23[[#This Row],[Total Spending before Truncation is Applied]]</f>
        <v>1</v>
      </c>
    </row>
    <row r="482" spans="1:10" x14ac:dyDescent="0.25">
      <c r="A482" s="389"/>
      <c r="B482" s="4"/>
      <c r="C482" s="16"/>
      <c r="D482" s="519"/>
      <c r="E482" s="410"/>
      <c r="F482" s="313"/>
      <c r="G482" s="256"/>
      <c r="H482" s="313"/>
      <c r="I482" s="456"/>
      <c r="J482" s="271" t="b">
        <f>Age_Sex23[[#This Row],[Total Spending After Applying Truncation at the Member Level]]+Age_Sex23[[#This Row],[Total Dollars Excluded from Spending After Applying Truncation at the Member Level]]=Age_Sex23[[#This Row],[Total Spending before Truncation is Applied]]</f>
        <v>1</v>
      </c>
    </row>
    <row r="483" spans="1:10" x14ac:dyDescent="0.25">
      <c r="A483" s="386"/>
      <c r="B483" s="310"/>
      <c r="C483" s="311"/>
      <c r="D483" s="518"/>
      <c r="E483" s="409"/>
      <c r="F483" s="312"/>
      <c r="G483" s="522"/>
      <c r="H483" s="312"/>
      <c r="I483" s="455"/>
      <c r="J483" s="271" t="b">
        <f>Age_Sex23[[#This Row],[Total Spending After Applying Truncation at the Member Level]]+Age_Sex23[[#This Row],[Total Dollars Excluded from Spending After Applying Truncation at the Member Level]]=Age_Sex23[[#This Row],[Total Spending before Truncation is Applied]]</f>
        <v>1</v>
      </c>
    </row>
    <row r="484" spans="1:10" x14ac:dyDescent="0.25">
      <c r="A484" s="389"/>
      <c r="B484" s="4"/>
      <c r="C484" s="16"/>
      <c r="D484" s="519"/>
      <c r="E484" s="410"/>
      <c r="F484" s="313"/>
      <c r="G484" s="256"/>
      <c r="H484" s="313"/>
      <c r="I484" s="456"/>
      <c r="J484" s="271" t="b">
        <f>Age_Sex23[[#This Row],[Total Spending After Applying Truncation at the Member Level]]+Age_Sex23[[#This Row],[Total Dollars Excluded from Spending After Applying Truncation at the Member Level]]=Age_Sex23[[#This Row],[Total Spending before Truncation is Applied]]</f>
        <v>1</v>
      </c>
    </row>
    <row r="485" spans="1:10" x14ac:dyDescent="0.25">
      <c r="A485" s="386"/>
      <c r="B485" s="310"/>
      <c r="C485" s="311"/>
      <c r="D485" s="518"/>
      <c r="E485" s="409"/>
      <c r="F485" s="312"/>
      <c r="G485" s="522"/>
      <c r="H485" s="312"/>
      <c r="I485" s="455"/>
      <c r="J485" s="271" t="b">
        <f>Age_Sex23[[#This Row],[Total Spending After Applying Truncation at the Member Level]]+Age_Sex23[[#This Row],[Total Dollars Excluded from Spending After Applying Truncation at the Member Level]]=Age_Sex23[[#This Row],[Total Spending before Truncation is Applied]]</f>
        <v>1</v>
      </c>
    </row>
    <row r="486" spans="1:10" x14ac:dyDescent="0.25">
      <c r="A486" s="389"/>
      <c r="B486" s="4"/>
      <c r="C486" s="16"/>
      <c r="D486" s="519"/>
      <c r="E486" s="410"/>
      <c r="F486" s="313"/>
      <c r="G486" s="256"/>
      <c r="H486" s="313"/>
      <c r="I486" s="456"/>
      <c r="J486" s="271" t="b">
        <f>Age_Sex23[[#This Row],[Total Spending After Applying Truncation at the Member Level]]+Age_Sex23[[#This Row],[Total Dollars Excluded from Spending After Applying Truncation at the Member Level]]=Age_Sex23[[#This Row],[Total Spending before Truncation is Applied]]</f>
        <v>1</v>
      </c>
    </row>
    <row r="487" spans="1:10" x14ac:dyDescent="0.25">
      <c r="A487" s="386"/>
      <c r="B487" s="310"/>
      <c r="C487" s="311"/>
      <c r="D487" s="518"/>
      <c r="E487" s="409"/>
      <c r="F487" s="312"/>
      <c r="G487" s="522"/>
      <c r="H487" s="312"/>
      <c r="I487" s="455"/>
      <c r="J487" s="271" t="b">
        <f>Age_Sex23[[#This Row],[Total Spending After Applying Truncation at the Member Level]]+Age_Sex23[[#This Row],[Total Dollars Excluded from Spending After Applying Truncation at the Member Level]]=Age_Sex23[[#This Row],[Total Spending before Truncation is Applied]]</f>
        <v>1</v>
      </c>
    </row>
    <row r="488" spans="1:10" x14ac:dyDescent="0.25">
      <c r="A488" s="389"/>
      <c r="B488" s="4"/>
      <c r="C488" s="16"/>
      <c r="D488" s="519"/>
      <c r="E488" s="410"/>
      <c r="F488" s="313"/>
      <c r="G488" s="256"/>
      <c r="H488" s="313"/>
      <c r="I488" s="456"/>
      <c r="J488" s="271" t="b">
        <f>Age_Sex23[[#This Row],[Total Spending After Applying Truncation at the Member Level]]+Age_Sex23[[#This Row],[Total Dollars Excluded from Spending After Applying Truncation at the Member Level]]=Age_Sex23[[#This Row],[Total Spending before Truncation is Applied]]</f>
        <v>1</v>
      </c>
    </row>
    <row r="489" spans="1:10" x14ac:dyDescent="0.25">
      <c r="A489" s="386"/>
      <c r="B489" s="310"/>
      <c r="C489" s="311"/>
      <c r="D489" s="518"/>
      <c r="E489" s="409"/>
      <c r="F489" s="312"/>
      <c r="G489" s="522"/>
      <c r="H489" s="312"/>
      <c r="I489" s="455"/>
      <c r="J489" s="271" t="b">
        <f>Age_Sex23[[#This Row],[Total Spending After Applying Truncation at the Member Level]]+Age_Sex23[[#This Row],[Total Dollars Excluded from Spending After Applying Truncation at the Member Level]]=Age_Sex23[[#This Row],[Total Spending before Truncation is Applied]]</f>
        <v>1</v>
      </c>
    </row>
    <row r="490" spans="1:10" x14ac:dyDescent="0.25">
      <c r="A490" s="389"/>
      <c r="B490" s="4"/>
      <c r="C490" s="16"/>
      <c r="D490" s="519"/>
      <c r="E490" s="410"/>
      <c r="F490" s="313"/>
      <c r="G490" s="256"/>
      <c r="H490" s="313"/>
      <c r="I490" s="456"/>
      <c r="J490" s="271" t="b">
        <f>Age_Sex23[[#This Row],[Total Spending After Applying Truncation at the Member Level]]+Age_Sex23[[#This Row],[Total Dollars Excluded from Spending After Applying Truncation at the Member Level]]=Age_Sex23[[#This Row],[Total Spending before Truncation is Applied]]</f>
        <v>1</v>
      </c>
    </row>
    <row r="491" spans="1:10" x14ac:dyDescent="0.25">
      <c r="A491" s="386"/>
      <c r="B491" s="310"/>
      <c r="C491" s="311"/>
      <c r="D491" s="518"/>
      <c r="E491" s="409"/>
      <c r="F491" s="312"/>
      <c r="G491" s="522"/>
      <c r="H491" s="312"/>
      <c r="I491" s="455"/>
      <c r="J491" s="271" t="b">
        <f>Age_Sex23[[#This Row],[Total Spending After Applying Truncation at the Member Level]]+Age_Sex23[[#This Row],[Total Dollars Excluded from Spending After Applying Truncation at the Member Level]]=Age_Sex23[[#This Row],[Total Spending before Truncation is Applied]]</f>
        <v>1</v>
      </c>
    </row>
    <row r="492" spans="1:10" x14ac:dyDescent="0.25">
      <c r="A492" s="389"/>
      <c r="B492" s="4"/>
      <c r="C492" s="16"/>
      <c r="D492" s="519"/>
      <c r="E492" s="410"/>
      <c r="F492" s="313"/>
      <c r="G492" s="256"/>
      <c r="H492" s="313"/>
      <c r="I492" s="456"/>
      <c r="J492" s="271" t="b">
        <f>Age_Sex23[[#This Row],[Total Spending After Applying Truncation at the Member Level]]+Age_Sex23[[#This Row],[Total Dollars Excluded from Spending After Applying Truncation at the Member Level]]=Age_Sex23[[#This Row],[Total Spending before Truncation is Applied]]</f>
        <v>1</v>
      </c>
    </row>
    <row r="493" spans="1:10" x14ac:dyDescent="0.25">
      <c r="A493" s="386"/>
      <c r="B493" s="310"/>
      <c r="C493" s="311"/>
      <c r="D493" s="518"/>
      <c r="E493" s="409"/>
      <c r="F493" s="312"/>
      <c r="G493" s="522"/>
      <c r="H493" s="312"/>
      <c r="I493" s="455"/>
      <c r="J493" s="271" t="b">
        <f>Age_Sex23[[#This Row],[Total Spending After Applying Truncation at the Member Level]]+Age_Sex23[[#This Row],[Total Dollars Excluded from Spending After Applying Truncation at the Member Level]]=Age_Sex23[[#This Row],[Total Spending before Truncation is Applied]]</f>
        <v>1</v>
      </c>
    </row>
    <row r="494" spans="1:10" x14ac:dyDescent="0.25">
      <c r="A494" s="389"/>
      <c r="B494" s="4"/>
      <c r="C494" s="16"/>
      <c r="D494" s="519"/>
      <c r="E494" s="410"/>
      <c r="F494" s="313"/>
      <c r="G494" s="256"/>
      <c r="H494" s="313"/>
      <c r="I494" s="456"/>
      <c r="J494" s="271" t="b">
        <f>Age_Sex23[[#This Row],[Total Spending After Applying Truncation at the Member Level]]+Age_Sex23[[#This Row],[Total Dollars Excluded from Spending After Applying Truncation at the Member Level]]=Age_Sex23[[#This Row],[Total Spending before Truncation is Applied]]</f>
        <v>1</v>
      </c>
    </row>
    <row r="495" spans="1:10" x14ac:dyDescent="0.25">
      <c r="A495" s="386"/>
      <c r="B495" s="310"/>
      <c r="C495" s="311"/>
      <c r="D495" s="518"/>
      <c r="E495" s="409"/>
      <c r="F495" s="312"/>
      <c r="G495" s="522"/>
      <c r="H495" s="312"/>
      <c r="I495" s="455"/>
      <c r="J495" s="271" t="b">
        <f>Age_Sex23[[#This Row],[Total Spending After Applying Truncation at the Member Level]]+Age_Sex23[[#This Row],[Total Dollars Excluded from Spending After Applying Truncation at the Member Level]]=Age_Sex23[[#This Row],[Total Spending before Truncation is Applied]]</f>
        <v>1</v>
      </c>
    </row>
    <row r="496" spans="1:10" x14ac:dyDescent="0.25">
      <c r="A496" s="389"/>
      <c r="B496" s="4"/>
      <c r="C496" s="16"/>
      <c r="D496" s="519"/>
      <c r="E496" s="410"/>
      <c r="F496" s="313"/>
      <c r="G496" s="256"/>
      <c r="H496" s="313"/>
      <c r="I496" s="456"/>
      <c r="J496" s="271" t="b">
        <f>Age_Sex23[[#This Row],[Total Spending After Applying Truncation at the Member Level]]+Age_Sex23[[#This Row],[Total Dollars Excluded from Spending After Applying Truncation at the Member Level]]=Age_Sex23[[#This Row],[Total Spending before Truncation is Applied]]</f>
        <v>1</v>
      </c>
    </row>
    <row r="497" spans="1:10" x14ac:dyDescent="0.25">
      <c r="A497" s="386"/>
      <c r="B497" s="310"/>
      <c r="C497" s="311"/>
      <c r="D497" s="518"/>
      <c r="E497" s="409"/>
      <c r="F497" s="312"/>
      <c r="G497" s="522"/>
      <c r="H497" s="312"/>
      <c r="I497" s="455"/>
      <c r="J497" s="271" t="b">
        <f>Age_Sex23[[#This Row],[Total Spending After Applying Truncation at the Member Level]]+Age_Sex23[[#This Row],[Total Dollars Excluded from Spending After Applying Truncation at the Member Level]]=Age_Sex23[[#This Row],[Total Spending before Truncation is Applied]]</f>
        <v>1</v>
      </c>
    </row>
    <row r="498" spans="1:10" x14ac:dyDescent="0.25">
      <c r="A498" s="389"/>
      <c r="B498" s="4"/>
      <c r="C498" s="16"/>
      <c r="D498" s="519"/>
      <c r="E498" s="410"/>
      <c r="F498" s="313"/>
      <c r="G498" s="256"/>
      <c r="H498" s="313"/>
      <c r="I498" s="456"/>
      <c r="J498" s="271" t="b">
        <f>Age_Sex23[[#This Row],[Total Spending After Applying Truncation at the Member Level]]+Age_Sex23[[#This Row],[Total Dollars Excluded from Spending After Applying Truncation at the Member Level]]=Age_Sex23[[#This Row],[Total Spending before Truncation is Applied]]</f>
        <v>1</v>
      </c>
    </row>
    <row r="499" spans="1:10" x14ac:dyDescent="0.25">
      <c r="A499" s="386"/>
      <c r="B499" s="310"/>
      <c r="C499" s="311"/>
      <c r="D499" s="518"/>
      <c r="E499" s="409"/>
      <c r="F499" s="312"/>
      <c r="G499" s="522"/>
      <c r="H499" s="312"/>
      <c r="I499" s="455"/>
      <c r="J499" s="271" t="b">
        <f>Age_Sex23[[#This Row],[Total Spending After Applying Truncation at the Member Level]]+Age_Sex23[[#This Row],[Total Dollars Excluded from Spending After Applying Truncation at the Member Level]]=Age_Sex23[[#This Row],[Total Spending before Truncation is Applied]]</f>
        <v>1</v>
      </c>
    </row>
    <row r="500" spans="1:10" x14ac:dyDescent="0.25">
      <c r="A500" s="389"/>
      <c r="B500" s="4"/>
      <c r="C500" s="16"/>
      <c r="D500" s="519"/>
      <c r="E500" s="410"/>
      <c r="F500" s="313"/>
      <c r="G500" s="256"/>
      <c r="H500" s="313"/>
      <c r="I500" s="456"/>
      <c r="J500" s="271" t="b">
        <f>Age_Sex23[[#This Row],[Total Spending After Applying Truncation at the Member Level]]+Age_Sex23[[#This Row],[Total Dollars Excluded from Spending After Applying Truncation at the Member Level]]=Age_Sex23[[#This Row],[Total Spending before Truncation is Applied]]</f>
        <v>1</v>
      </c>
    </row>
    <row r="501" spans="1:10" x14ac:dyDescent="0.25">
      <c r="A501" s="386"/>
      <c r="B501" s="310"/>
      <c r="C501" s="311"/>
      <c r="D501" s="518"/>
      <c r="E501" s="409"/>
      <c r="F501" s="312"/>
      <c r="G501" s="522"/>
      <c r="H501" s="312"/>
      <c r="I501" s="455"/>
      <c r="J501" s="271" t="b">
        <f>Age_Sex23[[#This Row],[Total Spending After Applying Truncation at the Member Level]]+Age_Sex23[[#This Row],[Total Dollars Excluded from Spending After Applying Truncation at the Member Level]]=Age_Sex23[[#This Row],[Total Spending before Truncation is Applied]]</f>
        <v>1</v>
      </c>
    </row>
    <row r="502" spans="1:10" x14ac:dyDescent="0.25">
      <c r="A502" s="389"/>
      <c r="B502" s="4"/>
      <c r="C502" s="16"/>
      <c r="D502" s="519"/>
      <c r="E502" s="410"/>
      <c r="F502" s="313"/>
      <c r="G502" s="256"/>
      <c r="H502" s="313"/>
      <c r="I502" s="456"/>
      <c r="J502" s="271" t="b">
        <f>Age_Sex23[[#This Row],[Total Spending After Applying Truncation at the Member Level]]+Age_Sex23[[#This Row],[Total Dollars Excluded from Spending After Applying Truncation at the Member Level]]=Age_Sex23[[#This Row],[Total Spending before Truncation is Applied]]</f>
        <v>1</v>
      </c>
    </row>
    <row r="503" spans="1:10" x14ac:dyDescent="0.25">
      <c r="A503" s="386"/>
      <c r="B503" s="310"/>
      <c r="C503" s="311"/>
      <c r="D503" s="518"/>
      <c r="E503" s="409"/>
      <c r="F503" s="312"/>
      <c r="G503" s="522"/>
      <c r="H503" s="312"/>
      <c r="I503" s="455"/>
      <c r="J503" s="271" t="b">
        <f>Age_Sex23[[#This Row],[Total Spending After Applying Truncation at the Member Level]]+Age_Sex23[[#This Row],[Total Dollars Excluded from Spending After Applying Truncation at the Member Level]]=Age_Sex23[[#This Row],[Total Spending before Truncation is Applied]]</f>
        <v>1</v>
      </c>
    </row>
    <row r="504" spans="1:10" x14ac:dyDescent="0.25">
      <c r="A504" s="389"/>
      <c r="B504" s="4"/>
      <c r="C504" s="16"/>
      <c r="D504" s="519"/>
      <c r="E504" s="410"/>
      <c r="F504" s="313"/>
      <c r="G504" s="256"/>
      <c r="H504" s="313"/>
      <c r="I504" s="456"/>
      <c r="J504" s="271" t="b">
        <f>Age_Sex23[[#This Row],[Total Spending After Applying Truncation at the Member Level]]+Age_Sex23[[#This Row],[Total Dollars Excluded from Spending After Applying Truncation at the Member Level]]=Age_Sex23[[#This Row],[Total Spending before Truncation is Applied]]</f>
        <v>1</v>
      </c>
    </row>
    <row r="505" spans="1:10" x14ac:dyDescent="0.25">
      <c r="A505" s="386"/>
      <c r="B505" s="310"/>
      <c r="C505" s="311"/>
      <c r="D505" s="518"/>
      <c r="E505" s="409"/>
      <c r="F505" s="312"/>
      <c r="G505" s="522"/>
      <c r="H505" s="312"/>
      <c r="I505" s="455"/>
      <c r="J505" s="271" t="b">
        <f>Age_Sex23[[#This Row],[Total Spending After Applying Truncation at the Member Level]]+Age_Sex23[[#This Row],[Total Dollars Excluded from Spending After Applying Truncation at the Member Level]]=Age_Sex23[[#This Row],[Total Spending before Truncation is Applied]]</f>
        <v>1</v>
      </c>
    </row>
    <row r="506" spans="1:10" x14ac:dyDescent="0.25">
      <c r="A506" s="389"/>
      <c r="B506" s="4"/>
      <c r="C506" s="16"/>
      <c r="D506" s="519"/>
      <c r="E506" s="410"/>
      <c r="F506" s="313"/>
      <c r="G506" s="256"/>
      <c r="H506" s="313"/>
      <c r="I506" s="456"/>
      <c r="J506" s="271" t="b">
        <f>Age_Sex23[[#This Row],[Total Spending After Applying Truncation at the Member Level]]+Age_Sex23[[#This Row],[Total Dollars Excluded from Spending After Applying Truncation at the Member Level]]=Age_Sex23[[#This Row],[Total Spending before Truncation is Applied]]</f>
        <v>1</v>
      </c>
    </row>
    <row r="507" spans="1:10" x14ac:dyDescent="0.25">
      <c r="A507" s="386"/>
      <c r="B507" s="310"/>
      <c r="C507" s="311"/>
      <c r="D507" s="518"/>
      <c r="E507" s="409"/>
      <c r="F507" s="312"/>
      <c r="G507" s="522"/>
      <c r="H507" s="312"/>
      <c r="I507" s="455"/>
      <c r="J507" s="271" t="b">
        <f>Age_Sex23[[#This Row],[Total Spending After Applying Truncation at the Member Level]]+Age_Sex23[[#This Row],[Total Dollars Excluded from Spending After Applying Truncation at the Member Level]]=Age_Sex23[[#This Row],[Total Spending before Truncation is Applied]]</f>
        <v>1</v>
      </c>
    </row>
    <row r="508" spans="1:10" x14ac:dyDescent="0.25">
      <c r="A508" s="389"/>
      <c r="B508" s="4"/>
      <c r="C508" s="16"/>
      <c r="D508" s="519"/>
      <c r="E508" s="410"/>
      <c r="F508" s="313"/>
      <c r="G508" s="256"/>
      <c r="H508" s="313"/>
      <c r="I508" s="456"/>
      <c r="J508" s="271" t="b">
        <f>Age_Sex23[[#This Row],[Total Spending After Applying Truncation at the Member Level]]+Age_Sex23[[#This Row],[Total Dollars Excluded from Spending After Applying Truncation at the Member Level]]=Age_Sex23[[#This Row],[Total Spending before Truncation is Applied]]</f>
        <v>1</v>
      </c>
    </row>
    <row r="509" spans="1:10" x14ac:dyDescent="0.25">
      <c r="A509" s="386"/>
      <c r="B509" s="310"/>
      <c r="C509" s="311"/>
      <c r="D509" s="518"/>
      <c r="E509" s="409"/>
      <c r="F509" s="312"/>
      <c r="G509" s="522"/>
      <c r="H509" s="312"/>
      <c r="I509" s="455"/>
      <c r="J509" s="271" t="b">
        <f>Age_Sex23[[#This Row],[Total Spending After Applying Truncation at the Member Level]]+Age_Sex23[[#This Row],[Total Dollars Excluded from Spending After Applying Truncation at the Member Level]]=Age_Sex23[[#This Row],[Total Spending before Truncation is Applied]]</f>
        <v>1</v>
      </c>
    </row>
    <row r="510" spans="1:10" x14ac:dyDescent="0.25">
      <c r="A510" s="389"/>
      <c r="B510" s="4"/>
      <c r="C510" s="16"/>
      <c r="D510" s="519"/>
      <c r="E510" s="410"/>
      <c r="F510" s="313"/>
      <c r="G510" s="256"/>
      <c r="H510" s="313"/>
      <c r="I510" s="456"/>
      <c r="J510" s="271" t="b">
        <f>Age_Sex23[[#This Row],[Total Spending After Applying Truncation at the Member Level]]+Age_Sex23[[#This Row],[Total Dollars Excluded from Spending After Applying Truncation at the Member Level]]=Age_Sex23[[#This Row],[Total Spending before Truncation is Applied]]</f>
        <v>1</v>
      </c>
    </row>
    <row r="511" spans="1:10" x14ac:dyDescent="0.25">
      <c r="A511" s="386"/>
      <c r="B511" s="310"/>
      <c r="C511" s="311"/>
      <c r="D511" s="518"/>
      <c r="E511" s="409"/>
      <c r="F511" s="312"/>
      <c r="G511" s="522"/>
      <c r="H511" s="312"/>
      <c r="I511" s="455"/>
      <c r="J511" s="271" t="b">
        <f>Age_Sex23[[#This Row],[Total Spending After Applying Truncation at the Member Level]]+Age_Sex23[[#This Row],[Total Dollars Excluded from Spending After Applying Truncation at the Member Level]]=Age_Sex23[[#This Row],[Total Spending before Truncation is Applied]]</f>
        <v>1</v>
      </c>
    </row>
    <row r="512" spans="1:10" x14ac:dyDescent="0.25">
      <c r="A512" s="389"/>
      <c r="B512" s="4"/>
      <c r="C512" s="16"/>
      <c r="D512" s="519"/>
      <c r="E512" s="410"/>
      <c r="F512" s="313"/>
      <c r="G512" s="256"/>
      <c r="H512" s="313"/>
      <c r="I512" s="456"/>
      <c r="J512" s="271" t="b">
        <f>Age_Sex23[[#This Row],[Total Spending After Applying Truncation at the Member Level]]+Age_Sex23[[#This Row],[Total Dollars Excluded from Spending After Applying Truncation at the Member Level]]=Age_Sex23[[#This Row],[Total Spending before Truncation is Applied]]</f>
        <v>1</v>
      </c>
    </row>
    <row r="513" spans="1:10" x14ac:dyDescent="0.25">
      <c r="A513" s="386"/>
      <c r="B513" s="310"/>
      <c r="C513" s="311"/>
      <c r="D513" s="518"/>
      <c r="E513" s="409"/>
      <c r="F513" s="312"/>
      <c r="G513" s="522"/>
      <c r="H513" s="312"/>
      <c r="I513" s="455"/>
      <c r="J513" s="271" t="b">
        <f>Age_Sex23[[#This Row],[Total Spending After Applying Truncation at the Member Level]]+Age_Sex23[[#This Row],[Total Dollars Excluded from Spending After Applying Truncation at the Member Level]]=Age_Sex23[[#This Row],[Total Spending before Truncation is Applied]]</f>
        <v>1</v>
      </c>
    </row>
    <row r="514" spans="1:10" x14ac:dyDescent="0.25">
      <c r="A514" s="389"/>
      <c r="B514" s="4"/>
      <c r="C514" s="16"/>
      <c r="D514" s="519"/>
      <c r="E514" s="410"/>
      <c r="F514" s="313"/>
      <c r="G514" s="256"/>
      <c r="H514" s="313"/>
      <c r="I514" s="456"/>
      <c r="J514" s="271" t="b">
        <f>Age_Sex23[[#This Row],[Total Spending After Applying Truncation at the Member Level]]+Age_Sex23[[#This Row],[Total Dollars Excluded from Spending After Applying Truncation at the Member Level]]=Age_Sex23[[#This Row],[Total Spending before Truncation is Applied]]</f>
        <v>1</v>
      </c>
    </row>
    <row r="515" spans="1:10" x14ac:dyDescent="0.25">
      <c r="A515" s="386"/>
      <c r="B515" s="310"/>
      <c r="C515" s="311"/>
      <c r="D515" s="518"/>
      <c r="E515" s="409"/>
      <c r="F515" s="312"/>
      <c r="G515" s="522"/>
      <c r="H515" s="312"/>
      <c r="I515" s="455"/>
      <c r="J515" s="271" t="b">
        <f>Age_Sex23[[#This Row],[Total Spending After Applying Truncation at the Member Level]]+Age_Sex23[[#This Row],[Total Dollars Excluded from Spending After Applying Truncation at the Member Level]]=Age_Sex23[[#This Row],[Total Spending before Truncation is Applied]]</f>
        <v>1</v>
      </c>
    </row>
    <row r="516" spans="1:10" x14ac:dyDescent="0.25">
      <c r="A516" s="389"/>
      <c r="B516" s="4"/>
      <c r="C516" s="16"/>
      <c r="D516" s="519"/>
      <c r="E516" s="410"/>
      <c r="F516" s="313"/>
      <c r="G516" s="256"/>
      <c r="H516" s="313"/>
      <c r="I516" s="456"/>
      <c r="J516" s="271" t="b">
        <f>Age_Sex23[[#This Row],[Total Spending After Applying Truncation at the Member Level]]+Age_Sex23[[#This Row],[Total Dollars Excluded from Spending After Applying Truncation at the Member Level]]=Age_Sex23[[#This Row],[Total Spending before Truncation is Applied]]</f>
        <v>1</v>
      </c>
    </row>
    <row r="517" spans="1:10" x14ac:dyDescent="0.25">
      <c r="A517" s="386"/>
      <c r="B517" s="310"/>
      <c r="C517" s="311"/>
      <c r="D517" s="518"/>
      <c r="E517" s="409"/>
      <c r="F517" s="312"/>
      <c r="G517" s="522"/>
      <c r="H517" s="312"/>
      <c r="I517" s="455"/>
      <c r="J517" s="271" t="b">
        <f>Age_Sex23[[#This Row],[Total Spending After Applying Truncation at the Member Level]]+Age_Sex23[[#This Row],[Total Dollars Excluded from Spending After Applying Truncation at the Member Level]]=Age_Sex23[[#This Row],[Total Spending before Truncation is Applied]]</f>
        <v>1</v>
      </c>
    </row>
    <row r="518" spans="1:10" x14ac:dyDescent="0.25">
      <c r="A518" s="389"/>
      <c r="B518" s="4"/>
      <c r="C518" s="16"/>
      <c r="D518" s="519"/>
      <c r="E518" s="410"/>
      <c r="F518" s="313"/>
      <c r="G518" s="256"/>
      <c r="H518" s="313"/>
      <c r="I518" s="456"/>
      <c r="J518" s="271" t="b">
        <f>Age_Sex23[[#This Row],[Total Spending After Applying Truncation at the Member Level]]+Age_Sex23[[#This Row],[Total Dollars Excluded from Spending After Applying Truncation at the Member Level]]=Age_Sex23[[#This Row],[Total Spending before Truncation is Applied]]</f>
        <v>1</v>
      </c>
    </row>
    <row r="519" spans="1:10" x14ac:dyDescent="0.25">
      <c r="A519" s="386"/>
      <c r="B519" s="310"/>
      <c r="C519" s="311"/>
      <c r="D519" s="518"/>
      <c r="E519" s="409"/>
      <c r="F519" s="312"/>
      <c r="G519" s="522"/>
      <c r="H519" s="312"/>
      <c r="I519" s="455"/>
      <c r="J519" s="271" t="b">
        <f>Age_Sex23[[#This Row],[Total Spending After Applying Truncation at the Member Level]]+Age_Sex23[[#This Row],[Total Dollars Excluded from Spending After Applying Truncation at the Member Level]]=Age_Sex23[[#This Row],[Total Spending before Truncation is Applied]]</f>
        <v>1</v>
      </c>
    </row>
    <row r="520" spans="1:10" x14ac:dyDescent="0.25">
      <c r="A520" s="389"/>
      <c r="B520" s="4"/>
      <c r="C520" s="16"/>
      <c r="D520" s="519"/>
      <c r="E520" s="410"/>
      <c r="F520" s="313"/>
      <c r="G520" s="256"/>
      <c r="H520" s="313"/>
      <c r="I520" s="456"/>
      <c r="J520" s="271" t="b">
        <f>Age_Sex23[[#This Row],[Total Spending After Applying Truncation at the Member Level]]+Age_Sex23[[#This Row],[Total Dollars Excluded from Spending After Applying Truncation at the Member Level]]=Age_Sex23[[#This Row],[Total Spending before Truncation is Applied]]</f>
        <v>1</v>
      </c>
    </row>
    <row r="521" spans="1:10" x14ac:dyDescent="0.25">
      <c r="A521" s="386"/>
      <c r="B521" s="310"/>
      <c r="C521" s="311"/>
      <c r="D521" s="518"/>
      <c r="E521" s="409"/>
      <c r="F521" s="312"/>
      <c r="G521" s="522"/>
      <c r="H521" s="312"/>
      <c r="I521" s="455"/>
      <c r="J521" s="271" t="b">
        <f>Age_Sex23[[#This Row],[Total Spending After Applying Truncation at the Member Level]]+Age_Sex23[[#This Row],[Total Dollars Excluded from Spending After Applying Truncation at the Member Level]]=Age_Sex23[[#This Row],[Total Spending before Truncation is Applied]]</f>
        <v>1</v>
      </c>
    </row>
    <row r="522" spans="1:10" x14ac:dyDescent="0.25">
      <c r="A522" s="389"/>
      <c r="B522" s="4"/>
      <c r="C522" s="16"/>
      <c r="D522" s="519"/>
      <c r="E522" s="410"/>
      <c r="F522" s="313"/>
      <c r="G522" s="256"/>
      <c r="H522" s="313"/>
      <c r="I522" s="456"/>
      <c r="J522" s="271" t="b">
        <f>Age_Sex23[[#This Row],[Total Spending After Applying Truncation at the Member Level]]+Age_Sex23[[#This Row],[Total Dollars Excluded from Spending After Applying Truncation at the Member Level]]=Age_Sex23[[#This Row],[Total Spending before Truncation is Applied]]</f>
        <v>1</v>
      </c>
    </row>
    <row r="523" spans="1:10" x14ac:dyDescent="0.25">
      <c r="A523" s="386"/>
      <c r="B523" s="310"/>
      <c r="C523" s="311"/>
      <c r="D523" s="518"/>
      <c r="E523" s="409"/>
      <c r="F523" s="312"/>
      <c r="G523" s="522"/>
      <c r="H523" s="312"/>
      <c r="I523" s="455"/>
      <c r="J523" s="271" t="b">
        <f>Age_Sex23[[#This Row],[Total Spending After Applying Truncation at the Member Level]]+Age_Sex23[[#This Row],[Total Dollars Excluded from Spending After Applying Truncation at the Member Level]]=Age_Sex23[[#This Row],[Total Spending before Truncation is Applied]]</f>
        <v>1</v>
      </c>
    </row>
    <row r="524" spans="1:10" x14ac:dyDescent="0.25">
      <c r="A524" s="389"/>
      <c r="B524" s="4"/>
      <c r="C524" s="16"/>
      <c r="D524" s="519"/>
      <c r="E524" s="410"/>
      <c r="F524" s="313"/>
      <c r="G524" s="256"/>
      <c r="H524" s="313"/>
      <c r="I524" s="456"/>
      <c r="J524" s="271" t="b">
        <f>Age_Sex23[[#This Row],[Total Spending After Applying Truncation at the Member Level]]+Age_Sex23[[#This Row],[Total Dollars Excluded from Spending After Applying Truncation at the Member Level]]=Age_Sex23[[#This Row],[Total Spending before Truncation is Applied]]</f>
        <v>1</v>
      </c>
    </row>
    <row r="525" spans="1:10" x14ac:dyDescent="0.25">
      <c r="A525" s="386"/>
      <c r="B525" s="310"/>
      <c r="C525" s="311"/>
      <c r="D525" s="518"/>
      <c r="E525" s="409"/>
      <c r="F525" s="312"/>
      <c r="G525" s="522"/>
      <c r="H525" s="312"/>
      <c r="I525" s="455"/>
      <c r="J525" s="271" t="b">
        <f>Age_Sex23[[#This Row],[Total Spending After Applying Truncation at the Member Level]]+Age_Sex23[[#This Row],[Total Dollars Excluded from Spending After Applying Truncation at the Member Level]]=Age_Sex23[[#This Row],[Total Spending before Truncation is Applied]]</f>
        <v>1</v>
      </c>
    </row>
    <row r="526" spans="1:10" x14ac:dyDescent="0.25">
      <c r="A526" s="389"/>
      <c r="B526" s="4"/>
      <c r="C526" s="16"/>
      <c r="D526" s="519"/>
      <c r="E526" s="410"/>
      <c r="F526" s="313"/>
      <c r="G526" s="256"/>
      <c r="H526" s="313"/>
      <c r="I526" s="456"/>
      <c r="J526" s="271" t="b">
        <f>Age_Sex23[[#This Row],[Total Spending After Applying Truncation at the Member Level]]+Age_Sex23[[#This Row],[Total Dollars Excluded from Spending After Applying Truncation at the Member Level]]=Age_Sex23[[#This Row],[Total Spending before Truncation is Applied]]</f>
        <v>1</v>
      </c>
    </row>
    <row r="527" spans="1:10" x14ac:dyDescent="0.25">
      <c r="A527" s="386"/>
      <c r="B527" s="310"/>
      <c r="C527" s="311"/>
      <c r="D527" s="518"/>
      <c r="E527" s="409"/>
      <c r="F527" s="312"/>
      <c r="G527" s="522"/>
      <c r="H527" s="312"/>
      <c r="I527" s="455"/>
      <c r="J527" s="271" t="b">
        <f>Age_Sex23[[#This Row],[Total Spending After Applying Truncation at the Member Level]]+Age_Sex23[[#This Row],[Total Dollars Excluded from Spending After Applying Truncation at the Member Level]]=Age_Sex23[[#This Row],[Total Spending before Truncation is Applied]]</f>
        <v>1</v>
      </c>
    </row>
    <row r="528" spans="1:10" x14ac:dyDescent="0.25">
      <c r="A528" s="389"/>
      <c r="B528" s="4"/>
      <c r="C528" s="16"/>
      <c r="D528" s="519"/>
      <c r="E528" s="410"/>
      <c r="F528" s="313"/>
      <c r="G528" s="256"/>
      <c r="H528" s="313"/>
      <c r="I528" s="456"/>
      <c r="J528" s="271" t="b">
        <f>Age_Sex23[[#This Row],[Total Spending After Applying Truncation at the Member Level]]+Age_Sex23[[#This Row],[Total Dollars Excluded from Spending After Applying Truncation at the Member Level]]=Age_Sex23[[#This Row],[Total Spending before Truncation is Applied]]</f>
        <v>1</v>
      </c>
    </row>
    <row r="529" spans="1:10" x14ac:dyDescent="0.25">
      <c r="A529" s="386"/>
      <c r="B529" s="310"/>
      <c r="C529" s="311"/>
      <c r="D529" s="518"/>
      <c r="E529" s="409"/>
      <c r="F529" s="312"/>
      <c r="G529" s="522"/>
      <c r="H529" s="312"/>
      <c r="I529" s="455"/>
      <c r="J529" s="271" t="b">
        <f>Age_Sex23[[#This Row],[Total Spending After Applying Truncation at the Member Level]]+Age_Sex23[[#This Row],[Total Dollars Excluded from Spending After Applying Truncation at the Member Level]]=Age_Sex23[[#This Row],[Total Spending before Truncation is Applied]]</f>
        <v>1</v>
      </c>
    </row>
    <row r="530" spans="1:10" x14ac:dyDescent="0.25">
      <c r="A530" s="389"/>
      <c r="B530" s="4"/>
      <c r="C530" s="16"/>
      <c r="D530" s="519"/>
      <c r="E530" s="410"/>
      <c r="F530" s="313"/>
      <c r="G530" s="256"/>
      <c r="H530" s="313"/>
      <c r="I530" s="456"/>
      <c r="J530" s="271" t="b">
        <f>Age_Sex23[[#This Row],[Total Spending After Applying Truncation at the Member Level]]+Age_Sex23[[#This Row],[Total Dollars Excluded from Spending After Applying Truncation at the Member Level]]=Age_Sex23[[#This Row],[Total Spending before Truncation is Applied]]</f>
        <v>1</v>
      </c>
    </row>
    <row r="531" spans="1:10" x14ac:dyDescent="0.25">
      <c r="A531" s="386"/>
      <c r="B531" s="310"/>
      <c r="C531" s="311"/>
      <c r="D531" s="518"/>
      <c r="E531" s="409"/>
      <c r="F531" s="312"/>
      <c r="G531" s="522"/>
      <c r="H531" s="312"/>
      <c r="I531" s="455"/>
      <c r="J531" s="271" t="b">
        <f>Age_Sex23[[#This Row],[Total Spending After Applying Truncation at the Member Level]]+Age_Sex23[[#This Row],[Total Dollars Excluded from Spending After Applying Truncation at the Member Level]]=Age_Sex23[[#This Row],[Total Spending before Truncation is Applied]]</f>
        <v>1</v>
      </c>
    </row>
    <row r="532" spans="1:10" x14ac:dyDescent="0.25">
      <c r="A532" s="389"/>
      <c r="B532" s="4"/>
      <c r="C532" s="16"/>
      <c r="D532" s="519"/>
      <c r="E532" s="410"/>
      <c r="F532" s="313"/>
      <c r="G532" s="256"/>
      <c r="H532" s="313"/>
      <c r="I532" s="456"/>
      <c r="J532" s="271" t="b">
        <f>Age_Sex23[[#This Row],[Total Spending After Applying Truncation at the Member Level]]+Age_Sex23[[#This Row],[Total Dollars Excluded from Spending After Applying Truncation at the Member Level]]=Age_Sex23[[#This Row],[Total Spending before Truncation is Applied]]</f>
        <v>1</v>
      </c>
    </row>
    <row r="533" spans="1:10" x14ac:dyDescent="0.25">
      <c r="A533" s="386"/>
      <c r="B533" s="310"/>
      <c r="C533" s="311"/>
      <c r="D533" s="518"/>
      <c r="E533" s="409"/>
      <c r="F533" s="312"/>
      <c r="G533" s="522"/>
      <c r="H533" s="312"/>
      <c r="I533" s="455"/>
      <c r="J533" s="271" t="b">
        <f>Age_Sex23[[#This Row],[Total Spending After Applying Truncation at the Member Level]]+Age_Sex23[[#This Row],[Total Dollars Excluded from Spending After Applying Truncation at the Member Level]]=Age_Sex23[[#This Row],[Total Spending before Truncation is Applied]]</f>
        <v>1</v>
      </c>
    </row>
    <row r="534" spans="1:10" x14ac:dyDescent="0.25">
      <c r="A534" s="389"/>
      <c r="B534" s="4"/>
      <c r="C534" s="16"/>
      <c r="D534" s="519"/>
      <c r="E534" s="410"/>
      <c r="F534" s="313"/>
      <c r="G534" s="256"/>
      <c r="H534" s="313"/>
      <c r="I534" s="456"/>
      <c r="J534" s="271" t="b">
        <f>Age_Sex23[[#This Row],[Total Spending After Applying Truncation at the Member Level]]+Age_Sex23[[#This Row],[Total Dollars Excluded from Spending After Applying Truncation at the Member Level]]=Age_Sex23[[#This Row],[Total Spending before Truncation is Applied]]</f>
        <v>1</v>
      </c>
    </row>
    <row r="535" spans="1:10" x14ac:dyDescent="0.25">
      <c r="A535" s="386"/>
      <c r="B535" s="310"/>
      <c r="C535" s="311"/>
      <c r="D535" s="518"/>
      <c r="E535" s="409"/>
      <c r="F535" s="312"/>
      <c r="G535" s="522"/>
      <c r="H535" s="312"/>
      <c r="I535" s="455"/>
      <c r="J535" s="271" t="b">
        <f>Age_Sex23[[#This Row],[Total Spending After Applying Truncation at the Member Level]]+Age_Sex23[[#This Row],[Total Dollars Excluded from Spending After Applying Truncation at the Member Level]]=Age_Sex23[[#This Row],[Total Spending before Truncation is Applied]]</f>
        <v>1</v>
      </c>
    </row>
    <row r="536" spans="1:10" x14ac:dyDescent="0.25">
      <c r="A536" s="389"/>
      <c r="B536" s="4"/>
      <c r="C536" s="16"/>
      <c r="D536" s="519"/>
      <c r="E536" s="410"/>
      <c r="F536" s="313"/>
      <c r="G536" s="256"/>
      <c r="H536" s="313"/>
      <c r="I536" s="456"/>
      <c r="J536" s="271" t="b">
        <f>Age_Sex23[[#This Row],[Total Spending After Applying Truncation at the Member Level]]+Age_Sex23[[#This Row],[Total Dollars Excluded from Spending After Applying Truncation at the Member Level]]=Age_Sex23[[#This Row],[Total Spending before Truncation is Applied]]</f>
        <v>1</v>
      </c>
    </row>
    <row r="537" spans="1:10" x14ac:dyDescent="0.25">
      <c r="A537" s="386"/>
      <c r="B537" s="310"/>
      <c r="C537" s="311"/>
      <c r="D537" s="518"/>
      <c r="E537" s="409"/>
      <c r="F537" s="312"/>
      <c r="G537" s="522"/>
      <c r="H537" s="312"/>
      <c r="I537" s="455"/>
      <c r="J537" s="271" t="b">
        <f>Age_Sex23[[#This Row],[Total Spending After Applying Truncation at the Member Level]]+Age_Sex23[[#This Row],[Total Dollars Excluded from Spending After Applying Truncation at the Member Level]]=Age_Sex23[[#This Row],[Total Spending before Truncation is Applied]]</f>
        <v>1</v>
      </c>
    </row>
    <row r="538" spans="1:10" x14ac:dyDescent="0.25">
      <c r="A538" s="389"/>
      <c r="B538" s="4"/>
      <c r="C538" s="16"/>
      <c r="D538" s="519"/>
      <c r="E538" s="410"/>
      <c r="F538" s="313"/>
      <c r="G538" s="256"/>
      <c r="H538" s="313"/>
      <c r="I538" s="456"/>
      <c r="J538" s="271" t="b">
        <f>Age_Sex23[[#This Row],[Total Spending After Applying Truncation at the Member Level]]+Age_Sex23[[#This Row],[Total Dollars Excluded from Spending After Applying Truncation at the Member Level]]=Age_Sex23[[#This Row],[Total Spending before Truncation is Applied]]</f>
        <v>1</v>
      </c>
    </row>
    <row r="539" spans="1:10" x14ac:dyDescent="0.25">
      <c r="A539" s="386"/>
      <c r="B539" s="310"/>
      <c r="C539" s="311"/>
      <c r="D539" s="518"/>
      <c r="E539" s="409"/>
      <c r="F539" s="312"/>
      <c r="G539" s="522"/>
      <c r="H539" s="312"/>
      <c r="I539" s="455"/>
      <c r="J539" s="271" t="b">
        <f>Age_Sex23[[#This Row],[Total Spending After Applying Truncation at the Member Level]]+Age_Sex23[[#This Row],[Total Dollars Excluded from Spending After Applying Truncation at the Member Level]]=Age_Sex23[[#This Row],[Total Spending before Truncation is Applied]]</f>
        <v>1</v>
      </c>
    </row>
    <row r="540" spans="1:10" x14ac:dyDescent="0.25">
      <c r="A540" s="389"/>
      <c r="B540" s="4"/>
      <c r="C540" s="16"/>
      <c r="D540" s="519"/>
      <c r="E540" s="410"/>
      <c r="F540" s="313"/>
      <c r="G540" s="256"/>
      <c r="H540" s="313"/>
      <c r="I540" s="456"/>
      <c r="J540" s="271" t="b">
        <f>Age_Sex23[[#This Row],[Total Spending After Applying Truncation at the Member Level]]+Age_Sex23[[#This Row],[Total Dollars Excluded from Spending After Applying Truncation at the Member Level]]=Age_Sex23[[#This Row],[Total Spending before Truncation is Applied]]</f>
        <v>1</v>
      </c>
    </row>
    <row r="541" spans="1:10" x14ac:dyDescent="0.25">
      <c r="A541" s="386"/>
      <c r="B541" s="310"/>
      <c r="C541" s="311"/>
      <c r="D541" s="518"/>
      <c r="E541" s="409"/>
      <c r="F541" s="312"/>
      <c r="G541" s="522"/>
      <c r="H541" s="312"/>
      <c r="I541" s="455"/>
      <c r="J541" s="271" t="b">
        <f>Age_Sex23[[#This Row],[Total Spending After Applying Truncation at the Member Level]]+Age_Sex23[[#This Row],[Total Dollars Excluded from Spending After Applying Truncation at the Member Level]]=Age_Sex23[[#This Row],[Total Spending before Truncation is Applied]]</f>
        <v>1</v>
      </c>
    </row>
    <row r="542" spans="1:10" x14ac:dyDescent="0.25">
      <c r="A542" s="389"/>
      <c r="B542" s="4"/>
      <c r="C542" s="16"/>
      <c r="D542" s="519"/>
      <c r="E542" s="410"/>
      <c r="F542" s="313"/>
      <c r="G542" s="256"/>
      <c r="H542" s="313"/>
      <c r="I542" s="456"/>
      <c r="J542" s="271" t="b">
        <f>Age_Sex23[[#This Row],[Total Spending After Applying Truncation at the Member Level]]+Age_Sex23[[#This Row],[Total Dollars Excluded from Spending After Applying Truncation at the Member Level]]=Age_Sex23[[#This Row],[Total Spending before Truncation is Applied]]</f>
        <v>1</v>
      </c>
    </row>
    <row r="543" spans="1:10" x14ac:dyDescent="0.25">
      <c r="A543" s="386"/>
      <c r="B543" s="310"/>
      <c r="C543" s="311"/>
      <c r="D543" s="518"/>
      <c r="E543" s="409"/>
      <c r="F543" s="312"/>
      <c r="G543" s="522"/>
      <c r="H543" s="312"/>
      <c r="I543" s="455"/>
      <c r="J543" s="271" t="b">
        <f>Age_Sex23[[#This Row],[Total Spending After Applying Truncation at the Member Level]]+Age_Sex23[[#This Row],[Total Dollars Excluded from Spending After Applying Truncation at the Member Level]]=Age_Sex23[[#This Row],[Total Spending before Truncation is Applied]]</f>
        <v>1</v>
      </c>
    </row>
    <row r="544" spans="1:10" x14ac:dyDescent="0.25">
      <c r="A544" s="389"/>
      <c r="B544" s="4"/>
      <c r="C544" s="16"/>
      <c r="D544" s="519"/>
      <c r="E544" s="410"/>
      <c r="F544" s="313"/>
      <c r="G544" s="256"/>
      <c r="H544" s="313"/>
      <c r="I544" s="456"/>
      <c r="J544" s="271" t="b">
        <f>Age_Sex23[[#This Row],[Total Spending After Applying Truncation at the Member Level]]+Age_Sex23[[#This Row],[Total Dollars Excluded from Spending After Applying Truncation at the Member Level]]=Age_Sex23[[#This Row],[Total Spending before Truncation is Applied]]</f>
        <v>1</v>
      </c>
    </row>
    <row r="545" spans="1:10" x14ac:dyDescent="0.25">
      <c r="A545" s="386"/>
      <c r="B545" s="310"/>
      <c r="C545" s="311"/>
      <c r="D545" s="518"/>
      <c r="E545" s="409"/>
      <c r="F545" s="312"/>
      <c r="G545" s="522"/>
      <c r="H545" s="312"/>
      <c r="I545" s="455"/>
      <c r="J545" s="271" t="b">
        <f>Age_Sex23[[#This Row],[Total Spending After Applying Truncation at the Member Level]]+Age_Sex23[[#This Row],[Total Dollars Excluded from Spending After Applying Truncation at the Member Level]]=Age_Sex23[[#This Row],[Total Spending before Truncation is Applied]]</f>
        <v>1</v>
      </c>
    </row>
    <row r="546" spans="1:10" x14ac:dyDescent="0.25">
      <c r="A546" s="389"/>
      <c r="B546" s="4"/>
      <c r="C546" s="16"/>
      <c r="D546" s="519"/>
      <c r="E546" s="410"/>
      <c r="F546" s="313"/>
      <c r="G546" s="256"/>
      <c r="H546" s="313"/>
      <c r="I546" s="456"/>
      <c r="J546" s="271" t="b">
        <f>Age_Sex23[[#This Row],[Total Spending After Applying Truncation at the Member Level]]+Age_Sex23[[#This Row],[Total Dollars Excluded from Spending After Applying Truncation at the Member Level]]=Age_Sex23[[#This Row],[Total Spending before Truncation is Applied]]</f>
        <v>1</v>
      </c>
    </row>
    <row r="547" spans="1:10" x14ac:dyDescent="0.25">
      <c r="A547" s="386"/>
      <c r="B547" s="310"/>
      <c r="C547" s="311"/>
      <c r="D547" s="518"/>
      <c r="E547" s="409"/>
      <c r="F547" s="312"/>
      <c r="G547" s="522"/>
      <c r="H547" s="312"/>
      <c r="I547" s="455"/>
      <c r="J547" s="271" t="b">
        <f>Age_Sex23[[#This Row],[Total Spending After Applying Truncation at the Member Level]]+Age_Sex23[[#This Row],[Total Dollars Excluded from Spending After Applying Truncation at the Member Level]]=Age_Sex23[[#This Row],[Total Spending before Truncation is Applied]]</f>
        <v>1</v>
      </c>
    </row>
    <row r="548" spans="1:10" x14ac:dyDescent="0.25">
      <c r="A548" s="389"/>
      <c r="B548" s="4"/>
      <c r="C548" s="16"/>
      <c r="D548" s="519"/>
      <c r="E548" s="410"/>
      <c r="F548" s="313"/>
      <c r="G548" s="256"/>
      <c r="H548" s="313"/>
      <c r="I548" s="456"/>
      <c r="J548" s="271" t="b">
        <f>Age_Sex23[[#This Row],[Total Spending After Applying Truncation at the Member Level]]+Age_Sex23[[#This Row],[Total Dollars Excluded from Spending After Applying Truncation at the Member Level]]=Age_Sex23[[#This Row],[Total Spending before Truncation is Applied]]</f>
        <v>1</v>
      </c>
    </row>
    <row r="549" spans="1:10" x14ac:dyDescent="0.25">
      <c r="A549" s="386"/>
      <c r="B549" s="310"/>
      <c r="C549" s="311"/>
      <c r="D549" s="518"/>
      <c r="E549" s="409"/>
      <c r="F549" s="312"/>
      <c r="G549" s="522"/>
      <c r="H549" s="312"/>
      <c r="I549" s="455"/>
      <c r="J549" s="271" t="b">
        <f>Age_Sex23[[#This Row],[Total Spending After Applying Truncation at the Member Level]]+Age_Sex23[[#This Row],[Total Dollars Excluded from Spending After Applying Truncation at the Member Level]]=Age_Sex23[[#This Row],[Total Spending before Truncation is Applied]]</f>
        <v>1</v>
      </c>
    </row>
    <row r="550" spans="1:10" x14ac:dyDescent="0.25">
      <c r="A550" s="389"/>
      <c r="B550" s="4"/>
      <c r="C550" s="16"/>
      <c r="D550" s="519"/>
      <c r="E550" s="410"/>
      <c r="F550" s="313"/>
      <c r="G550" s="256"/>
      <c r="H550" s="313"/>
      <c r="I550" s="456"/>
      <c r="J550" s="271" t="b">
        <f>Age_Sex23[[#This Row],[Total Spending After Applying Truncation at the Member Level]]+Age_Sex23[[#This Row],[Total Dollars Excluded from Spending After Applying Truncation at the Member Level]]=Age_Sex23[[#This Row],[Total Spending before Truncation is Applied]]</f>
        <v>1</v>
      </c>
    </row>
    <row r="551" spans="1:10" x14ac:dyDescent="0.25">
      <c r="A551" s="386"/>
      <c r="B551" s="310"/>
      <c r="C551" s="311"/>
      <c r="D551" s="518"/>
      <c r="E551" s="409"/>
      <c r="F551" s="312"/>
      <c r="G551" s="522"/>
      <c r="H551" s="312"/>
      <c r="I551" s="455"/>
      <c r="J551" s="271" t="b">
        <f>Age_Sex23[[#This Row],[Total Spending After Applying Truncation at the Member Level]]+Age_Sex23[[#This Row],[Total Dollars Excluded from Spending After Applying Truncation at the Member Level]]=Age_Sex23[[#This Row],[Total Spending before Truncation is Applied]]</f>
        <v>1</v>
      </c>
    </row>
    <row r="552" spans="1:10" x14ac:dyDescent="0.25">
      <c r="A552" s="389"/>
      <c r="B552" s="4"/>
      <c r="C552" s="16"/>
      <c r="D552" s="519"/>
      <c r="E552" s="410"/>
      <c r="F552" s="313"/>
      <c r="G552" s="256"/>
      <c r="H552" s="313"/>
      <c r="I552" s="456"/>
      <c r="J552" s="271" t="b">
        <f>Age_Sex23[[#This Row],[Total Spending After Applying Truncation at the Member Level]]+Age_Sex23[[#This Row],[Total Dollars Excluded from Spending After Applying Truncation at the Member Level]]=Age_Sex23[[#This Row],[Total Spending before Truncation is Applied]]</f>
        <v>1</v>
      </c>
    </row>
    <row r="553" spans="1:10" x14ac:dyDescent="0.25">
      <c r="A553" s="386"/>
      <c r="B553" s="310"/>
      <c r="C553" s="311"/>
      <c r="D553" s="518"/>
      <c r="E553" s="409"/>
      <c r="F553" s="312"/>
      <c r="G553" s="522"/>
      <c r="H553" s="312"/>
      <c r="I553" s="455"/>
      <c r="J553" s="271" t="b">
        <f>Age_Sex23[[#This Row],[Total Spending After Applying Truncation at the Member Level]]+Age_Sex23[[#This Row],[Total Dollars Excluded from Spending After Applying Truncation at the Member Level]]=Age_Sex23[[#This Row],[Total Spending before Truncation is Applied]]</f>
        <v>1</v>
      </c>
    </row>
    <row r="554" spans="1:10" x14ac:dyDescent="0.25">
      <c r="A554" s="389"/>
      <c r="B554" s="4"/>
      <c r="C554" s="16"/>
      <c r="D554" s="519"/>
      <c r="E554" s="410"/>
      <c r="F554" s="313"/>
      <c r="G554" s="256"/>
      <c r="H554" s="313"/>
      <c r="I554" s="456"/>
      <c r="J554" s="271" t="b">
        <f>Age_Sex23[[#This Row],[Total Spending After Applying Truncation at the Member Level]]+Age_Sex23[[#This Row],[Total Dollars Excluded from Spending After Applying Truncation at the Member Level]]=Age_Sex23[[#This Row],[Total Spending before Truncation is Applied]]</f>
        <v>1</v>
      </c>
    </row>
    <row r="555" spans="1:10" x14ac:dyDescent="0.25">
      <c r="A555" s="386"/>
      <c r="B555" s="310"/>
      <c r="C555" s="311"/>
      <c r="D555" s="518"/>
      <c r="E555" s="409"/>
      <c r="F555" s="312"/>
      <c r="G555" s="522"/>
      <c r="H555" s="312"/>
      <c r="I555" s="455"/>
      <c r="J555" s="271" t="b">
        <f>Age_Sex23[[#This Row],[Total Spending After Applying Truncation at the Member Level]]+Age_Sex23[[#This Row],[Total Dollars Excluded from Spending After Applying Truncation at the Member Level]]=Age_Sex23[[#This Row],[Total Spending before Truncation is Applied]]</f>
        <v>1</v>
      </c>
    </row>
    <row r="556" spans="1:10" x14ac:dyDescent="0.25">
      <c r="A556" s="389"/>
      <c r="B556" s="4"/>
      <c r="C556" s="16"/>
      <c r="D556" s="519"/>
      <c r="E556" s="410"/>
      <c r="F556" s="313"/>
      <c r="G556" s="256"/>
      <c r="H556" s="313"/>
      <c r="I556" s="456"/>
      <c r="J556" s="271" t="b">
        <f>Age_Sex23[[#This Row],[Total Spending After Applying Truncation at the Member Level]]+Age_Sex23[[#This Row],[Total Dollars Excluded from Spending After Applying Truncation at the Member Level]]=Age_Sex23[[#This Row],[Total Spending before Truncation is Applied]]</f>
        <v>1</v>
      </c>
    </row>
    <row r="557" spans="1:10" x14ac:dyDescent="0.25">
      <c r="A557" s="386"/>
      <c r="B557" s="310"/>
      <c r="C557" s="311"/>
      <c r="D557" s="518"/>
      <c r="E557" s="409"/>
      <c r="F557" s="312"/>
      <c r="G557" s="522"/>
      <c r="H557" s="312"/>
      <c r="I557" s="455"/>
      <c r="J557" s="271" t="b">
        <f>Age_Sex23[[#This Row],[Total Spending After Applying Truncation at the Member Level]]+Age_Sex23[[#This Row],[Total Dollars Excluded from Spending After Applying Truncation at the Member Level]]=Age_Sex23[[#This Row],[Total Spending before Truncation is Applied]]</f>
        <v>1</v>
      </c>
    </row>
    <row r="558" spans="1:10" x14ac:dyDescent="0.25">
      <c r="A558" s="389"/>
      <c r="B558" s="4"/>
      <c r="C558" s="16"/>
      <c r="D558" s="519"/>
      <c r="E558" s="410"/>
      <c r="F558" s="313"/>
      <c r="G558" s="256"/>
      <c r="H558" s="313"/>
      <c r="I558" s="456"/>
      <c r="J558" s="271" t="b">
        <f>Age_Sex23[[#This Row],[Total Spending After Applying Truncation at the Member Level]]+Age_Sex23[[#This Row],[Total Dollars Excluded from Spending After Applying Truncation at the Member Level]]=Age_Sex23[[#This Row],[Total Spending before Truncation is Applied]]</f>
        <v>1</v>
      </c>
    </row>
    <row r="559" spans="1:10" x14ac:dyDescent="0.25">
      <c r="A559" s="386"/>
      <c r="B559" s="310"/>
      <c r="C559" s="311"/>
      <c r="D559" s="518"/>
      <c r="E559" s="409"/>
      <c r="F559" s="312"/>
      <c r="G559" s="522"/>
      <c r="H559" s="312"/>
      <c r="I559" s="455"/>
      <c r="J559" s="271" t="b">
        <f>Age_Sex23[[#This Row],[Total Spending After Applying Truncation at the Member Level]]+Age_Sex23[[#This Row],[Total Dollars Excluded from Spending After Applying Truncation at the Member Level]]=Age_Sex23[[#This Row],[Total Spending before Truncation is Applied]]</f>
        <v>1</v>
      </c>
    </row>
    <row r="560" spans="1:10" x14ac:dyDescent="0.25">
      <c r="A560" s="389"/>
      <c r="B560" s="4"/>
      <c r="C560" s="16"/>
      <c r="D560" s="519"/>
      <c r="E560" s="410"/>
      <c r="F560" s="313"/>
      <c r="G560" s="256"/>
      <c r="H560" s="313"/>
      <c r="I560" s="456"/>
      <c r="J560" s="271" t="b">
        <f>Age_Sex23[[#This Row],[Total Spending After Applying Truncation at the Member Level]]+Age_Sex23[[#This Row],[Total Dollars Excluded from Spending After Applying Truncation at the Member Level]]=Age_Sex23[[#This Row],[Total Spending before Truncation is Applied]]</f>
        <v>1</v>
      </c>
    </row>
    <row r="561" spans="1:10" x14ac:dyDescent="0.25">
      <c r="A561" s="386"/>
      <c r="B561" s="310"/>
      <c r="C561" s="311"/>
      <c r="D561" s="518"/>
      <c r="E561" s="409"/>
      <c r="F561" s="312"/>
      <c r="G561" s="522"/>
      <c r="H561" s="312"/>
      <c r="I561" s="455"/>
      <c r="J561" s="271" t="b">
        <f>Age_Sex23[[#This Row],[Total Spending After Applying Truncation at the Member Level]]+Age_Sex23[[#This Row],[Total Dollars Excluded from Spending After Applying Truncation at the Member Level]]=Age_Sex23[[#This Row],[Total Spending before Truncation is Applied]]</f>
        <v>1</v>
      </c>
    </row>
    <row r="562" spans="1:10" x14ac:dyDescent="0.25">
      <c r="A562" s="389"/>
      <c r="B562" s="4"/>
      <c r="C562" s="16"/>
      <c r="D562" s="519"/>
      <c r="E562" s="410"/>
      <c r="F562" s="313"/>
      <c r="G562" s="256"/>
      <c r="H562" s="313"/>
      <c r="I562" s="456"/>
      <c r="J562" s="271" t="b">
        <f>Age_Sex23[[#This Row],[Total Spending After Applying Truncation at the Member Level]]+Age_Sex23[[#This Row],[Total Dollars Excluded from Spending After Applying Truncation at the Member Level]]=Age_Sex23[[#This Row],[Total Spending before Truncation is Applied]]</f>
        <v>1</v>
      </c>
    </row>
    <row r="563" spans="1:10" x14ac:dyDescent="0.25">
      <c r="A563" s="386"/>
      <c r="B563" s="310"/>
      <c r="C563" s="311"/>
      <c r="D563" s="518"/>
      <c r="E563" s="409"/>
      <c r="F563" s="312"/>
      <c r="G563" s="522"/>
      <c r="H563" s="312"/>
      <c r="I563" s="455"/>
      <c r="J563" s="271" t="b">
        <f>Age_Sex23[[#This Row],[Total Spending After Applying Truncation at the Member Level]]+Age_Sex23[[#This Row],[Total Dollars Excluded from Spending After Applying Truncation at the Member Level]]=Age_Sex23[[#This Row],[Total Spending before Truncation is Applied]]</f>
        <v>1</v>
      </c>
    </row>
    <row r="564" spans="1:10" x14ac:dyDescent="0.25">
      <c r="A564" s="389"/>
      <c r="B564" s="4"/>
      <c r="C564" s="16"/>
      <c r="D564" s="519"/>
      <c r="E564" s="410"/>
      <c r="F564" s="313"/>
      <c r="G564" s="256"/>
      <c r="H564" s="313"/>
      <c r="I564" s="456"/>
      <c r="J564" s="271" t="b">
        <f>Age_Sex23[[#This Row],[Total Spending After Applying Truncation at the Member Level]]+Age_Sex23[[#This Row],[Total Dollars Excluded from Spending After Applying Truncation at the Member Level]]=Age_Sex23[[#This Row],[Total Spending before Truncation is Applied]]</f>
        <v>1</v>
      </c>
    </row>
    <row r="565" spans="1:10" x14ac:dyDescent="0.25">
      <c r="A565" s="386"/>
      <c r="B565" s="310"/>
      <c r="C565" s="311"/>
      <c r="D565" s="518"/>
      <c r="E565" s="409"/>
      <c r="F565" s="312"/>
      <c r="G565" s="522"/>
      <c r="H565" s="312"/>
      <c r="I565" s="455"/>
      <c r="J565" s="271" t="b">
        <f>Age_Sex23[[#This Row],[Total Spending After Applying Truncation at the Member Level]]+Age_Sex23[[#This Row],[Total Dollars Excluded from Spending After Applying Truncation at the Member Level]]=Age_Sex23[[#This Row],[Total Spending before Truncation is Applied]]</f>
        <v>1</v>
      </c>
    </row>
    <row r="566" spans="1:10" x14ac:dyDescent="0.25">
      <c r="A566" s="389"/>
      <c r="B566" s="4"/>
      <c r="C566" s="16"/>
      <c r="D566" s="519"/>
      <c r="E566" s="410"/>
      <c r="F566" s="313"/>
      <c r="G566" s="256"/>
      <c r="H566" s="313"/>
      <c r="I566" s="456"/>
      <c r="J566" s="271" t="b">
        <f>Age_Sex23[[#This Row],[Total Spending After Applying Truncation at the Member Level]]+Age_Sex23[[#This Row],[Total Dollars Excluded from Spending After Applying Truncation at the Member Level]]=Age_Sex23[[#This Row],[Total Spending before Truncation is Applied]]</f>
        <v>1</v>
      </c>
    </row>
    <row r="567" spans="1:10" x14ac:dyDescent="0.25">
      <c r="A567" s="386"/>
      <c r="B567" s="310"/>
      <c r="C567" s="311"/>
      <c r="D567" s="518"/>
      <c r="E567" s="409"/>
      <c r="F567" s="312"/>
      <c r="G567" s="522"/>
      <c r="H567" s="312"/>
      <c r="I567" s="455"/>
      <c r="J567" s="271" t="b">
        <f>Age_Sex23[[#This Row],[Total Spending After Applying Truncation at the Member Level]]+Age_Sex23[[#This Row],[Total Dollars Excluded from Spending After Applying Truncation at the Member Level]]=Age_Sex23[[#This Row],[Total Spending before Truncation is Applied]]</f>
        <v>1</v>
      </c>
    </row>
    <row r="568" spans="1:10" x14ac:dyDescent="0.25">
      <c r="A568" s="389"/>
      <c r="B568" s="4"/>
      <c r="C568" s="16"/>
      <c r="D568" s="519"/>
      <c r="E568" s="410"/>
      <c r="F568" s="313"/>
      <c r="G568" s="256"/>
      <c r="H568" s="313"/>
      <c r="I568" s="456"/>
      <c r="J568" s="271" t="b">
        <f>Age_Sex23[[#This Row],[Total Spending After Applying Truncation at the Member Level]]+Age_Sex23[[#This Row],[Total Dollars Excluded from Spending After Applying Truncation at the Member Level]]=Age_Sex23[[#This Row],[Total Spending before Truncation is Applied]]</f>
        <v>1</v>
      </c>
    </row>
    <row r="569" spans="1:10" x14ac:dyDescent="0.25">
      <c r="A569" s="386"/>
      <c r="B569" s="310"/>
      <c r="C569" s="311"/>
      <c r="D569" s="518"/>
      <c r="E569" s="409"/>
      <c r="F569" s="312"/>
      <c r="G569" s="522"/>
      <c r="H569" s="312"/>
      <c r="I569" s="455"/>
      <c r="J569" s="271" t="b">
        <f>Age_Sex23[[#This Row],[Total Spending After Applying Truncation at the Member Level]]+Age_Sex23[[#This Row],[Total Dollars Excluded from Spending After Applying Truncation at the Member Level]]=Age_Sex23[[#This Row],[Total Spending before Truncation is Applied]]</f>
        <v>1</v>
      </c>
    </row>
    <row r="570" spans="1:10" x14ac:dyDescent="0.25">
      <c r="A570" s="389"/>
      <c r="B570" s="4"/>
      <c r="C570" s="16"/>
      <c r="D570" s="519"/>
      <c r="E570" s="410"/>
      <c r="F570" s="313"/>
      <c r="G570" s="256"/>
      <c r="H570" s="313"/>
      <c r="I570" s="456"/>
      <c r="J570" s="271" t="b">
        <f>Age_Sex23[[#This Row],[Total Spending After Applying Truncation at the Member Level]]+Age_Sex23[[#This Row],[Total Dollars Excluded from Spending After Applying Truncation at the Member Level]]=Age_Sex23[[#This Row],[Total Spending before Truncation is Applied]]</f>
        <v>1</v>
      </c>
    </row>
    <row r="571" spans="1:10" x14ac:dyDescent="0.25">
      <c r="A571" s="386"/>
      <c r="B571" s="310"/>
      <c r="C571" s="311"/>
      <c r="D571" s="518"/>
      <c r="E571" s="409"/>
      <c r="F571" s="312"/>
      <c r="G571" s="522"/>
      <c r="H571" s="312"/>
      <c r="I571" s="455"/>
      <c r="J571" s="271" t="b">
        <f>Age_Sex23[[#This Row],[Total Spending After Applying Truncation at the Member Level]]+Age_Sex23[[#This Row],[Total Dollars Excluded from Spending After Applying Truncation at the Member Level]]=Age_Sex23[[#This Row],[Total Spending before Truncation is Applied]]</f>
        <v>1</v>
      </c>
    </row>
    <row r="572" spans="1:10" x14ac:dyDescent="0.25">
      <c r="A572" s="389"/>
      <c r="B572" s="4"/>
      <c r="C572" s="16"/>
      <c r="D572" s="519"/>
      <c r="E572" s="410"/>
      <c r="F572" s="313"/>
      <c r="G572" s="256"/>
      <c r="H572" s="313"/>
      <c r="I572" s="456"/>
      <c r="J572" s="271" t="b">
        <f>Age_Sex23[[#This Row],[Total Spending After Applying Truncation at the Member Level]]+Age_Sex23[[#This Row],[Total Dollars Excluded from Spending After Applying Truncation at the Member Level]]=Age_Sex23[[#This Row],[Total Spending before Truncation is Applied]]</f>
        <v>1</v>
      </c>
    </row>
    <row r="573" spans="1:10" x14ac:dyDescent="0.25">
      <c r="A573" s="386"/>
      <c r="B573" s="310"/>
      <c r="C573" s="311"/>
      <c r="D573" s="518"/>
      <c r="E573" s="409"/>
      <c r="F573" s="312"/>
      <c r="G573" s="522"/>
      <c r="H573" s="312"/>
      <c r="I573" s="455"/>
      <c r="J573" s="271" t="b">
        <f>Age_Sex23[[#This Row],[Total Spending After Applying Truncation at the Member Level]]+Age_Sex23[[#This Row],[Total Dollars Excluded from Spending After Applying Truncation at the Member Level]]=Age_Sex23[[#This Row],[Total Spending before Truncation is Applied]]</f>
        <v>1</v>
      </c>
    </row>
    <row r="574" spans="1:10" x14ac:dyDescent="0.25">
      <c r="A574" s="389"/>
      <c r="B574" s="4"/>
      <c r="C574" s="16"/>
      <c r="D574" s="519"/>
      <c r="E574" s="410"/>
      <c r="F574" s="313"/>
      <c r="G574" s="256"/>
      <c r="H574" s="313"/>
      <c r="I574" s="456"/>
      <c r="J574" s="271" t="b">
        <f>Age_Sex23[[#This Row],[Total Spending After Applying Truncation at the Member Level]]+Age_Sex23[[#This Row],[Total Dollars Excluded from Spending After Applying Truncation at the Member Level]]=Age_Sex23[[#This Row],[Total Spending before Truncation is Applied]]</f>
        <v>1</v>
      </c>
    </row>
    <row r="575" spans="1:10" x14ac:dyDescent="0.25">
      <c r="A575" s="386"/>
      <c r="B575" s="310"/>
      <c r="C575" s="311"/>
      <c r="D575" s="518"/>
      <c r="E575" s="409"/>
      <c r="F575" s="312"/>
      <c r="G575" s="522"/>
      <c r="H575" s="312"/>
      <c r="I575" s="455"/>
      <c r="J575" s="271" t="b">
        <f>Age_Sex23[[#This Row],[Total Spending After Applying Truncation at the Member Level]]+Age_Sex23[[#This Row],[Total Dollars Excluded from Spending After Applying Truncation at the Member Level]]=Age_Sex23[[#This Row],[Total Spending before Truncation is Applied]]</f>
        <v>1</v>
      </c>
    </row>
    <row r="576" spans="1:10" x14ac:dyDescent="0.25">
      <c r="A576" s="389"/>
      <c r="B576" s="4"/>
      <c r="C576" s="16"/>
      <c r="D576" s="519"/>
      <c r="E576" s="410"/>
      <c r="F576" s="313"/>
      <c r="G576" s="256"/>
      <c r="H576" s="313"/>
      <c r="I576" s="456"/>
      <c r="J576" s="271" t="b">
        <f>Age_Sex23[[#This Row],[Total Spending After Applying Truncation at the Member Level]]+Age_Sex23[[#This Row],[Total Dollars Excluded from Spending After Applying Truncation at the Member Level]]=Age_Sex23[[#This Row],[Total Spending before Truncation is Applied]]</f>
        <v>1</v>
      </c>
    </row>
    <row r="577" spans="1:10" x14ac:dyDescent="0.25">
      <c r="A577" s="386"/>
      <c r="B577" s="310"/>
      <c r="C577" s="311"/>
      <c r="D577" s="518"/>
      <c r="E577" s="409"/>
      <c r="F577" s="312"/>
      <c r="G577" s="522"/>
      <c r="H577" s="312"/>
      <c r="I577" s="455"/>
      <c r="J577" s="271" t="b">
        <f>Age_Sex23[[#This Row],[Total Spending After Applying Truncation at the Member Level]]+Age_Sex23[[#This Row],[Total Dollars Excluded from Spending After Applying Truncation at the Member Level]]=Age_Sex23[[#This Row],[Total Spending before Truncation is Applied]]</f>
        <v>1</v>
      </c>
    </row>
    <row r="578" spans="1:10" x14ac:dyDescent="0.25">
      <c r="A578" s="389"/>
      <c r="B578" s="4"/>
      <c r="C578" s="16"/>
      <c r="D578" s="519"/>
      <c r="E578" s="410"/>
      <c r="F578" s="313"/>
      <c r="G578" s="256"/>
      <c r="H578" s="313"/>
      <c r="I578" s="456"/>
      <c r="J578" s="271" t="b">
        <f>Age_Sex23[[#This Row],[Total Spending After Applying Truncation at the Member Level]]+Age_Sex23[[#This Row],[Total Dollars Excluded from Spending After Applying Truncation at the Member Level]]=Age_Sex23[[#This Row],[Total Spending before Truncation is Applied]]</f>
        <v>1</v>
      </c>
    </row>
    <row r="579" spans="1:10" x14ac:dyDescent="0.25">
      <c r="A579" s="386"/>
      <c r="B579" s="310"/>
      <c r="C579" s="311"/>
      <c r="D579" s="518"/>
      <c r="E579" s="409"/>
      <c r="F579" s="312"/>
      <c r="G579" s="522"/>
      <c r="H579" s="312"/>
      <c r="I579" s="455"/>
      <c r="J579" s="271" t="b">
        <f>Age_Sex23[[#This Row],[Total Spending After Applying Truncation at the Member Level]]+Age_Sex23[[#This Row],[Total Dollars Excluded from Spending After Applying Truncation at the Member Level]]=Age_Sex23[[#This Row],[Total Spending before Truncation is Applied]]</f>
        <v>1</v>
      </c>
    </row>
    <row r="580" spans="1:10" x14ac:dyDescent="0.25">
      <c r="A580" s="389"/>
      <c r="B580" s="4"/>
      <c r="C580" s="16"/>
      <c r="D580" s="519"/>
      <c r="E580" s="410"/>
      <c r="F580" s="313"/>
      <c r="G580" s="256"/>
      <c r="H580" s="313"/>
      <c r="I580" s="456"/>
      <c r="J580" s="271" t="b">
        <f>Age_Sex23[[#This Row],[Total Spending After Applying Truncation at the Member Level]]+Age_Sex23[[#This Row],[Total Dollars Excluded from Spending After Applying Truncation at the Member Level]]=Age_Sex23[[#This Row],[Total Spending before Truncation is Applied]]</f>
        <v>1</v>
      </c>
    </row>
    <row r="581" spans="1:10" x14ac:dyDescent="0.25">
      <c r="A581" s="386"/>
      <c r="B581" s="310"/>
      <c r="C581" s="311"/>
      <c r="D581" s="518"/>
      <c r="E581" s="409"/>
      <c r="F581" s="312"/>
      <c r="G581" s="522"/>
      <c r="H581" s="312"/>
      <c r="I581" s="455"/>
      <c r="J581" s="271" t="b">
        <f>Age_Sex23[[#This Row],[Total Spending After Applying Truncation at the Member Level]]+Age_Sex23[[#This Row],[Total Dollars Excluded from Spending After Applying Truncation at the Member Level]]=Age_Sex23[[#This Row],[Total Spending before Truncation is Applied]]</f>
        <v>1</v>
      </c>
    </row>
    <row r="582" spans="1:10" x14ac:dyDescent="0.25">
      <c r="A582" s="389"/>
      <c r="B582" s="4"/>
      <c r="C582" s="16"/>
      <c r="D582" s="519"/>
      <c r="E582" s="410"/>
      <c r="F582" s="313"/>
      <c r="G582" s="256"/>
      <c r="H582" s="313"/>
      <c r="I582" s="456"/>
      <c r="J582" s="271" t="b">
        <f>Age_Sex23[[#This Row],[Total Spending After Applying Truncation at the Member Level]]+Age_Sex23[[#This Row],[Total Dollars Excluded from Spending After Applying Truncation at the Member Level]]=Age_Sex23[[#This Row],[Total Spending before Truncation is Applied]]</f>
        <v>1</v>
      </c>
    </row>
    <row r="583" spans="1:10" x14ac:dyDescent="0.25">
      <c r="A583" s="386"/>
      <c r="B583" s="310"/>
      <c r="C583" s="311"/>
      <c r="D583" s="518"/>
      <c r="E583" s="409"/>
      <c r="F583" s="312"/>
      <c r="G583" s="522"/>
      <c r="H583" s="312"/>
      <c r="I583" s="455"/>
      <c r="J583" s="271" t="b">
        <f>Age_Sex23[[#This Row],[Total Spending After Applying Truncation at the Member Level]]+Age_Sex23[[#This Row],[Total Dollars Excluded from Spending After Applying Truncation at the Member Level]]=Age_Sex23[[#This Row],[Total Spending before Truncation is Applied]]</f>
        <v>1</v>
      </c>
    </row>
    <row r="584" spans="1:10" x14ac:dyDescent="0.25">
      <c r="A584" s="389"/>
      <c r="B584" s="4"/>
      <c r="C584" s="16"/>
      <c r="D584" s="519"/>
      <c r="E584" s="410"/>
      <c r="F584" s="313"/>
      <c r="G584" s="256"/>
      <c r="H584" s="313"/>
      <c r="I584" s="456"/>
      <c r="J584" s="271" t="b">
        <f>Age_Sex23[[#This Row],[Total Spending After Applying Truncation at the Member Level]]+Age_Sex23[[#This Row],[Total Dollars Excluded from Spending After Applying Truncation at the Member Level]]=Age_Sex23[[#This Row],[Total Spending before Truncation is Applied]]</f>
        <v>1</v>
      </c>
    </row>
    <row r="585" spans="1:10" x14ac:dyDescent="0.25">
      <c r="A585" s="386"/>
      <c r="B585" s="310"/>
      <c r="C585" s="311"/>
      <c r="D585" s="518"/>
      <c r="E585" s="409"/>
      <c r="F585" s="312"/>
      <c r="G585" s="522"/>
      <c r="H585" s="312"/>
      <c r="I585" s="455"/>
      <c r="J585" s="271" t="b">
        <f>Age_Sex23[[#This Row],[Total Spending After Applying Truncation at the Member Level]]+Age_Sex23[[#This Row],[Total Dollars Excluded from Spending After Applying Truncation at the Member Level]]=Age_Sex23[[#This Row],[Total Spending before Truncation is Applied]]</f>
        <v>1</v>
      </c>
    </row>
    <row r="586" spans="1:10" x14ac:dyDescent="0.25">
      <c r="A586" s="389"/>
      <c r="B586" s="4"/>
      <c r="C586" s="16"/>
      <c r="D586" s="519"/>
      <c r="E586" s="410"/>
      <c r="F586" s="313"/>
      <c r="G586" s="256"/>
      <c r="H586" s="313"/>
      <c r="I586" s="456"/>
      <c r="J586" s="271" t="b">
        <f>Age_Sex23[[#This Row],[Total Spending After Applying Truncation at the Member Level]]+Age_Sex23[[#This Row],[Total Dollars Excluded from Spending After Applying Truncation at the Member Level]]=Age_Sex23[[#This Row],[Total Spending before Truncation is Applied]]</f>
        <v>1</v>
      </c>
    </row>
    <row r="587" spans="1:10" x14ac:dyDescent="0.25">
      <c r="A587" s="386"/>
      <c r="B587" s="310"/>
      <c r="C587" s="311"/>
      <c r="D587" s="518"/>
      <c r="E587" s="409"/>
      <c r="F587" s="312"/>
      <c r="G587" s="522"/>
      <c r="H587" s="312"/>
      <c r="I587" s="455"/>
      <c r="J587" s="271" t="b">
        <f>Age_Sex23[[#This Row],[Total Spending After Applying Truncation at the Member Level]]+Age_Sex23[[#This Row],[Total Dollars Excluded from Spending After Applying Truncation at the Member Level]]=Age_Sex23[[#This Row],[Total Spending before Truncation is Applied]]</f>
        <v>1</v>
      </c>
    </row>
    <row r="588" spans="1:10" x14ac:dyDescent="0.25">
      <c r="A588" s="389"/>
      <c r="B588" s="4"/>
      <c r="C588" s="16"/>
      <c r="D588" s="519"/>
      <c r="E588" s="410"/>
      <c r="F588" s="313"/>
      <c r="G588" s="256"/>
      <c r="H588" s="313"/>
      <c r="I588" s="456"/>
      <c r="J588" s="271" t="b">
        <f>Age_Sex23[[#This Row],[Total Spending After Applying Truncation at the Member Level]]+Age_Sex23[[#This Row],[Total Dollars Excluded from Spending After Applying Truncation at the Member Level]]=Age_Sex23[[#This Row],[Total Spending before Truncation is Applied]]</f>
        <v>1</v>
      </c>
    </row>
    <row r="589" spans="1:10" x14ac:dyDescent="0.25">
      <c r="A589" s="386"/>
      <c r="B589" s="310"/>
      <c r="C589" s="311"/>
      <c r="D589" s="518"/>
      <c r="E589" s="409"/>
      <c r="F589" s="312"/>
      <c r="G589" s="522"/>
      <c r="H589" s="312"/>
      <c r="I589" s="455"/>
      <c r="J589" s="271" t="b">
        <f>Age_Sex23[[#This Row],[Total Spending After Applying Truncation at the Member Level]]+Age_Sex23[[#This Row],[Total Dollars Excluded from Spending After Applying Truncation at the Member Level]]=Age_Sex23[[#This Row],[Total Spending before Truncation is Applied]]</f>
        <v>1</v>
      </c>
    </row>
    <row r="590" spans="1:10" x14ac:dyDescent="0.25">
      <c r="A590" s="389"/>
      <c r="B590" s="4"/>
      <c r="C590" s="16"/>
      <c r="D590" s="519"/>
      <c r="E590" s="410"/>
      <c r="F590" s="313"/>
      <c r="G590" s="256"/>
      <c r="H590" s="313"/>
      <c r="I590" s="456"/>
      <c r="J590" s="271" t="b">
        <f>Age_Sex23[[#This Row],[Total Spending After Applying Truncation at the Member Level]]+Age_Sex23[[#This Row],[Total Dollars Excluded from Spending After Applying Truncation at the Member Level]]=Age_Sex23[[#This Row],[Total Spending before Truncation is Applied]]</f>
        <v>1</v>
      </c>
    </row>
    <row r="591" spans="1:10" x14ac:dyDescent="0.25">
      <c r="A591" s="386"/>
      <c r="B591" s="310"/>
      <c r="C591" s="311"/>
      <c r="D591" s="518"/>
      <c r="E591" s="409"/>
      <c r="F591" s="312"/>
      <c r="G591" s="522"/>
      <c r="H591" s="312"/>
      <c r="I591" s="455"/>
      <c r="J591" s="271" t="b">
        <f>Age_Sex23[[#This Row],[Total Spending After Applying Truncation at the Member Level]]+Age_Sex23[[#This Row],[Total Dollars Excluded from Spending After Applying Truncation at the Member Level]]=Age_Sex23[[#This Row],[Total Spending before Truncation is Applied]]</f>
        <v>1</v>
      </c>
    </row>
    <row r="592" spans="1:10" x14ac:dyDescent="0.25">
      <c r="A592" s="389"/>
      <c r="B592" s="4"/>
      <c r="C592" s="16"/>
      <c r="D592" s="519"/>
      <c r="E592" s="410"/>
      <c r="F592" s="313"/>
      <c r="G592" s="256"/>
      <c r="H592" s="313"/>
      <c r="I592" s="456"/>
      <c r="J592" s="271" t="b">
        <f>Age_Sex23[[#This Row],[Total Spending After Applying Truncation at the Member Level]]+Age_Sex23[[#This Row],[Total Dollars Excluded from Spending After Applying Truncation at the Member Level]]=Age_Sex23[[#This Row],[Total Spending before Truncation is Applied]]</f>
        <v>1</v>
      </c>
    </row>
    <row r="593" spans="1:10" x14ac:dyDescent="0.25">
      <c r="A593" s="386"/>
      <c r="B593" s="310"/>
      <c r="C593" s="311"/>
      <c r="D593" s="518"/>
      <c r="E593" s="409"/>
      <c r="F593" s="312"/>
      <c r="G593" s="522"/>
      <c r="H593" s="312"/>
      <c r="I593" s="455"/>
      <c r="J593" s="271" t="b">
        <f>Age_Sex23[[#This Row],[Total Spending After Applying Truncation at the Member Level]]+Age_Sex23[[#This Row],[Total Dollars Excluded from Spending After Applying Truncation at the Member Level]]=Age_Sex23[[#This Row],[Total Spending before Truncation is Applied]]</f>
        <v>1</v>
      </c>
    </row>
    <row r="594" spans="1:10" x14ac:dyDescent="0.25">
      <c r="A594" s="389"/>
      <c r="B594" s="4"/>
      <c r="C594" s="16"/>
      <c r="D594" s="519"/>
      <c r="E594" s="410"/>
      <c r="F594" s="313"/>
      <c r="G594" s="256"/>
      <c r="H594" s="313"/>
      <c r="I594" s="456"/>
      <c r="J594" s="271" t="b">
        <f>Age_Sex23[[#This Row],[Total Spending After Applying Truncation at the Member Level]]+Age_Sex23[[#This Row],[Total Dollars Excluded from Spending After Applying Truncation at the Member Level]]=Age_Sex23[[#This Row],[Total Spending before Truncation is Applied]]</f>
        <v>1</v>
      </c>
    </row>
    <row r="595" spans="1:10" x14ac:dyDescent="0.25">
      <c r="A595" s="386"/>
      <c r="B595" s="310"/>
      <c r="C595" s="311"/>
      <c r="D595" s="518"/>
      <c r="E595" s="409"/>
      <c r="F595" s="312"/>
      <c r="G595" s="522"/>
      <c r="H595" s="312"/>
      <c r="I595" s="455"/>
      <c r="J595" s="271" t="b">
        <f>Age_Sex23[[#This Row],[Total Spending After Applying Truncation at the Member Level]]+Age_Sex23[[#This Row],[Total Dollars Excluded from Spending After Applying Truncation at the Member Level]]=Age_Sex23[[#This Row],[Total Spending before Truncation is Applied]]</f>
        <v>1</v>
      </c>
    </row>
    <row r="596" spans="1:10" x14ac:dyDescent="0.25">
      <c r="A596" s="389"/>
      <c r="B596" s="4"/>
      <c r="C596" s="16"/>
      <c r="D596" s="519"/>
      <c r="E596" s="410"/>
      <c r="F596" s="313"/>
      <c r="G596" s="256"/>
      <c r="H596" s="313"/>
      <c r="I596" s="456"/>
      <c r="J596" s="271" t="b">
        <f>Age_Sex23[[#This Row],[Total Spending After Applying Truncation at the Member Level]]+Age_Sex23[[#This Row],[Total Dollars Excluded from Spending After Applying Truncation at the Member Level]]=Age_Sex23[[#This Row],[Total Spending before Truncation is Applied]]</f>
        <v>1</v>
      </c>
    </row>
    <row r="597" spans="1:10" x14ac:dyDescent="0.25">
      <c r="A597" s="386"/>
      <c r="B597" s="310"/>
      <c r="C597" s="311"/>
      <c r="D597" s="518"/>
      <c r="E597" s="409"/>
      <c r="F597" s="312"/>
      <c r="G597" s="522"/>
      <c r="H597" s="312"/>
      <c r="I597" s="455"/>
      <c r="J597" s="271" t="b">
        <f>Age_Sex23[[#This Row],[Total Spending After Applying Truncation at the Member Level]]+Age_Sex23[[#This Row],[Total Dollars Excluded from Spending After Applying Truncation at the Member Level]]=Age_Sex23[[#This Row],[Total Spending before Truncation is Applied]]</f>
        <v>1</v>
      </c>
    </row>
    <row r="598" spans="1:10" x14ac:dyDescent="0.25">
      <c r="A598" s="389"/>
      <c r="B598" s="4"/>
      <c r="C598" s="16"/>
      <c r="D598" s="519"/>
      <c r="E598" s="410"/>
      <c r="F598" s="313"/>
      <c r="G598" s="256"/>
      <c r="H598" s="313"/>
      <c r="I598" s="456"/>
      <c r="J598" s="271" t="b">
        <f>Age_Sex23[[#This Row],[Total Spending After Applying Truncation at the Member Level]]+Age_Sex23[[#This Row],[Total Dollars Excluded from Spending After Applying Truncation at the Member Level]]=Age_Sex23[[#This Row],[Total Spending before Truncation is Applied]]</f>
        <v>1</v>
      </c>
    </row>
    <row r="599" spans="1:10" x14ac:dyDescent="0.25">
      <c r="A599" s="386"/>
      <c r="B599" s="310"/>
      <c r="C599" s="311"/>
      <c r="D599" s="518"/>
      <c r="E599" s="409"/>
      <c r="F599" s="312"/>
      <c r="G599" s="522"/>
      <c r="H599" s="312"/>
      <c r="I599" s="455"/>
      <c r="J599" s="271" t="b">
        <f>Age_Sex23[[#This Row],[Total Spending After Applying Truncation at the Member Level]]+Age_Sex23[[#This Row],[Total Dollars Excluded from Spending After Applying Truncation at the Member Level]]=Age_Sex23[[#This Row],[Total Spending before Truncation is Applied]]</f>
        <v>1</v>
      </c>
    </row>
    <row r="600" spans="1:10" x14ac:dyDescent="0.25">
      <c r="A600" s="389"/>
      <c r="B600" s="4"/>
      <c r="C600" s="16"/>
      <c r="D600" s="519"/>
      <c r="E600" s="410"/>
      <c r="F600" s="313"/>
      <c r="G600" s="256"/>
      <c r="H600" s="313"/>
      <c r="I600" s="456"/>
      <c r="J600" s="271" t="b">
        <f>Age_Sex23[[#This Row],[Total Spending After Applying Truncation at the Member Level]]+Age_Sex23[[#This Row],[Total Dollars Excluded from Spending After Applying Truncation at the Member Level]]=Age_Sex23[[#This Row],[Total Spending before Truncation is Applied]]</f>
        <v>1</v>
      </c>
    </row>
    <row r="601" spans="1:10" x14ac:dyDescent="0.25">
      <c r="A601" s="386"/>
      <c r="B601" s="310"/>
      <c r="C601" s="311"/>
      <c r="D601" s="518"/>
      <c r="E601" s="409"/>
      <c r="F601" s="312"/>
      <c r="G601" s="522"/>
      <c r="H601" s="312"/>
      <c r="I601" s="455"/>
      <c r="J601" s="271" t="b">
        <f>Age_Sex23[[#This Row],[Total Spending After Applying Truncation at the Member Level]]+Age_Sex23[[#This Row],[Total Dollars Excluded from Spending After Applying Truncation at the Member Level]]=Age_Sex23[[#This Row],[Total Spending before Truncation is Applied]]</f>
        <v>1</v>
      </c>
    </row>
    <row r="602" spans="1:10" x14ac:dyDescent="0.25">
      <c r="A602" s="389"/>
      <c r="B602" s="4"/>
      <c r="C602" s="16"/>
      <c r="D602" s="519"/>
      <c r="E602" s="410"/>
      <c r="F602" s="313"/>
      <c r="G602" s="256"/>
      <c r="H602" s="313"/>
      <c r="I602" s="456"/>
      <c r="J602" s="271" t="b">
        <f>Age_Sex23[[#This Row],[Total Spending After Applying Truncation at the Member Level]]+Age_Sex23[[#This Row],[Total Dollars Excluded from Spending After Applying Truncation at the Member Level]]=Age_Sex23[[#This Row],[Total Spending before Truncation is Applied]]</f>
        <v>1</v>
      </c>
    </row>
    <row r="603" spans="1:10" x14ac:dyDescent="0.25">
      <c r="A603" s="386"/>
      <c r="B603" s="310"/>
      <c r="C603" s="311"/>
      <c r="D603" s="518"/>
      <c r="E603" s="409"/>
      <c r="F603" s="312"/>
      <c r="G603" s="522"/>
      <c r="H603" s="312"/>
      <c r="I603" s="455"/>
      <c r="J603" s="271" t="b">
        <f>Age_Sex23[[#This Row],[Total Spending After Applying Truncation at the Member Level]]+Age_Sex23[[#This Row],[Total Dollars Excluded from Spending After Applying Truncation at the Member Level]]=Age_Sex23[[#This Row],[Total Spending before Truncation is Applied]]</f>
        <v>1</v>
      </c>
    </row>
    <row r="604" spans="1:10" x14ac:dyDescent="0.25">
      <c r="A604" s="389"/>
      <c r="B604" s="4"/>
      <c r="C604" s="16"/>
      <c r="D604" s="519"/>
      <c r="E604" s="410"/>
      <c r="F604" s="313"/>
      <c r="G604" s="256"/>
      <c r="H604" s="313"/>
      <c r="I604" s="456"/>
      <c r="J604" s="271" t="b">
        <f>Age_Sex23[[#This Row],[Total Spending After Applying Truncation at the Member Level]]+Age_Sex23[[#This Row],[Total Dollars Excluded from Spending After Applying Truncation at the Member Level]]=Age_Sex23[[#This Row],[Total Spending before Truncation is Applied]]</f>
        <v>1</v>
      </c>
    </row>
    <row r="605" spans="1:10" x14ac:dyDescent="0.25">
      <c r="A605" s="386"/>
      <c r="B605" s="310"/>
      <c r="C605" s="311"/>
      <c r="D605" s="518"/>
      <c r="E605" s="409"/>
      <c r="F605" s="312"/>
      <c r="G605" s="522"/>
      <c r="H605" s="312"/>
      <c r="I605" s="455"/>
      <c r="J605" s="271" t="b">
        <f>Age_Sex23[[#This Row],[Total Spending After Applying Truncation at the Member Level]]+Age_Sex23[[#This Row],[Total Dollars Excluded from Spending After Applying Truncation at the Member Level]]=Age_Sex23[[#This Row],[Total Spending before Truncation is Applied]]</f>
        <v>1</v>
      </c>
    </row>
    <row r="606" spans="1:10" x14ac:dyDescent="0.25">
      <c r="A606" s="389"/>
      <c r="B606" s="4"/>
      <c r="C606" s="16"/>
      <c r="D606" s="519"/>
      <c r="E606" s="410"/>
      <c r="F606" s="313"/>
      <c r="G606" s="256"/>
      <c r="H606" s="313"/>
      <c r="I606" s="456"/>
      <c r="J606" s="271" t="b">
        <f>Age_Sex23[[#This Row],[Total Spending After Applying Truncation at the Member Level]]+Age_Sex23[[#This Row],[Total Dollars Excluded from Spending After Applying Truncation at the Member Level]]=Age_Sex23[[#This Row],[Total Spending before Truncation is Applied]]</f>
        <v>1</v>
      </c>
    </row>
    <row r="607" spans="1:10" x14ac:dyDescent="0.25">
      <c r="A607" s="386"/>
      <c r="B607" s="310"/>
      <c r="C607" s="311"/>
      <c r="D607" s="518"/>
      <c r="E607" s="409"/>
      <c r="F607" s="312"/>
      <c r="G607" s="522"/>
      <c r="H607" s="312"/>
      <c r="I607" s="455"/>
      <c r="J607" s="271" t="b">
        <f>Age_Sex23[[#This Row],[Total Spending After Applying Truncation at the Member Level]]+Age_Sex23[[#This Row],[Total Dollars Excluded from Spending After Applying Truncation at the Member Level]]=Age_Sex23[[#This Row],[Total Spending before Truncation is Applied]]</f>
        <v>1</v>
      </c>
    </row>
    <row r="608" spans="1:10" x14ac:dyDescent="0.25">
      <c r="A608" s="389"/>
      <c r="B608" s="4"/>
      <c r="C608" s="16"/>
      <c r="D608" s="519"/>
      <c r="E608" s="410"/>
      <c r="F608" s="313"/>
      <c r="G608" s="256"/>
      <c r="H608" s="313"/>
      <c r="I608" s="456"/>
      <c r="J608" s="271" t="b">
        <f>Age_Sex23[[#This Row],[Total Spending After Applying Truncation at the Member Level]]+Age_Sex23[[#This Row],[Total Dollars Excluded from Spending After Applying Truncation at the Member Level]]=Age_Sex23[[#This Row],[Total Spending before Truncation is Applied]]</f>
        <v>1</v>
      </c>
    </row>
    <row r="609" spans="1:10" x14ac:dyDescent="0.25">
      <c r="A609" s="386"/>
      <c r="B609" s="310"/>
      <c r="C609" s="311"/>
      <c r="D609" s="518"/>
      <c r="E609" s="409"/>
      <c r="F609" s="312"/>
      <c r="G609" s="522"/>
      <c r="H609" s="312"/>
      <c r="I609" s="455"/>
      <c r="J609" s="271" t="b">
        <f>Age_Sex23[[#This Row],[Total Spending After Applying Truncation at the Member Level]]+Age_Sex23[[#This Row],[Total Dollars Excluded from Spending After Applying Truncation at the Member Level]]=Age_Sex23[[#This Row],[Total Spending before Truncation is Applied]]</f>
        <v>1</v>
      </c>
    </row>
    <row r="610" spans="1:10" x14ac:dyDescent="0.25">
      <c r="A610" s="389"/>
      <c r="B610" s="4"/>
      <c r="C610" s="16"/>
      <c r="D610" s="519"/>
      <c r="E610" s="410"/>
      <c r="F610" s="313"/>
      <c r="G610" s="256"/>
      <c r="H610" s="313"/>
      <c r="I610" s="456"/>
      <c r="J610" s="271" t="b">
        <f>Age_Sex23[[#This Row],[Total Spending After Applying Truncation at the Member Level]]+Age_Sex23[[#This Row],[Total Dollars Excluded from Spending After Applying Truncation at the Member Level]]=Age_Sex23[[#This Row],[Total Spending before Truncation is Applied]]</f>
        <v>1</v>
      </c>
    </row>
    <row r="611" spans="1:10" x14ac:dyDescent="0.25">
      <c r="A611" s="386"/>
      <c r="B611" s="310"/>
      <c r="C611" s="311"/>
      <c r="D611" s="518"/>
      <c r="E611" s="409"/>
      <c r="F611" s="312"/>
      <c r="G611" s="522"/>
      <c r="H611" s="312"/>
      <c r="I611" s="455"/>
      <c r="J611" s="271" t="b">
        <f>Age_Sex23[[#This Row],[Total Spending After Applying Truncation at the Member Level]]+Age_Sex23[[#This Row],[Total Dollars Excluded from Spending After Applying Truncation at the Member Level]]=Age_Sex23[[#This Row],[Total Spending before Truncation is Applied]]</f>
        <v>1</v>
      </c>
    </row>
    <row r="612" spans="1:10" x14ac:dyDescent="0.25">
      <c r="A612" s="389"/>
      <c r="B612" s="4"/>
      <c r="C612" s="16"/>
      <c r="D612" s="519"/>
      <c r="E612" s="410"/>
      <c r="F612" s="313"/>
      <c r="G612" s="256"/>
      <c r="H612" s="313"/>
      <c r="I612" s="456"/>
      <c r="J612" s="271" t="b">
        <f>Age_Sex23[[#This Row],[Total Spending After Applying Truncation at the Member Level]]+Age_Sex23[[#This Row],[Total Dollars Excluded from Spending After Applying Truncation at the Member Level]]=Age_Sex23[[#This Row],[Total Spending before Truncation is Applied]]</f>
        <v>1</v>
      </c>
    </row>
    <row r="613" spans="1:10" x14ac:dyDescent="0.25">
      <c r="A613" s="386"/>
      <c r="B613" s="310"/>
      <c r="C613" s="311"/>
      <c r="D613" s="518"/>
      <c r="E613" s="409"/>
      <c r="F613" s="312"/>
      <c r="G613" s="522"/>
      <c r="H613" s="312"/>
      <c r="I613" s="455"/>
      <c r="J613" s="271" t="b">
        <f>Age_Sex23[[#This Row],[Total Spending After Applying Truncation at the Member Level]]+Age_Sex23[[#This Row],[Total Dollars Excluded from Spending After Applying Truncation at the Member Level]]=Age_Sex23[[#This Row],[Total Spending before Truncation is Applied]]</f>
        <v>1</v>
      </c>
    </row>
    <row r="614" spans="1:10" x14ac:dyDescent="0.25">
      <c r="A614" s="389"/>
      <c r="B614" s="4"/>
      <c r="C614" s="16"/>
      <c r="D614" s="519"/>
      <c r="E614" s="410"/>
      <c r="F614" s="313"/>
      <c r="G614" s="256"/>
      <c r="H614" s="313"/>
      <c r="I614" s="456"/>
      <c r="J614" s="271" t="b">
        <f>Age_Sex23[[#This Row],[Total Spending After Applying Truncation at the Member Level]]+Age_Sex23[[#This Row],[Total Dollars Excluded from Spending After Applying Truncation at the Member Level]]=Age_Sex23[[#This Row],[Total Spending before Truncation is Applied]]</f>
        <v>1</v>
      </c>
    </row>
    <row r="615" spans="1:10" x14ac:dyDescent="0.25">
      <c r="A615" s="386"/>
      <c r="B615" s="310"/>
      <c r="C615" s="311"/>
      <c r="D615" s="518"/>
      <c r="E615" s="409"/>
      <c r="F615" s="312"/>
      <c r="G615" s="522"/>
      <c r="H615" s="312"/>
      <c r="I615" s="455"/>
      <c r="J615" s="271" t="b">
        <f>Age_Sex23[[#This Row],[Total Spending After Applying Truncation at the Member Level]]+Age_Sex23[[#This Row],[Total Dollars Excluded from Spending After Applying Truncation at the Member Level]]=Age_Sex23[[#This Row],[Total Spending before Truncation is Applied]]</f>
        <v>1</v>
      </c>
    </row>
    <row r="616" spans="1:10" x14ac:dyDescent="0.25">
      <c r="A616" s="389"/>
      <c r="B616" s="4"/>
      <c r="C616" s="16"/>
      <c r="D616" s="519"/>
      <c r="E616" s="410"/>
      <c r="F616" s="313"/>
      <c r="G616" s="256"/>
      <c r="H616" s="313"/>
      <c r="I616" s="456"/>
      <c r="J616" s="271" t="b">
        <f>Age_Sex23[[#This Row],[Total Spending After Applying Truncation at the Member Level]]+Age_Sex23[[#This Row],[Total Dollars Excluded from Spending After Applying Truncation at the Member Level]]=Age_Sex23[[#This Row],[Total Spending before Truncation is Applied]]</f>
        <v>1</v>
      </c>
    </row>
    <row r="617" spans="1:10" x14ac:dyDescent="0.25">
      <c r="A617" s="386"/>
      <c r="B617" s="310"/>
      <c r="C617" s="311"/>
      <c r="D617" s="518"/>
      <c r="E617" s="409"/>
      <c r="F617" s="312"/>
      <c r="G617" s="522"/>
      <c r="H617" s="312"/>
      <c r="I617" s="455"/>
      <c r="J617" s="271" t="b">
        <f>Age_Sex23[[#This Row],[Total Spending After Applying Truncation at the Member Level]]+Age_Sex23[[#This Row],[Total Dollars Excluded from Spending After Applying Truncation at the Member Level]]=Age_Sex23[[#This Row],[Total Spending before Truncation is Applied]]</f>
        <v>1</v>
      </c>
    </row>
    <row r="618" spans="1:10" x14ac:dyDescent="0.25">
      <c r="A618" s="389"/>
      <c r="B618" s="4"/>
      <c r="C618" s="16"/>
      <c r="D618" s="519"/>
      <c r="E618" s="410"/>
      <c r="F618" s="313"/>
      <c r="G618" s="256"/>
      <c r="H618" s="313"/>
      <c r="I618" s="456"/>
      <c r="J618" s="271" t="b">
        <f>Age_Sex23[[#This Row],[Total Spending After Applying Truncation at the Member Level]]+Age_Sex23[[#This Row],[Total Dollars Excluded from Spending After Applying Truncation at the Member Level]]=Age_Sex23[[#This Row],[Total Spending before Truncation is Applied]]</f>
        <v>1</v>
      </c>
    </row>
    <row r="619" spans="1:10" x14ac:dyDescent="0.25">
      <c r="A619" s="386"/>
      <c r="B619" s="310"/>
      <c r="C619" s="311"/>
      <c r="D619" s="518"/>
      <c r="E619" s="409"/>
      <c r="F619" s="312"/>
      <c r="G619" s="522"/>
      <c r="H619" s="312"/>
      <c r="I619" s="455"/>
      <c r="J619" s="271" t="b">
        <f>Age_Sex23[[#This Row],[Total Spending After Applying Truncation at the Member Level]]+Age_Sex23[[#This Row],[Total Dollars Excluded from Spending After Applying Truncation at the Member Level]]=Age_Sex23[[#This Row],[Total Spending before Truncation is Applied]]</f>
        <v>1</v>
      </c>
    </row>
    <row r="620" spans="1:10" x14ac:dyDescent="0.25">
      <c r="A620" s="389"/>
      <c r="B620" s="4"/>
      <c r="C620" s="16"/>
      <c r="D620" s="519"/>
      <c r="E620" s="410"/>
      <c r="F620" s="313"/>
      <c r="G620" s="256"/>
      <c r="H620" s="313"/>
      <c r="I620" s="456"/>
      <c r="J620" s="271" t="b">
        <f>Age_Sex23[[#This Row],[Total Spending After Applying Truncation at the Member Level]]+Age_Sex23[[#This Row],[Total Dollars Excluded from Spending After Applying Truncation at the Member Level]]=Age_Sex23[[#This Row],[Total Spending before Truncation is Applied]]</f>
        <v>1</v>
      </c>
    </row>
    <row r="621" spans="1:10" x14ac:dyDescent="0.25">
      <c r="A621" s="386"/>
      <c r="B621" s="310"/>
      <c r="C621" s="311"/>
      <c r="D621" s="518"/>
      <c r="E621" s="409"/>
      <c r="F621" s="312"/>
      <c r="G621" s="522"/>
      <c r="H621" s="312"/>
      <c r="I621" s="455"/>
      <c r="J621" s="271" t="b">
        <f>Age_Sex23[[#This Row],[Total Spending After Applying Truncation at the Member Level]]+Age_Sex23[[#This Row],[Total Dollars Excluded from Spending After Applying Truncation at the Member Level]]=Age_Sex23[[#This Row],[Total Spending before Truncation is Applied]]</f>
        <v>1</v>
      </c>
    </row>
    <row r="622" spans="1:10" x14ac:dyDescent="0.25">
      <c r="A622" s="389"/>
      <c r="B622" s="4"/>
      <c r="C622" s="16"/>
      <c r="D622" s="519"/>
      <c r="E622" s="410"/>
      <c r="F622" s="313"/>
      <c r="G622" s="256"/>
      <c r="H622" s="313"/>
      <c r="I622" s="456"/>
      <c r="J622" s="271" t="b">
        <f>Age_Sex23[[#This Row],[Total Spending After Applying Truncation at the Member Level]]+Age_Sex23[[#This Row],[Total Dollars Excluded from Spending After Applying Truncation at the Member Level]]=Age_Sex23[[#This Row],[Total Spending before Truncation is Applied]]</f>
        <v>1</v>
      </c>
    </row>
    <row r="623" spans="1:10" x14ac:dyDescent="0.25">
      <c r="A623" s="386"/>
      <c r="B623" s="310"/>
      <c r="C623" s="311"/>
      <c r="D623" s="518"/>
      <c r="E623" s="409"/>
      <c r="F623" s="312"/>
      <c r="G623" s="522"/>
      <c r="H623" s="312"/>
      <c r="I623" s="455"/>
      <c r="J623" s="271" t="b">
        <f>Age_Sex23[[#This Row],[Total Spending After Applying Truncation at the Member Level]]+Age_Sex23[[#This Row],[Total Dollars Excluded from Spending After Applying Truncation at the Member Level]]=Age_Sex23[[#This Row],[Total Spending before Truncation is Applied]]</f>
        <v>1</v>
      </c>
    </row>
    <row r="624" spans="1:10" x14ac:dyDescent="0.25">
      <c r="A624" s="389"/>
      <c r="B624" s="4"/>
      <c r="C624" s="16"/>
      <c r="D624" s="519"/>
      <c r="E624" s="410"/>
      <c r="F624" s="313"/>
      <c r="G624" s="256"/>
      <c r="H624" s="313"/>
      <c r="I624" s="456"/>
      <c r="J624" s="271" t="b">
        <f>Age_Sex23[[#This Row],[Total Spending After Applying Truncation at the Member Level]]+Age_Sex23[[#This Row],[Total Dollars Excluded from Spending After Applying Truncation at the Member Level]]=Age_Sex23[[#This Row],[Total Spending before Truncation is Applied]]</f>
        <v>1</v>
      </c>
    </row>
    <row r="625" spans="1:10" x14ac:dyDescent="0.25">
      <c r="A625" s="386"/>
      <c r="B625" s="310"/>
      <c r="C625" s="311"/>
      <c r="D625" s="518"/>
      <c r="E625" s="409"/>
      <c r="F625" s="312"/>
      <c r="G625" s="522"/>
      <c r="H625" s="312"/>
      <c r="I625" s="455"/>
      <c r="J625" s="271" t="b">
        <f>Age_Sex23[[#This Row],[Total Spending After Applying Truncation at the Member Level]]+Age_Sex23[[#This Row],[Total Dollars Excluded from Spending After Applying Truncation at the Member Level]]=Age_Sex23[[#This Row],[Total Spending before Truncation is Applied]]</f>
        <v>1</v>
      </c>
    </row>
    <row r="626" spans="1:10" x14ac:dyDescent="0.25">
      <c r="A626" s="389"/>
      <c r="B626" s="4"/>
      <c r="C626" s="16"/>
      <c r="D626" s="519"/>
      <c r="E626" s="410"/>
      <c r="F626" s="313"/>
      <c r="G626" s="256"/>
      <c r="H626" s="313"/>
      <c r="I626" s="456"/>
      <c r="J626" s="271" t="b">
        <f>Age_Sex23[[#This Row],[Total Spending After Applying Truncation at the Member Level]]+Age_Sex23[[#This Row],[Total Dollars Excluded from Spending After Applying Truncation at the Member Level]]=Age_Sex23[[#This Row],[Total Spending before Truncation is Applied]]</f>
        <v>1</v>
      </c>
    </row>
    <row r="627" spans="1:10" x14ac:dyDescent="0.25">
      <c r="A627" s="386"/>
      <c r="B627" s="310"/>
      <c r="C627" s="311"/>
      <c r="D627" s="518"/>
      <c r="E627" s="409"/>
      <c r="F627" s="312"/>
      <c r="G627" s="522"/>
      <c r="H627" s="312"/>
      <c r="I627" s="455"/>
      <c r="J627" s="271" t="b">
        <f>Age_Sex23[[#This Row],[Total Spending After Applying Truncation at the Member Level]]+Age_Sex23[[#This Row],[Total Dollars Excluded from Spending After Applying Truncation at the Member Level]]=Age_Sex23[[#This Row],[Total Spending before Truncation is Applied]]</f>
        <v>1</v>
      </c>
    </row>
    <row r="628" spans="1:10" x14ac:dyDescent="0.25">
      <c r="A628" s="389"/>
      <c r="B628" s="4"/>
      <c r="C628" s="16"/>
      <c r="D628" s="519"/>
      <c r="E628" s="410"/>
      <c r="F628" s="313"/>
      <c r="G628" s="256"/>
      <c r="H628" s="313"/>
      <c r="I628" s="456"/>
      <c r="J628" s="271" t="b">
        <f>Age_Sex23[[#This Row],[Total Spending After Applying Truncation at the Member Level]]+Age_Sex23[[#This Row],[Total Dollars Excluded from Spending After Applying Truncation at the Member Level]]=Age_Sex23[[#This Row],[Total Spending before Truncation is Applied]]</f>
        <v>1</v>
      </c>
    </row>
    <row r="629" spans="1:10" x14ac:dyDescent="0.25">
      <c r="A629" s="386"/>
      <c r="B629" s="310"/>
      <c r="C629" s="311"/>
      <c r="D629" s="518"/>
      <c r="E629" s="409"/>
      <c r="F629" s="312"/>
      <c r="G629" s="522"/>
      <c r="H629" s="312"/>
      <c r="I629" s="455"/>
      <c r="J629" s="271" t="b">
        <f>Age_Sex23[[#This Row],[Total Spending After Applying Truncation at the Member Level]]+Age_Sex23[[#This Row],[Total Dollars Excluded from Spending After Applying Truncation at the Member Level]]=Age_Sex23[[#This Row],[Total Spending before Truncation is Applied]]</f>
        <v>1</v>
      </c>
    </row>
    <row r="630" spans="1:10" x14ac:dyDescent="0.25">
      <c r="A630" s="389"/>
      <c r="B630" s="4"/>
      <c r="C630" s="16"/>
      <c r="D630" s="519"/>
      <c r="E630" s="410"/>
      <c r="F630" s="313"/>
      <c r="G630" s="256"/>
      <c r="H630" s="313"/>
      <c r="I630" s="456"/>
      <c r="J630" s="271" t="b">
        <f>Age_Sex23[[#This Row],[Total Spending After Applying Truncation at the Member Level]]+Age_Sex23[[#This Row],[Total Dollars Excluded from Spending After Applying Truncation at the Member Level]]=Age_Sex23[[#This Row],[Total Spending before Truncation is Applied]]</f>
        <v>1</v>
      </c>
    </row>
    <row r="631" spans="1:10" x14ac:dyDescent="0.25">
      <c r="A631" s="386"/>
      <c r="B631" s="310"/>
      <c r="C631" s="311"/>
      <c r="D631" s="518"/>
      <c r="E631" s="409"/>
      <c r="F631" s="312"/>
      <c r="G631" s="522"/>
      <c r="H631" s="312"/>
      <c r="I631" s="455"/>
      <c r="J631" s="271" t="b">
        <f>Age_Sex23[[#This Row],[Total Spending After Applying Truncation at the Member Level]]+Age_Sex23[[#This Row],[Total Dollars Excluded from Spending After Applying Truncation at the Member Level]]=Age_Sex23[[#This Row],[Total Spending before Truncation is Applied]]</f>
        <v>1</v>
      </c>
    </row>
    <row r="632" spans="1:10" x14ac:dyDescent="0.25">
      <c r="A632" s="389"/>
      <c r="B632" s="4"/>
      <c r="C632" s="16"/>
      <c r="D632" s="519"/>
      <c r="E632" s="410"/>
      <c r="F632" s="313"/>
      <c r="G632" s="256"/>
      <c r="H632" s="313"/>
      <c r="I632" s="456"/>
      <c r="J632" s="271" t="b">
        <f>Age_Sex23[[#This Row],[Total Spending After Applying Truncation at the Member Level]]+Age_Sex23[[#This Row],[Total Dollars Excluded from Spending After Applying Truncation at the Member Level]]=Age_Sex23[[#This Row],[Total Spending before Truncation is Applied]]</f>
        <v>1</v>
      </c>
    </row>
    <row r="633" spans="1:10" x14ac:dyDescent="0.25">
      <c r="A633" s="386"/>
      <c r="B633" s="310"/>
      <c r="C633" s="311"/>
      <c r="D633" s="518"/>
      <c r="E633" s="409"/>
      <c r="F633" s="312"/>
      <c r="G633" s="522"/>
      <c r="H633" s="312"/>
      <c r="I633" s="455"/>
      <c r="J633" s="271" t="b">
        <f>Age_Sex23[[#This Row],[Total Spending After Applying Truncation at the Member Level]]+Age_Sex23[[#This Row],[Total Dollars Excluded from Spending After Applying Truncation at the Member Level]]=Age_Sex23[[#This Row],[Total Spending before Truncation is Applied]]</f>
        <v>1</v>
      </c>
    </row>
    <row r="634" spans="1:10" x14ac:dyDescent="0.25">
      <c r="A634" s="389"/>
      <c r="B634" s="4"/>
      <c r="C634" s="16"/>
      <c r="D634" s="519"/>
      <c r="E634" s="410"/>
      <c r="F634" s="313"/>
      <c r="G634" s="256"/>
      <c r="H634" s="313"/>
      <c r="I634" s="456"/>
      <c r="J634" s="271" t="b">
        <f>Age_Sex23[[#This Row],[Total Spending After Applying Truncation at the Member Level]]+Age_Sex23[[#This Row],[Total Dollars Excluded from Spending After Applying Truncation at the Member Level]]=Age_Sex23[[#This Row],[Total Spending before Truncation is Applied]]</f>
        <v>1</v>
      </c>
    </row>
    <row r="635" spans="1:10" x14ac:dyDescent="0.25">
      <c r="A635" s="386"/>
      <c r="B635" s="310"/>
      <c r="C635" s="311"/>
      <c r="D635" s="518"/>
      <c r="E635" s="409"/>
      <c r="F635" s="312"/>
      <c r="G635" s="522"/>
      <c r="H635" s="312"/>
      <c r="I635" s="455"/>
      <c r="J635" s="271" t="b">
        <f>Age_Sex23[[#This Row],[Total Spending After Applying Truncation at the Member Level]]+Age_Sex23[[#This Row],[Total Dollars Excluded from Spending After Applying Truncation at the Member Level]]=Age_Sex23[[#This Row],[Total Spending before Truncation is Applied]]</f>
        <v>1</v>
      </c>
    </row>
    <row r="636" spans="1:10" x14ac:dyDescent="0.25">
      <c r="A636" s="389"/>
      <c r="B636" s="4"/>
      <c r="C636" s="16"/>
      <c r="D636" s="519"/>
      <c r="E636" s="410"/>
      <c r="F636" s="313"/>
      <c r="G636" s="256"/>
      <c r="H636" s="313"/>
      <c r="I636" s="456"/>
      <c r="J636" s="271" t="b">
        <f>Age_Sex23[[#This Row],[Total Spending After Applying Truncation at the Member Level]]+Age_Sex23[[#This Row],[Total Dollars Excluded from Spending After Applying Truncation at the Member Level]]=Age_Sex23[[#This Row],[Total Spending before Truncation is Applied]]</f>
        <v>1</v>
      </c>
    </row>
    <row r="637" spans="1:10" x14ac:dyDescent="0.25">
      <c r="A637" s="386"/>
      <c r="B637" s="310"/>
      <c r="C637" s="311"/>
      <c r="D637" s="518"/>
      <c r="E637" s="409"/>
      <c r="F637" s="312"/>
      <c r="G637" s="522"/>
      <c r="H637" s="312"/>
      <c r="I637" s="455"/>
      <c r="J637" s="271" t="b">
        <f>Age_Sex23[[#This Row],[Total Spending After Applying Truncation at the Member Level]]+Age_Sex23[[#This Row],[Total Dollars Excluded from Spending After Applying Truncation at the Member Level]]=Age_Sex23[[#This Row],[Total Spending before Truncation is Applied]]</f>
        <v>1</v>
      </c>
    </row>
    <row r="638" spans="1:10" x14ac:dyDescent="0.25">
      <c r="A638" s="389"/>
      <c r="B638" s="4"/>
      <c r="C638" s="16"/>
      <c r="D638" s="519"/>
      <c r="E638" s="410"/>
      <c r="F638" s="313"/>
      <c r="G638" s="256"/>
      <c r="H638" s="313"/>
      <c r="I638" s="456"/>
      <c r="J638" s="271" t="b">
        <f>Age_Sex23[[#This Row],[Total Spending After Applying Truncation at the Member Level]]+Age_Sex23[[#This Row],[Total Dollars Excluded from Spending After Applying Truncation at the Member Level]]=Age_Sex23[[#This Row],[Total Spending before Truncation is Applied]]</f>
        <v>1</v>
      </c>
    </row>
    <row r="639" spans="1:10" x14ac:dyDescent="0.25">
      <c r="A639" s="386"/>
      <c r="B639" s="310"/>
      <c r="C639" s="311"/>
      <c r="D639" s="518"/>
      <c r="E639" s="409"/>
      <c r="F639" s="312"/>
      <c r="G639" s="522"/>
      <c r="H639" s="312"/>
      <c r="I639" s="455"/>
      <c r="J639" s="271" t="b">
        <f>Age_Sex23[[#This Row],[Total Spending After Applying Truncation at the Member Level]]+Age_Sex23[[#This Row],[Total Dollars Excluded from Spending After Applying Truncation at the Member Level]]=Age_Sex23[[#This Row],[Total Spending before Truncation is Applied]]</f>
        <v>1</v>
      </c>
    </row>
    <row r="640" spans="1:10" x14ac:dyDescent="0.25">
      <c r="A640" s="389"/>
      <c r="B640" s="4"/>
      <c r="C640" s="16"/>
      <c r="D640" s="519"/>
      <c r="E640" s="410"/>
      <c r="F640" s="313"/>
      <c r="G640" s="256"/>
      <c r="H640" s="313"/>
      <c r="I640" s="456"/>
      <c r="J640" s="271" t="b">
        <f>Age_Sex23[[#This Row],[Total Spending After Applying Truncation at the Member Level]]+Age_Sex23[[#This Row],[Total Dollars Excluded from Spending After Applying Truncation at the Member Level]]=Age_Sex23[[#This Row],[Total Spending before Truncation is Applied]]</f>
        <v>1</v>
      </c>
    </row>
    <row r="641" spans="1:10" x14ac:dyDescent="0.25">
      <c r="A641" s="386"/>
      <c r="B641" s="310"/>
      <c r="C641" s="311"/>
      <c r="D641" s="518"/>
      <c r="E641" s="409"/>
      <c r="F641" s="312"/>
      <c r="G641" s="522"/>
      <c r="H641" s="312"/>
      <c r="I641" s="455"/>
      <c r="J641" s="271" t="b">
        <f>Age_Sex23[[#This Row],[Total Spending After Applying Truncation at the Member Level]]+Age_Sex23[[#This Row],[Total Dollars Excluded from Spending After Applying Truncation at the Member Level]]=Age_Sex23[[#This Row],[Total Spending before Truncation is Applied]]</f>
        <v>1</v>
      </c>
    </row>
    <row r="642" spans="1:10" x14ac:dyDescent="0.25">
      <c r="A642" s="389"/>
      <c r="B642" s="4"/>
      <c r="C642" s="16"/>
      <c r="D642" s="519"/>
      <c r="E642" s="410"/>
      <c r="F642" s="313"/>
      <c r="G642" s="256"/>
      <c r="H642" s="313"/>
      <c r="I642" s="456"/>
      <c r="J642" s="271" t="b">
        <f>Age_Sex23[[#This Row],[Total Spending After Applying Truncation at the Member Level]]+Age_Sex23[[#This Row],[Total Dollars Excluded from Spending After Applying Truncation at the Member Level]]=Age_Sex23[[#This Row],[Total Spending before Truncation is Applied]]</f>
        <v>1</v>
      </c>
    </row>
    <row r="643" spans="1:10" x14ac:dyDescent="0.25">
      <c r="A643" s="386"/>
      <c r="B643" s="310"/>
      <c r="C643" s="311"/>
      <c r="D643" s="518"/>
      <c r="E643" s="409"/>
      <c r="F643" s="312"/>
      <c r="G643" s="522"/>
      <c r="H643" s="312"/>
      <c r="I643" s="455"/>
      <c r="J643" s="271" t="b">
        <f>Age_Sex23[[#This Row],[Total Spending After Applying Truncation at the Member Level]]+Age_Sex23[[#This Row],[Total Dollars Excluded from Spending After Applying Truncation at the Member Level]]=Age_Sex23[[#This Row],[Total Spending before Truncation is Applied]]</f>
        <v>1</v>
      </c>
    </row>
    <row r="644" spans="1:10" x14ac:dyDescent="0.25">
      <c r="A644" s="389"/>
      <c r="B644" s="4"/>
      <c r="C644" s="16"/>
      <c r="D644" s="519"/>
      <c r="E644" s="410"/>
      <c r="F644" s="313"/>
      <c r="G644" s="256"/>
      <c r="H644" s="313"/>
      <c r="I644" s="456"/>
      <c r="J644" s="271" t="b">
        <f>Age_Sex23[[#This Row],[Total Spending After Applying Truncation at the Member Level]]+Age_Sex23[[#This Row],[Total Dollars Excluded from Spending After Applying Truncation at the Member Level]]=Age_Sex23[[#This Row],[Total Spending before Truncation is Applied]]</f>
        <v>1</v>
      </c>
    </row>
    <row r="645" spans="1:10" x14ac:dyDescent="0.25">
      <c r="A645" s="386"/>
      <c r="B645" s="310"/>
      <c r="C645" s="311"/>
      <c r="D645" s="518"/>
      <c r="E645" s="409"/>
      <c r="F645" s="312"/>
      <c r="G645" s="522"/>
      <c r="H645" s="312"/>
      <c r="I645" s="455"/>
      <c r="J645" s="271" t="b">
        <f>Age_Sex23[[#This Row],[Total Spending After Applying Truncation at the Member Level]]+Age_Sex23[[#This Row],[Total Dollars Excluded from Spending After Applying Truncation at the Member Level]]=Age_Sex23[[#This Row],[Total Spending before Truncation is Applied]]</f>
        <v>1</v>
      </c>
    </row>
    <row r="646" spans="1:10" x14ac:dyDescent="0.25">
      <c r="A646" s="389"/>
      <c r="B646" s="4"/>
      <c r="C646" s="16"/>
      <c r="D646" s="519"/>
      <c r="E646" s="410"/>
      <c r="F646" s="313"/>
      <c r="G646" s="256"/>
      <c r="H646" s="313"/>
      <c r="I646" s="456"/>
      <c r="J646" s="271" t="b">
        <f>Age_Sex23[[#This Row],[Total Spending After Applying Truncation at the Member Level]]+Age_Sex23[[#This Row],[Total Dollars Excluded from Spending After Applying Truncation at the Member Level]]=Age_Sex23[[#This Row],[Total Spending before Truncation is Applied]]</f>
        <v>1</v>
      </c>
    </row>
    <row r="647" spans="1:10" x14ac:dyDescent="0.25">
      <c r="A647" s="386"/>
      <c r="B647" s="310"/>
      <c r="C647" s="311"/>
      <c r="D647" s="518"/>
      <c r="E647" s="409"/>
      <c r="F647" s="312"/>
      <c r="G647" s="522"/>
      <c r="H647" s="312"/>
      <c r="I647" s="455"/>
      <c r="J647" s="271" t="b">
        <f>Age_Sex23[[#This Row],[Total Spending After Applying Truncation at the Member Level]]+Age_Sex23[[#This Row],[Total Dollars Excluded from Spending After Applying Truncation at the Member Level]]=Age_Sex23[[#This Row],[Total Spending before Truncation is Applied]]</f>
        <v>1</v>
      </c>
    </row>
    <row r="648" spans="1:10" x14ac:dyDescent="0.25">
      <c r="A648" s="389"/>
      <c r="B648" s="4"/>
      <c r="C648" s="16"/>
      <c r="D648" s="519"/>
      <c r="E648" s="410"/>
      <c r="F648" s="313"/>
      <c r="G648" s="256"/>
      <c r="H648" s="313"/>
      <c r="I648" s="456"/>
      <c r="J648" s="271" t="b">
        <f>Age_Sex23[[#This Row],[Total Spending After Applying Truncation at the Member Level]]+Age_Sex23[[#This Row],[Total Dollars Excluded from Spending After Applying Truncation at the Member Level]]=Age_Sex23[[#This Row],[Total Spending before Truncation is Applied]]</f>
        <v>1</v>
      </c>
    </row>
    <row r="649" spans="1:10" x14ac:dyDescent="0.25">
      <c r="A649" s="386"/>
      <c r="B649" s="310"/>
      <c r="C649" s="311"/>
      <c r="D649" s="518"/>
      <c r="E649" s="409"/>
      <c r="F649" s="312"/>
      <c r="G649" s="522"/>
      <c r="H649" s="312"/>
      <c r="I649" s="455"/>
      <c r="J649" s="271" t="b">
        <f>Age_Sex23[[#This Row],[Total Spending After Applying Truncation at the Member Level]]+Age_Sex23[[#This Row],[Total Dollars Excluded from Spending After Applying Truncation at the Member Level]]=Age_Sex23[[#This Row],[Total Spending before Truncation is Applied]]</f>
        <v>1</v>
      </c>
    </row>
    <row r="650" spans="1:10" x14ac:dyDescent="0.25">
      <c r="A650" s="389"/>
      <c r="B650" s="4"/>
      <c r="C650" s="16"/>
      <c r="D650" s="519"/>
      <c r="E650" s="410"/>
      <c r="F650" s="313"/>
      <c r="G650" s="256"/>
      <c r="H650" s="313"/>
      <c r="I650" s="456"/>
      <c r="J650" s="271" t="b">
        <f>Age_Sex23[[#This Row],[Total Spending After Applying Truncation at the Member Level]]+Age_Sex23[[#This Row],[Total Dollars Excluded from Spending After Applying Truncation at the Member Level]]=Age_Sex23[[#This Row],[Total Spending before Truncation is Applied]]</f>
        <v>1</v>
      </c>
    </row>
    <row r="651" spans="1:10" x14ac:dyDescent="0.25">
      <c r="A651" s="386"/>
      <c r="B651" s="310"/>
      <c r="C651" s="311"/>
      <c r="D651" s="518"/>
      <c r="E651" s="409"/>
      <c r="F651" s="312"/>
      <c r="G651" s="522"/>
      <c r="H651" s="312"/>
      <c r="I651" s="455"/>
      <c r="J651" s="271" t="b">
        <f>Age_Sex23[[#This Row],[Total Spending After Applying Truncation at the Member Level]]+Age_Sex23[[#This Row],[Total Dollars Excluded from Spending After Applying Truncation at the Member Level]]=Age_Sex23[[#This Row],[Total Spending before Truncation is Applied]]</f>
        <v>1</v>
      </c>
    </row>
    <row r="652" spans="1:10" x14ac:dyDescent="0.25">
      <c r="A652" s="389"/>
      <c r="B652" s="4"/>
      <c r="C652" s="16"/>
      <c r="D652" s="519"/>
      <c r="E652" s="410"/>
      <c r="F652" s="313"/>
      <c r="G652" s="256"/>
      <c r="H652" s="313"/>
      <c r="I652" s="456"/>
      <c r="J652" s="271" t="b">
        <f>Age_Sex23[[#This Row],[Total Spending After Applying Truncation at the Member Level]]+Age_Sex23[[#This Row],[Total Dollars Excluded from Spending After Applying Truncation at the Member Level]]=Age_Sex23[[#This Row],[Total Spending before Truncation is Applied]]</f>
        <v>1</v>
      </c>
    </row>
    <row r="653" spans="1:10" x14ac:dyDescent="0.25">
      <c r="A653" s="386"/>
      <c r="B653" s="310"/>
      <c r="C653" s="311"/>
      <c r="D653" s="518"/>
      <c r="E653" s="409"/>
      <c r="F653" s="312"/>
      <c r="G653" s="522"/>
      <c r="H653" s="312"/>
      <c r="I653" s="455"/>
      <c r="J653" s="271" t="b">
        <f>Age_Sex23[[#This Row],[Total Spending After Applying Truncation at the Member Level]]+Age_Sex23[[#This Row],[Total Dollars Excluded from Spending After Applying Truncation at the Member Level]]=Age_Sex23[[#This Row],[Total Spending before Truncation is Applied]]</f>
        <v>1</v>
      </c>
    </row>
    <row r="654" spans="1:10" x14ac:dyDescent="0.25">
      <c r="A654" s="389"/>
      <c r="B654" s="4"/>
      <c r="C654" s="16"/>
      <c r="D654" s="519"/>
      <c r="E654" s="410"/>
      <c r="F654" s="313"/>
      <c r="G654" s="256"/>
      <c r="H654" s="313"/>
      <c r="I654" s="456"/>
      <c r="J654" s="271" t="b">
        <f>Age_Sex23[[#This Row],[Total Spending After Applying Truncation at the Member Level]]+Age_Sex23[[#This Row],[Total Dollars Excluded from Spending After Applying Truncation at the Member Level]]=Age_Sex23[[#This Row],[Total Spending before Truncation is Applied]]</f>
        <v>1</v>
      </c>
    </row>
    <row r="655" spans="1:10" x14ac:dyDescent="0.25">
      <c r="A655" s="386"/>
      <c r="B655" s="310"/>
      <c r="C655" s="311"/>
      <c r="D655" s="518"/>
      <c r="E655" s="409"/>
      <c r="F655" s="312"/>
      <c r="G655" s="522"/>
      <c r="H655" s="312"/>
      <c r="I655" s="455"/>
      <c r="J655" s="271" t="b">
        <f>Age_Sex23[[#This Row],[Total Spending After Applying Truncation at the Member Level]]+Age_Sex23[[#This Row],[Total Dollars Excluded from Spending After Applying Truncation at the Member Level]]=Age_Sex23[[#This Row],[Total Spending before Truncation is Applied]]</f>
        <v>1</v>
      </c>
    </row>
    <row r="656" spans="1:10" x14ac:dyDescent="0.25">
      <c r="A656" s="389"/>
      <c r="B656" s="4"/>
      <c r="C656" s="16"/>
      <c r="D656" s="519"/>
      <c r="E656" s="410"/>
      <c r="F656" s="313"/>
      <c r="G656" s="256"/>
      <c r="H656" s="313"/>
      <c r="I656" s="456"/>
      <c r="J656" s="271" t="b">
        <f>Age_Sex23[[#This Row],[Total Spending After Applying Truncation at the Member Level]]+Age_Sex23[[#This Row],[Total Dollars Excluded from Spending After Applying Truncation at the Member Level]]=Age_Sex23[[#This Row],[Total Spending before Truncation is Applied]]</f>
        <v>1</v>
      </c>
    </row>
    <row r="657" spans="1:10" x14ac:dyDescent="0.25">
      <c r="A657" s="386"/>
      <c r="B657" s="310"/>
      <c r="C657" s="311"/>
      <c r="D657" s="518"/>
      <c r="E657" s="409"/>
      <c r="F657" s="312"/>
      <c r="G657" s="522"/>
      <c r="H657" s="312"/>
      <c r="I657" s="455"/>
      <c r="J657" s="271" t="b">
        <f>Age_Sex23[[#This Row],[Total Spending After Applying Truncation at the Member Level]]+Age_Sex23[[#This Row],[Total Dollars Excluded from Spending After Applying Truncation at the Member Level]]=Age_Sex23[[#This Row],[Total Spending before Truncation is Applied]]</f>
        <v>1</v>
      </c>
    </row>
    <row r="658" spans="1:10" x14ac:dyDescent="0.25">
      <c r="A658" s="389"/>
      <c r="B658" s="4"/>
      <c r="C658" s="16"/>
      <c r="D658" s="519"/>
      <c r="E658" s="410"/>
      <c r="F658" s="313"/>
      <c r="G658" s="256"/>
      <c r="H658" s="313"/>
      <c r="I658" s="456"/>
      <c r="J658" s="271" t="b">
        <f>Age_Sex23[[#This Row],[Total Spending After Applying Truncation at the Member Level]]+Age_Sex23[[#This Row],[Total Dollars Excluded from Spending After Applying Truncation at the Member Level]]=Age_Sex23[[#This Row],[Total Spending before Truncation is Applied]]</f>
        <v>1</v>
      </c>
    </row>
    <row r="659" spans="1:10" x14ac:dyDescent="0.25">
      <c r="A659" s="386"/>
      <c r="B659" s="310"/>
      <c r="C659" s="311"/>
      <c r="D659" s="518"/>
      <c r="E659" s="409"/>
      <c r="F659" s="312"/>
      <c r="G659" s="522"/>
      <c r="H659" s="312"/>
      <c r="I659" s="455"/>
      <c r="J659" s="271" t="b">
        <f>Age_Sex23[[#This Row],[Total Spending After Applying Truncation at the Member Level]]+Age_Sex23[[#This Row],[Total Dollars Excluded from Spending After Applying Truncation at the Member Level]]=Age_Sex23[[#This Row],[Total Spending before Truncation is Applied]]</f>
        <v>1</v>
      </c>
    </row>
    <row r="660" spans="1:10" x14ac:dyDescent="0.25">
      <c r="A660" s="389"/>
      <c r="B660" s="4"/>
      <c r="C660" s="16"/>
      <c r="D660" s="519"/>
      <c r="E660" s="410"/>
      <c r="F660" s="313"/>
      <c r="G660" s="256"/>
      <c r="H660" s="313"/>
      <c r="I660" s="456"/>
      <c r="J660" s="271" t="b">
        <f>Age_Sex23[[#This Row],[Total Spending After Applying Truncation at the Member Level]]+Age_Sex23[[#This Row],[Total Dollars Excluded from Spending After Applying Truncation at the Member Level]]=Age_Sex23[[#This Row],[Total Spending before Truncation is Applied]]</f>
        <v>1</v>
      </c>
    </row>
    <row r="661" spans="1:10" x14ac:dyDescent="0.25">
      <c r="A661" s="386"/>
      <c r="B661" s="310"/>
      <c r="C661" s="311"/>
      <c r="D661" s="518"/>
      <c r="E661" s="409"/>
      <c r="F661" s="312"/>
      <c r="G661" s="522"/>
      <c r="H661" s="312"/>
      <c r="I661" s="455"/>
      <c r="J661" s="271" t="b">
        <f>Age_Sex23[[#This Row],[Total Spending After Applying Truncation at the Member Level]]+Age_Sex23[[#This Row],[Total Dollars Excluded from Spending After Applying Truncation at the Member Level]]=Age_Sex23[[#This Row],[Total Spending before Truncation is Applied]]</f>
        <v>1</v>
      </c>
    </row>
    <row r="662" spans="1:10" x14ac:dyDescent="0.25">
      <c r="A662" s="389"/>
      <c r="B662" s="4"/>
      <c r="C662" s="16"/>
      <c r="D662" s="519"/>
      <c r="E662" s="410"/>
      <c r="F662" s="313"/>
      <c r="G662" s="256"/>
      <c r="H662" s="313"/>
      <c r="I662" s="456"/>
      <c r="J662" s="271" t="b">
        <f>Age_Sex23[[#This Row],[Total Spending After Applying Truncation at the Member Level]]+Age_Sex23[[#This Row],[Total Dollars Excluded from Spending After Applying Truncation at the Member Level]]=Age_Sex23[[#This Row],[Total Spending before Truncation is Applied]]</f>
        <v>1</v>
      </c>
    </row>
    <row r="663" spans="1:10" x14ac:dyDescent="0.25">
      <c r="A663" s="386"/>
      <c r="B663" s="310"/>
      <c r="C663" s="311"/>
      <c r="D663" s="518"/>
      <c r="E663" s="409"/>
      <c r="F663" s="312"/>
      <c r="G663" s="522"/>
      <c r="H663" s="312"/>
      <c r="I663" s="455"/>
      <c r="J663" s="271" t="b">
        <f>Age_Sex23[[#This Row],[Total Spending After Applying Truncation at the Member Level]]+Age_Sex23[[#This Row],[Total Dollars Excluded from Spending After Applying Truncation at the Member Level]]=Age_Sex23[[#This Row],[Total Spending before Truncation is Applied]]</f>
        <v>1</v>
      </c>
    </row>
    <row r="664" spans="1:10" x14ac:dyDescent="0.25">
      <c r="A664" s="389"/>
      <c r="B664" s="4"/>
      <c r="C664" s="16"/>
      <c r="D664" s="519"/>
      <c r="E664" s="410"/>
      <c r="F664" s="313"/>
      <c r="G664" s="256"/>
      <c r="H664" s="313"/>
      <c r="I664" s="456"/>
      <c r="J664" s="271" t="b">
        <f>Age_Sex23[[#This Row],[Total Spending After Applying Truncation at the Member Level]]+Age_Sex23[[#This Row],[Total Dollars Excluded from Spending After Applying Truncation at the Member Level]]=Age_Sex23[[#This Row],[Total Spending before Truncation is Applied]]</f>
        <v>1</v>
      </c>
    </row>
    <row r="665" spans="1:10" x14ac:dyDescent="0.25">
      <c r="A665" s="386"/>
      <c r="B665" s="310"/>
      <c r="C665" s="311"/>
      <c r="D665" s="518"/>
      <c r="E665" s="409"/>
      <c r="F665" s="312"/>
      <c r="G665" s="522"/>
      <c r="H665" s="312"/>
      <c r="I665" s="455"/>
      <c r="J665" s="271" t="b">
        <f>Age_Sex23[[#This Row],[Total Spending After Applying Truncation at the Member Level]]+Age_Sex23[[#This Row],[Total Dollars Excluded from Spending After Applying Truncation at the Member Level]]=Age_Sex23[[#This Row],[Total Spending before Truncation is Applied]]</f>
        <v>1</v>
      </c>
    </row>
    <row r="666" spans="1:10" x14ac:dyDescent="0.25">
      <c r="A666" s="389"/>
      <c r="B666" s="4"/>
      <c r="C666" s="16"/>
      <c r="D666" s="519"/>
      <c r="E666" s="410"/>
      <c r="F666" s="313"/>
      <c r="G666" s="256"/>
      <c r="H666" s="313"/>
      <c r="I666" s="456"/>
      <c r="J666" s="271" t="b">
        <f>Age_Sex23[[#This Row],[Total Spending After Applying Truncation at the Member Level]]+Age_Sex23[[#This Row],[Total Dollars Excluded from Spending After Applying Truncation at the Member Level]]=Age_Sex23[[#This Row],[Total Spending before Truncation is Applied]]</f>
        <v>1</v>
      </c>
    </row>
    <row r="667" spans="1:10" x14ac:dyDescent="0.25">
      <c r="A667" s="386"/>
      <c r="B667" s="310"/>
      <c r="C667" s="311"/>
      <c r="D667" s="518"/>
      <c r="E667" s="409"/>
      <c r="F667" s="312"/>
      <c r="G667" s="522"/>
      <c r="H667" s="312"/>
      <c r="I667" s="455"/>
      <c r="J667" s="271" t="b">
        <f>Age_Sex23[[#This Row],[Total Spending After Applying Truncation at the Member Level]]+Age_Sex23[[#This Row],[Total Dollars Excluded from Spending After Applying Truncation at the Member Level]]=Age_Sex23[[#This Row],[Total Spending before Truncation is Applied]]</f>
        <v>1</v>
      </c>
    </row>
    <row r="668" spans="1:10" x14ac:dyDescent="0.25">
      <c r="A668" s="389"/>
      <c r="B668" s="4"/>
      <c r="C668" s="16"/>
      <c r="D668" s="519"/>
      <c r="E668" s="410"/>
      <c r="F668" s="313"/>
      <c r="G668" s="256"/>
      <c r="H668" s="313"/>
      <c r="I668" s="456"/>
      <c r="J668" s="271" t="b">
        <f>Age_Sex23[[#This Row],[Total Spending After Applying Truncation at the Member Level]]+Age_Sex23[[#This Row],[Total Dollars Excluded from Spending After Applying Truncation at the Member Level]]=Age_Sex23[[#This Row],[Total Spending before Truncation is Applied]]</f>
        <v>1</v>
      </c>
    </row>
    <row r="669" spans="1:10" x14ac:dyDescent="0.25">
      <c r="A669" s="386"/>
      <c r="B669" s="310"/>
      <c r="C669" s="311"/>
      <c r="D669" s="518"/>
      <c r="E669" s="409"/>
      <c r="F669" s="312"/>
      <c r="G669" s="522"/>
      <c r="H669" s="312"/>
      <c r="I669" s="455"/>
      <c r="J669" s="271" t="b">
        <f>Age_Sex23[[#This Row],[Total Spending After Applying Truncation at the Member Level]]+Age_Sex23[[#This Row],[Total Dollars Excluded from Spending After Applying Truncation at the Member Level]]=Age_Sex23[[#This Row],[Total Spending before Truncation is Applied]]</f>
        <v>1</v>
      </c>
    </row>
    <row r="670" spans="1:10" x14ac:dyDescent="0.25">
      <c r="A670" s="389"/>
      <c r="B670" s="4"/>
      <c r="C670" s="16"/>
      <c r="D670" s="519"/>
      <c r="E670" s="410"/>
      <c r="F670" s="313"/>
      <c r="G670" s="256"/>
      <c r="H670" s="313"/>
      <c r="I670" s="456"/>
      <c r="J670" s="271" t="b">
        <f>Age_Sex23[[#This Row],[Total Spending After Applying Truncation at the Member Level]]+Age_Sex23[[#This Row],[Total Dollars Excluded from Spending After Applying Truncation at the Member Level]]=Age_Sex23[[#This Row],[Total Spending before Truncation is Applied]]</f>
        <v>1</v>
      </c>
    </row>
    <row r="671" spans="1:10" x14ac:dyDescent="0.25">
      <c r="A671" s="386"/>
      <c r="B671" s="310"/>
      <c r="C671" s="311"/>
      <c r="D671" s="518"/>
      <c r="E671" s="409"/>
      <c r="F671" s="312"/>
      <c r="G671" s="522"/>
      <c r="H671" s="312"/>
      <c r="I671" s="455"/>
      <c r="J671" s="271" t="b">
        <f>Age_Sex23[[#This Row],[Total Spending After Applying Truncation at the Member Level]]+Age_Sex23[[#This Row],[Total Dollars Excluded from Spending After Applying Truncation at the Member Level]]=Age_Sex23[[#This Row],[Total Spending before Truncation is Applied]]</f>
        <v>1</v>
      </c>
    </row>
    <row r="672" spans="1:10" x14ac:dyDescent="0.25">
      <c r="A672" s="389"/>
      <c r="B672" s="4"/>
      <c r="C672" s="16"/>
      <c r="D672" s="519"/>
      <c r="E672" s="410"/>
      <c r="F672" s="313"/>
      <c r="G672" s="256"/>
      <c r="H672" s="313"/>
      <c r="I672" s="456"/>
      <c r="J672" s="271" t="b">
        <f>Age_Sex23[[#This Row],[Total Spending After Applying Truncation at the Member Level]]+Age_Sex23[[#This Row],[Total Dollars Excluded from Spending After Applying Truncation at the Member Level]]=Age_Sex23[[#This Row],[Total Spending before Truncation is Applied]]</f>
        <v>1</v>
      </c>
    </row>
    <row r="673" spans="1:10" x14ac:dyDescent="0.25">
      <c r="A673" s="386"/>
      <c r="B673" s="310"/>
      <c r="C673" s="311"/>
      <c r="D673" s="518"/>
      <c r="E673" s="409"/>
      <c r="F673" s="312"/>
      <c r="G673" s="522"/>
      <c r="H673" s="312"/>
      <c r="I673" s="455"/>
      <c r="J673" s="271" t="b">
        <f>Age_Sex23[[#This Row],[Total Spending After Applying Truncation at the Member Level]]+Age_Sex23[[#This Row],[Total Dollars Excluded from Spending After Applying Truncation at the Member Level]]=Age_Sex23[[#This Row],[Total Spending before Truncation is Applied]]</f>
        <v>1</v>
      </c>
    </row>
    <row r="674" spans="1:10" x14ac:dyDescent="0.25">
      <c r="A674" s="389"/>
      <c r="B674" s="4"/>
      <c r="C674" s="16"/>
      <c r="D674" s="519"/>
      <c r="E674" s="410"/>
      <c r="F674" s="313"/>
      <c r="G674" s="256"/>
      <c r="H674" s="313"/>
      <c r="I674" s="456"/>
      <c r="J674" s="271" t="b">
        <f>Age_Sex23[[#This Row],[Total Spending After Applying Truncation at the Member Level]]+Age_Sex23[[#This Row],[Total Dollars Excluded from Spending After Applying Truncation at the Member Level]]=Age_Sex23[[#This Row],[Total Spending before Truncation is Applied]]</f>
        <v>1</v>
      </c>
    </row>
    <row r="675" spans="1:10" x14ac:dyDescent="0.25">
      <c r="A675" s="386"/>
      <c r="B675" s="310"/>
      <c r="C675" s="311"/>
      <c r="D675" s="518"/>
      <c r="E675" s="409"/>
      <c r="F675" s="312"/>
      <c r="G675" s="522"/>
      <c r="H675" s="312"/>
      <c r="I675" s="455"/>
      <c r="J675" s="271" t="b">
        <f>Age_Sex23[[#This Row],[Total Spending After Applying Truncation at the Member Level]]+Age_Sex23[[#This Row],[Total Dollars Excluded from Spending After Applying Truncation at the Member Level]]=Age_Sex23[[#This Row],[Total Spending before Truncation is Applied]]</f>
        <v>1</v>
      </c>
    </row>
    <row r="676" spans="1:10" x14ac:dyDescent="0.25">
      <c r="A676" s="389"/>
      <c r="B676" s="4"/>
      <c r="C676" s="16"/>
      <c r="D676" s="519"/>
      <c r="E676" s="410"/>
      <c r="F676" s="313"/>
      <c r="G676" s="256"/>
      <c r="H676" s="313"/>
      <c r="I676" s="456"/>
      <c r="J676" s="271" t="b">
        <f>Age_Sex23[[#This Row],[Total Spending After Applying Truncation at the Member Level]]+Age_Sex23[[#This Row],[Total Dollars Excluded from Spending After Applying Truncation at the Member Level]]=Age_Sex23[[#This Row],[Total Spending before Truncation is Applied]]</f>
        <v>1</v>
      </c>
    </row>
    <row r="677" spans="1:10" x14ac:dyDescent="0.25">
      <c r="A677" s="386"/>
      <c r="B677" s="310"/>
      <c r="C677" s="311"/>
      <c r="D677" s="518"/>
      <c r="E677" s="409"/>
      <c r="F677" s="312"/>
      <c r="G677" s="522"/>
      <c r="H677" s="312"/>
      <c r="I677" s="455"/>
      <c r="J677" s="271" t="b">
        <f>Age_Sex23[[#This Row],[Total Spending After Applying Truncation at the Member Level]]+Age_Sex23[[#This Row],[Total Dollars Excluded from Spending After Applying Truncation at the Member Level]]=Age_Sex23[[#This Row],[Total Spending before Truncation is Applied]]</f>
        <v>1</v>
      </c>
    </row>
    <row r="678" spans="1:10" x14ac:dyDescent="0.25">
      <c r="A678" s="389"/>
      <c r="B678" s="4"/>
      <c r="C678" s="16"/>
      <c r="D678" s="519"/>
      <c r="E678" s="410"/>
      <c r="F678" s="313"/>
      <c r="G678" s="256"/>
      <c r="H678" s="313"/>
      <c r="I678" s="456"/>
      <c r="J678" s="271" t="b">
        <f>Age_Sex23[[#This Row],[Total Spending After Applying Truncation at the Member Level]]+Age_Sex23[[#This Row],[Total Dollars Excluded from Spending After Applying Truncation at the Member Level]]=Age_Sex23[[#This Row],[Total Spending before Truncation is Applied]]</f>
        <v>1</v>
      </c>
    </row>
    <row r="679" spans="1:10" x14ac:dyDescent="0.25">
      <c r="A679" s="386"/>
      <c r="B679" s="310"/>
      <c r="C679" s="311"/>
      <c r="D679" s="518"/>
      <c r="E679" s="409"/>
      <c r="F679" s="312"/>
      <c r="G679" s="522"/>
      <c r="H679" s="312"/>
      <c r="I679" s="455"/>
      <c r="J679" s="271" t="b">
        <f>Age_Sex23[[#This Row],[Total Spending After Applying Truncation at the Member Level]]+Age_Sex23[[#This Row],[Total Dollars Excluded from Spending After Applying Truncation at the Member Level]]=Age_Sex23[[#This Row],[Total Spending before Truncation is Applied]]</f>
        <v>1</v>
      </c>
    </row>
    <row r="680" spans="1:10" x14ac:dyDescent="0.25">
      <c r="A680" s="389"/>
      <c r="B680" s="4"/>
      <c r="C680" s="16"/>
      <c r="D680" s="519"/>
      <c r="E680" s="410"/>
      <c r="F680" s="313"/>
      <c r="G680" s="256"/>
      <c r="H680" s="313"/>
      <c r="I680" s="456"/>
      <c r="J680" s="271" t="b">
        <f>Age_Sex23[[#This Row],[Total Spending After Applying Truncation at the Member Level]]+Age_Sex23[[#This Row],[Total Dollars Excluded from Spending After Applying Truncation at the Member Level]]=Age_Sex23[[#This Row],[Total Spending before Truncation is Applied]]</f>
        <v>1</v>
      </c>
    </row>
    <row r="681" spans="1:10" x14ac:dyDescent="0.25">
      <c r="A681" s="386"/>
      <c r="B681" s="310"/>
      <c r="C681" s="311"/>
      <c r="D681" s="518"/>
      <c r="E681" s="409"/>
      <c r="F681" s="312"/>
      <c r="G681" s="522"/>
      <c r="H681" s="312"/>
      <c r="I681" s="455"/>
      <c r="J681" s="271" t="b">
        <f>Age_Sex23[[#This Row],[Total Spending After Applying Truncation at the Member Level]]+Age_Sex23[[#This Row],[Total Dollars Excluded from Spending After Applying Truncation at the Member Level]]=Age_Sex23[[#This Row],[Total Spending before Truncation is Applied]]</f>
        <v>1</v>
      </c>
    </row>
    <row r="682" spans="1:10" x14ac:dyDescent="0.25">
      <c r="A682" s="389"/>
      <c r="B682" s="4"/>
      <c r="C682" s="16"/>
      <c r="D682" s="519"/>
      <c r="E682" s="410"/>
      <c r="F682" s="313"/>
      <c r="G682" s="256"/>
      <c r="H682" s="313"/>
      <c r="I682" s="456"/>
      <c r="J682" s="271" t="b">
        <f>Age_Sex23[[#This Row],[Total Spending After Applying Truncation at the Member Level]]+Age_Sex23[[#This Row],[Total Dollars Excluded from Spending After Applying Truncation at the Member Level]]=Age_Sex23[[#This Row],[Total Spending before Truncation is Applied]]</f>
        <v>1</v>
      </c>
    </row>
    <row r="683" spans="1:10" x14ac:dyDescent="0.25">
      <c r="A683" s="386"/>
      <c r="B683" s="310"/>
      <c r="C683" s="311"/>
      <c r="D683" s="518"/>
      <c r="E683" s="409"/>
      <c r="F683" s="312"/>
      <c r="G683" s="522"/>
      <c r="H683" s="312"/>
      <c r="I683" s="455"/>
      <c r="J683" s="271" t="b">
        <f>Age_Sex23[[#This Row],[Total Spending After Applying Truncation at the Member Level]]+Age_Sex23[[#This Row],[Total Dollars Excluded from Spending After Applying Truncation at the Member Level]]=Age_Sex23[[#This Row],[Total Spending before Truncation is Applied]]</f>
        <v>1</v>
      </c>
    </row>
    <row r="684" spans="1:10" x14ac:dyDescent="0.25">
      <c r="A684" s="389"/>
      <c r="B684" s="4"/>
      <c r="C684" s="16"/>
      <c r="D684" s="519"/>
      <c r="E684" s="410"/>
      <c r="F684" s="313"/>
      <c r="G684" s="256"/>
      <c r="H684" s="313"/>
      <c r="I684" s="456"/>
      <c r="J684" s="271" t="b">
        <f>Age_Sex23[[#This Row],[Total Spending After Applying Truncation at the Member Level]]+Age_Sex23[[#This Row],[Total Dollars Excluded from Spending After Applying Truncation at the Member Level]]=Age_Sex23[[#This Row],[Total Spending before Truncation is Applied]]</f>
        <v>1</v>
      </c>
    </row>
    <row r="685" spans="1:10" x14ac:dyDescent="0.25">
      <c r="A685" s="386"/>
      <c r="B685" s="310"/>
      <c r="C685" s="311"/>
      <c r="D685" s="518"/>
      <c r="E685" s="409"/>
      <c r="F685" s="312"/>
      <c r="G685" s="522"/>
      <c r="H685" s="312"/>
      <c r="I685" s="455"/>
      <c r="J685" s="271" t="b">
        <f>Age_Sex23[[#This Row],[Total Spending After Applying Truncation at the Member Level]]+Age_Sex23[[#This Row],[Total Dollars Excluded from Spending After Applying Truncation at the Member Level]]=Age_Sex23[[#This Row],[Total Spending before Truncation is Applied]]</f>
        <v>1</v>
      </c>
    </row>
    <row r="686" spans="1:10" x14ac:dyDescent="0.25">
      <c r="A686" s="389"/>
      <c r="B686" s="4"/>
      <c r="C686" s="16"/>
      <c r="D686" s="519"/>
      <c r="E686" s="410"/>
      <c r="F686" s="313"/>
      <c r="G686" s="256"/>
      <c r="H686" s="313"/>
      <c r="I686" s="456"/>
      <c r="J686" s="271" t="b">
        <f>Age_Sex23[[#This Row],[Total Spending After Applying Truncation at the Member Level]]+Age_Sex23[[#This Row],[Total Dollars Excluded from Spending After Applying Truncation at the Member Level]]=Age_Sex23[[#This Row],[Total Spending before Truncation is Applied]]</f>
        <v>1</v>
      </c>
    </row>
    <row r="687" spans="1:10" x14ac:dyDescent="0.25">
      <c r="A687" s="386"/>
      <c r="B687" s="310"/>
      <c r="C687" s="311"/>
      <c r="D687" s="518"/>
      <c r="E687" s="409"/>
      <c r="F687" s="312"/>
      <c r="G687" s="522"/>
      <c r="H687" s="312"/>
      <c r="I687" s="455"/>
      <c r="J687" s="271" t="b">
        <f>Age_Sex23[[#This Row],[Total Spending After Applying Truncation at the Member Level]]+Age_Sex23[[#This Row],[Total Dollars Excluded from Spending After Applying Truncation at the Member Level]]=Age_Sex23[[#This Row],[Total Spending before Truncation is Applied]]</f>
        <v>1</v>
      </c>
    </row>
    <row r="688" spans="1:10" x14ac:dyDescent="0.25">
      <c r="A688" s="389"/>
      <c r="B688" s="4"/>
      <c r="C688" s="16"/>
      <c r="D688" s="519"/>
      <c r="E688" s="410"/>
      <c r="F688" s="313"/>
      <c r="G688" s="256"/>
      <c r="H688" s="313"/>
      <c r="I688" s="456"/>
      <c r="J688" s="271" t="b">
        <f>Age_Sex23[[#This Row],[Total Spending After Applying Truncation at the Member Level]]+Age_Sex23[[#This Row],[Total Dollars Excluded from Spending After Applying Truncation at the Member Level]]=Age_Sex23[[#This Row],[Total Spending before Truncation is Applied]]</f>
        <v>1</v>
      </c>
    </row>
    <row r="689" spans="1:10" x14ac:dyDescent="0.25">
      <c r="A689" s="386"/>
      <c r="B689" s="310"/>
      <c r="C689" s="311"/>
      <c r="D689" s="518"/>
      <c r="E689" s="409"/>
      <c r="F689" s="312"/>
      <c r="G689" s="522"/>
      <c r="H689" s="312"/>
      <c r="I689" s="455"/>
      <c r="J689" s="271" t="b">
        <f>Age_Sex23[[#This Row],[Total Spending After Applying Truncation at the Member Level]]+Age_Sex23[[#This Row],[Total Dollars Excluded from Spending After Applying Truncation at the Member Level]]=Age_Sex23[[#This Row],[Total Spending before Truncation is Applied]]</f>
        <v>1</v>
      </c>
    </row>
    <row r="690" spans="1:10" x14ac:dyDescent="0.25">
      <c r="A690" s="389"/>
      <c r="B690" s="4"/>
      <c r="C690" s="16"/>
      <c r="D690" s="519"/>
      <c r="E690" s="410"/>
      <c r="F690" s="313"/>
      <c r="G690" s="256"/>
      <c r="H690" s="313"/>
      <c r="I690" s="456"/>
      <c r="J690" s="271" t="b">
        <f>Age_Sex23[[#This Row],[Total Spending After Applying Truncation at the Member Level]]+Age_Sex23[[#This Row],[Total Dollars Excluded from Spending After Applying Truncation at the Member Level]]=Age_Sex23[[#This Row],[Total Spending before Truncation is Applied]]</f>
        <v>1</v>
      </c>
    </row>
    <row r="691" spans="1:10" x14ac:dyDescent="0.25">
      <c r="A691" s="386"/>
      <c r="B691" s="310"/>
      <c r="C691" s="311"/>
      <c r="D691" s="518"/>
      <c r="E691" s="409"/>
      <c r="F691" s="312"/>
      <c r="G691" s="522"/>
      <c r="H691" s="312"/>
      <c r="I691" s="455"/>
      <c r="J691" s="271" t="b">
        <f>Age_Sex23[[#This Row],[Total Spending After Applying Truncation at the Member Level]]+Age_Sex23[[#This Row],[Total Dollars Excluded from Spending After Applying Truncation at the Member Level]]=Age_Sex23[[#This Row],[Total Spending before Truncation is Applied]]</f>
        <v>1</v>
      </c>
    </row>
    <row r="692" spans="1:10" x14ac:dyDescent="0.25">
      <c r="A692" s="389"/>
      <c r="B692" s="4"/>
      <c r="C692" s="16"/>
      <c r="D692" s="519"/>
      <c r="E692" s="410"/>
      <c r="F692" s="313"/>
      <c r="G692" s="256"/>
      <c r="H692" s="313"/>
      <c r="I692" s="456"/>
      <c r="J692" s="271" t="b">
        <f>Age_Sex23[[#This Row],[Total Spending After Applying Truncation at the Member Level]]+Age_Sex23[[#This Row],[Total Dollars Excluded from Spending After Applying Truncation at the Member Level]]=Age_Sex23[[#This Row],[Total Spending before Truncation is Applied]]</f>
        <v>1</v>
      </c>
    </row>
    <row r="693" spans="1:10" x14ac:dyDescent="0.25">
      <c r="A693" s="386"/>
      <c r="B693" s="310"/>
      <c r="C693" s="311"/>
      <c r="D693" s="518"/>
      <c r="E693" s="409"/>
      <c r="F693" s="312"/>
      <c r="G693" s="522"/>
      <c r="H693" s="312"/>
      <c r="I693" s="455"/>
      <c r="J693" s="271" t="b">
        <f>Age_Sex23[[#This Row],[Total Spending After Applying Truncation at the Member Level]]+Age_Sex23[[#This Row],[Total Dollars Excluded from Spending After Applying Truncation at the Member Level]]=Age_Sex23[[#This Row],[Total Spending before Truncation is Applied]]</f>
        <v>1</v>
      </c>
    </row>
    <row r="694" spans="1:10" x14ac:dyDescent="0.25">
      <c r="A694" s="389"/>
      <c r="B694" s="4"/>
      <c r="C694" s="16"/>
      <c r="D694" s="519"/>
      <c r="E694" s="410"/>
      <c r="F694" s="313"/>
      <c r="G694" s="256"/>
      <c r="H694" s="313"/>
      <c r="I694" s="456"/>
      <c r="J694" s="271" t="b">
        <f>Age_Sex23[[#This Row],[Total Spending After Applying Truncation at the Member Level]]+Age_Sex23[[#This Row],[Total Dollars Excluded from Spending After Applying Truncation at the Member Level]]=Age_Sex23[[#This Row],[Total Spending before Truncation is Applied]]</f>
        <v>1</v>
      </c>
    </row>
    <row r="695" spans="1:10" x14ac:dyDescent="0.25">
      <c r="A695" s="386"/>
      <c r="B695" s="310"/>
      <c r="C695" s="311"/>
      <c r="D695" s="518"/>
      <c r="E695" s="409"/>
      <c r="F695" s="312"/>
      <c r="G695" s="522"/>
      <c r="H695" s="312"/>
      <c r="I695" s="455"/>
      <c r="J695" s="271" t="b">
        <f>Age_Sex23[[#This Row],[Total Spending After Applying Truncation at the Member Level]]+Age_Sex23[[#This Row],[Total Dollars Excluded from Spending After Applying Truncation at the Member Level]]=Age_Sex23[[#This Row],[Total Spending before Truncation is Applied]]</f>
        <v>1</v>
      </c>
    </row>
    <row r="696" spans="1:10" x14ac:dyDescent="0.25">
      <c r="A696" s="389"/>
      <c r="B696" s="4"/>
      <c r="C696" s="16"/>
      <c r="D696" s="519"/>
      <c r="E696" s="410"/>
      <c r="F696" s="313"/>
      <c r="G696" s="256"/>
      <c r="H696" s="313"/>
      <c r="I696" s="456"/>
      <c r="J696" s="271" t="b">
        <f>Age_Sex23[[#This Row],[Total Spending After Applying Truncation at the Member Level]]+Age_Sex23[[#This Row],[Total Dollars Excluded from Spending After Applying Truncation at the Member Level]]=Age_Sex23[[#This Row],[Total Spending before Truncation is Applied]]</f>
        <v>1</v>
      </c>
    </row>
    <row r="697" spans="1:10" x14ac:dyDescent="0.25">
      <c r="A697" s="386"/>
      <c r="B697" s="310"/>
      <c r="C697" s="311"/>
      <c r="D697" s="518"/>
      <c r="E697" s="409"/>
      <c r="F697" s="312"/>
      <c r="G697" s="522"/>
      <c r="H697" s="312"/>
      <c r="I697" s="455"/>
      <c r="J697" s="271" t="b">
        <f>Age_Sex23[[#This Row],[Total Spending After Applying Truncation at the Member Level]]+Age_Sex23[[#This Row],[Total Dollars Excluded from Spending After Applying Truncation at the Member Level]]=Age_Sex23[[#This Row],[Total Spending before Truncation is Applied]]</f>
        <v>1</v>
      </c>
    </row>
    <row r="698" spans="1:10" x14ac:dyDescent="0.25">
      <c r="A698" s="389"/>
      <c r="B698" s="4"/>
      <c r="C698" s="16"/>
      <c r="D698" s="519"/>
      <c r="E698" s="410"/>
      <c r="F698" s="313"/>
      <c r="G698" s="256"/>
      <c r="H698" s="313"/>
      <c r="I698" s="456"/>
      <c r="J698" s="271" t="b">
        <f>Age_Sex23[[#This Row],[Total Spending After Applying Truncation at the Member Level]]+Age_Sex23[[#This Row],[Total Dollars Excluded from Spending After Applying Truncation at the Member Level]]=Age_Sex23[[#This Row],[Total Spending before Truncation is Applied]]</f>
        <v>1</v>
      </c>
    </row>
    <row r="699" spans="1:10" x14ac:dyDescent="0.25">
      <c r="A699" s="386"/>
      <c r="B699" s="310"/>
      <c r="C699" s="311"/>
      <c r="D699" s="518"/>
      <c r="E699" s="409"/>
      <c r="F699" s="312"/>
      <c r="G699" s="522"/>
      <c r="H699" s="312"/>
      <c r="I699" s="455"/>
      <c r="J699" s="271" t="b">
        <f>Age_Sex23[[#This Row],[Total Spending After Applying Truncation at the Member Level]]+Age_Sex23[[#This Row],[Total Dollars Excluded from Spending After Applying Truncation at the Member Level]]=Age_Sex23[[#This Row],[Total Spending before Truncation is Applied]]</f>
        <v>1</v>
      </c>
    </row>
    <row r="700" spans="1:10" x14ac:dyDescent="0.25">
      <c r="A700" s="389"/>
      <c r="B700" s="4"/>
      <c r="C700" s="16"/>
      <c r="D700" s="519"/>
      <c r="E700" s="410"/>
      <c r="F700" s="313"/>
      <c r="G700" s="256"/>
      <c r="H700" s="313"/>
      <c r="I700" s="456"/>
      <c r="J700" s="271" t="b">
        <f>Age_Sex23[[#This Row],[Total Spending After Applying Truncation at the Member Level]]+Age_Sex23[[#This Row],[Total Dollars Excluded from Spending After Applying Truncation at the Member Level]]=Age_Sex23[[#This Row],[Total Spending before Truncation is Applied]]</f>
        <v>1</v>
      </c>
    </row>
    <row r="701" spans="1:10" x14ac:dyDescent="0.25">
      <c r="A701" s="386"/>
      <c r="B701" s="310"/>
      <c r="C701" s="311"/>
      <c r="D701" s="518"/>
      <c r="E701" s="409"/>
      <c r="F701" s="312"/>
      <c r="G701" s="522"/>
      <c r="H701" s="312"/>
      <c r="I701" s="455"/>
      <c r="J701" s="271" t="b">
        <f>Age_Sex23[[#This Row],[Total Spending After Applying Truncation at the Member Level]]+Age_Sex23[[#This Row],[Total Dollars Excluded from Spending After Applying Truncation at the Member Level]]=Age_Sex23[[#This Row],[Total Spending before Truncation is Applied]]</f>
        <v>1</v>
      </c>
    </row>
    <row r="702" spans="1:10" x14ac:dyDescent="0.25">
      <c r="A702" s="389"/>
      <c r="B702" s="4"/>
      <c r="C702" s="16"/>
      <c r="D702" s="519"/>
      <c r="E702" s="410"/>
      <c r="F702" s="313"/>
      <c r="G702" s="256"/>
      <c r="H702" s="313"/>
      <c r="I702" s="456"/>
      <c r="J702" s="271" t="b">
        <f>Age_Sex23[[#This Row],[Total Spending After Applying Truncation at the Member Level]]+Age_Sex23[[#This Row],[Total Dollars Excluded from Spending After Applying Truncation at the Member Level]]=Age_Sex23[[#This Row],[Total Spending before Truncation is Applied]]</f>
        <v>1</v>
      </c>
    </row>
    <row r="703" spans="1:10" x14ac:dyDescent="0.25">
      <c r="A703" s="386"/>
      <c r="B703" s="310"/>
      <c r="C703" s="311"/>
      <c r="D703" s="518"/>
      <c r="E703" s="409"/>
      <c r="F703" s="312"/>
      <c r="G703" s="522"/>
      <c r="H703" s="312"/>
      <c r="I703" s="455"/>
      <c r="J703" s="271" t="b">
        <f>Age_Sex23[[#This Row],[Total Spending After Applying Truncation at the Member Level]]+Age_Sex23[[#This Row],[Total Dollars Excluded from Spending After Applying Truncation at the Member Level]]=Age_Sex23[[#This Row],[Total Spending before Truncation is Applied]]</f>
        <v>1</v>
      </c>
    </row>
    <row r="704" spans="1:10" x14ac:dyDescent="0.25">
      <c r="A704" s="389"/>
      <c r="B704" s="4"/>
      <c r="C704" s="16"/>
      <c r="D704" s="519"/>
      <c r="E704" s="410"/>
      <c r="F704" s="313"/>
      <c r="G704" s="256"/>
      <c r="H704" s="313"/>
      <c r="I704" s="456"/>
      <c r="J704" s="271" t="b">
        <f>Age_Sex23[[#This Row],[Total Spending After Applying Truncation at the Member Level]]+Age_Sex23[[#This Row],[Total Dollars Excluded from Spending After Applying Truncation at the Member Level]]=Age_Sex23[[#This Row],[Total Spending before Truncation is Applied]]</f>
        <v>1</v>
      </c>
    </row>
    <row r="705" spans="1:10" x14ac:dyDescent="0.25">
      <c r="A705" s="386"/>
      <c r="B705" s="310"/>
      <c r="C705" s="311"/>
      <c r="D705" s="518"/>
      <c r="E705" s="409"/>
      <c r="F705" s="312"/>
      <c r="G705" s="522"/>
      <c r="H705" s="312"/>
      <c r="I705" s="455"/>
      <c r="J705" s="271" t="b">
        <f>Age_Sex23[[#This Row],[Total Spending After Applying Truncation at the Member Level]]+Age_Sex23[[#This Row],[Total Dollars Excluded from Spending After Applying Truncation at the Member Level]]=Age_Sex23[[#This Row],[Total Spending before Truncation is Applied]]</f>
        <v>1</v>
      </c>
    </row>
    <row r="706" spans="1:10" x14ac:dyDescent="0.25">
      <c r="A706" s="389"/>
      <c r="B706" s="4"/>
      <c r="C706" s="16"/>
      <c r="D706" s="519"/>
      <c r="E706" s="410"/>
      <c r="F706" s="313"/>
      <c r="G706" s="256"/>
      <c r="H706" s="313"/>
      <c r="I706" s="456"/>
      <c r="J706" s="271" t="b">
        <f>Age_Sex23[[#This Row],[Total Spending After Applying Truncation at the Member Level]]+Age_Sex23[[#This Row],[Total Dollars Excluded from Spending After Applying Truncation at the Member Level]]=Age_Sex23[[#This Row],[Total Spending before Truncation is Applied]]</f>
        <v>1</v>
      </c>
    </row>
    <row r="707" spans="1:10" x14ac:dyDescent="0.25">
      <c r="A707" s="386"/>
      <c r="B707" s="310"/>
      <c r="C707" s="311"/>
      <c r="D707" s="518"/>
      <c r="E707" s="409"/>
      <c r="F707" s="312"/>
      <c r="G707" s="522"/>
      <c r="H707" s="312"/>
      <c r="I707" s="455"/>
      <c r="J707" s="271" t="b">
        <f>Age_Sex23[[#This Row],[Total Spending After Applying Truncation at the Member Level]]+Age_Sex23[[#This Row],[Total Dollars Excluded from Spending After Applying Truncation at the Member Level]]=Age_Sex23[[#This Row],[Total Spending before Truncation is Applied]]</f>
        <v>1</v>
      </c>
    </row>
    <row r="708" spans="1:10" x14ac:dyDescent="0.25">
      <c r="A708" s="389"/>
      <c r="B708" s="4"/>
      <c r="C708" s="16"/>
      <c r="D708" s="519"/>
      <c r="E708" s="410"/>
      <c r="F708" s="313"/>
      <c r="G708" s="256"/>
      <c r="H708" s="313"/>
      <c r="I708" s="456"/>
      <c r="J708" s="271" t="b">
        <f>Age_Sex23[[#This Row],[Total Spending After Applying Truncation at the Member Level]]+Age_Sex23[[#This Row],[Total Dollars Excluded from Spending After Applying Truncation at the Member Level]]=Age_Sex23[[#This Row],[Total Spending before Truncation is Applied]]</f>
        <v>1</v>
      </c>
    </row>
    <row r="709" spans="1:10" x14ac:dyDescent="0.25">
      <c r="A709" s="386"/>
      <c r="B709" s="310"/>
      <c r="C709" s="311"/>
      <c r="D709" s="518"/>
      <c r="E709" s="409"/>
      <c r="F709" s="312"/>
      <c r="G709" s="522"/>
      <c r="H709" s="312"/>
      <c r="I709" s="455"/>
      <c r="J709" s="271" t="b">
        <f>Age_Sex23[[#This Row],[Total Spending After Applying Truncation at the Member Level]]+Age_Sex23[[#This Row],[Total Dollars Excluded from Spending After Applying Truncation at the Member Level]]=Age_Sex23[[#This Row],[Total Spending before Truncation is Applied]]</f>
        <v>1</v>
      </c>
    </row>
    <row r="710" spans="1:10" x14ac:dyDescent="0.25">
      <c r="A710" s="389"/>
      <c r="B710" s="4"/>
      <c r="C710" s="16"/>
      <c r="D710" s="519"/>
      <c r="E710" s="410"/>
      <c r="F710" s="313"/>
      <c r="G710" s="256"/>
      <c r="H710" s="313"/>
      <c r="I710" s="456"/>
      <c r="J710" s="271" t="b">
        <f>Age_Sex23[[#This Row],[Total Spending After Applying Truncation at the Member Level]]+Age_Sex23[[#This Row],[Total Dollars Excluded from Spending After Applying Truncation at the Member Level]]=Age_Sex23[[#This Row],[Total Spending before Truncation is Applied]]</f>
        <v>1</v>
      </c>
    </row>
    <row r="711" spans="1:10" x14ac:dyDescent="0.25">
      <c r="A711" s="386"/>
      <c r="B711" s="310"/>
      <c r="C711" s="311"/>
      <c r="D711" s="518"/>
      <c r="E711" s="409"/>
      <c r="F711" s="312"/>
      <c r="G711" s="522"/>
      <c r="H711" s="312"/>
      <c r="I711" s="455"/>
      <c r="J711" s="271" t="b">
        <f>Age_Sex23[[#This Row],[Total Spending After Applying Truncation at the Member Level]]+Age_Sex23[[#This Row],[Total Dollars Excluded from Spending After Applying Truncation at the Member Level]]=Age_Sex23[[#This Row],[Total Spending before Truncation is Applied]]</f>
        <v>1</v>
      </c>
    </row>
    <row r="712" spans="1:10" x14ac:dyDescent="0.25">
      <c r="A712" s="389"/>
      <c r="B712" s="4"/>
      <c r="C712" s="16"/>
      <c r="D712" s="519"/>
      <c r="E712" s="410"/>
      <c r="F712" s="313"/>
      <c r="G712" s="256"/>
      <c r="H712" s="313"/>
      <c r="I712" s="456"/>
      <c r="J712" s="271" t="b">
        <f>Age_Sex23[[#This Row],[Total Spending After Applying Truncation at the Member Level]]+Age_Sex23[[#This Row],[Total Dollars Excluded from Spending After Applying Truncation at the Member Level]]=Age_Sex23[[#This Row],[Total Spending before Truncation is Applied]]</f>
        <v>1</v>
      </c>
    </row>
    <row r="713" spans="1:10" x14ac:dyDescent="0.25">
      <c r="A713" s="386"/>
      <c r="B713" s="310"/>
      <c r="C713" s="311"/>
      <c r="D713" s="518"/>
      <c r="E713" s="409"/>
      <c r="F713" s="312"/>
      <c r="G713" s="522"/>
      <c r="H713" s="312"/>
      <c r="I713" s="455"/>
      <c r="J713" s="271" t="b">
        <f>Age_Sex23[[#This Row],[Total Spending After Applying Truncation at the Member Level]]+Age_Sex23[[#This Row],[Total Dollars Excluded from Spending After Applying Truncation at the Member Level]]=Age_Sex23[[#This Row],[Total Spending before Truncation is Applied]]</f>
        <v>1</v>
      </c>
    </row>
    <row r="714" spans="1:10" x14ac:dyDescent="0.25">
      <c r="A714" s="389"/>
      <c r="B714" s="4"/>
      <c r="C714" s="16"/>
      <c r="D714" s="519"/>
      <c r="E714" s="410"/>
      <c r="F714" s="313"/>
      <c r="G714" s="256"/>
      <c r="H714" s="313"/>
      <c r="I714" s="456"/>
      <c r="J714" s="271" t="b">
        <f>Age_Sex23[[#This Row],[Total Spending After Applying Truncation at the Member Level]]+Age_Sex23[[#This Row],[Total Dollars Excluded from Spending After Applying Truncation at the Member Level]]=Age_Sex23[[#This Row],[Total Spending before Truncation is Applied]]</f>
        <v>1</v>
      </c>
    </row>
    <row r="715" spans="1:10" x14ac:dyDescent="0.25">
      <c r="A715" s="386"/>
      <c r="B715" s="310"/>
      <c r="C715" s="311"/>
      <c r="D715" s="518"/>
      <c r="E715" s="409"/>
      <c r="F715" s="312"/>
      <c r="G715" s="522"/>
      <c r="H715" s="312"/>
      <c r="I715" s="455"/>
      <c r="J715" s="271" t="b">
        <f>Age_Sex23[[#This Row],[Total Spending After Applying Truncation at the Member Level]]+Age_Sex23[[#This Row],[Total Dollars Excluded from Spending After Applying Truncation at the Member Level]]=Age_Sex23[[#This Row],[Total Spending before Truncation is Applied]]</f>
        <v>1</v>
      </c>
    </row>
    <row r="716" spans="1:10" x14ac:dyDescent="0.25">
      <c r="A716" s="389"/>
      <c r="B716" s="4"/>
      <c r="C716" s="16"/>
      <c r="D716" s="519"/>
      <c r="E716" s="410"/>
      <c r="F716" s="313"/>
      <c r="G716" s="256"/>
      <c r="H716" s="313"/>
      <c r="I716" s="456"/>
      <c r="J716" s="271" t="b">
        <f>Age_Sex23[[#This Row],[Total Spending After Applying Truncation at the Member Level]]+Age_Sex23[[#This Row],[Total Dollars Excluded from Spending After Applying Truncation at the Member Level]]=Age_Sex23[[#This Row],[Total Spending before Truncation is Applied]]</f>
        <v>1</v>
      </c>
    </row>
    <row r="717" spans="1:10" x14ac:dyDescent="0.25">
      <c r="A717" s="386"/>
      <c r="B717" s="310"/>
      <c r="C717" s="311"/>
      <c r="D717" s="518"/>
      <c r="E717" s="409"/>
      <c r="F717" s="312"/>
      <c r="G717" s="522"/>
      <c r="H717" s="312"/>
      <c r="I717" s="455"/>
      <c r="J717" s="271" t="b">
        <f>Age_Sex23[[#This Row],[Total Spending After Applying Truncation at the Member Level]]+Age_Sex23[[#This Row],[Total Dollars Excluded from Spending After Applying Truncation at the Member Level]]=Age_Sex23[[#This Row],[Total Spending before Truncation is Applied]]</f>
        <v>1</v>
      </c>
    </row>
    <row r="718" spans="1:10" x14ac:dyDescent="0.25">
      <c r="A718" s="389"/>
      <c r="B718" s="4"/>
      <c r="C718" s="16"/>
      <c r="D718" s="519"/>
      <c r="E718" s="410"/>
      <c r="F718" s="313"/>
      <c r="G718" s="256"/>
      <c r="H718" s="313"/>
      <c r="I718" s="456"/>
      <c r="J718" s="271" t="b">
        <f>Age_Sex23[[#This Row],[Total Spending After Applying Truncation at the Member Level]]+Age_Sex23[[#This Row],[Total Dollars Excluded from Spending After Applying Truncation at the Member Level]]=Age_Sex23[[#This Row],[Total Spending before Truncation is Applied]]</f>
        <v>1</v>
      </c>
    </row>
    <row r="719" spans="1:10" x14ac:dyDescent="0.25">
      <c r="A719" s="386"/>
      <c r="B719" s="310"/>
      <c r="C719" s="311"/>
      <c r="D719" s="518"/>
      <c r="E719" s="409"/>
      <c r="F719" s="312"/>
      <c r="G719" s="522"/>
      <c r="H719" s="312"/>
      <c r="I719" s="455"/>
      <c r="J719" s="271" t="b">
        <f>Age_Sex23[[#This Row],[Total Spending After Applying Truncation at the Member Level]]+Age_Sex23[[#This Row],[Total Dollars Excluded from Spending After Applying Truncation at the Member Level]]=Age_Sex23[[#This Row],[Total Spending before Truncation is Applied]]</f>
        <v>1</v>
      </c>
    </row>
    <row r="720" spans="1:10" x14ac:dyDescent="0.25">
      <c r="A720" s="389"/>
      <c r="B720" s="4"/>
      <c r="C720" s="16"/>
      <c r="D720" s="519"/>
      <c r="E720" s="410"/>
      <c r="F720" s="313"/>
      <c r="G720" s="256"/>
      <c r="H720" s="313"/>
      <c r="I720" s="456"/>
      <c r="J720" s="271" t="b">
        <f>Age_Sex23[[#This Row],[Total Spending After Applying Truncation at the Member Level]]+Age_Sex23[[#This Row],[Total Dollars Excluded from Spending After Applying Truncation at the Member Level]]=Age_Sex23[[#This Row],[Total Spending before Truncation is Applied]]</f>
        <v>1</v>
      </c>
    </row>
    <row r="721" spans="1:10" x14ac:dyDescent="0.25">
      <c r="A721" s="386"/>
      <c r="B721" s="310"/>
      <c r="C721" s="311"/>
      <c r="D721" s="518"/>
      <c r="E721" s="409"/>
      <c r="F721" s="312"/>
      <c r="G721" s="522"/>
      <c r="H721" s="312"/>
      <c r="I721" s="455"/>
      <c r="J721" s="271" t="b">
        <f>Age_Sex23[[#This Row],[Total Spending After Applying Truncation at the Member Level]]+Age_Sex23[[#This Row],[Total Dollars Excluded from Spending After Applying Truncation at the Member Level]]=Age_Sex23[[#This Row],[Total Spending before Truncation is Applied]]</f>
        <v>1</v>
      </c>
    </row>
    <row r="722" spans="1:10" x14ac:dyDescent="0.25">
      <c r="A722" s="389"/>
      <c r="B722" s="4"/>
      <c r="C722" s="16"/>
      <c r="D722" s="519"/>
      <c r="E722" s="410"/>
      <c r="F722" s="313"/>
      <c r="G722" s="256"/>
      <c r="H722" s="313"/>
      <c r="I722" s="456"/>
      <c r="J722" s="271" t="b">
        <f>Age_Sex23[[#This Row],[Total Spending After Applying Truncation at the Member Level]]+Age_Sex23[[#This Row],[Total Dollars Excluded from Spending After Applying Truncation at the Member Level]]=Age_Sex23[[#This Row],[Total Spending before Truncation is Applied]]</f>
        <v>1</v>
      </c>
    </row>
    <row r="723" spans="1:10" x14ac:dyDescent="0.25">
      <c r="A723" s="386"/>
      <c r="B723" s="310"/>
      <c r="C723" s="311"/>
      <c r="D723" s="518"/>
      <c r="E723" s="409"/>
      <c r="F723" s="312"/>
      <c r="G723" s="522"/>
      <c r="H723" s="312"/>
      <c r="I723" s="455"/>
      <c r="J723" s="271" t="b">
        <f>Age_Sex23[[#This Row],[Total Spending After Applying Truncation at the Member Level]]+Age_Sex23[[#This Row],[Total Dollars Excluded from Spending After Applying Truncation at the Member Level]]=Age_Sex23[[#This Row],[Total Spending before Truncation is Applied]]</f>
        <v>1</v>
      </c>
    </row>
    <row r="724" spans="1:10" x14ac:dyDescent="0.25">
      <c r="A724" s="389"/>
      <c r="B724" s="4"/>
      <c r="C724" s="16"/>
      <c r="D724" s="519"/>
      <c r="E724" s="410"/>
      <c r="F724" s="313"/>
      <c r="G724" s="256"/>
      <c r="H724" s="313"/>
      <c r="I724" s="456"/>
      <c r="J724" s="271" t="b">
        <f>Age_Sex23[[#This Row],[Total Spending After Applying Truncation at the Member Level]]+Age_Sex23[[#This Row],[Total Dollars Excluded from Spending After Applying Truncation at the Member Level]]=Age_Sex23[[#This Row],[Total Spending before Truncation is Applied]]</f>
        <v>1</v>
      </c>
    </row>
    <row r="725" spans="1:10" x14ac:dyDescent="0.25">
      <c r="A725" s="386"/>
      <c r="B725" s="310"/>
      <c r="C725" s="311"/>
      <c r="D725" s="518"/>
      <c r="E725" s="409"/>
      <c r="F725" s="312"/>
      <c r="G725" s="522"/>
      <c r="H725" s="312"/>
      <c r="I725" s="455"/>
      <c r="J725" s="271" t="b">
        <f>Age_Sex23[[#This Row],[Total Spending After Applying Truncation at the Member Level]]+Age_Sex23[[#This Row],[Total Dollars Excluded from Spending After Applying Truncation at the Member Level]]=Age_Sex23[[#This Row],[Total Spending before Truncation is Applied]]</f>
        <v>1</v>
      </c>
    </row>
    <row r="726" spans="1:10" x14ac:dyDescent="0.25">
      <c r="A726" s="389"/>
      <c r="B726" s="4"/>
      <c r="C726" s="16"/>
      <c r="D726" s="519"/>
      <c r="E726" s="410"/>
      <c r="F726" s="313"/>
      <c r="G726" s="256"/>
      <c r="H726" s="313"/>
      <c r="I726" s="456"/>
      <c r="J726" s="271" t="b">
        <f>Age_Sex23[[#This Row],[Total Spending After Applying Truncation at the Member Level]]+Age_Sex23[[#This Row],[Total Dollars Excluded from Spending After Applying Truncation at the Member Level]]=Age_Sex23[[#This Row],[Total Spending before Truncation is Applied]]</f>
        <v>1</v>
      </c>
    </row>
    <row r="727" spans="1:10" x14ac:dyDescent="0.25">
      <c r="A727" s="386"/>
      <c r="B727" s="310"/>
      <c r="C727" s="311"/>
      <c r="D727" s="518"/>
      <c r="E727" s="409"/>
      <c r="F727" s="312"/>
      <c r="G727" s="522"/>
      <c r="H727" s="312"/>
      <c r="I727" s="455"/>
      <c r="J727" s="271" t="b">
        <f>Age_Sex23[[#This Row],[Total Spending After Applying Truncation at the Member Level]]+Age_Sex23[[#This Row],[Total Dollars Excluded from Spending After Applying Truncation at the Member Level]]=Age_Sex23[[#This Row],[Total Spending before Truncation is Applied]]</f>
        <v>1</v>
      </c>
    </row>
    <row r="728" spans="1:10" x14ac:dyDescent="0.25">
      <c r="A728" s="389"/>
      <c r="B728" s="4"/>
      <c r="C728" s="16"/>
      <c r="D728" s="519"/>
      <c r="E728" s="410"/>
      <c r="F728" s="313"/>
      <c r="G728" s="256"/>
      <c r="H728" s="313"/>
      <c r="I728" s="456"/>
      <c r="J728" s="271" t="b">
        <f>Age_Sex23[[#This Row],[Total Spending After Applying Truncation at the Member Level]]+Age_Sex23[[#This Row],[Total Dollars Excluded from Spending After Applying Truncation at the Member Level]]=Age_Sex23[[#This Row],[Total Spending before Truncation is Applied]]</f>
        <v>1</v>
      </c>
    </row>
    <row r="729" spans="1:10" x14ac:dyDescent="0.25">
      <c r="A729" s="386"/>
      <c r="B729" s="310"/>
      <c r="C729" s="311"/>
      <c r="D729" s="518"/>
      <c r="E729" s="409"/>
      <c r="F729" s="312"/>
      <c r="G729" s="522"/>
      <c r="H729" s="312"/>
      <c r="I729" s="455"/>
      <c r="J729" s="271" t="b">
        <f>Age_Sex23[[#This Row],[Total Spending After Applying Truncation at the Member Level]]+Age_Sex23[[#This Row],[Total Dollars Excluded from Spending After Applying Truncation at the Member Level]]=Age_Sex23[[#This Row],[Total Spending before Truncation is Applied]]</f>
        <v>1</v>
      </c>
    </row>
    <row r="730" spans="1:10" x14ac:dyDescent="0.25">
      <c r="A730" s="389"/>
      <c r="B730" s="4"/>
      <c r="C730" s="16"/>
      <c r="D730" s="519"/>
      <c r="E730" s="410"/>
      <c r="F730" s="313"/>
      <c r="G730" s="256"/>
      <c r="H730" s="313"/>
      <c r="I730" s="456"/>
      <c r="J730" s="271" t="b">
        <f>Age_Sex23[[#This Row],[Total Spending After Applying Truncation at the Member Level]]+Age_Sex23[[#This Row],[Total Dollars Excluded from Spending After Applying Truncation at the Member Level]]=Age_Sex23[[#This Row],[Total Spending before Truncation is Applied]]</f>
        <v>1</v>
      </c>
    </row>
    <row r="731" spans="1:10" x14ac:dyDescent="0.25">
      <c r="A731" s="386"/>
      <c r="B731" s="310"/>
      <c r="C731" s="311"/>
      <c r="D731" s="518"/>
      <c r="E731" s="409"/>
      <c r="F731" s="312"/>
      <c r="G731" s="522"/>
      <c r="H731" s="312"/>
      <c r="I731" s="455"/>
      <c r="J731" s="271" t="b">
        <f>Age_Sex23[[#This Row],[Total Spending After Applying Truncation at the Member Level]]+Age_Sex23[[#This Row],[Total Dollars Excluded from Spending After Applying Truncation at the Member Level]]=Age_Sex23[[#This Row],[Total Spending before Truncation is Applied]]</f>
        <v>1</v>
      </c>
    </row>
    <row r="732" spans="1:10" x14ac:dyDescent="0.25">
      <c r="A732" s="389"/>
      <c r="B732" s="4"/>
      <c r="C732" s="16"/>
      <c r="D732" s="519"/>
      <c r="E732" s="410"/>
      <c r="F732" s="313"/>
      <c r="G732" s="256"/>
      <c r="H732" s="313"/>
      <c r="I732" s="456"/>
      <c r="J732" s="271" t="b">
        <f>Age_Sex23[[#This Row],[Total Spending After Applying Truncation at the Member Level]]+Age_Sex23[[#This Row],[Total Dollars Excluded from Spending After Applying Truncation at the Member Level]]=Age_Sex23[[#This Row],[Total Spending before Truncation is Applied]]</f>
        <v>1</v>
      </c>
    </row>
    <row r="733" spans="1:10" x14ac:dyDescent="0.25">
      <c r="A733" s="386"/>
      <c r="B733" s="310"/>
      <c r="C733" s="311"/>
      <c r="D733" s="518"/>
      <c r="E733" s="409"/>
      <c r="F733" s="312"/>
      <c r="G733" s="522"/>
      <c r="H733" s="312"/>
      <c r="I733" s="455"/>
      <c r="J733" s="271" t="b">
        <f>Age_Sex23[[#This Row],[Total Spending After Applying Truncation at the Member Level]]+Age_Sex23[[#This Row],[Total Dollars Excluded from Spending After Applying Truncation at the Member Level]]=Age_Sex23[[#This Row],[Total Spending before Truncation is Applied]]</f>
        <v>1</v>
      </c>
    </row>
    <row r="734" spans="1:10" x14ac:dyDescent="0.25">
      <c r="A734" s="389"/>
      <c r="B734" s="4"/>
      <c r="C734" s="16"/>
      <c r="D734" s="519"/>
      <c r="E734" s="410"/>
      <c r="F734" s="313"/>
      <c r="G734" s="256"/>
      <c r="H734" s="313"/>
      <c r="I734" s="456"/>
      <c r="J734" s="271" t="b">
        <f>Age_Sex23[[#This Row],[Total Spending After Applying Truncation at the Member Level]]+Age_Sex23[[#This Row],[Total Dollars Excluded from Spending After Applying Truncation at the Member Level]]=Age_Sex23[[#This Row],[Total Spending before Truncation is Applied]]</f>
        <v>1</v>
      </c>
    </row>
    <row r="735" spans="1:10" x14ac:dyDescent="0.25">
      <c r="A735" s="386"/>
      <c r="B735" s="310"/>
      <c r="C735" s="311"/>
      <c r="D735" s="518"/>
      <c r="E735" s="409"/>
      <c r="F735" s="312"/>
      <c r="G735" s="522"/>
      <c r="H735" s="312"/>
      <c r="I735" s="455"/>
      <c r="J735" s="271" t="b">
        <f>Age_Sex23[[#This Row],[Total Spending After Applying Truncation at the Member Level]]+Age_Sex23[[#This Row],[Total Dollars Excluded from Spending After Applying Truncation at the Member Level]]=Age_Sex23[[#This Row],[Total Spending before Truncation is Applied]]</f>
        <v>1</v>
      </c>
    </row>
    <row r="736" spans="1:10" x14ac:dyDescent="0.25">
      <c r="A736" s="389"/>
      <c r="B736" s="4"/>
      <c r="C736" s="16"/>
      <c r="D736" s="519"/>
      <c r="E736" s="410"/>
      <c r="F736" s="313"/>
      <c r="G736" s="256"/>
      <c r="H736" s="313"/>
      <c r="I736" s="456"/>
      <c r="J736" s="271" t="b">
        <f>Age_Sex23[[#This Row],[Total Spending After Applying Truncation at the Member Level]]+Age_Sex23[[#This Row],[Total Dollars Excluded from Spending After Applying Truncation at the Member Level]]=Age_Sex23[[#This Row],[Total Spending before Truncation is Applied]]</f>
        <v>1</v>
      </c>
    </row>
    <row r="737" spans="1:10" x14ac:dyDescent="0.25">
      <c r="A737" s="386"/>
      <c r="B737" s="310"/>
      <c r="C737" s="311"/>
      <c r="D737" s="518"/>
      <c r="E737" s="409"/>
      <c r="F737" s="312"/>
      <c r="G737" s="522"/>
      <c r="H737" s="312"/>
      <c r="I737" s="455"/>
      <c r="J737" s="271" t="b">
        <f>Age_Sex23[[#This Row],[Total Spending After Applying Truncation at the Member Level]]+Age_Sex23[[#This Row],[Total Dollars Excluded from Spending After Applying Truncation at the Member Level]]=Age_Sex23[[#This Row],[Total Spending before Truncation is Applied]]</f>
        <v>1</v>
      </c>
    </row>
    <row r="738" spans="1:10" x14ac:dyDescent="0.25">
      <c r="A738" s="389"/>
      <c r="B738" s="4"/>
      <c r="C738" s="16"/>
      <c r="D738" s="519"/>
      <c r="E738" s="410"/>
      <c r="F738" s="313"/>
      <c r="G738" s="256"/>
      <c r="H738" s="313"/>
      <c r="I738" s="456"/>
      <c r="J738" s="271" t="b">
        <f>Age_Sex23[[#This Row],[Total Spending After Applying Truncation at the Member Level]]+Age_Sex23[[#This Row],[Total Dollars Excluded from Spending After Applying Truncation at the Member Level]]=Age_Sex23[[#This Row],[Total Spending before Truncation is Applied]]</f>
        <v>1</v>
      </c>
    </row>
    <row r="739" spans="1:10" x14ac:dyDescent="0.25">
      <c r="A739" s="386"/>
      <c r="B739" s="310"/>
      <c r="C739" s="311"/>
      <c r="D739" s="518"/>
      <c r="E739" s="409"/>
      <c r="F739" s="312"/>
      <c r="G739" s="522"/>
      <c r="H739" s="312"/>
      <c r="I739" s="455"/>
      <c r="J739" s="271" t="b">
        <f>Age_Sex23[[#This Row],[Total Spending After Applying Truncation at the Member Level]]+Age_Sex23[[#This Row],[Total Dollars Excluded from Spending After Applying Truncation at the Member Level]]=Age_Sex23[[#This Row],[Total Spending before Truncation is Applied]]</f>
        <v>1</v>
      </c>
    </row>
    <row r="740" spans="1:10" x14ac:dyDescent="0.25">
      <c r="A740" s="389"/>
      <c r="B740" s="4"/>
      <c r="C740" s="16"/>
      <c r="D740" s="519"/>
      <c r="E740" s="410"/>
      <c r="F740" s="313"/>
      <c r="G740" s="256"/>
      <c r="H740" s="313"/>
      <c r="I740" s="456"/>
      <c r="J740" s="271" t="b">
        <f>Age_Sex23[[#This Row],[Total Spending After Applying Truncation at the Member Level]]+Age_Sex23[[#This Row],[Total Dollars Excluded from Spending After Applying Truncation at the Member Level]]=Age_Sex23[[#This Row],[Total Spending before Truncation is Applied]]</f>
        <v>1</v>
      </c>
    </row>
    <row r="741" spans="1:10" x14ac:dyDescent="0.25">
      <c r="A741" s="386"/>
      <c r="B741" s="310"/>
      <c r="C741" s="311"/>
      <c r="D741" s="518"/>
      <c r="E741" s="409"/>
      <c r="F741" s="312"/>
      <c r="G741" s="522"/>
      <c r="H741" s="312"/>
      <c r="I741" s="455"/>
      <c r="J741" s="271" t="b">
        <f>Age_Sex23[[#This Row],[Total Spending After Applying Truncation at the Member Level]]+Age_Sex23[[#This Row],[Total Dollars Excluded from Spending After Applying Truncation at the Member Level]]=Age_Sex23[[#This Row],[Total Spending before Truncation is Applied]]</f>
        <v>1</v>
      </c>
    </row>
    <row r="742" spans="1:10" x14ac:dyDescent="0.25">
      <c r="A742" s="389"/>
      <c r="B742" s="4"/>
      <c r="C742" s="16"/>
      <c r="D742" s="519"/>
      <c r="E742" s="410"/>
      <c r="F742" s="313"/>
      <c r="G742" s="256"/>
      <c r="H742" s="313"/>
      <c r="I742" s="456"/>
      <c r="J742" s="271" t="b">
        <f>Age_Sex23[[#This Row],[Total Spending After Applying Truncation at the Member Level]]+Age_Sex23[[#This Row],[Total Dollars Excluded from Spending After Applying Truncation at the Member Level]]=Age_Sex23[[#This Row],[Total Spending before Truncation is Applied]]</f>
        <v>1</v>
      </c>
    </row>
    <row r="743" spans="1:10" x14ac:dyDescent="0.25">
      <c r="A743" s="386"/>
      <c r="B743" s="310"/>
      <c r="C743" s="311"/>
      <c r="D743" s="518"/>
      <c r="E743" s="409"/>
      <c r="F743" s="312"/>
      <c r="G743" s="522"/>
      <c r="H743" s="312"/>
      <c r="I743" s="455"/>
      <c r="J743" s="271" t="b">
        <f>Age_Sex23[[#This Row],[Total Spending After Applying Truncation at the Member Level]]+Age_Sex23[[#This Row],[Total Dollars Excluded from Spending After Applying Truncation at the Member Level]]=Age_Sex23[[#This Row],[Total Spending before Truncation is Applied]]</f>
        <v>1</v>
      </c>
    </row>
    <row r="744" spans="1:10" x14ac:dyDescent="0.25">
      <c r="A744" s="389"/>
      <c r="B744" s="4"/>
      <c r="C744" s="16"/>
      <c r="D744" s="519"/>
      <c r="E744" s="410"/>
      <c r="F744" s="313"/>
      <c r="G744" s="256"/>
      <c r="H744" s="313"/>
      <c r="I744" s="456"/>
      <c r="J744" s="271" t="b">
        <f>Age_Sex23[[#This Row],[Total Spending After Applying Truncation at the Member Level]]+Age_Sex23[[#This Row],[Total Dollars Excluded from Spending After Applying Truncation at the Member Level]]=Age_Sex23[[#This Row],[Total Spending before Truncation is Applied]]</f>
        <v>1</v>
      </c>
    </row>
    <row r="745" spans="1:10" x14ac:dyDescent="0.25">
      <c r="A745" s="386"/>
      <c r="B745" s="310"/>
      <c r="C745" s="311"/>
      <c r="D745" s="518"/>
      <c r="E745" s="409"/>
      <c r="F745" s="312"/>
      <c r="G745" s="522"/>
      <c r="H745" s="312"/>
      <c r="I745" s="455"/>
      <c r="J745" s="271" t="b">
        <f>Age_Sex23[[#This Row],[Total Spending After Applying Truncation at the Member Level]]+Age_Sex23[[#This Row],[Total Dollars Excluded from Spending After Applying Truncation at the Member Level]]=Age_Sex23[[#This Row],[Total Spending before Truncation is Applied]]</f>
        <v>1</v>
      </c>
    </row>
    <row r="746" spans="1:10" x14ac:dyDescent="0.25">
      <c r="A746" s="389"/>
      <c r="B746" s="4"/>
      <c r="C746" s="16"/>
      <c r="D746" s="519"/>
      <c r="E746" s="410"/>
      <c r="F746" s="313"/>
      <c r="G746" s="256"/>
      <c r="H746" s="313"/>
      <c r="I746" s="456"/>
      <c r="J746" s="271" t="b">
        <f>Age_Sex23[[#This Row],[Total Spending After Applying Truncation at the Member Level]]+Age_Sex23[[#This Row],[Total Dollars Excluded from Spending After Applying Truncation at the Member Level]]=Age_Sex23[[#This Row],[Total Spending before Truncation is Applied]]</f>
        <v>1</v>
      </c>
    </row>
    <row r="747" spans="1:10" x14ac:dyDescent="0.25">
      <c r="A747" s="386"/>
      <c r="B747" s="310"/>
      <c r="C747" s="311"/>
      <c r="D747" s="518"/>
      <c r="E747" s="409"/>
      <c r="F747" s="312"/>
      <c r="G747" s="522"/>
      <c r="H747" s="312"/>
      <c r="I747" s="455"/>
      <c r="J747" s="271" t="b">
        <f>Age_Sex23[[#This Row],[Total Spending After Applying Truncation at the Member Level]]+Age_Sex23[[#This Row],[Total Dollars Excluded from Spending After Applying Truncation at the Member Level]]=Age_Sex23[[#This Row],[Total Spending before Truncation is Applied]]</f>
        <v>1</v>
      </c>
    </row>
    <row r="748" spans="1:10" x14ac:dyDescent="0.25">
      <c r="A748" s="389"/>
      <c r="B748" s="4"/>
      <c r="C748" s="16"/>
      <c r="D748" s="519"/>
      <c r="E748" s="410"/>
      <c r="F748" s="313"/>
      <c r="G748" s="256"/>
      <c r="H748" s="313"/>
      <c r="I748" s="456"/>
      <c r="J748" s="271" t="b">
        <f>Age_Sex23[[#This Row],[Total Spending After Applying Truncation at the Member Level]]+Age_Sex23[[#This Row],[Total Dollars Excluded from Spending After Applying Truncation at the Member Level]]=Age_Sex23[[#This Row],[Total Spending before Truncation is Applied]]</f>
        <v>1</v>
      </c>
    </row>
    <row r="749" spans="1:10" x14ac:dyDescent="0.25">
      <c r="A749" s="386"/>
      <c r="B749" s="310"/>
      <c r="C749" s="311"/>
      <c r="D749" s="518"/>
      <c r="E749" s="409"/>
      <c r="F749" s="312"/>
      <c r="G749" s="522"/>
      <c r="H749" s="312"/>
      <c r="I749" s="455"/>
      <c r="J749" s="271" t="b">
        <f>Age_Sex23[[#This Row],[Total Spending After Applying Truncation at the Member Level]]+Age_Sex23[[#This Row],[Total Dollars Excluded from Spending After Applying Truncation at the Member Level]]=Age_Sex23[[#This Row],[Total Spending before Truncation is Applied]]</f>
        <v>1</v>
      </c>
    </row>
    <row r="750" spans="1:10" x14ac:dyDescent="0.25">
      <c r="A750" s="389"/>
      <c r="B750" s="4"/>
      <c r="C750" s="16"/>
      <c r="D750" s="519"/>
      <c r="E750" s="410"/>
      <c r="F750" s="313"/>
      <c r="G750" s="256"/>
      <c r="H750" s="313"/>
      <c r="I750" s="456"/>
      <c r="J750" s="271" t="b">
        <f>Age_Sex23[[#This Row],[Total Spending After Applying Truncation at the Member Level]]+Age_Sex23[[#This Row],[Total Dollars Excluded from Spending After Applying Truncation at the Member Level]]=Age_Sex23[[#This Row],[Total Spending before Truncation is Applied]]</f>
        <v>1</v>
      </c>
    </row>
    <row r="751" spans="1:10" x14ac:dyDescent="0.25">
      <c r="A751" s="386"/>
      <c r="B751" s="310"/>
      <c r="C751" s="311"/>
      <c r="D751" s="518"/>
      <c r="E751" s="409"/>
      <c r="F751" s="312"/>
      <c r="G751" s="522"/>
      <c r="H751" s="312"/>
      <c r="I751" s="455"/>
      <c r="J751" s="271" t="b">
        <f>Age_Sex23[[#This Row],[Total Spending After Applying Truncation at the Member Level]]+Age_Sex23[[#This Row],[Total Dollars Excluded from Spending After Applying Truncation at the Member Level]]=Age_Sex23[[#This Row],[Total Spending before Truncation is Applied]]</f>
        <v>1</v>
      </c>
    </row>
    <row r="752" spans="1:10" x14ac:dyDescent="0.25">
      <c r="A752" s="389"/>
      <c r="B752" s="4"/>
      <c r="C752" s="16"/>
      <c r="D752" s="519"/>
      <c r="E752" s="410"/>
      <c r="F752" s="313"/>
      <c r="G752" s="256"/>
      <c r="H752" s="313"/>
      <c r="I752" s="456"/>
      <c r="J752" s="271" t="b">
        <f>Age_Sex23[[#This Row],[Total Spending After Applying Truncation at the Member Level]]+Age_Sex23[[#This Row],[Total Dollars Excluded from Spending After Applying Truncation at the Member Level]]=Age_Sex23[[#This Row],[Total Spending before Truncation is Applied]]</f>
        <v>1</v>
      </c>
    </row>
    <row r="753" spans="1:10" x14ac:dyDescent="0.25">
      <c r="A753" s="386"/>
      <c r="B753" s="310"/>
      <c r="C753" s="311"/>
      <c r="D753" s="518"/>
      <c r="E753" s="409"/>
      <c r="F753" s="312"/>
      <c r="G753" s="522"/>
      <c r="H753" s="312"/>
      <c r="I753" s="455"/>
      <c r="J753" s="271" t="b">
        <f>Age_Sex23[[#This Row],[Total Spending After Applying Truncation at the Member Level]]+Age_Sex23[[#This Row],[Total Dollars Excluded from Spending After Applying Truncation at the Member Level]]=Age_Sex23[[#This Row],[Total Spending before Truncation is Applied]]</f>
        <v>1</v>
      </c>
    </row>
    <row r="754" spans="1:10" x14ac:dyDescent="0.25">
      <c r="A754" s="389"/>
      <c r="B754" s="4"/>
      <c r="C754" s="16"/>
      <c r="D754" s="519"/>
      <c r="E754" s="410"/>
      <c r="F754" s="313"/>
      <c r="G754" s="256"/>
      <c r="H754" s="313"/>
      <c r="I754" s="456"/>
      <c r="J754" s="271" t="b">
        <f>Age_Sex23[[#This Row],[Total Spending After Applying Truncation at the Member Level]]+Age_Sex23[[#This Row],[Total Dollars Excluded from Spending After Applying Truncation at the Member Level]]=Age_Sex23[[#This Row],[Total Spending before Truncation is Applied]]</f>
        <v>1</v>
      </c>
    </row>
    <row r="755" spans="1:10" x14ac:dyDescent="0.25">
      <c r="A755" s="386"/>
      <c r="B755" s="310"/>
      <c r="C755" s="311"/>
      <c r="D755" s="518"/>
      <c r="E755" s="409"/>
      <c r="F755" s="312"/>
      <c r="G755" s="522"/>
      <c r="H755" s="312"/>
      <c r="I755" s="455"/>
      <c r="J755" s="271" t="b">
        <f>Age_Sex23[[#This Row],[Total Spending After Applying Truncation at the Member Level]]+Age_Sex23[[#This Row],[Total Dollars Excluded from Spending After Applying Truncation at the Member Level]]=Age_Sex23[[#This Row],[Total Spending before Truncation is Applied]]</f>
        <v>1</v>
      </c>
    </row>
    <row r="756" spans="1:10" x14ac:dyDescent="0.25">
      <c r="A756" s="389"/>
      <c r="B756" s="4"/>
      <c r="C756" s="16"/>
      <c r="D756" s="519"/>
      <c r="E756" s="410"/>
      <c r="F756" s="313"/>
      <c r="G756" s="256"/>
      <c r="H756" s="313"/>
      <c r="I756" s="456"/>
      <c r="J756" s="271" t="b">
        <f>Age_Sex23[[#This Row],[Total Spending After Applying Truncation at the Member Level]]+Age_Sex23[[#This Row],[Total Dollars Excluded from Spending After Applying Truncation at the Member Level]]=Age_Sex23[[#This Row],[Total Spending before Truncation is Applied]]</f>
        <v>1</v>
      </c>
    </row>
    <row r="757" spans="1:10" x14ac:dyDescent="0.25">
      <c r="A757" s="386"/>
      <c r="B757" s="310"/>
      <c r="C757" s="311"/>
      <c r="D757" s="518"/>
      <c r="E757" s="409"/>
      <c r="F757" s="312"/>
      <c r="G757" s="522"/>
      <c r="H757" s="312"/>
      <c r="I757" s="455"/>
      <c r="J757" s="271" t="b">
        <f>Age_Sex23[[#This Row],[Total Spending After Applying Truncation at the Member Level]]+Age_Sex23[[#This Row],[Total Dollars Excluded from Spending After Applying Truncation at the Member Level]]=Age_Sex23[[#This Row],[Total Spending before Truncation is Applied]]</f>
        <v>1</v>
      </c>
    </row>
    <row r="758" spans="1:10" x14ac:dyDescent="0.25">
      <c r="A758" s="389"/>
      <c r="B758" s="4"/>
      <c r="C758" s="16"/>
      <c r="D758" s="519"/>
      <c r="E758" s="410"/>
      <c r="F758" s="313"/>
      <c r="G758" s="256"/>
      <c r="H758" s="313"/>
      <c r="I758" s="456"/>
      <c r="J758" s="271" t="b">
        <f>Age_Sex23[[#This Row],[Total Spending After Applying Truncation at the Member Level]]+Age_Sex23[[#This Row],[Total Dollars Excluded from Spending After Applying Truncation at the Member Level]]=Age_Sex23[[#This Row],[Total Spending before Truncation is Applied]]</f>
        <v>1</v>
      </c>
    </row>
    <row r="759" spans="1:10" x14ac:dyDescent="0.25">
      <c r="A759" s="386"/>
      <c r="B759" s="310"/>
      <c r="C759" s="311"/>
      <c r="D759" s="518"/>
      <c r="E759" s="409"/>
      <c r="F759" s="312"/>
      <c r="G759" s="522"/>
      <c r="H759" s="312"/>
      <c r="I759" s="455"/>
      <c r="J759" s="271" t="b">
        <f>Age_Sex23[[#This Row],[Total Spending After Applying Truncation at the Member Level]]+Age_Sex23[[#This Row],[Total Dollars Excluded from Spending After Applying Truncation at the Member Level]]=Age_Sex23[[#This Row],[Total Spending before Truncation is Applied]]</f>
        <v>1</v>
      </c>
    </row>
    <row r="760" spans="1:10" x14ac:dyDescent="0.25">
      <c r="A760" s="389"/>
      <c r="B760" s="4"/>
      <c r="C760" s="16"/>
      <c r="D760" s="519"/>
      <c r="E760" s="410"/>
      <c r="F760" s="313"/>
      <c r="G760" s="256"/>
      <c r="H760" s="313"/>
      <c r="I760" s="456"/>
      <c r="J760" s="271" t="b">
        <f>Age_Sex23[[#This Row],[Total Spending After Applying Truncation at the Member Level]]+Age_Sex23[[#This Row],[Total Dollars Excluded from Spending After Applying Truncation at the Member Level]]=Age_Sex23[[#This Row],[Total Spending before Truncation is Applied]]</f>
        <v>1</v>
      </c>
    </row>
    <row r="761" spans="1:10" x14ac:dyDescent="0.25">
      <c r="A761" s="386"/>
      <c r="B761" s="310"/>
      <c r="C761" s="311"/>
      <c r="D761" s="518"/>
      <c r="E761" s="409"/>
      <c r="F761" s="312"/>
      <c r="G761" s="522"/>
      <c r="H761" s="312"/>
      <c r="I761" s="455"/>
      <c r="J761" s="271" t="b">
        <f>Age_Sex23[[#This Row],[Total Spending After Applying Truncation at the Member Level]]+Age_Sex23[[#This Row],[Total Dollars Excluded from Spending After Applying Truncation at the Member Level]]=Age_Sex23[[#This Row],[Total Spending before Truncation is Applied]]</f>
        <v>1</v>
      </c>
    </row>
    <row r="762" spans="1:10" x14ac:dyDescent="0.25">
      <c r="A762" s="389"/>
      <c r="B762" s="4"/>
      <c r="C762" s="16"/>
      <c r="D762" s="519"/>
      <c r="E762" s="410"/>
      <c r="F762" s="313"/>
      <c r="G762" s="256"/>
      <c r="H762" s="313"/>
      <c r="I762" s="456"/>
      <c r="J762" s="271" t="b">
        <f>Age_Sex23[[#This Row],[Total Spending After Applying Truncation at the Member Level]]+Age_Sex23[[#This Row],[Total Dollars Excluded from Spending After Applying Truncation at the Member Level]]=Age_Sex23[[#This Row],[Total Spending before Truncation is Applied]]</f>
        <v>1</v>
      </c>
    </row>
    <row r="763" spans="1:10" x14ac:dyDescent="0.25">
      <c r="A763" s="386"/>
      <c r="B763" s="310"/>
      <c r="C763" s="311"/>
      <c r="D763" s="518"/>
      <c r="E763" s="409"/>
      <c r="F763" s="312"/>
      <c r="G763" s="522"/>
      <c r="H763" s="312"/>
      <c r="I763" s="455"/>
      <c r="J763" s="271" t="b">
        <f>Age_Sex23[[#This Row],[Total Spending After Applying Truncation at the Member Level]]+Age_Sex23[[#This Row],[Total Dollars Excluded from Spending After Applying Truncation at the Member Level]]=Age_Sex23[[#This Row],[Total Spending before Truncation is Applied]]</f>
        <v>1</v>
      </c>
    </row>
    <row r="764" spans="1:10" x14ac:dyDescent="0.25">
      <c r="A764" s="389"/>
      <c r="B764" s="4"/>
      <c r="C764" s="16"/>
      <c r="D764" s="519"/>
      <c r="E764" s="410"/>
      <c r="F764" s="313"/>
      <c r="G764" s="256"/>
      <c r="H764" s="313"/>
      <c r="I764" s="456"/>
      <c r="J764" s="271" t="b">
        <f>Age_Sex23[[#This Row],[Total Spending After Applying Truncation at the Member Level]]+Age_Sex23[[#This Row],[Total Dollars Excluded from Spending After Applying Truncation at the Member Level]]=Age_Sex23[[#This Row],[Total Spending before Truncation is Applied]]</f>
        <v>1</v>
      </c>
    </row>
    <row r="765" spans="1:10" x14ac:dyDescent="0.25">
      <c r="A765" s="386"/>
      <c r="B765" s="310"/>
      <c r="C765" s="311"/>
      <c r="D765" s="518"/>
      <c r="E765" s="409"/>
      <c r="F765" s="312"/>
      <c r="G765" s="522"/>
      <c r="H765" s="312"/>
      <c r="I765" s="455"/>
      <c r="J765" s="271" t="b">
        <f>Age_Sex23[[#This Row],[Total Spending After Applying Truncation at the Member Level]]+Age_Sex23[[#This Row],[Total Dollars Excluded from Spending After Applying Truncation at the Member Level]]=Age_Sex23[[#This Row],[Total Spending before Truncation is Applied]]</f>
        <v>1</v>
      </c>
    </row>
    <row r="766" spans="1:10" x14ac:dyDescent="0.25">
      <c r="A766" s="389"/>
      <c r="B766" s="4"/>
      <c r="C766" s="16"/>
      <c r="D766" s="519"/>
      <c r="E766" s="410"/>
      <c r="F766" s="313"/>
      <c r="G766" s="256"/>
      <c r="H766" s="313"/>
      <c r="I766" s="456"/>
      <c r="J766" s="271" t="b">
        <f>Age_Sex23[[#This Row],[Total Spending After Applying Truncation at the Member Level]]+Age_Sex23[[#This Row],[Total Dollars Excluded from Spending After Applying Truncation at the Member Level]]=Age_Sex23[[#This Row],[Total Spending before Truncation is Applied]]</f>
        <v>1</v>
      </c>
    </row>
    <row r="767" spans="1:10" x14ac:dyDescent="0.25">
      <c r="A767" s="386"/>
      <c r="B767" s="310"/>
      <c r="C767" s="311"/>
      <c r="D767" s="518"/>
      <c r="E767" s="409"/>
      <c r="F767" s="312"/>
      <c r="G767" s="522"/>
      <c r="H767" s="312"/>
      <c r="I767" s="455"/>
      <c r="J767" s="271" t="b">
        <f>Age_Sex23[[#This Row],[Total Spending After Applying Truncation at the Member Level]]+Age_Sex23[[#This Row],[Total Dollars Excluded from Spending After Applying Truncation at the Member Level]]=Age_Sex23[[#This Row],[Total Spending before Truncation is Applied]]</f>
        <v>1</v>
      </c>
    </row>
    <row r="768" spans="1:10" x14ac:dyDescent="0.25">
      <c r="A768" s="389"/>
      <c r="B768" s="4"/>
      <c r="C768" s="16"/>
      <c r="D768" s="519"/>
      <c r="E768" s="410"/>
      <c r="F768" s="313"/>
      <c r="G768" s="256"/>
      <c r="H768" s="313"/>
      <c r="I768" s="456"/>
      <c r="J768" s="271" t="b">
        <f>Age_Sex23[[#This Row],[Total Spending After Applying Truncation at the Member Level]]+Age_Sex23[[#This Row],[Total Dollars Excluded from Spending After Applying Truncation at the Member Level]]=Age_Sex23[[#This Row],[Total Spending before Truncation is Applied]]</f>
        <v>1</v>
      </c>
    </row>
    <row r="769" spans="1:10" x14ac:dyDescent="0.25">
      <c r="A769" s="386"/>
      <c r="B769" s="310"/>
      <c r="C769" s="311"/>
      <c r="D769" s="518"/>
      <c r="E769" s="409"/>
      <c r="F769" s="312"/>
      <c r="G769" s="522"/>
      <c r="H769" s="312"/>
      <c r="I769" s="455"/>
      <c r="J769" s="271" t="b">
        <f>Age_Sex23[[#This Row],[Total Spending After Applying Truncation at the Member Level]]+Age_Sex23[[#This Row],[Total Dollars Excluded from Spending After Applying Truncation at the Member Level]]=Age_Sex23[[#This Row],[Total Spending before Truncation is Applied]]</f>
        <v>1</v>
      </c>
    </row>
    <row r="770" spans="1:10" x14ac:dyDescent="0.25">
      <c r="A770" s="389"/>
      <c r="B770" s="4"/>
      <c r="C770" s="16"/>
      <c r="D770" s="519"/>
      <c r="E770" s="410"/>
      <c r="F770" s="313"/>
      <c r="G770" s="256"/>
      <c r="H770" s="313"/>
      <c r="I770" s="456"/>
      <c r="J770" s="271" t="b">
        <f>Age_Sex23[[#This Row],[Total Spending After Applying Truncation at the Member Level]]+Age_Sex23[[#This Row],[Total Dollars Excluded from Spending After Applying Truncation at the Member Level]]=Age_Sex23[[#This Row],[Total Spending before Truncation is Applied]]</f>
        <v>1</v>
      </c>
    </row>
    <row r="771" spans="1:10" x14ac:dyDescent="0.25">
      <c r="A771" s="386"/>
      <c r="B771" s="310"/>
      <c r="C771" s="311"/>
      <c r="D771" s="518"/>
      <c r="E771" s="409"/>
      <c r="F771" s="312"/>
      <c r="G771" s="522"/>
      <c r="H771" s="312"/>
      <c r="I771" s="455"/>
      <c r="J771" s="271" t="b">
        <f>Age_Sex23[[#This Row],[Total Spending After Applying Truncation at the Member Level]]+Age_Sex23[[#This Row],[Total Dollars Excluded from Spending After Applying Truncation at the Member Level]]=Age_Sex23[[#This Row],[Total Spending before Truncation is Applied]]</f>
        <v>1</v>
      </c>
    </row>
    <row r="772" spans="1:10" x14ac:dyDescent="0.25">
      <c r="A772" s="389"/>
      <c r="B772" s="4"/>
      <c r="C772" s="16"/>
      <c r="D772" s="519"/>
      <c r="E772" s="410"/>
      <c r="F772" s="313"/>
      <c r="G772" s="256"/>
      <c r="H772" s="313"/>
      <c r="I772" s="456"/>
      <c r="J772" s="271" t="b">
        <f>Age_Sex23[[#This Row],[Total Spending After Applying Truncation at the Member Level]]+Age_Sex23[[#This Row],[Total Dollars Excluded from Spending After Applying Truncation at the Member Level]]=Age_Sex23[[#This Row],[Total Spending before Truncation is Applied]]</f>
        <v>1</v>
      </c>
    </row>
    <row r="773" spans="1:10" x14ac:dyDescent="0.25">
      <c r="A773" s="386"/>
      <c r="B773" s="310"/>
      <c r="C773" s="311"/>
      <c r="D773" s="518"/>
      <c r="E773" s="409"/>
      <c r="F773" s="312"/>
      <c r="G773" s="522"/>
      <c r="H773" s="312"/>
      <c r="I773" s="455"/>
      <c r="J773" s="271" t="b">
        <f>Age_Sex23[[#This Row],[Total Spending After Applying Truncation at the Member Level]]+Age_Sex23[[#This Row],[Total Dollars Excluded from Spending After Applying Truncation at the Member Level]]=Age_Sex23[[#This Row],[Total Spending before Truncation is Applied]]</f>
        <v>1</v>
      </c>
    </row>
    <row r="774" spans="1:10" x14ac:dyDescent="0.25">
      <c r="A774" s="389"/>
      <c r="B774" s="4"/>
      <c r="C774" s="16"/>
      <c r="D774" s="519"/>
      <c r="E774" s="410"/>
      <c r="F774" s="313"/>
      <c r="G774" s="256"/>
      <c r="H774" s="313"/>
      <c r="I774" s="456"/>
      <c r="J774" s="271" t="b">
        <f>Age_Sex23[[#This Row],[Total Spending After Applying Truncation at the Member Level]]+Age_Sex23[[#This Row],[Total Dollars Excluded from Spending After Applying Truncation at the Member Level]]=Age_Sex23[[#This Row],[Total Spending before Truncation is Applied]]</f>
        <v>1</v>
      </c>
    </row>
    <row r="775" spans="1:10" x14ac:dyDescent="0.25">
      <c r="A775" s="386"/>
      <c r="B775" s="310"/>
      <c r="C775" s="311"/>
      <c r="D775" s="518"/>
      <c r="E775" s="409"/>
      <c r="F775" s="312"/>
      <c r="G775" s="522"/>
      <c r="H775" s="312"/>
      <c r="I775" s="455"/>
      <c r="J775" s="271" t="b">
        <f>Age_Sex23[[#This Row],[Total Spending After Applying Truncation at the Member Level]]+Age_Sex23[[#This Row],[Total Dollars Excluded from Spending After Applying Truncation at the Member Level]]=Age_Sex23[[#This Row],[Total Spending before Truncation is Applied]]</f>
        <v>1</v>
      </c>
    </row>
    <row r="776" spans="1:10" x14ac:dyDescent="0.25">
      <c r="A776" s="389"/>
      <c r="B776" s="4"/>
      <c r="C776" s="16"/>
      <c r="D776" s="519"/>
      <c r="E776" s="410"/>
      <c r="F776" s="313"/>
      <c r="G776" s="256"/>
      <c r="H776" s="313"/>
      <c r="I776" s="456"/>
      <c r="J776" s="271" t="b">
        <f>Age_Sex23[[#This Row],[Total Spending After Applying Truncation at the Member Level]]+Age_Sex23[[#This Row],[Total Dollars Excluded from Spending After Applying Truncation at the Member Level]]=Age_Sex23[[#This Row],[Total Spending before Truncation is Applied]]</f>
        <v>1</v>
      </c>
    </row>
    <row r="777" spans="1:10" x14ac:dyDescent="0.25">
      <c r="A777" s="386"/>
      <c r="B777" s="310"/>
      <c r="C777" s="311"/>
      <c r="D777" s="518"/>
      <c r="E777" s="409"/>
      <c r="F777" s="312"/>
      <c r="G777" s="522"/>
      <c r="H777" s="312"/>
      <c r="I777" s="455"/>
      <c r="J777" s="271" t="b">
        <f>Age_Sex23[[#This Row],[Total Spending After Applying Truncation at the Member Level]]+Age_Sex23[[#This Row],[Total Dollars Excluded from Spending After Applying Truncation at the Member Level]]=Age_Sex23[[#This Row],[Total Spending before Truncation is Applied]]</f>
        <v>1</v>
      </c>
    </row>
    <row r="778" spans="1:10" x14ac:dyDescent="0.25">
      <c r="A778" s="389"/>
      <c r="B778" s="4"/>
      <c r="C778" s="16"/>
      <c r="D778" s="519"/>
      <c r="E778" s="410"/>
      <c r="F778" s="313"/>
      <c r="G778" s="256"/>
      <c r="H778" s="313"/>
      <c r="I778" s="456"/>
      <c r="J778" s="271" t="b">
        <f>Age_Sex23[[#This Row],[Total Spending After Applying Truncation at the Member Level]]+Age_Sex23[[#This Row],[Total Dollars Excluded from Spending After Applying Truncation at the Member Level]]=Age_Sex23[[#This Row],[Total Spending before Truncation is Applied]]</f>
        <v>1</v>
      </c>
    </row>
    <row r="779" spans="1:10" x14ac:dyDescent="0.25">
      <c r="A779" s="386"/>
      <c r="B779" s="310"/>
      <c r="C779" s="311"/>
      <c r="D779" s="518"/>
      <c r="E779" s="409"/>
      <c r="F779" s="312"/>
      <c r="G779" s="522"/>
      <c r="H779" s="312"/>
      <c r="I779" s="455"/>
      <c r="J779" s="271" t="b">
        <f>Age_Sex23[[#This Row],[Total Spending After Applying Truncation at the Member Level]]+Age_Sex23[[#This Row],[Total Dollars Excluded from Spending After Applying Truncation at the Member Level]]=Age_Sex23[[#This Row],[Total Spending before Truncation is Applied]]</f>
        <v>1</v>
      </c>
    </row>
    <row r="780" spans="1:10" x14ac:dyDescent="0.25">
      <c r="A780" s="389"/>
      <c r="B780" s="4"/>
      <c r="C780" s="16"/>
      <c r="D780" s="519"/>
      <c r="E780" s="410"/>
      <c r="F780" s="313"/>
      <c r="G780" s="256"/>
      <c r="H780" s="313"/>
      <c r="I780" s="456"/>
      <c r="J780" s="271" t="b">
        <f>Age_Sex23[[#This Row],[Total Spending After Applying Truncation at the Member Level]]+Age_Sex23[[#This Row],[Total Dollars Excluded from Spending After Applying Truncation at the Member Level]]=Age_Sex23[[#This Row],[Total Spending before Truncation is Applied]]</f>
        <v>1</v>
      </c>
    </row>
    <row r="781" spans="1:10" x14ac:dyDescent="0.25">
      <c r="A781" s="386"/>
      <c r="B781" s="310"/>
      <c r="C781" s="311"/>
      <c r="D781" s="518"/>
      <c r="E781" s="409"/>
      <c r="F781" s="312"/>
      <c r="G781" s="522"/>
      <c r="H781" s="312"/>
      <c r="I781" s="455"/>
      <c r="J781" s="271" t="b">
        <f>Age_Sex23[[#This Row],[Total Spending After Applying Truncation at the Member Level]]+Age_Sex23[[#This Row],[Total Dollars Excluded from Spending After Applying Truncation at the Member Level]]=Age_Sex23[[#This Row],[Total Spending before Truncation is Applied]]</f>
        <v>1</v>
      </c>
    </row>
    <row r="782" spans="1:10" x14ac:dyDescent="0.25">
      <c r="A782" s="389"/>
      <c r="B782" s="4"/>
      <c r="C782" s="16"/>
      <c r="D782" s="519"/>
      <c r="E782" s="410"/>
      <c r="F782" s="313"/>
      <c r="G782" s="256"/>
      <c r="H782" s="313"/>
      <c r="I782" s="456"/>
      <c r="J782" s="271" t="b">
        <f>Age_Sex23[[#This Row],[Total Spending After Applying Truncation at the Member Level]]+Age_Sex23[[#This Row],[Total Dollars Excluded from Spending After Applying Truncation at the Member Level]]=Age_Sex23[[#This Row],[Total Spending before Truncation is Applied]]</f>
        <v>1</v>
      </c>
    </row>
    <row r="783" spans="1:10" x14ac:dyDescent="0.25">
      <c r="A783" s="386"/>
      <c r="B783" s="310"/>
      <c r="C783" s="311"/>
      <c r="D783" s="518"/>
      <c r="E783" s="409"/>
      <c r="F783" s="312"/>
      <c r="G783" s="522"/>
      <c r="H783" s="312"/>
      <c r="I783" s="455"/>
      <c r="J783" s="271" t="b">
        <f>Age_Sex23[[#This Row],[Total Spending After Applying Truncation at the Member Level]]+Age_Sex23[[#This Row],[Total Dollars Excluded from Spending After Applying Truncation at the Member Level]]=Age_Sex23[[#This Row],[Total Spending before Truncation is Applied]]</f>
        <v>1</v>
      </c>
    </row>
    <row r="784" spans="1:10" x14ac:dyDescent="0.25">
      <c r="A784" s="389"/>
      <c r="B784" s="4"/>
      <c r="C784" s="16"/>
      <c r="D784" s="519"/>
      <c r="E784" s="410"/>
      <c r="F784" s="313"/>
      <c r="G784" s="256"/>
      <c r="H784" s="313"/>
      <c r="I784" s="456"/>
      <c r="J784" s="271" t="b">
        <f>Age_Sex23[[#This Row],[Total Spending After Applying Truncation at the Member Level]]+Age_Sex23[[#This Row],[Total Dollars Excluded from Spending After Applying Truncation at the Member Level]]=Age_Sex23[[#This Row],[Total Spending before Truncation is Applied]]</f>
        <v>1</v>
      </c>
    </row>
    <row r="785" spans="1:10" x14ac:dyDescent="0.25">
      <c r="A785" s="386"/>
      <c r="B785" s="310"/>
      <c r="C785" s="311"/>
      <c r="D785" s="518"/>
      <c r="E785" s="409"/>
      <c r="F785" s="312"/>
      <c r="G785" s="522"/>
      <c r="H785" s="312"/>
      <c r="I785" s="455"/>
      <c r="J785" s="271" t="b">
        <f>Age_Sex23[[#This Row],[Total Spending After Applying Truncation at the Member Level]]+Age_Sex23[[#This Row],[Total Dollars Excluded from Spending After Applying Truncation at the Member Level]]=Age_Sex23[[#This Row],[Total Spending before Truncation is Applied]]</f>
        <v>1</v>
      </c>
    </row>
    <row r="786" spans="1:10" x14ac:dyDescent="0.25">
      <c r="A786" s="389"/>
      <c r="B786" s="4"/>
      <c r="C786" s="16"/>
      <c r="D786" s="519"/>
      <c r="E786" s="410"/>
      <c r="F786" s="313"/>
      <c r="G786" s="256"/>
      <c r="H786" s="313"/>
      <c r="I786" s="456"/>
      <c r="J786" s="271" t="b">
        <f>Age_Sex23[[#This Row],[Total Spending After Applying Truncation at the Member Level]]+Age_Sex23[[#This Row],[Total Dollars Excluded from Spending After Applying Truncation at the Member Level]]=Age_Sex23[[#This Row],[Total Spending before Truncation is Applied]]</f>
        <v>1</v>
      </c>
    </row>
    <row r="787" spans="1:10" x14ac:dyDescent="0.25">
      <c r="A787" s="386"/>
      <c r="B787" s="310"/>
      <c r="C787" s="311"/>
      <c r="D787" s="518"/>
      <c r="E787" s="409"/>
      <c r="F787" s="312"/>
      <c r="G787" s="522"/>
      <c r="H787" s="312"/>
      <c r="I787" s="455"/>
      <c r="J787" s="271" t="b">
        <f>Age_Sex23[[#This Row],[Total Spending After Applying Truncation at the Member Level]]+Age_Sex23[[#This Row],[Total Dollars Excluded from Spending After Applying Truncation at the Member Level]]=Age_Sex23[[#This Row],[Total Spending before Truncation is Applied]]</f>
        <v>1</v>
      </c>
    </row>
    <row r="788" spans="1:10" x14ac:dyDescent="0.25">
      <c r="A788" s="389"/>
      <c r="B788" s="4"/>
      <c r="C788" s="16"/>
      <c r="D788" s="519"/>
      <c r="E788" s="410"/>
      <c r="F788" s="313"/>
      <c r="G788" s="256"/>
      <c r="H788" s="313"/>
      <c r="I788" s="456"/>
      <c r="J788" s="271" t="b">
        <f>Age_Sex23[[#This Row],[Total Spending After Applying Truncation at the Member Level]]+Age_Sex23[[#This Row],[Total Dollars Excluded from Spending After Applying Truncation at the Member Level]]=Age_Sex23[[#This Row],[Total Spending before Truncation is Applied]]</f>
        <v>1</v>
      </c>
    </row>
    <row r="789" spans="1:10" x14ac:dyDescent="0.25">
      <c r="A789" s="386"/>
      <c r="B789" s="310"/>
      <c r="C789" s="311"/>
      <c r="D789" s="518"/>
      <c r="E789" s="409"/>
      <c r="F789" s="312"/>
      <c r="G789" s="522"/>
      <c r="H789" s="312"/>
      <c r="I789" s="455"/>
      <c r="J789" s="271" t="b">
        <f>Age_Sex23[[#This Row],[Total Spending After Applying Truncation at the Member Level]]+Age_Sex23[[#This Row],[Total Dollars Excluded from Spending After Applying Truncation at the Member Level]]=Age_Sex23[[#This Row],[Total Spending before Truncation is Applied]]</f>
        <v>1</v>
      </c>
    </row>
    <row r="790" spans="1:10" x14ac:dyDescent="0.25">
      <c r="A790" s="389"/>
      <c r="B790" s="4"/>
      <c r="C790" s="16"/>
      <c r="D790" s="519"/>
      <c r="E790" s="410"/>
      <c r="F790" s="313"/>
      <c r="G790" s="256"/>
      <c r="H790" s="313"/>
      <c r="I790" s="456"/>
      <c r="J790" s="271" t="b">
        <f>Age_Sex23[[#This Row],[Total Spending After Applying Truncation at the Member Level]]+Age_Sex23[[#This Row],[Total Dollars Excluded from Spending After Applying Truncation at the Member Level]]=Age_Sex23[[#This Row],[Total Spending before Truncation is Applied]]</f>
        <v>1</v>
      </c>
    </row>
    <row r="791" spans="1:10" x14ac:dyDescent="0.25">
      <c r="A791" s="386"/>
      <c r="B791" s="310"/>
      <c r="C791" s="311"/>
      <c r="D791" s="518"/>
      <c r="E791" s="409"/>
      <c r="F791" s="312"/>
      <c r="G791" s="522"/>
      <c r="H791" s="312"/>
      <c r="I791" s="455"/>
      <c r="J791" s="271" t="b">
        <f>Age_Sex23[[#This Row],[Total Spending After Applying Truncation at the Member Level]]+Age_Sex23[[#This Row],[Total Dollars Excluded from Spending After Applying Truncation at the Member Level]]=Age_Sex23[[#This Row],[Total Spending before Truncation is Applied]]</f>
        <v>1</v>
      </c>
    </row>
    <row r="792" spans="1:10" x14ac:dyDescent="0.25">
      <c r="A792" s="389"/>
      <c r="B792" s="4"/>
      <c r="C792" s="16"/>
      <c r="D792" s="519"/>
      <c r="E792" s="410"/>
      <c r="F792" s="313"/>
      <c r="G792" s="256"/>
      <c r="H792" s="313"/>
      <c r="I792" s="456"/>
      <c r="J792" s="271" t="b">
        <f>Age_Sex23[[#This Row],[Total Spending After Applying Truncation at the Member Level]]+Age_Sex23[[#This Row],[Total Dollars Excluded from Spending After Applying Truncation at the Member Level]]=Age_Sex23[[#This Row],[Total Spending before Truncation is Applied]]</f>
        <v>1</v>
      </c>
    </row>
    <row r="793" spans="1:10" x14ac:dyDescent="0.25">
      <c r="A793" s="386"/>
      <c r="B793" s="310"/>
      <c r="C793" s="311"/>
      <c r="D793" s="518"/>
      <c r="E793" s="409"/>
      <c r="F793" s="312"/>
      <c r="G793" s="522"/>
      <c r="H793" s="312"/>
      <c r="I793" s="455"/>
      <c r="J793" s="271" t="b">
        <f>Age_Sex23[[#This Row],[Total Spending After Applying Truncation at the Member Level]]+Age_Sex23[[#This Row],[Total Dollars Excluded from Spending After Applying Truncation at the Member Level]]=Age_Sex23[[#This Row],[Total Spending before Truncation is Applied]]</f>
        <v>1</v>
      </c>
    </row>
    <row r="794" spans="1:10" x14ac:dyDescent="0.25">
      <c r="A794" s="389"/>
      <c r="B794" s="4"/>
      <c r="C794" s="16"/>
      <c r="D794" s="519"/>
      <c r="E794" s="410"/>
      <c r="F794" s="313"/>
      <c r="G794" s="256"/>
      <c r="H794" s="313"/>
      <c r="I794" s="456"/>
      <c r="J794" s="271" t="b">
        <f>Age_Sex23[[#This Row],[Total Spending After Applying Truncation at the Member Level]]+Age_Sex23[[#This Row],[Total Dollars Excluded from Spending After Applying Truncation at the Member Level]]=Age_Sex23[[#This Row],[Total Spending before Truncation is Applied]]</f>
        <v>1</v>
      </c>
    </row>
    <row r="795" spans="1:10" x14ac:dyDescent="0.25">
      <c r="A795" s="386"/>
      <c r="B795" s="310"/>
      <c r="C795" s="311"/>
      <c r="D795" s="518"/>
      <c r="E795" s="409"/>
      <c r="F795" s="312"/>
      <c r="G795" s="522"/>
      <c r="H795" s="312"/>
      <c r="I795" s="455"/>
      <c r="J795" s="271" t="b">
        <f>Age_Sex23[[#This Row],[Total Spending After Applying Truncation at the Member Level]]+Age_Sex23[[#This Row],[Total Dollars Excluded from Spending After Applying Truncation at the Member Level]]=Age_Sex23[[#This Row],[Total Spending before Truncation is Applied]]</f>
        <v>1</v>
      </c>
    </row>
    <row r="796" spans="1:10" x14ac:dyDescent="0.25">
      <c r="A796" s="389"/>
      <c r="B796" s="4"/>
      <c r="C796" s="16"/>
      <c r="D796" s="519"/>
      <c r="E796" s="410"/>
      <c r="F796" s="313"/>
      <c r="G796" s="256"/>
      <c r="H796" s="313"/>
      <c r="I796" s="456"/>
      <c r="J796" s="271" t="b">
        <f>Age_Sex23[[#This Row],[Total Spending After Applying Truncation at the Member Level]]+Age_Sex23[[#This Row],[Total Dollars Excluded from Spending After Applying Truncation at the Member Level]]=Age_Sex23[[#This Row],[Total Spending before Truncation is Applied]]</f>
        <v>1</v>
      </c>
    </row>
    <row r="797" spans="1:10" x14ac:dyDescent="0.25">
      <c r="A797" s="386"/>
      <c r="B797" s="310"/>
      <c r="C797" s="311"/>
      <c r="D797" s="518"/>
      <c r="E797" s="409"/>
      <c r="F797" s="312"/>
      <c r="G797" s="522"/>
      <c r="H797" s="312"/>
      <c r="I797" s="455"/>
      <c r="J797" s="271" t="b">
        <f>Age_Sex23[[#This Row],[Total Spending After Applying Truncation at the Member Level]]+Age_Sex23[[#This Row],[Total Dollars Excluded from Spending After Applying Truncation at the Member Level]]=Age_Sex23[[#This Row],[Total Spending before Truncation is Applied]]</f>
        <v>1</v>
      </c>
    </row>
    <row r="798" spans="1:10" x14ac:dyDescent="0.25">
      <c r="A798" s="389"/>
      <c r="B798" s="4"/>
      <c r="C798" s="16"/>
      <c r="D798" s="519"/>
      <c r="E798" s="410"/>
      <c r="F798" s="313"/>
      <c r="G798" s="256"/>
      <c r="H798" s="313"/>
      <c r="I798" s="456"/>
      <c r="J798" s="271" t="b">
        <f>Age_Sex23[[#This Row],[Total Spending After Applying Truncation at the Member Level]]+Age_Sex23[[#This Row],[Total Dollars Excluded from Spending After Applying Truncation at the Member Level]]=Age_Sex23[[#This Row],[Total Spending before Truncation is Applied]]</f>
        <v>1</v>
      </c>
    </row>
    <row r="799" spans="1:10" x14ac:dyDescent="0.25">
      <c r="A799" s="386"/>
      <c r="B799" s="310"/>
      <c r="C799" s="311"/>
      <c r="D799" s="518"/>
      <c r="E799" s="409"/>
      <c r="F799" s="312"/>
      <c r="G799" s="522"/>
      <c r="H799" s="312"/>
      <c r="I799" s="455"/>
      <c r="J799" s="271" t="b">
        <f>Age_Sex23[[#This Row],[Total Spending After Applying Truncation at the Member Level]]+Age_Sex23[[#This Row],[Total Dollars Excluded from Spending After Applying Truncation at the Member Level]]=Age_Sex23[[#This Row],[Total Spending before Truncation is Applied]]</f>
        <v>1</v>
      </c>
    </row>
    <row r="800" spans="1:10" x14ac:dyDescent="0.25">
      <c r="A800" s="389"/>
      <c r="B800" s="4"/>
      <c r="C800" s="16"/>
      <c r="D800" s="519"/>
      <c r="E800" s="410"/>
      <c r="F800" s="313"/>
      <c r="G800" s="256"/>
      <c r="H800" s="313"/>
      <c r="I800" s="456"/>
      <c r="J800" s="271" t="b">
        <f>Age_Sex23[[#This Row],[Total Spending After Applying Truncation at the Member Level]]+Age_Sex23[[#This Row],[Total Dollars Excluded from Spending After Applying Truncation at the Member Level]]=Age_Sex23[[#This Row],[Total Spending before Truncation is Applied]]</f>
        <v>1</v>
      </c>
    </row>
    <row r="801" spans="1:10" x14ac:dyDescent="0.25">
      <c r="A801" s="386"/>
      <c r="B801" s="310"/>
      <c r="C801" s="311"/>
      <c r="D801" s="518"/>
      <c r="E801" s="409"/>
      <c r="F801" s="312"/>
      <c r="G801" s="522"/>
      <c r="H801" s="312"/>
      <c r="I801" s="455"/>
      <c r="J801" s="271" t="b">
        <f>Age_Sex23[[#This Row],[Total Spending After Applying Truncation at the Member Level]]+Age_Sex23[[#This Row],[Total Dollars Excluded from Spending After Applying Truncation at the Member Level]]=Age_Sex23[[#This Row],[Total Spending before Truncation is Applied]]</f>
        <v>1</v>
      </c>
    </row>
    <row r="802" spans="1:10" x14ac:dyDescent="0.25">
      <c r="A802" s="389"/>
      <c r="B802" s="4"/>
      <c r="C802" s="16"/>
      <c r="D802" s="519"/>
      <c r="E802" s="410"/>
      <c r="F802" s="313"/>
      <c r="G802" s="256"/>
      <c r="H802" s="313"/>
      <c r="I802" s="456"/>
      <c r="J802" s="271" t="b">
        <f>Age_Sex23[[#This Row],[Total Spending After Applying Truncation at the Member Level]]+Age_Sex23[[#This Row],[Total Dollars Excluded from Spending After Applying Truncation at the Member Level]]=Age_Sex23[[#This Row],[Total Spending before Truncation is Applied]]</f>
        <v>1</v>
      </c>
    </row>
    <row r="803" spans="1:10" x14ac:dyDescent="0.25">
      <c r="A803" s="386"/>
      <c r="B803" s="310"/>
      <c r="C803" s="311"/>
      <c r="D803" s="518"/>
      <c r="E803" s="409"/>
      <c r="F803" s="312"/>
      <c r="G803" s="522"/>
      <c r="H803" s="312"/>
      <c r="I803" s="455"/>
      <c r="J803" s="271" t="b">
        <f>Age_Sex23[[#This Row],[Total Spending After Applying Truncation at the Member Level]]+Age_Sex23[[#This Row],[Total Dollars Excluded from Spending After Applying Truncation at the Member Level]]=Age_Sex23[[#This Row],[Total Spending before Truncation is Applied]]</f>
        <v>1</v>
      </c>
    </row>
    <row r="804" spans="1:10" x14ac:dyDescent="0.25">
      <c r="A804" s="389"/>
      <c r="B804" s="4"/>
      <c r="C804" s="16"/>
      <c r="D804" s="519"/>
      <c r="E804" s="410"/>
      <c r="F804" s="313"/>
      <c r="G804" s="256"/>
      <c r="H804" s="313"/>
      <c r="I804" s="456"/>
      <c r="J804" s="271" t="b">
        <f>Age_Sex23[[#This Row],[Total Spending After Applying Truncation at the Member Level]]+Age_Sex23[[#This Row],[Total Dollars Excluded from Spending After Applying Truncation at the Member Level]]=Age_Sex23[[#This Row],[Total Spending before Truncation is Applied]]</f>
        <v>1</v>
      </c>
    </row>
    <row r="805" spans="1:10" x14ac:dyDescent="0.25">
      <c r="A805" s="386"/>
      <c r="B805" s="310"/>
      <c r="C805" s="311"/>
      <c r="D805" s="518"/>
      <c r="E805" s="409"/>
      <c r="F805" s="312"/>
      <c r="G805" s="522"/>
      <c r="H805" s="312"/>
      <c r="I805" s="455"/>
      <c r="J805" s="271" t="b">
        <f>Age_Sex23[[#This Row],[Total Spending After Applying Truncation at the Member Level]]+Age_Sex23[[#This Row],[Total Dollars Excluded from Spending After Applying Truncation at the Member Level]]=Age_Sex23[[#This Row],[Total Spending before Truncation is Applied]]</f>
        <v>1</v>
      </c>
    </row>
    <row r="806" spans="1:10" x14ac:dyDescent="0.25">
      <c r="A806" s="389"/>
      <c r="B806" s="4"/>
      <c r="C806" s="16"/>
      <c r="D806" s="519"/>
      <c r="E806" s="410"/>
      <c r="F806" s="313"/>
      <c r="G806" s="256"/>
      <c r="H806" s="313"/>
      <c r="I806" s="456"/>
      <c r="J806" s="271" t="b">
        <f>Age_Sex23[[#This Row],[Total Spending After Applying Truncation at the Member Level]]+Age_Sex23[[#This Row],[Total Dollars Excluded from Spending After Applying Truncation at the Member Level]]=Age_Sex23[[#This Row],[Total Spending before Truncation is Applied]]</f>
        <v>1</v>
      </c>
    </row>
    <row r="807" spans="1:10" x14ac:dyDescent="0.25">
      <c r="A807" s="386"/>
      <c r="B807" s="310"/>
      <c r="C807" s="311"/>
      <c r="D807" s="518"/>
      <c r="E807" s="409"/>
      <c r="F807" s="312"/>
      <c r="G807" s="522"/>
      <c r="H807" s="312"/>
      <c r="I807" s="455"/>
      <c r="J807" s="271" t="b">
        <f>Age_Sex23[[#This Row],[Total Spending After Applying Truncation at the Member Level]]+Age_Sex23[[#This Row],[Total Dollars Excluded from Spending After Applying Truncation at the Member Level]]=Age_Sex23[[#This Row],[Total Spending before Truncation is Applied]]</f>
        <v>1</v>
      </c>
    </row>
    <row r="808" spans="1:10" x14ac:dyDescent="0.25">
      <c r="A808" s="389"/>
      <c r="B808" s="4"/>
      <c r="C808" s="16"/>
      <c r="D808" s="519"/>
      <c r="E808" s="410"/>
      <c r="F808" s="313"/>
      <c r="G808" s="256"/>
      <c r="H808" s="313"/>
      <c r="I808" s="456"/>
      <c r="J808" s="271" t="b">
        <f>Age_Sex23[[#This Row],[Total Spending After Applying Truncation at the Member Level]]+Age_Sex23[[#This Row],[Total Dollars Excluded from Spending After Applying Truncation at the Member Level]]=Age_Sex23[[#This Row],[Total Spending before Truncation is Applied]]</f>
        <v>1</v>
      </c>
    </row>
    <row r="809" spans="1:10" x14ac:dyDescent="0.25">
      <c r="A809" s="386"/>
      <c r="B809" s="310"/>
      <c r="C809" s="311"/>
      <c r="D809" s="518"/>
      <c r="E809" s="409"/>
      <c r="F809" s="312"/>
      <c r="G809" s="522"/>
      <c r="H809" s="312"/>
      <c r="I809" s="455"/>
      <c r="J809" s="271" t="b">
        <f>Age_Sex23[[#This Row],[Total Spending After Applying Truncation at the Member Level]]+Age_Sex23[[#This Row],[Total Dollars Excluded from Spending After Applying Truncation at the Member Level]]=Age_Sex23[[#This Row],[Total Spending before Truncation is Applied]]</f>
        <v>1</v>
      </c>
    </row>
    <row r="810" spans="1:10" x14ac:dyDescent="0.25">
      <c r="A810" s="389"/>
      <c r="B810" s="4"/>
      <c r="C810" s="16"/>
      <c r="D810" s="519"/>
      <c r="E810" s="410"/>
      <c r="F810" s="313"/>
      <c r="G810" s="256"/>
      <c r="H810" s="313"/>
      <c r="I810" s="456"/>
      <c r="J810" s="271" t="b">
        <f>Age_Sex23[[#This Row],[Total Spending After Applying Truncation at the Member Level]]+Age_Sex23[[#This Row],[Total Dollars Excluded from Spending After Applying Truncation at the Member Level]]=Age_Sex23[[#This Row],[Total Spending before Truncation is Applied]]</f>
        <v>1</v>
      </c>
    </row>
    <row r="811" spans="1:10" x14ac:dyDescent="0.25">
      <c r="A811" s="386"/>
      <c r="B811" s="310"/>
      <c r="C811" s="311"/>
      <c r="D811" s="518"/>
      <c r="E811" s="409"/>
      <c r="F811" s="312"/>
      <c r="G811" s="522"/>
      <c r="H811" s="312"/>
      <c r="I811" s="455"/>
      <c r="J811" s="271" t="b">
        <f>Age_Sex23[[#This Row],[Total Spending After Applying Truncation at the Member Level]]+Age_Sex23[[#This Row],[Total Dollars Excluded from Spending After Applying Truncation at the Member Level]]=Age_Sex23[[#This Row],[Total Spending before Truncation is Applied]]</f>
        <v>1</v>
      </c>
    </row>
    <row r="812" spans="1:10" x14ac:dyDescent="0.25">
      <c r="A812" s="389"/>
      <c r="B812" s="4"/>
      <c r="C812" s="16"/>
      <c r="D812" s="519"/>
      <c r="E812" s="410"/>
      <c r="F812" s="313"/>
      <c r="G812" s="256"/>
      <c r="H812" s="313"/>
      <c r="I812" s="456"/>
      <c r="J812" s="271" t="b">
        <f>Age_Sex23[[#This Row],[Total Spending After Applying Truncation at the Member Level]]+Age_Sex23[[#This Row],[Total Dollars Excluded from Spending After Applying Truncation at the Member Level]]=Age_Sex23[[#This Row],[Total Spending before Truncation is Applied]]</f>
        <v>1</v>
      </c>
    </row>
    <row r="813" spans="1:10" x14ac:dyDescent="0.25">
      <c r="A813" s="386"/>
      <c r="B813" s="310"/>
      <c r="C813" s="311"/>
      <c r="D813" s="518"/>
      <c r="E813" s="409"/>
      <c r="F813" s="312"/>
      <c r="G813" s="522"/>
      <c r="H813" s="312"/>
      <c r="I813" s="455"/>
      <c r="J813" s="271" t="b">
        <f>Age_Sex23[[#This Row],[Total Spending After Applying Truncation at the Member Level]]+Age_Sex23[[#This Row],[Total Dollars Excluded from Spending After Applying Truncation at the Member Level]]=Age_Sex23[[#This Row],[Total Spending before Truncation is Applied]]</f>
        <v>1</v>
      </c>
    </row>
    <row r="814" spans="1:10" x14ac:dyDescent="0.25">
      <c r="A814" s="389"/>
      <c r="B814" s="4"/>
      <c r="C814" s="16"/>
      <c r="D814" s="519"/>
      <c r="E814" s="410"/>
      <c r="F814" s="313"/>
      <c r="G814" s="256"/>
      <c r="H814" s="313"/>
      <c r="I814" s="456"/>
      <c r="J814" s="271" t="b">
        <f>Age_Sex23[[#This Row],[Total Spending After Applying Truncation at the Member Level]]+Age_Sex23[[#This Row],[Total Dollars Excluded from Spending After Applying Truncation at the Member Level]]=Age_Sex23[[#This Row],[Total Spending before Truncation is Applied]]</f>
        <v>1</v>
      </c>
    </row>
    <row r="815" spans="1:10" x14ac:dyDescent="0.25">
      <c r="A815" s="386"/>
      <c r="B815" s="310"/>
      <c r="C815" s="311"/>
      <c r="D815" s="518"/>
      <c r="E815" s="409"/>
      <c r="F815" s="312"/>
      <c r="G815" s="522"/>
      <c r="H815" s="312"/>
      <c r="I815" s="455"/>
      <c r="J815" s="271" t="b">
        <f>Age_Sex23[[#This Row],[Total Spending After Applying Truncation at the Member Level]]+Age_Sex23[[#This Row],[Total Dollars Excluded from Spending After Applying Truncation at the Member Level]]=Age_Sex23[[#This Row],[Total Spending before Truncation is Applied]]</f>
        <v>1</v>
      </c>
    </row>
    <row r="816" spans="1:10" x14ac:dyDescent="0.25">
      <c r="A816" s="389"/>
      <c r="B816" s="4"/>
      <c r="C816" s="16"/>
      <c r="D816" s="519"/>
      <c r="E816" s="410"/>
      <c r="F816" s="313"/>
      <c r="G816" s="256"/>
      <c r="H816" s="313"/>
      <c r="I816" s="456"/>
      <c r="J816" s="271" t="b">
        <f>Age_Sex23[[#This Row],[Total Spending After Applying Truncation at the Member Level]]+Age_Sex23[[#This Row],[Total Dollars Excluded from Spending After Applying Truncation at the Member Level]]=Age_Sex23[[#This Row],[Total Spending before Truncation is Applied]]</f>
        <v>1</v>
      </c>
    </row>
    <row r="817" spans="1:10" x14ac:dyDescent="0.25">
      <c r="A817" s="386"/>
      <c r="B817" s="310"/>
      <c r="C817" s="311"/>
      <c r="D817" s="518"/>
      <c r="E817" s="409"/>
      <c r="F817" s="312"/>
      <c r="G817" s="522"/>
      <c r="H817" s="312"/>
      <c r="I817" s="455"/>
      <c r="J817" s="271" t="b">
        <f>Age_Sex23[[#This Row],[Total Spending After Applying Truncation at the Member Level]]+Age_Sex23[[#This Row],[Total Dollars Excluded from Spending After Applying Truncation at the Member Level]]=Age_Sex23[[#This Row],[Total Spending before Truncation is Applied]]</f>
        <v>1</v>
      </c>
    </row>
    <row r="818" spans="1:10" x14ac:dyDescent="0.25">
      <c r="A818" s="389"/>
      <c r="B818" s="4"/>
      <c r="C818" s="16"/>
      <c r="D818" s="519"/>
      <c r="E818" s="410"/>
      <c r="F818" s="313"/>
      <c r="G818" s="256"/>
      <c r="H818" s="313"/>
      <c r="I818" s="456"/>
      <c r="J818" s="271" t="b">
        <f>Age_Sex23[[#This Row],[Total Spending After Applying Truncation at the Member Level]]+Age_Sex23[[#This Row],[Total Dollars Excluded from Spending After Applying Truncation at the Member Level]]=Age_Sex23[[#This Row],[Total Spending before Truncation is Applied]]</f>
        <v>1</v>
      </c>
    </row>
    <row r="819" spans="1:10" x14ac:dyDescent="0.25">
      <c r="A819" s="386"/>
      <c r="B819" s="310"/>
      <c r="C819" s="311"/>
      <c r="D819" s="518"/>
      <c r="E819" s="409"/>
      <c r="F819" s="312"/>
      <c r="G819" s="522"/>
      <c r="H819" s="312"/>
      <c r="I819" s="455"/>
      <c r="J819" s="271" t="b">
        <f>Age_Sex23[[#This Row],[Total Spending After Applying Truncation at the Member Level]]+Age_Sex23[[#This Row],[Total Dollars Excluded from Spending After Applying Truncation at the Member Level]]=Age_Sex23[[#This Row],[Total Spending before Truncation is Applied]]</f>
        <v>1</v>
      </c>
    </row>
    <row r="820" spans="1:10" x14ac:dyDescent="0.25">
      <c r="A820" s="389"/>
      <c r="B820" s="4"/>
      <c r="C820" s="16"/>
      <c r="D820" s="519"/>
      <c r="E820" s="410"/>
      <c r="F820" s="313"/>
      <c r="G820" s="256"/>
      <c r="H820" s="313"/>
      <c r="I820" s="456"/>
      <c r="J820" s="271" t="b">
        <f>Age_Sex23[[#This Row],[Total Spending After Applying Truncation at the Member Level]]+Age_Sex23[[#This Row],[Total Dollars Excluded from Spending After Applying Truncation at the Member Level]]=Age_Sex23[[#This Row],[Total Spending before Truncation is Applied]]</f>
        <v>1</v>
      </c>
    </row>
    <row r="821" spans="1:10" x14ac:dyDescent="0.25">
      <c r="A821" s="386"/>
      <c r="B821" s="310"/>
      <c r="C821" s="311"/>
      <c r="D821" s="518"/>
      <c r="E821" s="409"/>
      <c r="F821" s="312"/>
      <c r="G821" s="522"/>
      <c r="H821" s="312"/>
      <c r="I821" s="455"/>
      <c r="J821" s="271" t="b">
        <f>Age_Sex23[[#This Row],[Total Spending After Applying Truncation at the Member Level]]+Age_Sex23[[#This Row],[Total Dollars Excluded from Spending After Applying Truncation at the Member Level]]=Age_Sex23[[#This Row],[Total Spending before Truncation is Applied]]</f>
        <v>1</v>
      </c>
    </row>
    <row r="822" spans="1:10" x14ac:dyDescent="0.25">
      <c r="A822" s="389"/>
      <c r="B822" s="4"/>
      <c r="C822" s="16"/>
      <c r="D822" s="519"/>
      <c r="E822" s="410"/>
      <c r="F822" s="313"/>
      <c r="G822" s="256"/>
      <c r="H822" s="313"/>
      <c r="I822" s="456"/>
      <c r="J822" s="271" t="b">
        <f>Age_Sex23[[#This Row],[Total Spending After Applying Truncation at the Member Level]]+Age_Sex23[[#This Row],[Total Dollars Excluded from Spending After Applying Truncation at the Member Level]]=Age_Sex23[[#This Row],[Total Spending before Truncation is Applied]]</f>
        <v>1</v>
      </c>
    </row>
    <row r="823" spans="1:10" x14ac:dyDescent="0.25">
      <c r="A823" s="386"/>
      <c r="B823" s="310"/>
      <c r="C823" s="311"/>
      <c r="D823" s="518"/>
      <c r="E823" s="409"/>
      <c r="F823" s="312"/>
      <c r="G823" s="522"/>
      <c r="H823" s="312"/>
      <c r="I823" s="455"/>
      <c r="J823" s="271" t="b">
        <f>Age_Sex23[[#This Row],[Total Spending After Applying Truncation at the Member Level]]+Age_Sex23[[#This Row],[Total Dollars Excluded from Spending After Applying Truncation at the Member Level]]=Age_Sex23[[#This Row],[Total Spending before Truncation is Applied]]</f>
        <v>1</v>
      </c>
    </row>
    <row r="824" spans="1:10" x14ac:dyDescent="0.25">
      <c r="A824" s="389"/>
      <c r="B824" s="4"/>
      <c r="C824" s="16"/>
      <c r="D824" s="519"/>
      <c r="E824" s="410"/>
      <c r="F824" s="313"/>
      <c r="G824" s="256"/>
      <c r="H824" s="313"/>
      <c r="I824" s="456"/>
      <c r="J824" s="271" t="b">
        <f>Age_Sex23[[#This Row],[Total Spending After Applying Truncation at the Member Level]]+Age_Sex23[[#This Row],[Total Dollars Excluded from Spending After Applying Truncation at the Member Level]]=Age_Sex23[[#This Row],[Total Spending before Truncation is Applied]]</f>
        <v>1</v>
      </c>
    </row>
    <row r="825" spans="1:10" x14ac:dyDescent="0.25">
      <c r="A825" s="386"/>
      <c r="B825" s="310"/>
      <c r="C825" s="311"/>
      <c r="D825" s="518"/>
      <c r="E825" s="409"/>
      <c r="F825" s="312"/>
      <c r="G825" s="522"/>
      <c r="H825" s="312"/>
      <c r="I825" s="455"/>
      <c r="J825" s="271" t="b">
        <f>Age_Sex23[[#This Row],[Total Spending After Applying Truncation at the Member Level]]+Age_Sex23[[#This Row],[Total Dollars Excluded from Spending After Applying Truncation at the Member Level]]=Age_Sex23[[#This Row],[Total Spending before Truncation is Applied]]</f>
        <v>1</v>
      </c>
    </row>
    <row r="826" spans="1:10" x14ac:dyDescent="0.25">
      <c r="A826" s="389"/>
      <c r="B826" s="4"/>
      <c r="C826" s="16"/>
      <c r="D826" s="519"/>
      <c r="E826" s="410"/>
      <c r="F826" s="313"/>
      <c r="G826" s="256"/>
      <c r="H826" s="313"/>
      <c r="I826" s="456"/>
      <c r="J826" s="271" t="b">
        <f>Age_Sex23[[#This Row],[Total Spending After Applying Truncation at the Member Level]]+Age_Sex23[[#This Row],[Total Dollars Excluded from Spending After Applying Truncation at the Member Level]]=Age_Sex23[[#This Row],[Total Spending before Truncation is Applied]]</f>
        <v>1</v>
      </c>
    </row>
    <row r="827" spans="1:10" x14ac:dyDescent="0.25">
      <c r="A827" s="386"/>
      <c r="B827" s="310"/>
      <c r="C827" s="311"/>
      <c r="D827" s="518"/>
      <c r="E827" s="409"/>
      <c r="F827" s="312"/>
      <c r="G827" s="522"/>
      <c r="H827" s="312"/>
      <c r="I827" s="455"/>
      <c r="J827" s="271" t="b">
        <f>Age_Sex23[[#This Row],[Total Spending After Applying Truncation at the Member Level]]+Age_Sex23[[#This Row],[Total Dollars Excluded from Spending After Applying Truncation at the Member Level]]=Age_Sex23[[#This Row],[Total Spending before Truncation is Applied]]</f>
        <v>1</v>
      </c>
    </row>
    <row r="828" spans="1:10" x14ac:dyDescent="0.25">
      <c r="A828" s="389"/>
      <c r="B828" s="4"/>
      <c r="C828" s="16"/>
      <c r="D828" s="519"/>
      <c r="E828" s="410"/>
      <c r="F828" s="313"/>
      <c r="G828" s="256"/>
      <c r="H828" s="313"/>
      <c r="I828" s="456"/>
      <c r="J828" s="271" t="b">
        <f>Age_Sex23[[#This Row],[Total Spending After Applying Truncation at the Member Level]]+Age_Sex23[[#This Row],[Total Dollars Excluded from Spending After Applying Truncation at the Member Level]]=Age_Sex23[[#This Row],[Total Spending before Truncation is Applied]]</f>
        <v>1</v>
      </c>
    </row>
    <row r="829" spans="1:10" x14ac:dyDescent="0.25">
      <c r="A829" s="386"/>
      <c r="B829" s="310"/>
      <c r="C829" s="311"/>
      <c r="D829" s="518"/>
      <c r="E829" s="409"/>
      <c r="F829" s="312"/>
      <c r="G829" s="522"/>
      <c r="H829" s="312"/>
      <c r="I829" s="455"/>
      <c r="J829" s="271" t="b">
        <f>Age_Sex23[[#This Row],[Total Spending After Applying Truncation at the Member Level]]+Age_Sex23[[#This Row],[Total Dollars Excluded from Spending After Applying Truncation at the Member Level]]=Age_Sex23[[#This Row],[Total Spending before Truncation is Applied]]</f>
        <v>1</v>
      </c>
    </row>
    <row r="830" spans="1:10" x14ac:dyDescent="0.25">
      <c r="A830" s="389"/>
      <c r="B830" s="4"/>
      <c r="C830" s="16"/>
      <c r="D830" s="519"/>
      <c r="E830" s="410"/>
      <c r="F830" s="313"/>
      <c r="G830" s="256"/>
      <c r="H830" s="313"/>
      <c r="I830" s="456"/>
      <c r="J830" s="271" t="b">
        <f>Age_Sex23[[#This Row],[Total Spending After Applying Truncation at the Member Level]]+Age_Sex23[[#This Row],[Total Dollars Excluded from Spending After Applying Truncation at the Member Level]]=Age_Sex23[[#This Row],[Total Spending before Truncation is Applied]]</f>
        <v>1</v>
      </c>
    </row>
    <row r="831" spans="1:10" x14ac:dyDescent="0.25">
      <c r="A831" s="386"/>
      <c r="B831" s="310"/>
      <c r="C831" s="311"/>
      <c r="D831" s="518"/>
      <c r="E831" s="409"/>
      <c r="F831" s="312"/>
      <c r="G831" s="522"/>
      <c r="H831" s="312"/>
      <c r="I831" s="455"/>
      <c r="J831" s="271" t="b">
        <f>Age_Sex23[[#This Row],[Total Spending After Applying Truncation at the Member Level]]+Age_Sex23[[#This Row],[Total Dollars Excluded from Spending After Applying Truncation at the Member Level]]=Age_Sex23[[#This Row],[Total Spending before Truncation is Applied]]</f>
        <v>1</v>
      </c>
    </row>
    <row r="832" spans="1:10" x14ac:dyDescent="0.25">
      <c r="A832" s="389"/>
      <c r="B832" s="4"/>
      <c r="C832" s="16"/>
      <c r="D832" s="519"/>
      <c r="E832" s="410"/>
      <c r="F832" s="313"/>
      <c r="G832" s="256"/>
      <c r="H832" s="313"/>
      <c r="I832" s="456"/>
      <c r="J832" s="271" t="b">
        <f>Age_Sex23[[#This Row],[Total Spending After Applying Truncation at the Member Level]]+Age_Sex23[[#This Row],[Total Dollars Excluded from Spending After Applying Truncation at the Member Level]]=Age_Sex23[[#This Row],[Total Spending before Truncation is Applied]]</f>
        <v>1</v>
      </c>
    </row>
    <row r="833" spans="1:10" x14ac:dyDescent="0.25">
      <c r="A833" s="386"/>
      <c r="B833" s="310"/>
      <c r="C833" s="311"/>
      <c r="D833" s="518"/>
      <c r="E833" s="409"/>
      <c r="F833" s="312"/>
      <c r="G833" s="522"/>
      <c r="H833" s="312"/>
      <c r="I833" s="455"/>
      <c r="J833" s="271" t="b">
        <f>Age_Sex23[[#This Row],[Total Spending After Applying Truncation at the Member Level]]+Age_Sex23[[#This Row],[Total Dollars Excluded from Spending After Applying Truncation at the Member Level]]=Age_Sex23[[#This Row],[Total Spending before Truncation is Applied]]</f>
        <v>1</v>
      </c>
    </row>
    <row r="834" spans="1:10" x14ac:dyDescent="0.25">
      <c r="A834" s="389"/>
      <c r="B834" s="4"/>
      <c r="C834" s="16"/>
      <c r="D834" s="519"/>
      <c r="E834" s="410"/>
      <c r="F834" s="313"/>
      <c r="G834" s="256"/>
      <c r="H834" s="313"/>
      <c r="I834" s="456"/>
      <c r="J834" s="271" t="b">
        <f>Age_Sex23[[#This Row],[Total Spending After Applying Truncation at the Member Level]]+Age_Sex23[[#This Row],[Total Dollars Excluded from Spending After Applying Truncation at the Member Level]]=Age_Sex23[[#This Row],[Total Spending before Truncation is Applied]]</f>
        <v>1</v>
      </c>
    </row>
    <row r="835" spans="1:10" x14ac:dyDescent="0.25">
      <c r="A835" s="386"/>
      <c r="B835" s="310"/>
      <c r="C835" s="311"/>
      <c r="D835" s="518"/>
      <c r="E835" s="409"/>
      <c r="F835" s="312"/>
      <c r="G835" s="522"/>
      <c r="H835" s="312"/>
      <c r="I835" s="455"/>
      <c r="J835" s="271" t="b">
        <f>Age_Sex23[[#This Row],[Total Spending After Applying Truncation at the Member Level]]+Age_Sex23[[#This Row],[Total Dollars Excluded from Spending After Applying Truncation at the Member Level]]=Age_Sex23[[#This Row],[Total Spending before Truncation is Applied]]</f>
        <v>1</v>
      </c>
    </row>
    <row r="836" spans="1:10" x14ac:dyDescent="0.25">
      <c r="A836" s="389"/>
      <c r="B836" s="4"/>
      <c r="C836" s="16"/>
      <c r="D836" s="519"/>
      <c r="E836" s="410"/>
      <c r="F836" s="313"/>
      <c r="G836" s="256"/>
      <c r="H836" s="313"/>
      <c r="I836" s="456"/>
      <c r="J836" s="271" t="b">
        <f>Age_Sex23[[#This Row],[Total Spending After Applying Truncation at the Member Level]]+Age_Sex23[[#This Row],[Total Dollars Excluded from Spending After Applying Truncation at the Member Level]]=Age_Sex23[[#This Row],[Total Spending before Truncation is Applied]]</f>
        <v>1</v>
      </c>
    </row>
    <row r="837" spans="1:10" x14ac:dyDescent="0.25">
      <c r="A837" s="386"/>
      <c r="B837" s="310"/>
      <c r="C837" s="311"/>
      <c r="D837" s="518"/>
      <c r="E837" s="409"/>
      <c r="F837" s="312"/>
      <c r="G837" s="522"/>
      <c r="H837" s="312"/>
      <c r="I837" s="455"/>
      <c r="J837" s="271" t="b">
        <f>Age_Sex23[[#This Row],[Total Spending After Applying Truncation at the Member Level]]+Age_Sex23[[#This Row],[Total Dollars Excluded from Spending After Applying Truncation at the Member Level]]=Age_Sex23[[#This Row],[Total Spending before Truncation is Applied]]</f>
        <v>1</v>
      </c>
    </row>
    <row r="838" spans="1:10" x14ac:dyDescent="0.25">
      <c r="A838" s="389"/>
      <c r="B838" s="4"/>
      <c r="C838" s="16"/>
      <c r="D838" s="519"/>
      <c r="E838" s="410"/>
      <c r="F838" s="313"/>
      <c r="G838" s="256"/>
      <c r="H838" s="313"/>
      <c r="I838" s="456"/>
      <c r="J838" s="271" t="b">
        <f>Age_Sex23[[#This Row],[Total Spending After Applying Truncation at the Member Level]]+Age_Sex23[[#This Row],[Total Dollars Excluded from Spending After Applying Truncation at the Member Level]]=Age_Sex23[[#This Row],[Total Spending before Truncation is Applied]]</f>
        <v>1</v>
      </c>
    </row>
    <row r="839" spans="1:10" x14ac:dyDescent="0.25">
      <c r="A839" s="386"/>
      <c r="B839" s="310"/>
      <c r="C839" s="311"/>
      <c r="D839" s="518"/>
      <c r="E839" s="409"/>
      <c r="F839" s="312"/>
      <c r="G839" s="522"/>
      <c r="H839" s="312"/>
      <c r="I839" s="455"/>
      <c r="J839" s="271" t="b">
        <f>Age_Sex23[[#This Row],[Total Spending After Applying Truncation at the Member Level]]+Age_Sex23[[#This Row],[Total Dollars Excluded from Spending After Applying Truncation at the Member Level]]=Age_Sex23[[#This Row],[Total Spending before Truncation is Applied]]</f>
        <v>1</v>
      </c>
    </row>
    <row r="840" spans="1:10" x14ac:dyDescent="0.25">
      <c r="A840" s="389"/>
      <c r="B840" s="4"/>
      <c r="C840" s="16"/>
      <c r="D840" s="519"/>
      <c r="E840" s="410"/>
      <c r="F840" s="313"/>
      <c r="G840" s="256"/>
      <c r="H840" s="313"/>
      <c r="I840" s="456"/>
      <c r="J840" s="271" t="b">
        <f>Age_Sex23[[#This Row],[Total Spending After Applying Truncation at the Member Level]]+Age_Sex23[[#This Row],[Total Dollars Excluded from Spending After Applying Truncation at the Member Level]]=Age_Sex23[[#This Row],[Total Spending before Truncation is Applied]]</f>
        <v>1</v>
      </c>
    </row>
    <row r="841" spans="1:10" x14ac:dyDescent="0.25">
      <c r="A841" s="386"/>
      <c r="B841" s="310"/>
      <c r="C841" s="311"/>
      <c r="D841" s="518"/>
      <c r="E841" s="409"/>
      <c r="F841" s="312"/>
      <c r="G841" s="522"/>
      <c r="H841" s="312"/>
      <c r="I841" s="455"/>
      <c r="J841" s="271" t="b">
        <f>Age_Sex23[[#This Row],[Total Spending After Applying Truncation at the Member Level]]+Age_Sex23[[#This Row],[Total Dollars Excluded from Spending After Applying Truncation at the Member Level]]=Age_Sex23[[#This Row],[Total Spending before Truncation is Applied]]</f>
        <v>1</v>
      </c>
    </row>
    <row r="842" spans="1:10" x14ac:dyDescent="0.25">
      <c r="A842" s="389"/>
      <c r="B842" s="4"/>
      <c r="C842" s="16"/>
      <c r="D842" s="519"/>
      <c r="E842" s="410"/>
      <c r="F842" s="313"/>
      <c r="G842" s="256"/>
      <c r="H842" s="313"/>
      <c r="I842" s="456"/>
      <c r="J842" s="271" t="b">
        <f>Age_Sex23[[#This Row],[Total Spending After Applying Truncation at the Member Level]]+Age_Sex23[[#This Row],[Total Dollars Excluded from Spending After Applying Truncation at the Member Level]]=Age_Sex23[[#This Row],[Total Spending before Truncation is Applied]]</f>
        <v>1</v>
      </c>
    </row>
    <row r="843" spans="1:10" x14ac:dyDescent="0.25">
      <c r="A843" s="386"/>
      <c r="B843" s="310"/>
      <c r="C843" s="311"/>
      <c r="D843" s="518"/>
      <c r="E843" s="409"/>
      <c r="F843" s="312"/>
      <c r="G843" s="522"/>
      <c r="H843" s="312"/>
      <c r="I843" s="455"/>
      <c r="J843" s="271" t="b">
        <f>Age_Sex23[[#This Row],[Total Spending After Applying Truncation at the Member Level]]+Age_Sex23[[#This Row],[Total Dollars Excluded from Spending After Applying Truncation at the Member Level]]=Age_Sex23[[#This Row],[Total Spending before Truncation is Applied]]</f>
        <v>1</v>
      </c>
    </row>
    <row r="844" spans="1:10" x14ac:dyDescent="0.25">
      <c r="A844" s="389"/>
      <c r="B844" s="4"/>
      <c r="C844" s="16"/>
      <c r="D844" s="519"/>
      <c r="E844" s="410"/>
      <c r="F844" s="313"/>
      <c r="G844" s="256"/>
      <c r="H844" s="313"/>
      <c r="I844" s="456"/>
      <c r="J844" s="271" t="b">
        <f>Age_Sex23[[#This Row],[Total Spending After Applying Truncation at the Member Level]]+Age_Sex23[[#This Row],[Total Dollars Excluded from Spending After Applying Truncation at the Member Level]]=Age_Sex23[[#This Row],[Total Spending before Truncation is Applied]]</f>
        <v>1</v>
      </c>
    </row>
    <row r="845" spans="1:10" x14ac:dyDescent="0.25">
      <c r="A845" s="386"/>
      <c r="B845" s="310"/>
      <c r="C845" s="311"/>
      <c r="D845" s="518"/>
      <c r="E845" s="409"/>
      <c r="F845" s="312"/>
      <c r="G845" s="522"/>
      <c r="H845" s="312"/>
      <c r="I845" s="455"/>
      <c r="J845" s="271" t="b">
        <f>Age_Sex23[[#This Row],[Total Spending After Applying Truncation at the Member Level]]+Age_Sex23[[#This Row],[Total Dollars Excluded from Spending After Applying Truncation at the Member Level]]=Age_Sex23[[#This Row],[Total Spending before Truncation is Applied]]</f>
        <v>1</v>
      </c>
    </row>
    <row r="846" spans="1:10" x14ac:dyDescent="0.25">
      <c r="A846" s="389"/>
      <c r="B846" s="4"/>
      <c r="C846" s="16"/>
      <c r="D846" s="519"/>
      <c r="E846" s="410"/>
      <c r="F846" s="313"/>
      <c r="G846" s="256"/>
      <c r="H846" s="313"/>
      <c r="I846" s="456"/>
      <c r="J846" s="271" t="b">
        <f>Age_Sex23[[#This Row],[Total Spending After Applying Truncation at the Member Level]]+Age_Sex23[[#This Row],[Total Dollars Excluded from Spending After Applying Truncation at the Member Level]]=Age_Sex23[[#This Row],[Total Spending before Truncation is Applied]]</f>
        <v>1</v>
      </c>
    </row>
    <row r="847" spans="1:10" x14ac:dyDescent="0.25">
      <c r="A847" s="386"/>
      <c r="B847" s="310"/>
      <c r="C847" s="311"/>
      <c r="D847" s="518"/>
      <c r="E847" s="409"/>
      <c r="F847" s="312"/>
      <c r="G847" s="522"/>
      <c r="H847" s="312"/>
      <c r="I847" s="455"/>
      <c r="J847" s="271" t="b">
        <f>Age_Sex23[[#This Row],[Total Spending After Applying Truncation at the Member Level]]+Age_Sex23[[#This Row],[Total Dollars Excluded from Spending After Applying Truncation at the Member Level]]=Age_Sex23[[#This Row],[Total Spending before Truncation is Applied]]</f>
        <v>1</v>
      </c>
    </row>
    <row r="848" spans="1:10" x14ac:dyDescent="0.25">
      <c r="A848" s="389"/>
      <c r="B848" s="4"/>
      <c r="C848" s="16"/>
      <c r="D848" s="519"/>
      <c r="E848" s="410"/>
      <c r="F848" s="313"/>
      <c r="G848" s="256"/>
      <c r="H848" s="313"/>
      <c r="I848" s="456"/>
      <c r="J848" s="271" t="b">
        <f>Age_Sex23[[#This Row],[Total Spending After Applying Truncation at the Member Level]]+Age_Sex23[[#This Row],[Total Dollars Excluded from Spending After Applying Truncation at the Member Level]]=Age_Sex23[[#This Row],[Total Spending before Truncation is Applied]]</f>
        <v>1</v>
      </c>
    </row>
    <row r="849" spans="1:10" x14ac:dyDescent="0.25">
      <c r="A849" s="386"/>
      <c r="B849" s="310"/>
      <c r="C849" s="311"/>
      <c r="D849" s="518"/>
      <c r="E849" s="409"/>
      <c r="F849" s="312"/>
      <c r="G849" s="522"/>
      <c r="H849" s="312"/>
      <c r="I849" s="455"/>
      <c r="J849" s="271" t="b">
        <f>Age_Sex23[[#This Row],[Total Spending After Applying Truncation at the Member Level]]+Age_Sex23[[#This Row],[Total Dollars Excluded from Spending After Applying Truncation at the Member Level]]=Age_Sex23[[#This Row],[Total Spending before Truncation is Applied]]</f>
        <v>1</v>
      </c>
    </row>
    <row r="850" spans="1:10" x14ac:dyDescent="0.25">
      <c r="A850" s="389"/>
      <c r="B850" s="4"/>
      <c r="C850" s="16"/>
      <c r="D850" s="519"/>
      <c r="E850" s="410"/>
      <c r="F850" s="313"/>
      <c r="G850" s="256"/>
      <c r="H850" s="313"/>
      <c r="I850" s="456"/>
      <c r="J850" s="271" t="b">
        <f>Age_Sex23[[#This Row],[Total Spending After Applying Truncation at the Member Level]]+Age_Sex23[[#This Row],[Total Dollars Excluded from Spending After Applying Truncation at the Member Level]]=Age_Sex23[[#This Row],[Total Spending before Truncation is Applied]]</f>
        <v>1</v>
      </c>
    </row>
    <row r="851" spans="1:10" x14ac:dyDescent="0.25">
      <c r="A851" s="386"/>
      <c r="B851" s="310"/>
      <c r="C851" s="311"/>
      <c r="D851" s="518"/>
      <c r="E851" s="409"/>
      <c r="F851" s="312"/>
      <c r="G851" s="522"/>
      <c r="H851" s="312"/>
      <c r="I851" s="455"/>
      <c r="J851" s="271" t="b">
        <f>Age_Sex23[[#This Row],[Total Spending After Applying Truncation at the Member Level]]+Age_Sex23[[#This Row],[Total Dollars Excluded from Spending After Applying Truncation at the Member Level]]=Age_Sex23[[#This Row],[Total Spending before Truncation is Applied]]</f>
        <v>1</v>
      </c>
    </row>
    <row r="852" spans="1:10" x14ac:dyDescent="0.25">
      <c r="A852" s="389"/>
      <c r="B852" s="4"/>
      <c r="C852" s="16"/>
      <c r="D852" s="519"/>
      <c r="E852" s="410"/>
      <c r="F852" s="313"/>
      <c r="G852" s="256"/>
      <c r="H852" s="313"/>
      <c r="I852" s="456"/>
      <c r="J852" s="271" t="b">
        <f>Age_Sex23[[#This Row],[Total Spending After Applying Truncation at the Member Level]]+Age_Sex23[[#This Row],[Total Dollars Excluded from Spending After Applying Truncation at the Member Level]]=Age_Sex23[[#This Row],[Total Spending before Truncation is Applied]]</f>
        <v>1</v>
      </c>
    </row>
    <row r="853" spans="1:10" x14ac:dyDescent="0.25">
      <c r="A853" s="386"/>
      <c r="B853" s="310"/>
      <c r="C853" s="311"/>
      <c r="D853" s="518"/>
      <c r="E853" s="409"/>
      <c r="F853" s="312"/>
      <c r="G853" s="522"/>
      <c r="H853" s="312"/>
      <c r="I853" s="455"/>
      <c r="J853" s="271" t="b">
        <f>Age_Sex23[[#This Row],[Total Spending After Applying Truncation at the Member Level]]+Age_Sex23[[#This Row],[Total Dollars Excluded from Spending After Applying Truncation at the Member Level]]=Age_Sex23[[#This Row],[Total Spending before Truncation is Applied]]</f>
        <v>1</v>
      </c>
    </row>
    <row r="854" spans="1:10" x14ac:dyDescent="0.25">
      <c r="A854" s="389"/>
      <c r="B854" s="4"/>
      <c r="C854" s="16"/>
      <c r="D854" s="519"/>
      <c r="E854" s="410"/>
      <c r="F854" s="313"/>
      <c r="G854" s="256"/>
      <c r="H854" s="313"/>
      <c r="I854" s="456"/>
      <c r="J854" s="271" t="b">
        <f>Age_Sex23[[#This Row],[Total Spending After Applying Truncation at the Member Level]]+Age_Sex23[[#This Row],[Total Dollars Excluded from Spending After Applying Truncation at the Member Level]]=Age_Sex23[[#This Row],[Total Spending before Truncation is Applied]]</f>
        <v>1</v>
      </c>
    </row>
    <row r="855" spans="1:10" x14ac:dyDescent="0.25">
      <c r="A855" s="386"/>
      <c r="B855" s="310"/>
      <c r="C855" s="311"/>
      <c r="D855" s="518"/>
      <c r="E855" s="409"/>
      <c r="F855" s="312"/>
      <c r="G855" s="522"/>
      <c r="H855" s="312"/>
      <c r="I855" s="455"/>
      <c r="J855" s="271" t="b">
        <f>Age_Sex23[[#This Row],[Total Spending After Applying Truncation at the Member Level]]+Age_Sex23[[#This Row],[Total Dollars Excluded from Spending After Applying Truncation at the Member Level]]=Age_Sex23[[#This Row],[Total Spending before Truncation is Applied]]</f>
        <v>1</v>
      </c>
    </row>
    <row r="856" spans="1:10" x14ac:dyDescent="0.25">
      <c r="A856" s="389"/>
      <c r="B856" s="4"/>
      <c r="C856" s="16"/>
      <c r="D856" s="519"/>
      <c r="E856" s="410"/>
      <c r="F856" s="313"/>
      <c r="G856" s="256"/>
      <c r="H856" s="313"/>
      <c r="I856" s="456"/>
      <c r="J856" s="271" t="b">
        <f>Age_Sex23[[#This Row],[Total Spending After Applying Truncation at the Member Level]]+Age_Sex23[[#This Row],[Total Dollars Excluded from Spending After Applying Truncation at the Member Level]]=Age_Sex23[[#This Row],[Total Spending before Truncation is Applied]]</f>
        <v>1</v>
      </c>
    </row>
    <row r="857" spans="1:10" x14ac:dyDescent="0.25">
      <c r="A857" s="386"/>
      <c r="B857" s="310"/>
      <c r="C857" s="311"/>
      <c r="D857" s="518"/>
      <c r="E857" s="409"/>
      <c r="F857" s="312"/>
      <c r="G857" s="522"/>
      <c r="H857" s="312"/>
      <c r="I857" s="455"/>
      <c r="J857" s="271" t="b">
        <f>Age_Sex23[[#This Row],[Total Spending After Applying Truncation at the Member Level]]+Age_Sex23[[#This Row],[Total Dollars Excluded from Spending After Applying Truncation at the Member Level]]=Age_Sex23[[#This Row],[Total Spending before Truncation is Applied]]</f>
        <v>1</v>
      </c>
    </row>
    <row r="858" spans="1:10" x14ac:dyDescent="0.25">
      <c r="A858" s="389"/>
      <c r="B858" s="4"/>
      <c r="C858" s="16"/>
      <c r="D858" s="519"/>
      <c r="E858" s="410"/>
      <c r="F858" s="313"/>
      <c r="G858" s="256"/>
      <c r="H858" s="313"/>
      <c r="I858" s="456"/>
      <c r="J858" s="271" t="b">
        <f>Age_Sex23[[#This Row],[Total Spending After Applying Truncation at the Member Level]]+Age_Sex23[[#This Row],[Total Dollars Excluded from Spending After Applying Truncation at the Member Level]]=Age_Sex23[[#This Row],[Total Spending before Truncation is Applied]]</f>
        <v>1</v>
      </c>
    </row>
    <row r="859" spans="1:10" x14ac:dyDescent="0.25">
      <c r="A859" s="386"/>
      <c r="B859" s="310"/>
      <c r="C859" s="311"/>
      <c r="D859" s="518"/>
      <c r="E859" s="409"/>
      <c r="F859" s="312"/>
      <c r="G859" s="522"/>
      <c r="H859" s="312"/>
      <c r="I859" s="455"/>
      <c r="J859" s="271" t="b">
        <f>Age_Sex23[[#This Row],[Total Spending After Applying Truncation at the Member Level]]+Age_Sex23[[#This Row],[Total Dollars Excluded from Spending After Applying Truncation at the Member Level]]=Age_Sex23[[#This Row],[Total Spending before Truncation is Applied]]</f>
        <v>1</v>
      </c>
    </row>
    <row r="860" spans="1:10" x14ac:dyDescent="0.25">
      <c r="A860" s="389"/>
      <c r="B860" s="4"/>
      <c r="C860" s="16"/>
      <c r="D860" s="519"/>
      <c r="E860" s="410"/>
      <c r="F860" s="313"/>
      <c r="G860" s="256"/>
      <c r="H860" s="313"/>
      <c r="I860" s="456"/>
      <c r="J860" s="271" t="b">
        <f>Age_Sex23[[#This Row],[Total Spending After Applying Truncation at the Member Level]]+Age_Sex23[[#This Row],[Total Dollars Excluded from Spending After Applying Truncation at the Member Level]]=Age_Sex23[[#This Row],[Total Spending before Truncation is Applied]]</f>
        <v>1</v>
      </c>
    </row>
    <row r="861" spans="1:10" x14ac:dyDescent="0.25">
      <c r="A861" s="386"/>
      <c r="B861" s="310"/>
      <c r="C861" s="311"/>
      <c r="D861" s="518"/>
      <c r="E861" s="409"/>
      <c r="F861" s="312"/>
      <c r="G861" s="522"/>
      <c r="H861" s="312"/>
      <c r="I861" s="455"/>
      <c r="J861" s="271" t="b">
        <f>Age_Sex23[[#This Row],[Total Spending After Applying Truncation at the Member Level]]+Age_Sex23[[#This Row],[Total Dollars Excluded from Spending After Applying Truncation at the Member Level]]=Age_Sex23[[#This Row],[Total Spending before Truncation is Applied]]</f>
        <v>1</v>
      </c>
    </row>
    <row r="862" spans="1:10" x14ac:dyDescent="0.25">
      <c r="A862" s="389"/>
      <c r="B862" s="4"/>
      <c r="C862" s="16"/>
      <c r="D862" s="519"/>
      <c r="E862" s="410"/>
      <c r="F862" s="313"/>
      <c r="G862" s="256"/>
      <c r="H862" s="313"/>
      <c r="I862" s="456"/>
      <c r="J862" s="271" t="b">
        <f>Age_Sex23[[#This Row],[Total Spending After Applying Truncation at the Member Level]]+Age_Sex23[[#This Row],[Total Dollars Excluded from Spending After Applying Truncation at the Member Level]]=Age_Sex23[[#This Row],[Total Spending before Truncation is Applied]]</f>
        <v>1</v>
      </c>
    </row>
    <row r="863" spans="1:10" x14ac:dyDescent="0.25">
      <c r="A863" s="386"/>
      <c r="B863" s="310"/>
      <c r="C863" s="311"/>
      <c r="D863" s="518"/>
      <c r="E863" s="409"/>
      <c r="F863" s="312"/>
      <c r="G863" s="522"/>
      <c r="H863" s="312"/>
      <c r="I863" s="455"/>
      <c r="J863" s="271" t="b">
        <f>Age_Sex23[[#This Row],[Total Spending After Applying Truncation at the Member Level]]+Age_Sex23[[#This Row],[Total Dollars Excluded from Spending After Applying Truncation at the Member Level]]=Age_Sex23[[#This Row],[Total Spending before Truncation is Applied]]</f>
        <v>1</v>
      </c>
    </row>
    <row r="864" spans="1:10" x14ac:dyDescent="0.25">
      <c r="A864" s="389"/>
      <c r="B864" s="4"/>
      <c r="C864" s="16"/>
      <c r="D864" s="519"/>
      <c r="E864" s="410"/>
      <c r="F864" s="313"/>
      <c r="G864" s="256"/>
      <c r="H864" s="313"/>
      <c r="I864" s="456"/>
      <c r="J864" s="271" t="b">
        <f>Age_Sex23[[#This Row],[Total Spending After Applying Truncation at the Member Level]]+Age_Sex23[[#This Row],[Total Dollars Excluded from Spending After Applying Truncation at the Member Level]]=Age_Sex23[[#This Row],[Total Spending before Truncation is Applied]]</f>
        <v>1</v>
      </c>
    </row>
    <row r="865" spans="1:10" x14ac:dyDescent="0.25">
      <c r="A865" s="386"/>
      <c r="B865" s="310"/>
      <c r="C865" s="311"/>
      <c r="D865" s="518"/>
      <c r="E865" s="409"/>
      <c r="F865" s="312"/>
      <c r="G865" s="522"/>
      <c r="H865" s="312"/>
      <c r="I865" s="455"/>
      <c r="J865" s="271" t="b">
        <f>Age_Sex23[[#This Row],[Total Spending After Applying Truncation at the Member Level]]+Age_Sex23[[#This Row],[Total Dollars Excluded from Spending After Applying Truncation at the Member Level]]=Age_Sex23[[#This Row],[Total Spending before Truncation is Applied]]</f>
        <v>1</v>
      </c>
    </row>
    <row r="866" spans="1:10" x14ac:dyDescent="0.25">
      <c r="A866" s="389"/>
      <c r="B866" s="4"/>
      <c r="C866" s="16"/>
      <c r="D866" s="519"/>
      <c r="E866" s="410"/>
      <c r="F866" s="313"/>
      <c r="G866" s="256"/>
      <c r="H866" s="313"/>
      <c r="I866" s="456"/>
      <c r="J866" s="271" t="b">
        <f>Age_Sex23[[#This Row],[Total Spending After Applying Truncation at the Member Level]]+Age_Sex23[[#This Row],[Total Dollars Excluded from Spending After Applying Truncation at the Member Level]]=Age_Sex23[[#This Row],[Total Spending before Truncation is Applied]]</f>
        <v>1</v>
      </c>
    </row>
    <row r="867" spans="1:10" x14ac:dyDescent="0.25">
      <c r="A867" s="386"/>
      <c r="B867" s="310"/>
      <c r="C867" s="311"/>
      <c r="D867" s="518"/>
      <c r="E867" s="409"/>
      <c r="F867" s="312"/>
      <c r="G867" s="522"/>
      <c r="H867" s="312"/>
      <c r="I867" s="455"/>
      <c r="J867" s="271" t="b">
        <f>Age_Sex23[[#This Row],[Total Spending After Applying Truncation at the Member Level]]+Age_Sex23[[#This Row],[Total Dollars Excluded from Spending After Applying Truncation at the Member Level]]=Age_Sex23[[#This Row],[Total Spending before Truncation is Applied]]</f>
        <v>1</v>
      </c>
    </row>
    <row r="868" spans="1:10" x14ac:dyDescent="0.25">
      <c r="A868" s="389"/>
      <c r="B868" s="4"/>
      <c r="C868" s="16"/>
      <c r="D868" s="519"/>
      <c r="E868" s="410"/>
      <c r="F868" s="313"/>
      <c r="G868" s="256"/>
      <c r="H868" s="313"/>
      <c r="I868" s="456"/>
      <c r="J868" s="271" t="b">
        <f>Age_Sex23[[#This Row],[Total Spending After Applying Truncation at the Member Level]]+Age_Sex23[[#This Row],[Total Dollars Excluded from Spending After Applying Truncation at the Member Level]]=Age_Sex23[[#This Row],[Total Spending before Truncation is Applied]]</f>
        <v>1</v>
      </c>
    </row>
    <row r="869" spans="1:10" x14ac:dyDescent="0.25">
      <c r="A869" s="386"/>
      <c r="B869" s="310"/>
      <c r="C869" s="311"/>
      <c r="D869" s="518"/>
      <c r="E869" s="409"/>
      <c r="F869" s="312"/>
      <c r="G869" s="522"/>
      <c r="H869" s="312"/>
      <c r="I869" s="455"/>
      <c r="J869" s="271" t="b">
        <f>Age_Sex23[[#This Row],[Total Spending After Applying Truncation at the Member Level]]+Age_Sex23[[#This Row],[Total Dollars Excluded from Spending After Applying Truncation at the Member Level]]=Age_Sex23[[#This Row],[Total Spending before Truncation is Applied]]</f>
        <v>1</v>
      </c>
    </row>
    <row r="870" spans="1:10" x14ac:dyDescent="0.25">
      <c r="A870" s="389"/>
      <c r="B870" s="4"/>
      <c r="C870" s="16"/>
      <c r="D870" s="519"/>
      <c r="E870" s="410"/>
      <c r="F870" s="313"/>
      <c r="G870" s="256"/>
      <c r="H870" s="313"/>
      <c r="I870" s="456"/>
      <c r="J870" s="271" t="b">
        <f>Age_Sex23[[#This Row],[Total Spending After Applying Truncation at the Member Level]]+Age_Sex23[[#This Row],[Total Dollars Excluded from Spending After Applying Truncation at the Member Level]]=Age_Sex23[[#This Row],[Total Spending before Truncation is Applied]]</f>
        <v>1</v>
      </c>
    </row>
    <row r="871" spans="1:10" x14ac:dyDescent="0.25">
      <c r="A871" s="386"/>
      <c r="B871" s="310"/>
      <c r="C871" s="311"/>
      <c r="D871" s="518"/>
      <c r="E871" s="409"/>
      <c r="F871" s="312"/>
      <c r="G871" s="522"/>
      <c r="H871" s="312"/>
      <c r="I871" s="455"/>
      <c r="J871" s="271" t="b">
        <f>Age_Sex23[[#This Row],[Total Spending After Applying Truncation at the Member Level]]+Age_Sex23[[#This Row],[Total Dollars Excluded from Spending After Applying Truncation at the Member Level]]=Age_Sex23[[#This Row],[Total Spending before Truncation is Applied]]</f>
        <v>1</v>
      </c>
    </row>
    <row r="872" spans="1:10" x14ac:dyDescent="0.25">
      <c r="A872" s="389"/>
      <c r="B872" s="4"/>
      <c r="C872" s="16"/>
      <c r="D872" s="519"/>
      <c r="E872" s="410"/>
      <c r="F872" s="313"/>
      <c r="G872" s="256"/>
      <c r="H872" s="313"/>
      <c r="I872" s="456"/>
      <c r="J872" s="271" t="b">
        <f>Age_Sex23[[#This Row],[Total Spending After Applying Truncation at the Member Level]]+Age_Sex23[[#This Row],[Total Dollars Excluded from Spending After Applying Truncation at the Member Level]]=Age_Sex23[[#This Row],[Total Spending before Truncation is Applied]]</f>
        <v>1</v>
      </c>
    </row>
    <row r="873" spans="1:10" x14ac:dyDescent="0.25">
      <c r="A873" s="386"/>
      <c r="B873" s="310"/>
      <c r="C873" s="311"/>
      <c r="D873" s="518"/>
      <c r="E873" s="409"/>
      <c r="F873" s="312"/>
      <c r="G873" s="522"/>
      <c r="H873" s="312"/>
      <c r="I873" s="455"/>
      <c r="J873" s="271" t="b">
        <f>Age_Sex23[[#This Row],[Total Spending After Applying Truncation at the Member Level]]+Age_Sex23[[#This Row],[Total Dollars Excluded from Spending After Applying Truncation at the Member Level]]=Age_Sex23[[#This Row],[Total Spending before Truncation is Applied]]</f>
        <v>1</v>
      </c>
    </row>
    <row r="874" spans="1:10" x14ac:dyDescent="0.25">
      <c r="A874" s="389"/>
      <c r="B874" s="4"/>
      <c r="C874" s="16"/>
      <c r="D874" s="519"/>
      <c r="E874" s="410"/>
      <c r="F874" s="313"/>
      <c r="G874" s="256"/>
      <c r="H874" s="313"/>
      <c r="I874" s="456"/>
      <c r="J874" s="271" t="b">
        <f>Age_Sex23[[#This Row],[Total Spending After Applying Truncation at the Member Level]]+Age_Sex23[[#This Row],[Total Dollars Excluded from Spending After Applying Truncation at the Member Level]]=Age_Sex23[[#This Row],[Total Spending before Truncation is Applied]]</f>
        <v>1</v>
      </c>
    </row>
    <row r="875" spans="1:10" x14ac:dyDescent="0.25">
      <c r="A875" s="386"/>
      <c r="B875" s="310"/>
      <c r="C875" s="311"/>
      <c r="D875" s="518"/>
      <c r="E875" s="409"/>
      <c r="F875" s="312"/>
      <c r="G875" s="522"/>
      <c r="H875" s="312"/>
      <c r="I875" s="455"/>
      <c r="J875" s="271" t="b">
        <f>Age_Sex23[[#This Row],[Total Spending After Applying Truncation at the Member Level]]+Age_Sex23[[#This Row],[Total Dollars Excluded from Spending After Applying Truncation at the Member Level]]=Age_Sex23[[#This Row],[Total Spending before Truncation is Applied]]</f>
        <v>1</v>
      </c>
    </row>
    <row r="876" spans="1:10" x14ac:dyDescent="0.25">
      <c r="A876" s="389"/>
      <c r="B876" s="4"/>
      <c r="C876" s="16"/>
      <c r="D876" s="519"/>
      <c r="E876" s="410"/>
      <c r="F876" s="313"/>
      <c r="G876" s="256"/>
      <c r="H876" s="313"/>
      <c r="I876" s="456"/>
      <c r="J876" s="271" t="b">
        <f>Age_Sex23[[#This Row],[Total Spending After Applying Truncation at the Member Level]]+Age_Sex23[[#This Row],[Total Dollars Excluded from Spending After Applying Truncation at the Member Level]]=Age_Sex23[[#This Row],[Total Spending before Truncation is Applied]]</f>
        <v>1</v>
      </c>
    </row>
    <row r="877" spans="1:10" x14ac:dyDescent="0.25">
      <c r="A877" s="386"/>
      <c r="B877" s="310"/>
      <c r="C877" s="311"/>
      <c r="D877" s="518"/>
      <c r="E877" s="409"/>
      <c r="F877" s="312"/>
      <c r="G877" s="522"/>
      <c r="H877" s="312"/>
      <c r="I877" s="455"/>
      <c r="J877" s="271" t="b">
        <f>Age_Sex23[[#This Row],[Total Spending After Applying Truncation at the Member Level]]+Age_Sex23[[#This Row],[Total Dollars Excluded from Spending After Applying Truncation at the Member Level]]=Age_Sex23[[#This Row],[Total Spending before Truncation is Applied]]</f>
        <v>1</v>
      </c>
    </row>
    <row r="878" spans="1:10" x14ac:dyDescent="0.25">
      <c r="A878" s="389"/>
      <c r="B878" s="4"/>
      <c r="C878" s="16"/>
      <c r="D878" s="519"/>
      <c r="E878" s="410"/>
      <c r="F878" s="313"/>
      <c r="G878" s="256"/>
      <c r="H878" s="313"/>
      <c r="I878" s="456"/>
      <c r="J878" s="271" t="b">
        <f>Age_Sex23[[#This Row],[Total Spending After Applying Truncation at the Member Level]]+Age_Sex23[[#This Row],[Total Dollars Excluded from Spending After Applying Truncation at the Member Level]]=Age_Sex23[[#This Row],[Total Spending before Truncation is Applied]]</f>
        <v>1</v>
      </c>
    </row>
    <row r="879" spans="1:10" x14ac:dyDescent="0.25">
      <c r="A879" s="386"/>
      <c r="B879" s="310"/>
      <c r="C879" s="311"/>
      <c r="D879" s="518"/>
      <c r="E879" s="409"/>
      <c r="F879" s="312"/>
      <c r="G879" s="522"/>
      <c r="H879" s="312"/>
      <c r="I879" s="455"/>
      <c r="J879" s="271" t="b">
        <f>Age_Sex23[[#This Row],[Total Spending After Applying Truncation at the Member Level]]+Age_Sex23[[#This Row],[Total Dollars Excluded from Spending After Applying Truncation at the Member Level]]=Age_Sex23[[#This Row],[Total Spending before Truncation is Applied]]</f>
        <v>1</v>
      </c>
    </row>
    <row r="880" spans="1:10" x14ac:dyDescent="0.25">
      <c r="A880" s="389"/>
      <c r="B880" s="4"/>
      <c r="C880" s="16"/>
      <c r="D880" s="519"/>
      <c r="E880" s="410"/>
      <c r="F880" s="313"/>
      <c r="G880" s="256"/>
      <c r="H880" s="313"/>
      <c r="I880" s="456"/>
      <c r="J880" s="271" t="b">
        <f>Age_Sex23[[#This Row],[Total Spending After Applying Truncation at the Member Level]]+Age_Sex23[[#This Row],[Total Dollars Excluded from Spending After Applying Truncation at the Member Level]]=Age_Sex23[[#This Row],[Total Spending before Truncation is Applied]]</f>
        <v>1</v>
      </c>
    </row>
    <row r="881" spans="1:10" x14ac:dyDescent="0.25">
      <c r="A881" s="386"/>
      <c r="B881" s="310"/>
      <c r="C881" s="311"/>
      <c r="D881" s="518"/>
      <c r="E881" s="409"/>
      <c r="F881" s="312"/>
      <c r="G881" s="522"/>
      <c r="H881" s="312"/>
      <c r="I881" s="455"/>
      <c r="J881" s="271" t="b">
        <f>Age_Sex23[[#This Row],[Total Spending After Applying Truncation at the Member Level]]+Age_Sex23[[#This Row],[Total Dollars Excluded from Spending After Applying Truncation at the Member Level]]=Age_Sex23[[#This Row],[Total Spending before Truncation is Applied]]</f>
        <v>1</v>
      </c>
    </row>
    <row r="882" spans="1:10" x14ac:dyDescent="0.25">
      <c r="A882" s="389"/>
      <c r="B882" s="4"/>
      <c r="C882" s="16"/>
      <c r="D882" s="519"/>
      <c r="E882" s="410"/>
      <c r="F882" s="313"/>
      <c r="G882" s="256"/>
      <c r="H882" s="313"/>
      <c r="I882" s="456"/>
      <c r="J882" s="271" t="b">
        <f>Age_Sex23[[#This Row],[Total Spending After Applying Truncation at the Member Level]]+Age_Sex23[[#This Row],[Total Dollars Excluded from Spending After Applying Truncation at the Member Level]]=Age_Sex23[[#This Row],[Total Spending before Truncation is Applied]]</f>
        <v>1</v>
      </c>
    </row>
    <row r="883" spans="1:10" x14ac:dyDescent="0.25">
      <c r="A883" s="386"/>
      <c r="B883" s="310"/>
      <c r="C883" s="311"/>
      <c r="D883" s="518"/>
      <c r="E883" s="409"/>
      <c r="F883" s="312"/>
      <c r="G883" s="522"/>
      <c r="H883" s="312"/>
      <c r="I883" s="455"/>
      <c r="J883" s="271" t="b">
        <f>Age_Sex23[[#This Row],[Total Spending After Applying Truncation at the Member Level]]+Age_Sex23[[#This Row],[Total Dollars Excluded from Spending After Applying Truncation at the Member Level]]=Age_Sex23[[#This Row],[Total Spending before Truncation is Applied]]</f>
        <v>1</v>
      </c>
    </row>
    <row r="884" spans="1:10" x14ac:dyDescent="0.25">
      <c r="A884" s="389"/>
      <c r="B884" s="4"/>
      <c r="C884" s="16"/>
      <c r="D884" s="519"/>
      <c r="E884" s="410"/>
      <c r="F884" s="313"/>
      <c r="G884" s="256"/>
      <c r="H884" s="313"/>
      <c r="I884" s="456"/>
      <c r="J884" s="271" t="b">
        <f>Age_Sex23[[#This Row],[Total Spending After Applying Truncation at the Member Level]]+Age_Sex23[[#This Row],[Total Dollars Excluded from Spending After Applying Truncation at the Member Level]]=Age_Sex23[[#This Row],[Total Spending before Truncation is Applied]]</f>
        <v>1</v>
      </c>
    </row>
    <row r="885" spans="1:10" x14ac:dyDescent="0.25">
      <c r="A885" s="386"/>
      <c r="B885" s="310"/>
      <c r="C885" s="311"/>
      <c r="D885" s="518"/>
      <c r="E885" s="409"/>
      <c r="F885" s="312"/>
      <c r="G885" s="522"/>
      <c r="H885" s="312"/>
      <c r="I885" s="455"/>
      <c r="J885" s="271" t="b">
        <f>Age_Sex23[[#This Row],[Total Spending After Applying Truncation at the Member Level]]+Age_Sex23[[#This Row],[Total Dollars Excluded from Spending After Applying Truncation at the Member Level]]=Age_Sex23[[#This Row],[Total Spending before Truncation is Applied]]</f>
        <v>1</v>
      </c>
    </row>
    <row r="886" spans="1:10" x14ac:dyDescent="0.25">
      <c r="A886" s="389"/>
      <c r="B886" s="4"/>
      <c r="C886" s="16"/>
      <c r="D886" s="519"/>
      <c r="E886" s="410"/>
      <c r="F886" s="313"/>
      <c r="G886" s="256"/>
      <c r="H886" s="313"/>
      <c r="I886" s="456"/>
      <c r="J886" s="271" t="b">
        <f>Age_Sex23[[#This Row],[Total Spending After Applying Truncation at the Member Level]]+Age_Sex23[[#This Row],[Total Dollars Excluded from Spending After Applying Truncation at the Member Level]]=Age_Sex23[[#This Row],[Total Spending before Truncation is Applied]]</f>
        <v>1</v>
      </c>
    </row>
    <row r="887" spans="1:10" x14ac:dyDescent="0.25">
      <c r="A887" s="386"/>
      <c r="B887" s="310"/>
      <c r="C887" s="311"/>
      <c r="D887" s="518"/>
      <c r="E887" s="409"/>
      <c r="F887" s="312"/>
      <c r="G887" s="522"/>
      <c r="H887" s="312"/>
      <c r="I887" s="455"/>
      <c r="J887" s="271" t="b">
        <f>Age_Sex23[[#This Row],[Total Spending After Applying Truncation at the Member Level]]+Age_Sex23[[#This Row],[Total Dollars Excluded from Spending After Applying Truncation at the Member Level]]=Age_Sex23[[#This Row],[Total Spending before Truncation is Applied]]</f>
        <v>1</v>
      </c>
    </row>
    <row r="888" spans="1:10" x14ac:dyDescent="0.25">
      <c r="A888" s="389"/>
      <c r="B888" s="4"/>
      <c r="C888" s="16"/>
      <c r="D888" s="519"/>
      <c r="E888" s="410"/>
      <c r="F888" s="313"/>
      <c r="G888" s="256"/>
      <c r="H888" s="313"/>
      <c r="I888" s="456"/>
      <c r="J888" s="271" t="b">
        <f>Age_Sex23[[#This Row],[Total Spending After Applying Truncation at the Member Level]]+Age_Sex23[[#This Row],[Total Dollars Excluded from Spending After Applying Truncation at the Member Level]]=Age_Sex23[[#This Row],[Total Spending before Truncation is Applied]]</f>
        <v>1</v>
      </c>
    </row>
    <row r="889" spans="1:10" x14ac:dyDescent="0.25">
      <c r="A889" s="386"/>
      <c r="B889" s="310"/>
      <c r="C889" s="311"/>
      <c r="D889" s="518"/>
      <c r="E889" s="409"/>
      <c r="F889" s="312"/>
      <c r="G889" s="522"/>
      <c r="H889" s="312"/>
      <c r="I889" s="455"/>
      <c r="J889" s="271" t="b">
        <f>Age_Sex23[[#This Row],[Total Spending After Applying Truncation at the Member Level]]+Age_Sex23[[#This Row],[Total Dollars Excluded from Spending After Applying Truncation at the Member Level]]=Age_Sex23[[#This Row],[Total Spending before Truncation is Applied]]</f>
        <v>1</v>
      </c>
    </row>
    <row r="890" spans="1:10" x14ac:dyDescent="0.25">
      <c r="A890" s="389"/>
      <c r="B890" s="4"/>
      <c r="C890" s="16"/>
      <c r="D890" s="519"/>
      <c r="E890" s="410"/>
      <c r="F890" s="313"/>
      <c r="G890" s="256"/>
      <c r="H890" s="313"/>
      <c r="I890" s="456"/>
      <c r="J890" s="271" t="b">
        <f>Age_Sex23[[#This Row],[Total Spending After Applying Truncation at the Member Level]]+Age_Sex23[[#This Row],[Total Dollars Excluded from Spending After Applying Truncation at the Member Level]]=Age_Sex23[[#This Row],[Total Spending before Truncation is Applied]]</f>
        <v>1</v>
      </c>
    </row>
    <row r="891" spans="1:10" x14ac:dyDescent="0.25">
      <c r="A891" s="386"/>
      <c r="B891" s="310"/>
      <c r="C891" s="311"/>
      <c r="D891" s="518"/>
      <c r="E891" s="409"/>
      <c r="F891" s="312"/>
      <c r="G891" s="522"/>
      <c r="H891" s="312"/>
      <c r="I891" s="455"/>
      <c r="J891" s="271" t="b">
        <f>Age_Sex23[[#This Row],[Total Spending After Applying Truncation at the Member Level]]+Age_Sex23[[#This Row],[Total Dollars Excluded from Spending After Applying Truncation at the Member Level]]=Age_Sex23[[#This Row],[Total Spending before Truncation is Applied]]</f>
        <v>1</v>
      </c>
    </row>
    <row r="892" spans="1:10" x14ac:dyDescent="0.25">
      <c r="A892" s="389"/>
      <c r="B892" s="4"/>
      <c r="C892" s="16"/>
      <c r="D892" s="519"/>
      <c r="E892" s="410"/>
      <c r="F892" s="313"/>
      <c r="G892" s="256"/>
      <c r="H892" s="313"/>
      <c r="I892" s="456"/>
      <c r="J892" s="271" t="b">
        <f>Age_Sex23[[#This Row],[Total Spending After Applying Truncation at the Member Level]]+Age_Sex23[[#This Row],[Total Dollars Excluded from Spending After Applying Truncation at the Member Level]]=Age_Sex23[[#This Row],[Total Spending before Truncation is Applied]]</f>
        <v>1</v>
      </c>
    </row>
    <row r="893" spans="1:10" x14ac:dyDescent="0.25">
      <c r="A893" s="386"/>
      <c r="B893" s="310"/>
      <c r="C893" s="311"/>
      <c r="D893" s="518"/>
      <c r="E893" s="409"/>
      <c r="F893" s="312"/>
      <c r="G893" s="522"/>
      <c r="H893" s="312"/>
      <c r="I893" s="455"/>
      <c r="J893" s="271" t="b">
        <f>Age_Sex23[[#This Row],[Total Spending After Applying Truncation at the Member Level]]+Age_Sex23[[#This Row],[Total Dollars Excluded from Spending After Applying Truncation at the Member Level]]=Age_Sex23[[#This Row],[Total Spending before Truncation is Applied]]</f>
        <v>1</v>
      </c>
    </row>
    <row r="894" spans="1:10" x14ac:dyDescent="0.25">
      <c r="A894" s="389"/>
      <c r="B894" s="4"/>
      <c r="C894" s="16"/>
      <c r="D894" s="519"/>
      <c r="E894" s="410"/>
      <c r="F894" s="313"/>
      <c r="G894" s="256"/>
      <c r="H894" s="313"/>
      <c r="I894" s="456"/>
      <c r="J894" s="271" t="b">
        <f>Age_Sex23[[#This Row],[Total Spending After Applying Truncation at the Member Level]]+Age_Sex23[[#This Row],[Total Dollars Excluded from Spending After Applying Truncation at the Member Level]]=Age_Sex23[[#This Row],[Total Spending before Truncation is Applied]]</f>
        <v>1</v>
      </c>
    </row>
    <row r="895" spans="1:10" x14ac:dyDescent="0.25">
      <c r="A895" s="386"/>
      <c r="B895" s="310"/>
      <c r="C895" s="311"/>
      <c r="D895" s="518"/>
      <c r="E895" s="409"/>
      <c r="F895" s="312"/>
      <c r="G895" s="522"/>
      <c r="H895" s="312"/>
      <c r="I895" s="455"/>
      <c r="J895" s="271" t="b">
        <f>Age_Sex23[[#This Row],[Total Spending After Applying Truncation at the Member Level]]+Age_Sex23[[#This Row],[Total Dollars Excluded from Spending After Applying Truncation at the Member Level]]=Age_Sex23[[#This Row],[Total Spending before Truncation is Applied]]</f>
        <v>1</v>
      </c>
    </row>
    <row r="896" spans="1:10" x14ac:dyDescent="0.25">
      <c r="A896" s="389"/>
      <c r="B896" s="4"/>
      <c r="C896" s="16"/>
      <c r="D896" s="519"/>
      <c r="E896" s="410"/>
      <c r="F896" s="313"/>
      <c r="G896" s="256"/>
      <c r="H896" s="313"/>
      <c r="I896" s="456"/>
      <c r="J896" s="271" t="b">
        <f>Age_Sex23[[#This Row],[Total Spending After Applying Truncation at the Member Level]]+Age_Sex23[[#This Row],[Total Dollars Excluded from Spending After Applying Truncation at the Member Level]]=Age_Sex23[[#This Row],[Total Spending before Truncation is Applied]]</f>
        <v>1</v>
      </c>
    </row>
    <row r="897" spans="1:10" x14ac:dyDescent="0.25">
      <c r="A897" s="386"/>
      <c r="B897" s="310"/>
      <c r="C897" s="311"/>
      <c r="D897" s="518"/>
      <c r="E897" s="409"/>
      <c r="F897" s="312"/>
      <c r="G897" s="522"/>
      <c r="H897" s="312"/>
      <c r="I897" s="455"/>
      <c r="J897" s="271" t="b">
        <f>Age_Sex23[[#This Row],[Total Spending After Applying Truncation at the Member Level]]+Age_Sex23[[#This Row],[Total Dollars Excluded from Spending After Applying Truncation at the Member Level]]=Age_Sex23[[#This Row],[Total Spending before Truncation is Applied]]</f>
        <v>1</v>
      </c>
    </row>
    <row r="898" spans="1:10" x14ac:dyDescent="0.25">
      <c r="A898" s="389"/>
      <c r="B898" s="4"/>
      <c r="C898" s="16"/>
      <c r="D898" s="519"/>
      <c r="E898" s="410"/>
      <c r="F898" s="313"/>
      <c r="G898" s="256"/>
      <c r="H898" s="313"/>
      <c r="I898" s="456"/>
      <c r="J898" s="271" t="b">
        <f>Age_Sex23[[#This Row],[Total Spending After Applying Truncation at the Member Level]]+Age_Sex23[[#This Row],[Total Dollars Excluded from Spending After Applying Truncation at the Member Level]]=Age_Sex23[[#This Row],[Total Spending before Truncation is Applied]]</f>
        <v>1</v>
      </c>
    </row>
    <row r="899" spans="1:10" x14ac:dyDescent="0.25">
      <c r="A899" s="386"/>
      <c r="B899" s="310"/>
      <c r="C899" s="311"/>
      <c r="D899" s="518"/>
      <c r="E899" s="409"/>
      <c r="F899" s="312"/>
      <c r="G899" s="522"/>
      <c r="H899" s="312"/>
      <c r="I899" s="455"/>
      <c r="J899" s="271" t="b">
        <f>Age_Sex23[[#This Row],[Total Spending After Applying Truncation at the Member Level]]+Age_Sex23[[#This Row],[Total Dollars Excluded from Spending After Applying Truncation at the Member Level]]=Age_Sex23[[#This Row],[Total Spending before Truncation is Applied]]</f>
        <v>1</v>
      </c>
    </row>
    <row r="900" spans="1:10" x14ac:dyDescent="0.25">
      <c r="A900" s="389"/>
      <c r="B900" s="4"/>
      <c r="C900" s="16"/>
      <c r="D900" s="519"/>
      <c r="E900" s="410"/>
      <c r="F900" s="313"/>
      <c r="G900" s="256"/>
      <c r="H900" s="313"/>
      <c r="I900" s="456"/>
      <c r="J900" s="271" t="b">
        <f>Age_Sex23[[#This Row],[Total Spending After Applying Truncation at the Member Level]]+Age_Sex23[[#This Row],[Total Dollars Excluded from Spending After Applying Truncation at the Member Level]]=Age_Sex23[[#This Row],[Total Spending before Truncation is Applied]]</f>
        <v>1</v>
      </c>
    </row>
    <row r="901" spans="1:10" x14ac:dyDescent="0.25">
      <c r="A901" s="386"/>
      <c r="B901" s="310"/>
      <c r="C901" s="311"/>
      <c r="D901" s="518"/>
      <c r="E901" s="409"/>
      <c r="F901" s="312"/>
      <c r="G901" s="522"/>
      <c r="H901" s="312"/>
      <c r="I901" s="455"/>
      <c r="J901" s="271" t="b">
        <f>Age_Sex23[[#This Row],[Total Spending After Applying Truncation at the Member Level]]+Age_Sex23[[#This Row],[Total Dollars Excluded from Spending After Applying Truncation at the Member Level]]=Age_Sex23[[#This Row],[Total Spending before Truncation is Applied]]</f>
        <v>1</v>
      </c>
    </row>
    <row r="902" spans="1:10" x14ac:dyDescent="0.25">
      <c r="A902" s="389"/>
      <c r="B902" s="4"/>
      <c r="C902" s="16"/>
      <c r="D902" s="519"/>
      <c r="E902" s="410"/>
      <c r="F902" s="313"/>
      <c r="G902" s="256"/>
      <c r="H902" s="313"/>
      <c r="I902" s="456"/>
      <c r="J902" s="271" t="b">
        <f>Age_Sex23[[#This Row],[Total Spending After Applying Truncation at the Member Level]]+Age_Sex23[[#This Row],[Total Dollars Excluded from Spending After Applying Truncation at the Member Level]]=Age_Sex23[[#This Row],[Total Spending before Truncation is Applied]]</f>
        <v>1</v>
      </c>
    </row>
    <row r="903" spans="1:10" x14ac:dyDescent="0.25">
      <c r="A903" s="386"/>
      <c r="B903" s="310"/>
      <c r="C903" s="311"/>
      <c r="D903" s="518"/>
      <c r="E903" s="409"/>
      <c r="F903" s="312"/>
      <c r="G903" s="522"/>
      <c r="H903" s="312"/>
      <c r="I903" s="455"/>
      <c r="J903" s="271" t="b">
        <f>Age_Sex23[[#This Row],[Total Spending After Applying Truncation at the Member Level]]+Age_Sex23[[#This Row],[Total Dollars Excluded from Spending After Applying Truncation at the Member Level]]=Age_Sex23[[#This Row],[Total Spending before Truncation is Applied]]</f>
        <v>1</v>
      </c>
    </row>
    <row r="904" spans="1:10" x14ac:dyDescent="0.25">
      <c r="A904" s="389"/>
      <c r="B904" s="4"/>
      <c r="C904" s="16"/>
      <c r="D904" s="519"/>
      <c r="E904" s="410"/>
      <c r="F904" s="313"/>
      <c r="G904" s="256"/>
      <c r="H904" s="313"/>
      <c r="I904" s="456"/>
      <c r="J904" s="271" t="b">
        <f>Age_Sex23[[#This Row],[Total Spending After Applying Truncation at the Member Level]]+Age_Sex23[[#This Row],[Total Dollars Excluded from Spending After Applying Truncation at the Member Level]]=Age_Sex23[[#This Row],[Total Spending before Truncation is Applied]]</f>
        <v>1</v>
      </c>
    </row>
    <row r="905" spans="1:10" x14ac:dyDescent="0.25">
      <c r="A905" s="386"/>
      <c r="B905" s="310"/>
      <c r="C905" s="311"/>
      <c r="D905" s="518"/>
      <c r="E905" s="409"/>
      <c r="F905" s="312"/>
      <c r="G905" s="522"/>
      <c r="H905" s="312"/>
      <c r="I905" s="455"/>
      <c r="J905" s="271" t="b">
        <f>Age_Sex23[[#This Row],[Total Spending After Applying Truncation at the Member Level]]+Age_Sex23[[#This Row],[Total Dollars Excluded from Spending After Applying Truncation at the Member Level]]=Age_Sex23[[#This Row],[Total Spending before Truncation is Applied]]</f>
        <v>1</v>
      </c>
    </row>
    <row r="906" spans="1:10" x14ac:dyDescent="0.25">
      <c r="A906" s="389"/>
      <c r="B906" s="4"/>
      <c r="C906" s="16"/>
      <c r="D906" s="519"/>
      <c r="E906" s="410"/>
      <c r="F906" s="313"/>
      <c r="G906" s="256"/>
      <c r="H906" s="313"/>
      <c r="I906" s="456"/>
      <c r="J906" s="271" t="b">
        <f>Age_Sex23[[#This Row],[Total Spending After Applying Truncation at the Member Level]]+Age_Sex23[[#This Row],[Total Dollars Excluded from Spending After Applying Truncation at the Member Level]]=Age_Sex23[[#This Row],[Total Spending before Truncation is Applied]]</f>
        <v>1</v>
      </c>
    </row>
    <row r="907" spans="1:10" x14ac:dyDescent="0.25">
      <c r="A907" s="386"/>
      <c r="B907" s="310"/>
      <c r="C907" s="311"/>
      <c r="D907" s="518"/>
      <c r="E907" s="409"/>
      <c r="F907" s="312"/>
      <c r="G907" s="522"/>
      <c r="H907" s="312"/>
      <c r="I907" s="455"/>
      <c r="J907" s="271" t="b">
        <f>Age_Sex23[[#This Row],[Total Spending After Applying Truncation at the Member Level]]+Age_Sex23[[#This Row],[Total Dollars Excluded from Spending After Applying Truncation at the Member Level]]=Age_Sex23[[#This Row],[Total Spending before Truncation is Applied]]</f>
        <v>1</v>
      </c>
    </row>
    <row r="908" spans="1:10" x14ac:dyDescent="0.25">
      <c r="A908" s="389"/>
      <c r="B908" s="4"/>
      <c r="C908" s="16"/>
      <c r="D908" s="519"/>
      <c r="E908" s="410"/>
      <c r="F908" s="313"/>
      <c r="G908" s="256"/>
      <c r="H908" s="313"/>
      <c r="I908" s="456"/>
      <c r="J908" s="271" t="b">
        <f>Age_Sex23[[#This Row],[Total Spending After Applying Truncation at the Member Level]]+Age_Sex23[[#This Row],[Total Dollars Excluded from Spending After Applying Truncation at the Member Level]]=Age_Sex23[[#This Row],[Total Spending before Truncation is Applied]]</f>
        <v>1</v>
      </c>
    </row>
    <row r="909" spans="1:10" x14ac:dyDescent="0.25">
      <c r="A909" s="386"/>
      <c r="B909" s="310"/>
      <c r="C909" s="311"/>
      <c r="D909" s="518"/>
      <c r="E909" s="409"/>
      <c r="F909" s="312"/>
      <c r="G909" s="522"/>
      <c r="H909" s="312"/>
      <c r="I909" s="455"/>
      <c r="J909" s="271" t="b">
        <f>Age_Sex23[[#This Row],[Total Spending After Applying Truncation at the Member Level]]+Age_Sex23[[#This Row],[Total Dollars Excluded from Spending After Applying Truncation at the Member Level]]=Age_Sex23[[#This Row],[Total Spending before Truncation is Applied]]</f>
        <v>1</v>
      </c>
    </row>
    <row r="910" spans="1:10" x14ac:dyDescent="0.25">
      <c r="A910" s="389"/>
      <c r="B910" s="4"/>
      <c r="C910" s="16"/>
      <c r="D910" s="519"/>
      <c r="E910" s="410"/>
      <c r="F910" s="313"/>
      <c r="G910" s="256"/>
      <c r="H910" s="313"/>
      <c r="I910" s="456"/>
      <c r="J910" s="271" t="b">
        <f>Age_Sex23[[#This Row],[Total Spending After Applying Truncation at the Member Level]]+Age_Sex23[[#This Row],[Total Dollars Excluded from Spending After Applying Truncation at the Member Level]]=Age_Sex23[[#This Row],[Total Spending before Truncation is Applied]]</f>
        <v>1</v>
      </c>
    </row>
    <row r="911" spans="1:10" x14ac:dyDescent="0.25">
      <c r="A911" s="386"/>
      <c r="B911" s="310"/>
      <c r="C911" s="311"/>
      <c r="D911" s="518"/>
      <c r="E911" s="409"/>
      <c r="F911" s="312"/>
      <c r="G911" s="522"/>
      <c r="H911" s="312"/>
      <c r="I911" s="455"/>
      <c r="J911" s="271" t="b">
        <f>Age_Sex23[[#This Row],[Total Spending After Applying Truncation at the Member Level]]+Age_Sex23[[#This Row],[Total Dollars Excluded from Spending After Applying Truncation at the Member Level]]=Age_Sex23[[#This Row],[Total Spending before Truncation is Applied]]</f>
        <v>1</v>
      </c>
    </row>
    <row r="912" spans="1:10" x14ac:dyDescent="0.25">
      <c r="A912" s="389"/>
      <c r="B912" s="4"/>
      <c r="C912" s="16"/>
      <c r="D912" s="519"/>
      <c r="E912" s="410"/>
      <c r="F912" s="313"/>
      <c r="G912" s="256"/>
      <c r="H912" s="313"/>
      <c r="I912" s="456"/>
      <c r="J912" s="271" t="b">
        <f>Age_Sex23[[#This Row],[Total Spending After Applying Truncation at the Member Level]]+Age_Sex23[[#This Row],[Total Dollars Excluded from Spending After Applying Truncation at the Member Level]]=Age_Sex23[[#This Row],[Total Spending before Truncation is Applied]]</f>
        <v>1</v>
      </c>
    </row>
    <row r="913" spans="1:10" x14ac:dyDescent="0.25">
      <c r="A913" s="386"/>
      <c r="B913" s="310"/>
      <c r="C913" s="311"/>
      <c r="D913" s="518"/>
      <c r="E913" s="409"/>
      <c r="F913" s="312"/>
      <c r="G913" s="522"/>
      <c r="H913" s="312"/>
      <c r="I913" s="455"/>
      <c r="J913" s="271" t="b">
        <f>Age_Sex23[[#This Row],[Total Spending After Applying Truncation at the Member Level]]+Age_Sex23[[#This Row],[Total Dollars Excluded from Spending After Applying Truncation at the Member Level]]=Age_Sex23[[#This Row],[Total Spending before Truncation is Applied]]</f>
        <v>1</v>
      </c>
    </row>
    <row r="914" spans="1:10" x14ac:dyDescent="0.25">
      <c r="A914" s="389"/>
      <c r="B914" s="4"/>
      <c r="C914" s="16"/>
      <c r="D914" s="519"/>
      <c r="E914" s="410"/>
      <c r="F914" s="313"/>
      <c r="G914" s="256"/>
      <c r="H914" s="313"/>
      <c r="I914" s="456"/>
      <c r="J914" s="271" t="b">
        <f>Age_Sex23[[#This Row],[Total Spending After Applying Truncation at the Member Level]]+Age_Sex23[[#This Row],[Total Dollars Excluded from Spending After Applying Truncation at the Member Level]]=Age_Sex23[[#This Row],[Total Spending before Truncation is Applied]]</f>
        <v>1</v>
      </c>
    </row>
    <row r="915" spans="1:10" x14ac:dyDescent="0.25">
      <c r="A915" s="386"/>
      <c r="B915" s="310"/>
      <c r="C915" s="311"/>
      <c r="D915" s="518"/>
      <c r="E915" s="409"/>
      <c r="F915" s="312"/>
      <c r="G915" s="522"/>
      <c r="H915" s="312"/>
      <c r="I915" s="455"/>
      <c r="J915" s="271" t="b">
        <f>Age_Sex23[[#This Row],[Total Spending After Applying Truncation at the Member Level]]+Age_Sex23[[#This Row],[Total Dollars Excluded from Spending After Applying Truncation at the Member Level]]=Age_Sex23[[#This Row],[Total Spending before Truncation is Applied]]</f>
        <v>1</v>
      </c>
    </row>
    <row r="916" spans="1:10" x14ac:dyDescent="0.25">
      <c r="A916" s="389"/>
      <c r="B916" s="4"/>
      <c r="C916" s="16"/>
      <c r="D916" s="519"/>
      <c r="E916" s="410"/>
      <c r="F916" s="313"/>
      <c r="G916" s="256"/>
      <c r="H916" s="313"/>
      <c r="I916" s="456"/>
      <c r="J916" s="271" t="b">
        <f>Age_Sex23[[#This Row],[Total Spending After Applying Truncation at the Member Level]]+Age_Sex23[[#This Row],[Total Dollars Excluded from Spending After Applying Truncation at the Member Level]]=Age_Sex23[[#This Row],[Total Spending before Truncation is Applied]]</f>
        <v>1</v>
      </c>
    </row>
    <row r="917" spans="1:10" x14ac:dyDescent="0.25">
      <c r="A917" s="386"/>
      <c r="B917" s="310"/>
      <c r="C917" s="311"/>
      <c r="D917" s="518"/>
      <c r="E917" s="409"/>
      <c r="F917" s="312"/>
      <c r="G917" s="522"/>
      <c r="H917" s="312"/>
      <c r="I917" s="455"/>
      <c r="J917" s="271" t="b">
        <f>Age_Sex23[[#This Row],[Total Spending After Applying Truncation at the Member Level]]+Age_Sex23[[#This Row],[Total Dollars Excluded from Spending After Applying Truncation at the Member Level]]=Age_Sex23[[#This Row],[Total Spending before Truncation is Applied]]</f>
        <v>1</v>
      </c>
    </row>
    <row r="918" spans="1:10" x14ac:dyDescent="0.25">
      <c r="A918" s="389"/>
      <c r="B918" s="4"/>
      <c r="C918" s="16"/>
      <c r="D918" s="519"/>
      <c r="E918" s="410"/>
      <c r="F918" s="313"/>
      <c r="G918" s="256"/>
      <c r="H918" s="313"/>
      <c r="I918" s="456"/>
      <c r="J918" s="271" t="b">
        <f>Age_Sex23[[#This Row],[Total Spending After Applying Truncation at the Member Level]]+Age_Sex23[[#This Row],[Total Dollars Excluded from Spending After Applying Truncation at the Member Level]]=Age_Sex23[[#This Row],[Total Spending before Truncation is Applied]]</f>
        <v>1</v>
      </c>
    </row>
    <row r="919" spans="1:10" x14ac:dyDescent="0.25">
      <c r="A919" s="386"/>
      <c r="B919" s="310"/>
      <c r="C919" s="311"/>
      <c r="D919" s="518"/>
      <c r="E919" s="409"/>
      <c r="F919" s="312"/>
      <c r="G919" s="522"/>
      <c r="H919" s="312"/>
      <c r="I919" s="455"/>
      <c r="J919" s="271" t="b">
        <f>Age_Sex23[[#This Row],[Total Spending After Applying Truncation at the Member Level]]+Age_Sex23[[#This Row],[Total Dollars Excluded from Spending After Applying Truncation at the Member Level]]=Age_Sex23[[#This Row],[Total Spending before Truncation is Applied]]</f>
        <v>1</v>
      </c>
    </row>
    <row r="920" spans="1:10" x14ac:dyDescent="0.25">
      <c r="A920" s="389"/>
      <c r="B920" s="4"/>
      <c r="C920" s="16"/>
      <c r="D920" s="519"/>
      <c r="E920" s="410"/>
      <c r="F920" s="313"/>
      <c r="G920" s="256"/>
      <c r="H920" s="313"/>
      <c r="I920" s="456"/>
      <c r="J920" s="271" t="b">
        <f>Age_Sex23[[#This Row],[Total Spending After Applying Truncation at the Member Level]]+Age_Sex23[[#This Row],[Total Dollars Excluded from Spending After Applying Truncation at the Member Level]]=Age_Sex23[[#This Row],[Total Spending before Truncation is Applied]]</f>
        <v>1</v>
      </c>
    </row>
    <row r="921" spans="1:10" x14ac:dyDescent="0.25">
      <c r="A921" s="386"/>
      <c r="B921" s="310"/>
      <c r="C921" s="311"/>
      <c r="D921" s="518"/>
      <c r="E921" s="409"/>
      <c r="F921" s="312"/>
      <c r="G921" s="522"/>
      <c r="H921" s="312"/>
      <c r="I921" s="455"/>
      <c r="J921" s="271" t="b">
        <f>Age_Sex23[[#This Row],[Total Spending After Applying Truncation at the Member Level]]+Age_Sex23[[#This Row],[Total Dollars Excluded from Spending After Applying Truncation at the Member Level]]=Age_Sex23[[#This Row],[Total Spending before Truncation is Applied]]</f>
        <v>1</v>
      </c>
    </row>
    <row r="922" spans="1:10" x14ac:dyDescent="0.25">
      <c r="A922" s="389"/>
      <c r="B922" s="4"/>
      <c r="C922" s="16"/>
      <c r="D922" s="519"/>
      <c r="E922" s="410"/>
      <c r="F922" s="313"/>
      <c r="G922" s="256"/>
      <c r="H922" s="313"/>
      <c r="I922" s="456"/>
      <c r="J922" s="271" t="b">
        <f>Age_Sex23[[#This Row],[Total Spending After Applying Truncation at the Member Level]]+Age_Sex23[[#This Row],[Total Dollars Excluded from Spending After Applying Truncation at the Member Level]]=Age_Sex23[[#This Row],[Total Spending before Truncation is Applied]]</f>
        <v>1</v>
      </c>
    </row>
    <row r="923" spans="1:10" x14ac:dyDescent="0.25">
      <c r="A923" s="386"/>
      <c r="B923" s="310"/>
      <c r="C923" s="311"/>
      <c r="D923" s="518"/>
      <c r="E923" s="409"/>
      <c r="F923" s="312"/>
      <c r="G923" s="522"/>
      <c r="H923" s="312"/>
      <c r="I923" s="455"/>
      <c r="J923" s="271" t="b">
        <f>Age_Sex23[[#This Row],[Total Spending After Applying Truncation at the Member Level]]+Age_Sex23[[#This Row],[Total Dollars Excluded from Spending After Applying Truncation at the Member Level]]=Age_Sex23[[#This Row],[Total Spending before Truncation is Applied]]</f>
        <v>1</v>
      </c>
    </row>
    <row r="924" spans="1:10" x14ac:dyDescent="0.25">
      <c r="A924" s="389"/>
      <c r="B924" s="4"/>
      <c r="C924" s="16"/>
      <c r="D924" s="519"/>
      <c r="E924" s="410"/>
      <c r="F924" s="313"/>
      <c r="G924" s="256"/>
      <c r="H924" s="313"/>
      <c r="I924" s="456"/>
      <c r="J924" s="271" t="b">
        <f>Age_Sex23[[#This Row],[Total Spending After Applying Truncation at the Member Level]]+Age_Sex23[[#This Row],[Total Dollars Excluded from Spending After Applying Truncation at the Member Level]]=Age_Sex23[[#This Row],[Total Spending before Truncation is Applied]]</f>
        <v>1</v>
      </c>
    </row>
    <row r="925" spans="1:10" x14ac:dyDescent="0.25">
      <c r="A925" s="386"/>
      <c r="B925" s="310"/>
      <c r="C925" s="311"/>
      <c r="D925" s="518"/>
      <c r="E925" s="409"/>
      <c r="F925" s="312"/>
      <c r="G925" s="522"/>
      <c r="H925" s="312"/>
      <c r="I925" s="455"/>
      <c r="J925" s="271" t="b">
        <f>Age_Sex23[[#This Row],[Total Spending After Applying Truncation at the Member Level]]+Age_Sex23[[#This Row],[Total Dollars Excluded from Spending After Applying Truncation at the Member Level]]=Age_Sex23[[#This Row],[Total Spending before Truncation is Applied]]</f>
        <v>1</v>
      </c>
    </row>
    <row r="926" spans="1:10" x14ac:dyDescent="0.25">
      <c r="A926" s="389"/>
      <c r="B926" s="4"/>
      <c r="C926" s="16"/>
      <c r="D926" s="519"/>
      <c r="E926" s="410"/>
      <c r="F926" s="313"/>
      <c r="G926" s="256"/>
      <c r="H926" s="313"/>
      <c r="I926" s="456"/>
      <c r="J926" s="271" t="b">
        <f>Age_Sex23[[#This Row],[Total Spending After Applying Truncation at the Member Level]]+Age_Sex23[[#This Row],[Total Dollars Excluded from Spending After Applying Truncation at the Member Level]]=Age_Sex23[[#This Row],[Total Spending before Truncation is Applied]]</f>
        <v>1</v>
      </c>
    </row>
    <row r="927" spans="1:10" x14ac:dyDescent="0.25">
      <c r="A927" s="386"/>
      <c r="B927" s="310"/>
      <c r="C927" s="311"/>
      <c r="D927" s="518"/>
      <c r="E927" s="409"/>
      <c r="F927" s="312"/>
      <c r="G927" s="522"/>
      <c r="H927" s="312"/>
      <c r="I927" s="455"/>
      <c r="J927" s="271" t="b">
        <f>Age_Sex23[[#This Row],[Total Spending After Applying Truncation at the Member Level]]+Age_Sex23[[#This Row],[Total Dollars Excluded from Spending After Applying Truncation at the Member Level]]=Age_Sex23[[#This Row],[Total Spending before Truncation is Applied]]</f>
        <v>1</v>
      </c>
    </row>
    <row r="928" spans="1:10" x14ac:dyDescent="0.25">
      <c r="A928" s="389"/>
      <c r="B928" s="4"/>
      <c r="C928" s="16"/>
      <c r="D928" s="519"/>
      <c r="E928" s="410"/>
      <c r="F928" s="313"/>
      <c r="G928" s="256"/>
      <c r="H928" s="313"/>
      <c r="I928" s="456"/>
      <c r="J928" s="271" t="b">
        <f>Age_Sex23[[#This Row],[Total Spending After Applying Truncation at the Member Level]]+Age_Sex23[[#This Row],[Total Dollars Excluded from Spending After Applying Truncation at the Member Level]]=Age_Sex23[[#This Row],[Total Spending before Truncation is Applied]]</f>
        <v>1</v>
      </c>
    </row>
    <row r="929" spans="1:10" x14ac:dyDescent="0.25">
      <c r="A929" s="386"/>
      <c r="B929" s="310"/>
      <c r="C929" s="311"/>
      <c r="D929" s="518"/>
      <c r="E929" s="409"/>
      <c r="F929" s="312"/>
      <c r="G929" s="522"/>
      <c r="H929" s="312"/>
      <c r="I929" s="455"/>
      <c r="J929" s="271" t="b">
        <f>Age_Sex23[[#This Row],[Total Spending After Applying Truncation at the Member Level]]+Age_Sex23[[#This Row],[Total Dollars Excluded from Spending After Applying Truncation at the Member Level]]=Age_Sex23[[#This Row],[Total Spending before Truncation is Applied]]</f>
        <v>1</v>
      </c>
    </row>
    <row r="930" spans="1:10" x14ac:dyDescent="0.25">
      <c r="A930" s="389"/>
      <c r="B930" s="4"/>
      <c r="C930" s="16"/>
      <c r="D930" s="519"/>
      <c r="E930" s="410"/>
      <c r="F930" s="313"/>
      <c r="G930" s="256"/>
      <c r="H930" s="313"/>
      <c r="I930" s="456"/>
      <c r="J930" s="271" t="b">
        <f>Age_Sex23[[#This Row],[Total Spending After Applying Truncation at the Member Level]]+Age_Sex23[[#This Row],[Total Dollars Excluded from Spending After Applying Truncation at the Member Level]]=Age_Sex23[[#This Row],[Total Spending before Truncation is Applied]]</f>
        <v>1</v>
      </c>
    </row>
    <row r="931" spans="1:10" x14ac:dyDescent="0.25">
      <c r="A931" s="386"/>
      <c r="B931" s="310"/>
      <c r="C931" s="311"/>
      <c r="D931" s="518"/>
      <c r="E931" s="409"/>
      <c r="F931" s="312"/>
      <c r="G931" s="522"/>
      <c r="H931" s="312"/>
      <c r="I931" s="455"/>
      <c r="J931" s="271" t="b">
        <f>Age_Sex23[[#This Row],[Total Spending After Applying Truncation at the Member Level]]+Age_Sex23[[#This Row],[Total Dollars Excluded from Spending After Applying Truncation at the Member Level]]=Age_Sex23[[#This Row],[Total Spending before Truncation is Applied]]</f>
        <v>1</v>
      </c>
    </row>
    <row r="932" spans="1:10" x14ac:dyDescent="0.25">
      <c r="A932" s="389"/>
      <c r="B932" s="4"/>
      <c r="C932" s="16"/>
      <c r="D932" s="519"/>
      <c r="E932" s="410"/>
      <c r="F932" s="313"/>
      <c r="G932" s="256"/>
      <c r="H932" s="313"/>
      <c r="I932" s="456"/>
      <c r="J932" s="271" t="b">
        <f>Age_Sex23[[#This Row],[Total Spending After Applying Truncation at the Member Level]]+Age_Sex23[[#This Row],[Total Dollars Excluded from Spending After Applying Truncation at the Member Level]]=Age_Sex23[[#This Row],[Total Spending before Truncation is Applied]]</f>
        <v>1</v>
      </c>
    </row>
    <row r="933" spans="1:10" x14ac:dyDescent="0.25">
      <c r="A933" s="386"/>
      <c r="B933" s="310"/>
      <c r="C933" s="311"/>
      <c r="D933" s="518"/>
      <c r="E933" s="409"/>
      <c r="F933" s="312"/>
      <c r="G933" s="522"/>
      <c r="H933" s="312"/>
      <c r="I933" s="455"/>
      <c r="J933" s="271" t="b">
        <f>Age_Sex23[[#This Row],[Total Spending After Applying Truncation at the Member Level]]+Age_Sex23[[#This Row],[Total Dollars Excluded from Spending After Applying Truncation at the Member Level]]=Age_Sex23[[#This Row],[Total Spending before Truncation is Applied]]</f>
        <v>1</v>
      </c>
    </row>
    <row r="934" spans="1:10" x14ac:dyDescent="0.25">
      <c r="A934" s="389"/>
      <c r="B934" s="4"/>
      <c r="C934" s="16"/>
      <c r="D934" s="519"/>
      <c r="E934" s="410"/>
      <c r="F934" s="313"/>
      <c r="G934" s="256"/>
      <c r="H934" s="313"/>
      <c r="I934" s="456"/>
      <c r="J934" s="271" t="b">
        <f>Age_Sex23[[#This Row],[Total Spending After Applying Truncation at the Member Level]]+Age_Sex23[[#This Row],[Total Dollars Excluded from Spending After Applying Truncation at the Member Level]]=Age_Sex23[[#This Row],[Total Spending before Truncation is Applied]]</f>
        <v>1</v>
      </c>
    </row>
    <row r="935" spans="1:10" x14ac:dyDescent="0.25">
      <c r="A935" s="386"/>
      <c r="B935" s="310"/>
      <c r="C935" s="311"/>
      <c r="D935" s="518"/>
      <c r="E935" s="409"/>
      <c r="F935" s="312"/>
      <c r="G935" s="522"/>
      <c r="H935" s="312"/>
      <c r="I935" s="455"/>
      <c r="J935" s="271" t="b">
        <f>Age_Sex23[[#This Row],[Total Spending After Applying Truncation at the Member Level]]+Age_Sex23[[#This Row],[Total Dollars Excluded from Spending After Applying Truncation at the Member Level]]=Age_Sex23[[#This Row],[Total Spending before Truncation is Applied]]</f>
        <v>1</v>
      </c>
    </row>
    <row r="936" spans="1:10" x14ac:dyDescent="0.25">
      <c r="A936" s="389"/>
      <c r="B936" s="4"/>
      <c r="C936" s="16"/>
      <c r="D936" s="519"/>
      <c r="E936" s="410"/>
      <c r="F936" s="313"/>
      <c r="G936" s="256"/>
      <c r="H936" s="313"/>
      <c r="I936" s="456"/>
      <c r="J936" s="271" t="b">
        <f>Age_Sex23[[#This Row],[Total Spending After Applying Truncation at the Member Level]]+Age_Sex23[[#This Row],[Total Dollars Excluded from Spending After Applying Truncation at the Member Level]]=Age_Sex23[[#This Row],[Total Spending before Truncation is Applied]]</f>
        <v>1</v>
      </c>
    </row>
    <row r="937" spans="1:10" x14ac:dyDescent="0.25">
      <c r="A937" s="386"/>
      <c r="B937" s="310"/>
      <c r="C937" s="311"/>
      <c r="D937" s="518"/>
      <c r="E937" s="409"/>
      <c r="F937" s="312"/>
      <c r="G937" s="522"/>
      <c r="H937" s="312"/>
      <c r="I937" s="455"/>
      <c r="J937" s="271" t="b">
        <f>Age_Sex23[[#This Row],[Total Spending After Applying Truncation at the Member Level]]+Age_Sex23[[#This Row],[Total Dollars Excluded from Spending After Applying Truncation at the Member Level]]=Age_Sex23[[#This Row],[Total Spending before Truncation is Applied]]</f>
        <v>1</v>
      </c>
    </row>
    <row r="938" spans="1:10" x14ac:dyDescent="0.25">
      <c r="A938" s="389"/>
      <c r="B938" s="4"/>
      <c r="C938" s="16"/>
      <c r="D938" s="519"/>
      <c r="E938" s="410"/>
      <c r="F938" s="313"/>
      <c r="G938" s="256"/>
      <c r="H938" s="313"/>
      <c r="I938" s="456"/>
      <c r="J938" s="271" t="b">
        <f>Age_Sex23[[#This Row],[Total Spending After Applying Truncation at the Member Level]]+Age_Sex23[[#This Row],[Total Dollars Excluded from Spending After Applying Truncation at the Member Level]]=Age_Sex23[[#This Row],[Total Spending before Truncation is Applied]]</f>
        <v>1</v>
      </c>
    </row>
    <row r="939" spans="1:10" x14ac:dyDescent="0.25">
      <c r="A939" s="386"/>
      <c r="B939" s="310"/>
      <c r="C939" s="311"/>
      <c r="D939" s="518"/>
      <c r="E939" s="409"/>
      <c r="F939" s="312"/>
      <c r="G939" s="522"/>
      <c r="H939" s="312"/>
      <c r="I939" s="455"/>
      <c r="J939" s="271" t="b">
        <f>Age_Sex23[[#This Row],[Total Spending After Applying Truncation at the Member Level]]+Age_Sex23[[#This Row],[Total Dollars Excluded from Spending After Applying Truncation at the Member Level]]=Age_Sex23[[#This Row],[Total Spending before Truncation is Applied]]</f>
        <v>1</v>
      </c>
    </row>
    <row r="940" spans="1:10" x14ac:dyDescent="0.25">
      <c r="A940" s="389"/>
      <c r="B940" s="4"/>
      <c r="C940" s="16"/>
      <c r="D940" s="519"/>
      <c r="E940" s="410"/>
      <c r="F940" s="313"/>
      <c r="G940" s="256"/>
      <c r="H940" s="313"/>
      <c r="I940" s="456"/>
      <c r="J940" s="271" t="b">
        <f>Age_Sex23[[#This Row],[Total Spending After Applying Truncation at the Member Level]]+Age_Sex23[[#This Row],[Total Dollars Excluded from Spending After Applying Truncation at the Member Level]]=Age_Sex23[[#This Row],[Total Spending before Truncation is Applied]]</f>
        <v>1</v>
      </c>
    </row>
    <row r="941" spans="1:10" x14ac:dyDescent="0.25">
      <c r="A941" s="386"/>
      <c r="B941" s="310"/>
      <c r="C941" s="311"/>
      <c r="D941" s="518"/>
      <c r="E941" s="409"/>
      <c r="F941" s="312"/>
      <c r="G941" s="522"/>
      <c r="H941" s="312"/>
      <c r="I941" s="455"/>
      <c r="J941" s="271" t="b">
        <f>Age_Sex23[[#This Row],[Total Spending After Applying Truncation at the Member Level]]+Age_Sex23[[#This Row],[Total Dollars Excluded from Spending After Applying Truncation at the Member Level]]=Age_Sex23[[#This Row],[Total Spending before Truncation is Applied]]</f>
        <v>1</v>
      </c>
    </row>
    <row r="942" spans="1:10" x14ac:dyDescent="0.25">
      <c r="A942" s="389"/>
      <c r="B942" s="4"/>
      <c r="C942" s="16"/>
      <c r="D942" s="519"/>
      <c r="E942" s="410"/>
      <c r="F942" s="313"/>
      <c r="G942" s="256"/>
      <c r="H942" s="313"/>
      <c r="I942" s="456"/>
      <c r="J942" s="271" t="b">
        <f>Age_Sex23[[#This Row],[Total Spending After Applying Truncation at the Member Level]]+Age_Sex23[[#This Row],[Total Dollars Excluded from Spending After Applying Truncation at the Member Level]]=Age_Sex23[[#This Row],[Total Spending before Truncation is Applied]]</f>
        <v>1</v>
      </c>
    </row>
    <row r="943" spans="1:10" x14ac:dyDescent="0.25">
      <c r="A943" s="386"/>
      <c r="B943" s="310"/>
      <c r="C943" s="311"/>
      <c r="D943" s="518"/>
      <c r="E943" s="409"/>
      <c r="F943" s="312"/>
      <c r="G943" s="522"/>
      <c r="H943" s="312"/>
      <c r="I943" s="455"/>
      <c r="J943" s="271" t="b">
        <f>Age_Sex23[[#This Row],[Total Spending After Applying Truncation at the Member Level]]+Age_Sex23[[#This Row],[Total Dollars Excluded from Spending After Applying Truncation at the Member Level]]=Age_Sex23[[#This Row],[Total Spending before Truncation is Applied]]</f>
        <v>1</v>
      </c>
    </row>
    <row r="944" spans="1:10" x14ac:dyDescent="0.25">
      <c r="A944" s="389"/>
      <c r="B944" s="4"/>
      <c r="C944" s="16"/>
      <c r="D944" s="519"/>
      <c r="E944" s="410"/>
      <c r="F944" s="313"/>
      <c r="G944" s="256"/>
      <c r="H944" s="313"/>
      <c r="I944" s="456"/>
      <c r="J944" s="271" t="b">
        <f>Age_Sex23[[#This Row],[Total Spending After Applying Truncation at the Member Level]]+Age_Sex23[[#This Row],[Total Dollars Excluded from Spending After Applying Truncation at the Member Level]]=Age_Sex23[[#This Row],[Total Spending before Truncation is Applied]]</f>
        <v>1</v>
      </c>
    </row>
    <row r="945" spans="1:10" x14ac:dyDescent="0.25">
      <c r="A945" s="386"/>
      <c r="B945" s="310"/>
      <c r="C945" s="311"/>
      <c r="D945" s="518"/>
      <c r="E945" s="409"/>
      <c r="F945" s="312"/>
      <c r="G945" s="522"/>
      <c r="H945" s="312"/>
      <c r="I945" s="455"/>
      <c r="J945" s="271" t="b">
        <f>Age_Sex23[[#This Row],[Total Spending After Applying Truncation at the Member Level]]+Age_Sex23[[#This Row],[Total Dollars Excluded from Spending After Applying Truncation at the Member Level]]=Age_Sex23[[#This Row],[Total Spending before Truncation is Applied]]</f>
        <v>1</v>
      </c>
    </row>
    <row r="946" spans="1:10" x14ac:dyDescent="0.25">
      <c r="A946" s="389"/>
      <c r="B946" s="4"/>
      <c r="C946" s="16"/>
      <c r="D946" s="519"/>
      <c r="E946" s="410"/>
      <c r="F946" s="313"/>
      <c r="G946" s="256"/>
      <c r="H946" s="313"/>
      <c r="I946" s="456"/>
      <c r="J946" s="271" t="b">
        <f>Age_Sex23[[#This Row],[Total Spending After Applying Truncation at the Member Level]]+Age_Sex23[[#This Row],[Total Dollars Excluded from Spending After Applying Truncation at the Member Level]]=Age_Sex23[[#This Row],[Total Spending before Truncation is Applied]]</f>
        <v>1</v>
      </c>
    </row>
    <row r="947" spans="1:10" x14ac:dyDescent="0.25">
      <c r="A947" s="386"/>
      <c r="B947" s="310"/>
      <c r="C947" s="311"/>
      <c r="D947" s="518"/>
      <c r="E947" s="409"/>
      <c r="F947" s="312"/>
      <c r="G947" s="522"/>
      <c r="H947" s="312"/>
      <c r="I947" s="455"/>
      <c r="J947" s="271" t="b">
        <f>Age_Sex23[[#This Row],[Total Spending After Applying Truncation at the Member Level]]+Age_Sex23[[#This Row],[Total Dollars Excluded from Spending After Applying Truncation at the Member Level]]=Age_Sex23[[#This Row],[Total Spending before Truncation is Applied]]</f>
        <v>1</v>
      </c>
    </row>
    <row r="948" spans="1:10" x14ac:dyDescent="0.25">
      <c r="A948" s="389"/>
      <c r="B948" s="4"/>
      <c r="C948" s="16"/>
      <c r="D948" s="519"/>
      <c r="E948" s="410"/>
      <c r="F948" s="313"/>
      <c r="G948" s="256"/>
      <c r="H948" s="313"/>
      <c r="I948" s="456"/>
      <c r="J948" s="271" t="b">
        <f>Age_Sex23[[#This Row],[Total Spending After Applying Truncation at the Member Level]]+Age_Sex23[[#This Row],[Total Dollars Excluded from Spending After Applying Truncation at the Member Level]]=Age_Sex23[[#This Row],[Total Spending before Truncation is Applied]]</f>
        <v>1</v>
      </c>
    </row>
    <row r="949" spans="1:10" x14ac:dyDescent="0.25">
      <c r="A949" s="386"/>
      <c r="B949" s="310"/>
      <c r="C949" s="311"/>
      <c r="D949" s="518"/>
      <c r="E949" s="409"/>
      <c r="F949" s="312"/>
      <c r="G949" s="522"/>
      <c r="H949" s="312"/>
      <c r="I949" s="455"/>
      <c r="J949" s="271" t="b">
        <f>Age_Sex23[[#This Row],[Total Spending After Applying Truncation at the Member Level]]+Age_Sex23[[#This Row],[Total Dollars Excluded from Spending After Applying Truncation at the Member Level]]=Age_Sex23[[#This Row],[Total Spending before Truncation is Applied]]</f>
        <v>1</v>
      </c>
    </row>
    <row r="950" spans="1:10" x14ac:dyDescent="0.25">
      <c r="A950" s="389"/>
      <c r="B950" s="4"/>
      <c r="C950" s="16"/>
      <c r="D950" s="519"/>
      <c r="E950" s="410"/>
      <c r="F950" s="313"/>
      <c r="G950" s="256"/>
      <c r="H950" s="313"/>
      <c r="I950" s="456"/>
      <c r="J950" s="271" t="b">
        <f>Age_Sex23[[#This Row],[Total Spending After Applying Truncation at the Member Level]]+Age_Sex23[[#This Row],[Total Dollars Excluded from Spending After Applying Truncation at the Member Level]]=Age_Sex23[[#This Row],[Total Spending before Truncation is Applied]]</f>
        <v>1</v>
      </c>
    </row>
    <row r="951" spans="1:10" x14ac:dyDescent="0.25">
      <c r="A951" s="386"/>
      <c r="B951" s="310"/>
      <c r="C951" s="311"/>
      <c r="D951" s="518"/>
      <c r="E951" s="409"/>
      <c r="F951" s="312"/>
      <c r="G951" s="522"/>
      <c r="H951" s="312"/>
      <c r="I951" s="455"/>
      <c r="J951" s="271" t="b">
        <f>Age_Sex23[[#This Row],[Total Spending After Applying Truncation at the Member Level]]+Age_Sex23[[#This Row],[Total Dollars Excluded from Spending After Applying Truncation at the Member Level]]=Age_Sex23[[#This Row],[Total Spending before Truncation is Applied]]</f>
        <v>1</v>
      </c>
    </row>
    <row r="952" spans="1:10" x14ac:dyDescent="0.25">
      <c r="A952" s="389"/>
      <c r="B952" s="4"/>
      <c r="C952" s="16"/>
      <c r="D952" s="519"/>
      <c r="E952" s="410"/>
      <c r="F952" s="313"/>
      <c r="G952" s="256"/>
      <c r="H952" s="313"/>
      <c r="I952" s="456"/>
      <c r="J952" s="271" t="b">
        <f>Age_Sex23[[#This Row],[Total Spending After Applying Truncation at the Member Level]]+Age_Sex23[[#This Row],[Total Dollars Excluded from Spending After Applying Truncation at the Member Level]]=Age_Sex23[[#This Row],[Total Spending before Truncation is Applied]]</f>
        <v>1</v>
      </c>
    </row>
    <row r="953" spans="1:10" x14ac:dyDescent="0.25">
      <c r="A953" s="386"/>
      <c r="B953" s="310"/>
      <c r="C953" s="311"/>
      <c r="D953" s="518"/>
      <c r="E953" s="409"/>
      <c r="F953" s="312"/>
      <c r="G953" s="522"/>
      <c r="H953" s="312"/>
      <c r="I953" s="455"/>
      <c r="J953" s="271" t="b">
        <f>Age_Sex23[[#This Row],[Total Spending After Applying Truncation at the Member Level]]+Age_Sex23[[#This Row],[Total Dollars Excluded from Spending After Applying Truncation at the Member Level]]=Age_Sex23[[#This Row],[Total Spending before Truncation is Applied]]</f>
        <v>1</v>
      </c>
    </row>
    <row r="954" spans="1:10" x14ac:dyDescent="0.25">
      <c r="A954" s="389"/>
      <c r="B954" s="4"/>
      <c r="C954" s="16"/>
      <c r="D954" s="519"/>
      <c r="E954" s="410"/>
      <c r="F954" s="313"/>
      <c r="G954" s="256"/>
      <c r="H954" s="313"/>
      <c r="I954" s="456"/>
      <c r="J954" s="271" t="b">
        <f>Age_Sex23[[#This Row],[Total Spending After Applying Truncation at the Member Level]]+Age_Sex23[[#This Row],[Total Dollars Excluded from Spending After Applying Truncation at the Member Level]]=Age_Sex23[[#This Row],[Total Spending before Truncation is Applied]]</f>
        <v>1</v>
      </c>
    </row>
    <row r="955" spans="1:10" x14ac:dyDescent="0.25">
      <c r="A955" s="386"/>
      <c r="B955" s="310"/>
      <c r="C955" s="311"/>
      <c r="D955" s="518"/>
      <c r="E955" s="409"/>
      <c r="F955" s="312"/>
      <c r="G955" s="522"/>
      <c r="H955" s="312"/>
      <c r="I955" s="455"/>
      <c r="J955" s="271" t="b">
        <f>Age_Sex23[[#This Row],[Total Spending After Applying Truncation at the Member Level]]+Age_Sex23[[#This Row],[Total Dollars Excluded from Spending After Applying Truncation at the Member Level]]=Age_Sex23[[#This Row],[Total Spending before Truncation is Applied]]</f>
        <v>1</v>
      </c>
    </row>
    <row r="956" spans="1:10" x14ac:dyDescent="0.25">
      <c r="A956" s="389"/>
      <c r="B956" s="4"/>
      <c r="C956" s="16"/>
      <c r="D956" s="519"/>
      <c r="E956" s="410"/>
      <c r="F956" s="313"/>
      <c r="G956" s="256"/>
      <c r="H956" s="313"/>
      <c r="I956" s="456"/>
      <c r="J956" s="271" t="b">
        <f>Age_Sex23[[#This Row],[Total Spending After Applying Truncation at the Member Level]]+Age_Sex23[[#This Row],[Total Dollars Excluded from Spending After Applying Truncation at the Member Level]]=Age_Sex23[[#This Row],[Total Spending before Truncation is Applied]]</f>
        <v>1</v>
      </c>
    </row>
    <row r="957" spans="1:10" x14ac:dyDescent="0.25">
      <c r="A957" s="386"/>
      <c r="B957" s="310"/>
      <c r="C957" s="311"/>
      <c r="D957" s="518"/>
      <c r="E957" s="409"/>
      <c r="F957" s="312"/>
      <c r="G957" s="522"/>
      <c r="H957" s="312"/>
      <c r="I957" s="455"/>
      <c r="J957" s="271" t="b">
        <f>Age_Sex23[[#This Row],[Total Spending After Applying Truncation at the Member Level]]+Age_Sex23[[#This Row],[Total Dollars Excluded from Spending After Applying Truncation at the Member Level]]=Age_Sex23[[#This Row],[Total Spending before Truncation is Applied]]</f>
        <v>1</v>
      </c>
    </row>
    <row r="958" spans="1:10" x14ac:dyDescent="0.25">
      <c r="A958" s="389"/>
      <c r="B958" s="4"/>
      <c r="C958" s="16"/>
      <c r="D958" s="519"/>
      <c r="E958" s="410"/>
      <c r="F958" s="313"/>
      <c r="G958" s="256"/>
      <c r="H958" s="313"/>
      <c r="I958" s="456"/>
      <c r="J958" s="271" t="b">
        <f>Age_Sex23[[#This Row],[Total Spending After Applying Truncation at the Member Level]]+Age_Sex23[[#This Row],[Total Dollars Excluded from Spending After Applying Truncation at the Member Level]]=Age_Sex23[[#This Row],[Total Spending before Truncation is Applied]]</f>
        <v>1</v>
      </c>
    </row>
    <row r="959" spans="1:10" x14ac:dyDescent="0.25">
      <c r="A959" s="386"/>
      <c r="B959" s="310"/>
      <c r="C959" s="311"/>
      <c r="D959" s="518"/>
      <c r="E959" s="409"/>
      <c r="F959" s="312"/>
      <c r="G959" s="522"/>
      <c r="H959" s="312"/>
      <c r="I959" s="455"/>
      <c r="J959" s="271" t="b">
        <f>Age_Sex23[[#This Row],[Total Spending After Applying Truncation at the Member Level]]+Age_Sex23[[#This Row],[Total Dollars Excluded from Spending After Applying Truncation at the Member Level]]=Age_Sex23[[#This Row],[Total Spending before Truncation is Applied]]</f>
        <v>1</v>
      </c>
    </row>
    <row r="960" spans="1:10" x14ac:dyDescent="0.25">
      <c r="A960" s="389"/>
      <c r="B960" s="4"/>
      <c r="C960" s="16"/>
      <c r="D960" s="519"/>
      <c r="E960" s="410"/>
      <c r="F960" s="313"/>
      <c r="G960" s="256"/>
      <c r="H960" s="313"/>
      <c r="I960" s="456"/>
      <c r="J960" s="271" t="b">
        <f>Age_Sex23[[#This Row],[Total Spending After Applying Truncation at the Member Level]]+Age_Sex23[[#This Row],[Total Dollars Excluded from Spending After Applying Truncation at the Member Level]]=Age_Sex23[[#This Row],[Total Spending before Truncation is Applied]]</f>
        <v>1</v>
      </c>
    </row>
    <row r="961" spans="1:10" x14ac:dyDescent="0.25">
      <c r="A961" s="386"/>
      <c r="B961" s="310"/>
      <c r="C961" s="311"/>
      <c r="D961" s="518"/>
      <c r="E961" s="409"/>
      <c r="F961" s="312"/>
      <c r="G961" s="522"/>
      <c r="H961" s="312"/>
      <c r="I961" s="455"/>
      <c r="J961" s="271" t="b">
        <f>Age_Sex23[[#This Row],[Total Spending After Applying Truncation at the Member Level]]+Age_Sex23[[#This Row],[Total Dollars Excluded from Spending After Applying Truncation at the Member Level]]=Age_Sex23[[#This Row],[Total Spending before Truncation is Applied]]</f>
        <v>1</v>
      </c>
    </row>
    <row r="962" spans="1:10" x14ac:dyDescent="0.25">
      <c r="A962" s="389"/>
      <c r="B962" s="4"/>
      <c r="C962" s="16"/>
      <c r="D962" s="519"/>
      <c r="E962" s="410"/>
      <c r="F962" s="313"/>
      <c r="G962" s="256"/>
      <c r="H962" s="313"/>
      <c r="I962" s="456"/>
      <c r="J962" s="271" t="b">
        <f>Age_Sex23[[#This Row],[Total Spending After Applying Truncation at the Member Level]]+Age_Sex23[[#This Row],[Total Dollars Excluded from Spending After Applying Truncation at the Member Level]]=Age_Sex23[[#This Row],[Total Spending before Truncation is Applied]]</f>
        <v>1</v>
      </c>
    </row>
    <row r="963" spans="1:10" x14ac:dyDescent="0.25">
      <c r="A963" s="386"/>
      <c r="B963" s="310"/>
      <c r="C963" s="311"/>
      <c r="D963" s="518"/>
      <c r="E963" s="409"/>
      <c r="F963" s="312"/>
      <c r="G963" s="522"/>
      <c r="H963" s="312"/>
      <c r="I963" s="455"/>
      <c r="J963" s="271" t="b">
        <f>Age_Sex23[[#This Row],[Total Spending After Applying Truncation at the Member Level]]+Age_Sex23[[#This Row],[Total Dollars Excluded from Spending After Applying Truncation at the Member Level]]=Age_Sex23[[#This Row],[Total Spending before Truncation is Applied]]</f>
        <v>1</v>
      </c>
    </row>
    <row r="964" spans="1:10" x14ac:dyDescent="0.25">
      <c r="A964" s="389"/>
      <c r="B964" s="4"/>
      <c r="C964" s="16"/>
      <c r="D964" s="519"/>
      <c r="E964" s="410"/>
      <c r="F964" s="313"/>
      <c r="G964" s="256"/>
      <c r="H964" s="313"/>
      <c r="I964" s="456"/>
      <c r="J964" s="271" t="b">
        <f>Age_Sex23[[#This Row],[Total Spending After Applying Truncation at the Member Level]]+Age_Sex23[[#This Row],[Total Dollars Excluded from Spending After Applying Truncation at the Member Level]]=Age_Sex23[[#This Row],[Total Spending before Truncation is Applied]]</f>
        <v>1</v>
      </c>
    </row>
    <row r="965" spans="1:10" x14ac:dyDescent="0.25">
      <c r="A965" s="386"/>
      <c r="B965" s="310"/>
      <c r="C965" s="311"/>
      <c r="D965" s="518"/>
      <c r="E965" s="409"/>
      <c r="F965" s="312"/>
      <c r="G965" s="522"/>
      <c r="H965" s="312"/>
      <c r="I965" s="455"/>
      <c r="J965" s="271" t="b">
        <f>Age_Sex23[[#This Row],[Total Spending After Applying Truncation at the Member Level]]+Age_Sex23[[#This Row],[Total Dollars Excluded from Spending After Applying Truncation at the Member Level]]=Age_Sex23[[#This Row],[Total Spending before Truncation is Applied]]</f>
        <v>1</v>
      </c>
    </row>
    <row r="966" spans="1:10" x14ac:dyDescent="0.25">
      <c r="A966" s="389"/>
      <c r="B966" s="4"/>
      <c r="C966" s="16"/>
      <c r="D966" s="519"/>
      <c r="E966" s="410"/>
      <c r="F966" s="313"/>
      <c r="G966" s="256"/>
      <c r="H966" s="313"/>
      <c r="I966" s="456"/>
      <c r="J966" s="271" t="b">
        <f>Age_Sex23[[#This Row],[Total Spending After Applying Truncation at the Member Level]]+Age_Sex23[[#This Row],[Total Dollars Excluded from Spending After Applying Truncation at the Member Level]]=Age_Sex23[[#This Row],[Total Spending before Truncation is Applied]]</f>
        <v>1</v>
      </c>
    </row>
    <row r="967" spans="1:10" x14ac:dyDescent="0.25">
      <c r="A967" s="386"/>
      <c r="B967" s="310"/>
      <c r="C967" s="311"/>
      <c r="D967" s="518"/>
      <c r="E967" s="409"/>
      <c r="F967" s="312"/>
      <c r="G967" s="522"/>
      <c r="H967" s="312"/>
      <c r="I967" s="455"/>
      <c r="J967" s="271" t="b">
        <f>Age_Sex23[[#This Row],[Total Spending After Applying Truncation at the Member Level]]+Age_Sex23[[#This Row],[Total Dollars Excluded from Spending After Applying Truncation at the Member Level]]=Age_Sex23[[#This Row],[Total Spending before Truncation is Applied]]</f>
        <v>1</v>
      </c>
    </row>
    <row r="968" spans="1:10" x14ac:dyDescent="0.25">
      <c r="A968" s="389"/>
      <c r="B968" s="4"/>
      <c r="C968" s="16"/>
      <c r="D968" s="519"/>
      <c r="E968" s="410"/>
      <c r="F968" s="313"/>
      <c r="G968" s="256"/>
      <c r="H968" s="313"/>
      <c r="I968" s="456"/>
      <c r="J968" s="271" t="b">
        <f>Age_Sex23[[#This Row],[Total Spending After Applying Truncation at the Member Level]]+Age_Sex23[[#This Row],[Total Dollars Excluded from Spending After Applying Truncation at the Member Level]]=Age_Sex23[[#This Row],[Total Spending before Truncation is Applied]]</f>
        <v>1</v>
      </c>
    </row>
    <row r="969" spans="1:10" x14ac:dyDescent="0.25">
      <c r="A969" s="386"/>
      <c r="B969" s="310"/>
      <c r="C969" s="311"/>
      <c r="D969" s="518"/>
      <c r="E969" s="409"/>
      <c r="F969" s="312"/>
      <c r="G969" s="522"/>
      <c r="H969" s="312"/>
      <c r="I969" s="455"/>
      <c r="J969" s="271" t="b">
        <f>Age_Sex23[[#This Row],[Total Spending After Applying Truncation at the Member Level]]+Age_Sex23[[#This Row],[Total Dollars Excluded from Spending After Applying Truncation at the Member Level]]=Age_Sex23[[#This Row],[Total Spending before Truncation is Applied]]</f>
        <v>1</v>
      </c>
    </row>
    <row r="970" spans="1:10" x14ac:dyDescent="0.25">
      <c r="A970" s="389"/>
      <c r="B970" s="4"/>
      <c r="C970" s="16"/>
      <c r="D970" s="519"/>
      <c r="E970" s="410"/>
      <c r="F970" s="313"/>
      <c r="G970" s="256"/>
      <c r="H970" s="313"/>
      <c r="I970" s="456"/>
      <c r="J970" s="271" t="b">
        <f>Age_Sex23[[#This Row],[Total Spending After Applying Truncation at the Member Level]]+Age_Sex23[[#This Row],[Total Dollars Excluded from Spending After Applying Truncation at the Member Level]]=Age_Sex23[[#This Row],[Total Spending before Truncation is Applied]]</f>
        <v>1</v>
      </c>
    </row>
    <row r="971" spans="1:10" x14ac:dyDescent="0.25">
      <c r="A971" s="386"/>
      <c r="B971" s="310"/>
      <c r="C971" s="311"/>
      <c r="D971" s="518"/>
      <c r="E971" s="409"/>
      <c r="F971" s="312"/>
      <c r="G971" s="522"/>
      <c r="H971" s="312"/>
      <c r="I971" s="455"/>
      <c r="J971" s="271" t="b">
        <f>Age_Sex23[[#This Row],[Total Spending After Applying Truncation at the Member Level]]+Age_Sex23[[#This Row],[Total Dollars Excluded from Spending After Applying Truncation at the Member Level]]=Age_Sex23[[#This Row],[Total Spending before Truncation is Applied]]</f>
        <v>1</v>
      </c>
    </row>
    <row r="972" spans="1:10" x14ac:dyDescent="0.25">
      <c r="A972" s="389"/>
      <c r="B972" s="4"/>
      <c r="C972" s="16"/>
      <c r="D972" s="519"/>
      <c r="E972" s="410"/>
      <c r="F972" s="313"/>
      <c r="G972" s="256"/>
      <c r="H972" s="313"/>
      <c r="I972" s="456"/>
      <c r="J972" s="271" t="b">
        <f>Age_Sex23[[#This Row],[Total Spending After Applying Truncation at the Member Level]]+Age_Sex23[[#This Row],[Total Dollars Excluded from Spending After Applying Truncation at the Member Level]]=Age_Sex23[[#This Row],[Total Spending before Truncation is Applied]]</f>
        <v>1</v>
      </c>
    </row>
    <row r="973" spans="1:10" x14ac:dyDescent="0.25">
      <c r="A973" s="386"/>
      <c r="B973" s="310"/>
      <c r="C973" s="311"/>
      <c r="D973" s="518"/>
      <c r="E973" s="409"/>
      <c r="F973" s="312"/>
      <c r="G973" s="522"/>
      <c r="H973" s="312"/>
      <c r="I973" s="455"/>
      <c r="J973" s="271" t="b">
        <f>Age_Sex23[[#This Row],[Total Spending After Applying Truncation at the Member Level]]+Age_Sex23[[#This Row],[Total Dollars Excluded from Spending After Applying Truncation at the Member Level]]=Age_Sex23[[#This Row],[Total Spending before Truncation is Applied]]</f>
        <v>1</v>
      </c>
    </row>
    <row r="974" spans="1:10" x14ac:dyDescent="0.25">
      <c r="A974" s="389"/>
      <c r="B974" s="4"/>
      <c r="C974" s="16"/>
      <c r="D974" s="519"/>
      <c r="E974" s="410"/>
      <c r="F974" s="313"/>
      <c r="G974" s="256"/>
      <c r="H974" s="313"/>
      <c r="I974" s="456"/>
      <c r="J974" s="271" t="b">
        <f>Age_Sex23[[#This Row],[Total Spending After Applying Truncation at the Member Level]]+Age_Sex23[[#This Row],[Total Dollars Excluded from Spending After Applying Truncation at the Member Level]]=Age_Sex23[[#This Row],[Total Spending before Truncation is Applied]]</f>
        <v>1</v>
      </c>
    </row>
    <row r="975" spans="1:10" x14ac:dyDescent="0.25">
      <c r="A975" s="386"/>
      <c r="B975" s="310"/>
      <c r="C975" s="311"/>
      <c r="D975" s="518"/>
      <c r="E975" s="409"/>
      <c r="F975" s="312"/>
      <c r="G975" s="522"/>
      <c r="H975" s="312"/>
      <c r="I975" s="455"/>
      <c r="J975" s="271" t="b">
        <f>Age_Sex23[[#This Row],[Total Spending After Applying Truncation at the Member Level]]+Age_Sex23[[#This Row],[Total Dollars Excluded from Spending After Applying Truncation at the Member Level]]=Age_Sex23[[#This Row],[Total Spending before Truncation is Applied]]</f>
        <v>1</v>
      </c>
    </row>
    <row r="976" spans="1:10" x14ac:dyDescent="0.25">
      <c r="A976" s="389"/>
      <c r="B976" s="4"/>
      <c r="C976" s="16"/>
      <c r="D976" s="519"/>
      <c r="E976" s="410"/>
      <c r="F976" s="313"/>
      <c r="G976" s="256"/>
      <c r="H976" s="313"/>
      <c r="I976" s="456"/>
      <c r="J976" s="271" t="b">
        <f>Age_Sex23[[#This Row],[Total Spending After Applying Truncation at the Member Level]]+Age_Sex23[[#This Row],[Total Dollars Excluded from Spending After Applying Truncation at the Member Level]]=Age_Sex23[[#This Row],[Total Spending before Truncation is Applied]]</f>
        <v>1</v>
      </c>
    </row>
    <row r="977" spans="1:10" x14ac:dyDescent="0.25">
      <c r="A977" s="386"/>
      <c r="B977" s="310"/>
      <c r="C977" s="311"/>
      <c r="D977" s="518"/>
      <c r="E977" s="409"/>
      <c r="F977" s="312"/>
      <c r="G977" s="522"/>
      <c r="H977" s="312"/>
      <c r="I977" s="455"/>
      <c r="J977" s="271" t="b">
        <f>Age_Sex23[[#This Row],[Total Spending After Applying Truncation at the Member Level]]+Age_Sex23[[#This Row],[Total Dollars Excluded from Spending After Applying Truncation at the Member Level]]=Age_Sex23[[#This Row],[Total Spending before Truncation is Applied]]</f>
        <v>1</v>
      </c>
    </row>
    <row r="978" spans="1:10" x14ac:dyDescent="0.25">
      <c r="A978" s="389"/>
      <c r="B978" s="4"/>
      <c r="C978" s="16"/>
      <c r="D978" s="519"/>
      <c r="E978" s="410"/>
      <c r="F978" s="313"/>
      <c r="G978" s="256"/>
      <c r="H978" s="313"/>
      <c r="I978" s="456"/>
      <c r="J978" s="271" t="b">
        <f>Age_Sex23[[#This Row],[Total Spending After Applying Truncation at the Member Level]]+Age_Sex23[[#This Row],[Total Dollars Excluded from Spending After Applying Truncation at the Member Level]]=Age_Sex23[[#This Row],[Total Spending before Truncation is Applied]]</f>
        <v>1</v>
      </c>
    </row>
    <row r="979" spans="1:10" x14ac:dyDescent="0.25">
      <c r="A979" s="386"/>
      <c r="B979" s="310"/>
      <c r="C979" s="311"/>
      <c r="D979" s="518"/>
      <c r="E979" s="409"/>
      <c r="F979" s="312"/>
      <c r="G979" s="522"/>
      <c r="H979" s="312"/>
      <c r="I979" s="455"/>
      <c r="J979" s="271" t="b">
        <f>Age_Sex23[[#This Row],[Total Spending After Applying Truncation at the Member Level]]+Age_Sex23[[#This Row],[Total Dollars Excluded from Spending After Applying Truncation at the Member Level]]=Age_Sex23[[#This Row],[Total Spending before Truncation is Applied]]</f>
        <v>1</v>
      </c>
    </row>
    <row r="980" spans="1:10" x14ac:dyDescent="0.25">
      <c r="A980" s="389"/>
      <c r="B980" s="4"/>
      <c r="C980" s="16"/>
      <c r="D980" s="519"/>
      <c r="E980" s="410"/>
      <c r="F980" s="313"/>
      <c r="G980" s="256"/>
      <c r="H980" s="313"/>
      <c r="I980" s="456"/>
      <c r="J980" s="271" t="b">
        <f>Age_Sex23[[#This Row],[Total Spending After Applying Truncation at the Member Level]]+Age_Sex23[[#This Row],[Total Dollars Excluded from Spending After Applying Truncation at the Member Level]]=Age_Sex23[[#This Row],[Total Spending before Truncation is Applied]]</f>
        <v>1</v>
      </c>
    </row>
    <row r="981" spans="1:10" x14ac:dyDescent="0.25">
      <c r="A981" s="386"/>
      <c r="B981" s="310"/>
      <c r="C981" s="311"/>
      <c r="D981" s="518"/>
      <c r="E981" s="409"/>
      <c r="F981" s="312"/>
      <c r="G981" s="522"/>
      <c r="H981" s="312"/>
      <c r="I981" s="455"/>
      <c r="J981" s="271" t="b">
        <f>Age_Sex23[[#This Row],[Total Spending After Applying Truncation at the Member Level]]+Age_Sex23[[#This Row],[Total Dollars Excluded from Spending After Applying Truncation at the Member Level]]=Age_Sex23[[#This Row],[Total Spending before Truncation is Applied]]</f>
        <v>1</v>
      </c>
    </row>
    <row r="982" spans="1:10" x14ac:dyDescent="0.25">
      <c r="A982" s="389"/>
      <c r="B982" s="4"/>
      <c r="C982" s="16"/>
      <c r="D982" s="519"/>
      <c r="E982" s="410"/>
      <c r="F982" s="313"/>
      <c r="G982" s="256"/>
      <c r="H982" s="313"/>
      <c r="I982" s="456"/>
      <c r="J982" s="271" t="b">
        <f>Age_Sex23[[#This Row],[Total Spending After Applying Truncation at the Member Level]]+Age_Sex23[[#This Row],[Total Dollars Excluded from Spending After Applying Truncation at the Member Level]]=Age_Sex23[[#This Row],[Total Spending before Truncation is Applied]]</f>
        <v>1</v>
      </c>
    </row>
    <row r="983" spans="1:10" x14ac:dyDescent="0.25">
      <c r="A983" s="386"/>
      <c r="B983" s="310"/>
      <c r="C983" s="311"/>
      <c r="D983" s="518"/>
      <c r="E983" s="409"/>
      <c r="F983" s="312"/>
      <c r="G983" s="522"/>
      <c r="H983" s="312"/>
      <c r="I983" s="455"/>
      <c r="J983" s="271" t="b">
        <f>Age_Sex23[[#This Row],[Total Spending After Applying Truncation at the Member Level]]+Age_Sex23[[#This Row],[Total Dollars Excluded from Spending After Applying Truncation at the Member Level]]=Age_Sex23[[#This Row],[Total Spending before Truncation is Applied]]</f>
        <v>1</v>
      </c>
    </row>
    <row r="984" spans="1:10" x14ac:dyDescent="0.25">
      <c r="A984" s="389"/>
      <c r="B984" s="4"/>
      <c r="C984" s="16"/>
      <c r="D984" s="519"/>
      <c r="E984" s="410"/>
      <c r="F984" s="313"/>
      <c r="G984" s="256"/>
      <c r="H984" s="313"/>
      <c r="I984" s="456"/>
      <c r="J984" s="271" t="b">
        <f>Age_Sex23[[#This Row],[Total Spending After Applying Truncation at the Member Level]]+Age_Sex23[[#This Row],[Total Dollars Excluded from Spending After Applying Truncation at the Member Level]]=Age_Sex23[[#This Row],[Total Spending before Truncation is Applied]]</f>
        <v>1</v>
      </c>
    </row>
    <row r="985" spans="1:10" x14ac:dyDescent="0.25">
      <c r="A985" s="386"/>
      <c r="B985" s="310"/>
      <c r="C985" s="311"/>
      <c r="D985" s="518"/>
      <c r="E985" s="409"/>
      <c r="F985" s="312"/>
      <c r="G985" s="522"/>
      <c r="H985" s="312"/>
      <c r="I985" s="455"/>
      <c r="J985" s="271" t="b">
        <f>Age_Sex23[[#This Row],[Total Spending After Applying Truncation at the Member Level]]+Age_Sex23[[#This Row],[Total Dollars Excluded from Spending After Applying Truncation at the Member Level]]=Age_Sex23[[#This Row],[Total Spending before Truncation is Applied]]</f>
        <v>1</v>
      </c>
    </row>
    <row r="986" spans="1:10" x14ac:dyDescent="0.25">
      <c r="A986" s="389"/>
      <c r="B986" s="4"/>
      <c r="C986" s="16"/>
      <c r="D986" s="519"/>
      <c r="E986" s="410"/>
      <c r="F986" s="313"/>
      <c r="G986" s="256"/>
      <c r="H986" s="313"/>
      <c r="I986" s="456"/>
      <c r="J986" s="271" t="b">
        <f>Age_Sex23[[#This Row],[Total Spending After Applying Truncation at the Member Level]]+Age_Sex23[[#This Row],[Total Dollars Excluded from Spending After Applying Truncation at the Member Level]]=Age_Sex23[[#This Row],[Total Spending before Truncation is Applied]]</f>
        <v>1</v>
      </c>
    </row>
    <row r="987" spans="1:10" x14ac:dyDescent="0.25">
      <c r="A987" s="386"/>
      <c r="B987" s="310"/>
      <c r="C987" s="311"/>
      <c r="D987" s="518"/>
      <c r="E987" s="409"/>
      <c r="F987" s="312"/>
      <c r="G987" s="522"/>
      <c r="H987" s="312"/>
      <c r="I987" s="455"/>
      <c r="J987" s="271" t="b">
        <f>Age_Sex23[[#This Row],[Total Spending After Applying Truncation at the Member Level]]+Age_Sex23[[#This Row],[Total Dollars Excluded from Spending After Applying Truncation at the Member Level]]=Age_Sex23[[#This Row],[Total Spending before Truncation is Applied]]</f>
        <v>1</v>
      </c>
    </row>
    <row r="988" spans="1:10" x14ac:dyDescent="0.25">
      <c r="A988" s="389"/>
      <c r="B988" s="4"/>
      <c r="C988" s="16"/>
      <c r="D988" s="519"/>
      <c r="E988" s="410"/>
      <c r="F988" s="313"/>
      <c r="G988" s="256"/>
      <c r="H988" s="313"/>
      <c r="I988" s="456"/>
      <c r="J988" s="271" t="b">
        <f>Age_Sex23[[#This Row],[Total Spending After Applying Truncation at the Member Level]]+Age_Sex23[[#This Row],[Total Dollars Excluded from Spending After Applying Truncation at the Member Level]]=Age_Sex23[[#This Row],[Total Spending before Truncation is Applied]]</f>
        <v>1</v>
      </c>
    </row>
    <row r="989" spans="1:10" x14ac:dyDescent="0.25">
      <c r="A989" s="386"/>
      <c r="B989" s="310"/>
      <c r="C989" s="311"/>
      <c r="D989" s="518"/>
      <c r="E989" s="409"/>
      <c r="F989" s="312"/>
      <c r="G989" s="522"/>
      <c r="H989" s="312"/>
      <c r="I989" s="455"/>
      <c r="J989" s="271" t="b">
        <f>Age_Sex23[[#This Row],[Total Spending After Applying Truncation at the Member Level]]+Age_Sex23[[#This Row],[Total Dollars Excluded from Spending After Applying Truncation at the Member Level]]=Age_Sex23[[#This Row],[Total Spending before Truncation is Applied]]</f>
        <v>1</v>
      </c>
    </row>
    <row r="990" spans="1:10" x14ac:dyDescent="0.25">
      <c r="A990" s="389"/>
      <c r="B990" s="4"/>
      <c r="C990" s="16"/>
      <c r="D990" s="519"/>
      <c r="E990" s="410"/>
      <c r="F990" s="313"/>
      <c r="G990" s="256"/>
      <c r="H990" s="313"/>
      <c r="I990" s="456"/>
      <c r="J990" s="271" t="b">
        <f>Age_Sex23[[#This Row],[Total Spending After Applying Truncation at the Member Level]]+Age_Sex23[[#This Row],[Total Dollars Excluded from Spending After Applying Truncation at the Member Level]]=Age_Sex23[[#This Row],[Total Spending before Truncation is Applied]]</f>
        <v>1</v>
      </c>
    </row>
    <row r="991" spans="1:10" x14ac:dyDescent="0.25">
      <c r="A991" s="386"/>
      <c r="B991" s="310"/>
      <c r="C991" s="311"/>
      <c r="D991" s="518"/>
      <c r="E991" s="409"/>
      <c r="F991" s="312"/>
      <c r="G991" s="522"/>
      <c r="H991" s="312"/>
      <c r="I991" s="455"/>
      <c r="J991" s="271" t="b">
        <f>Age_Sex23[[#This Row],[Total Spending After Applying Truncation at the Member Level]]+Age_Sex23[[#This Row],[Total Dollars Excluded from Spending After Applying Truncation at the Member Level]]=Age_Sex23[[#This Row],[Total Spending before Truncation is Applied]]</f>
        <v>1</v>
      </c>
    </row>
    <row r="992" spans="1:10" x14ac:dyDescent="0.25">
      <c r="A992" s="389"/>
      <c r="B992" s="4"/>
      <c r="C992" s="16"/>
      <c r="D992" s="519"/>
      <c r="E992" s="410"/>
      <c r="F992" s="313"/>
      <c r="G992" s="256"/>
      <c r="H992" s="313"/>
      <c r="I992" s="456"/>
      <c r="J992" s="271" t="b">
        <f>Age_Sex23[[#This Row],[Total Spending After Applying Truncation at the Member Level]]+Age_Sex23[[#This Row],[Total Dollars Excluded from Spending After Applying Truncation at the Member Level]]=Age_Sex23[[#This Row],[Total Spending before Truncation is Applied]]</f>
        <v>1</v>
      </c>
    </row>
    <row r="993" spans="1:10" x14ac:dyDescent="0.25">
      <c r="A993" s="386"/>
      <c r="B993" s="310"/>
      <c r="C993" s="311"/>
      <c r="D993" s="518"/>
      <c r="E993" s="409"/>
      <c r="F993" s="312"/>
      <c r="G993" s="522"/>
      <c r="H993" s="312"/>
      <c r="I993" s="455"/>
      <c r="J993" s="271" t="b">
        <f>Age_Sex23[[#This Row],[Total Spending After Applying Truncation at the Member Level]]+Age_Sex23[[#This Row],[Total Dollars Excluded from Spending After Applying Truncation at the Member Level]]=Age_Sex23[[#This Row],[Total Spending before Truncation is Applied]]</f>
        <v>1</v>
      </c>
    </row>
    <row r="994" spans="1:10" x14ac:dyDescent="0.25">
      <c r="A994" s="389"/>
      <c r="B994" s="4"/>
      <c r="C994" s="16"/>
      <c r="D994" s="519"/>
      <c r="E994" s="410"/>
      <c r="F994" s="313"/>
      <c r="G994" s="256"/>
      <c r="H994" s="313"/>
      <c r="I994" s="456"/>
      <c r="J994" s="271" t="b">
        <f>Age_Sex23[[#This Row],[Total Spending After Applying Truncation at the Member Level]]+Age_Sex23[[#This Row],[Total Dollars Excluded from Spending After Applying Truncation at the Member Level]]=Age_Sex23[[#This Row],[Total Spending before Truncation is Applied]]</f>
        <v>1</v>
      </c>
    </row>
    <row r="995" spans="1:10" x14ac:dyDescent="0.25">
      <c r="A995" s="386"/>
      <c r="B995" s="310"/>
      <c r="C995" s="311"/>
      <c r="D995" s="518"/>
      <c r="E995" s="409"/>
      <c r="F995" s="312"/>
      <c r="G995" s="522"/>
      <c r="H995" s="312"/>
      <c r="I995" s="455"/>
      <c r="J995" s="271" t="b">
        <f>Age_Sex23[[#This Row],[Total Spending After Applying Truncation at the Member Level]]+Age_Sex23[[#This Row],[Total Dollars Excluded from Spending After Applying Truncation at the Member Level]]=Age_Sex23[[#This Row],[Total Spending before Truncation is Applied]]</f>
        <v>1</v>
      </c>
    </row>
    <row r="996" spans="1:10" x14ac:dyDescent="0.25">
      <c r="A996" s="389"/>
      <c r="B996" s="4"/>
      <c r="C996" s="16"/>
      <c r="D996" s="519"/>
      <c r="E996" s="410"/>
      <c r="F996" s="313"/>
      <c r="G996" s="256"/>
      <c r="H996" s="313"/>
      <c r="I996" s="456"/>
      <c r="J996" s="271" t="b">
        <f>Age_Sex23[[#This Row],[Total Spending After Applying Truncation at the Member Level]]+Age_Sex23[[#This Row],[Total Dollars Excluded from Spending After Applying Truncation at the Member Level]]=Age_Sex23[[#This Row],[Total Spending before Truncation is Applied]]</f>
        <v>1</v>
      </c>
    </row>
    <row r="997" spans="1:10" x14ac:dyDescent="0.25">
      <c r="A997" s="386"/>
      <c r="B997" s="310"/>
      <c r="C997" s="311"/>
      <c r="D997" s="518"/>
      <c r="E997" s="409"/>
      <c r="F997" s="312"/>
      <c r="G997" s="522"/>
      <c r="H997" s="312"/>
      <c r="I997" s="455"/>
      <c r="J997" s="271" t="b">
        <f>Age_Sex23[[#This Row],[Total Spending After Applying Truncation at the Member Level]]+Age_Sex23[[#This Row],[Total Dollars Excluded from Spending After Applying Truncation at the Member Level]]=Age_Sex23[[#This Row],[Total Spending before Truncation is Applied]]</f>
        <v>1</v>
      </c>
    </row>
    <row r="998" spans="1:10" x14ac:dyDescent="0.25">
      <c r="A998" s="389"/>
      <c r="B998" s="4"/>
      <c r="C998" s="16"/>
      <c r="D998" s="519"/>
      <c r="E998" s="410"/>
      <c r="F998" s="313"/>
      <c r="G998" s="256"/>
      <c r="H998" s="313"/>
      <c r="I998" s="456"/>
      <c r="J998" s="271" t="b">
        <f>Age_Sex23[[#This Row],[Total Spending After Applying Truncation at the Member Level]]+Age_Sex23[[#This Row],[Total Dollars Excluded from Spending After Applying Truncation at the Member Level]]=Age_Sex23[[#This Row],[Total Spending before Truncation is Applied]]</f>
        <v>1</v>
      </c>
    </row>
    <row r="999" spans="1:10" x14ac:dyDescent="0.25">
      <c r="A999" s="386"/>
      <c r="B999" s="310"/>
      <c r="C999" s="311"/>
      <c r="D999" s="518"/>
      <c r="E999" s="409"/>
      <c r="F999" s="312"/>
      <c r="G999" s="522"/>
      <c r="H999" s="312"/>
      <c r="I999" s="455"/>
      <c r="J999" s="271" t="b">
        <f>Age_Sex23[[#This Row],[Total Spending After Applying Truncation at the Member Level]]+Age_Sex23[[#This Row],[Total Dollars Excluded from Spending After Applying Truncation at the Member Level]]=Age_Sex23[[#This Row],[Total Spending before Truncation is Applied]]</f>
        <v>1</v>
      </c>
    </row>
    <row r="1000" spans="1:10" x14ac:dyDescent="0.25">
      <c r="A1000" s="389"/>
      <c r="B1000" s="4"/>
      <c r="C1000" s="16"/>
      <c r="D1000" s="519"/>
      <c r="E1000" s="410"/>
      <c r="F1000" s="313"/>
      <c r="G1000" s="256"/>
      <c r="H1000" s="313"/>
      <c r="I1000" s="456"/>
      <c r="J1000" s="271" t="b">
        <f>Age_Sex23[[#This Row],[Total Spending After Applying Truncation at the Member Level]]+Age_Sex23[[#This Row],[Total Dollars Excluded from Spending After Applying Truncation at the Member Level]]=Age_Sex23[[#This Row],[Total Spending before Truncation is Applied]]</f>
        <v>1</v>
      </c>
    </row>
    <row r="1001" spans="1:10" x14ac:dyDescent="0.25">
      <c r="A1001" s="386"/>
      <c r="B1001" s="310"/>
      <c r="C1001" s="311"/>
      <c r="D1001" s="518"/>
      <c r="E1001" s="409"/>
      <c r="F1001" s="312"/>
      <c r="G1001" s="522"/>
      <c r="H1001" s="312"/>
      <c r="I1001" s="455"/>
      <c r="J1001" s="271" t="b">
        <f>Age_Sex23[[#This Row],[Total Spending After Applying Truncation at the Member Level]]+Age_Sex23[[#This Row],[Total Dollars Excluded from Spending After Applying Truncation at the Member Level]]=Age_Sex23[[#This Row],[Total Spending before Truncation is Applied]]</f>
        <v>1</v>
      </c>
    </row>
    <row r="1002" spans="1:10" x14ac:dyDescent="0.25">
      <c r="A1002" s="389"/>
      <c r="B1002" s="4"/>
      <c r="C1002" s="16"/>
      <c r="D1002" s="519"/>
      <c r="E1002" s="410"/>
      <c r="F1002" s="313"/>
      <c r="G1002" s="256"/>
      <c r="H1002" s="313"/>
      <c r="I1002" s="456"/>
      <c r="J1002" s="271" t="b">
        <f>Age_Sex23[[#This Row],[Total Spending After Applying Truncation at the Member Level]]+Age_Sex23[[#This Row],[Total Dollars Excluded from Spending After Applying Truncation at the Member Level]]=Age_Sex23[[#This Row],[Total Spending before Truncation is Applied]]</f>
        <v>1</v>
      </c>
    </row>
    <row r="1003" spans="1:10" x14ac:dyDescent="0.25">
      <c r="A1003" s="386"/>
      <c r="B1003" s="310"/>
      <c r="C1003" s="311"/>
      <c r="D1003" s="518"/>
      <c r="E1003" s="409"/>
      <c r="F1003" s="312"/>
      <c r="G1003" s="522"/>
      <c r="H1003" s="312"/>
      <c r="I1003" s="455"/>
      <c r="J1003" s="271" t="b">
        <f>Age_Sex23[[#This Row],[Total Spending After Applying Truncation at the Member Level]]+Age_Sex23[[#This Row],[Total Dollars Excluded from Spending After Applying Truncation at the Member Level]]=Age_Sex23[[#This Row],[Total Spending before Truncation is Applied]]</f>
        <v>1</v>
      </c>
    </row>
    <row r="1004" spans="1:10" x14ac:dyDescent="0.25">
      <c r="A1004" s="389"/>
      <c r="B1004" s="4"/>
      <c r="C1004" s="16"/>
      <c r="D1004" s="519"/>
      <c r="E1004" s="410"/>
      <c r="F1004" s="313"/>
      <c r="G1004" s="256"/>
      <c r="H1004" s="313"/>
      <c r="I1004" s="456"/>
      <c r="J1004" s="271" t="b">
        <f>Age_Sex23[[#This Row],[Total Spending After Applying Truncation at the Member Level]]+Age_Sex23[[#This Row],[Total Dollars Excluded from Spending After Applying Truncation at the Member Level]]=Age_Sex23[[#This Row],[Total Spending before Truncation is Applied]]</f>
        <v>1</v>
      </c>
    </row>
    <row r="1005" spans="1:10" x14ac:dyDescent="0.25">
      <c r="A1005" s="386"/>
      <c r="B1005" s="310"/>
      <c r="C1005" s="311"/>
      <c r="D1005" s="518"/>
      <c r="E1005" s="409"/>
      <c r="F1005" s="312"/>
      <c r="G1005" s="522"/>
      <c r="H1005" s="312"/>
      <c r="I1005" s="455"/>
      <c r="J1005" s="273" t="b">
        <f>Age_Sex23[[#This Row],[Total Spending After Applying Truncation at the Member Level]]+Age_Sex23[[#This Row],[Total Dollars Excluded from Spending After Applying Truncation at the Member Level]]=Age_Sex23[[#This Row],[Total Spending before Truncation is Applied]]</f>
        <v>1</v>
      </c>
    </row>
    <row r="1006" spans="1:10" x14ac:dyDescent="0.25">
      <c r="A1006" s="389"/>
      <c r="B1006" s="4"/>
      <c r="C1006" s="16"/>
      <c r="D1006" s="519"/>
      <c r="E1006" s="410"/>
      <c r="F1006" s="313"/>
      <c r="G1006" s="256"/>
      <c r="H1006" s="313"/>
      <c r="I1006" s="456"/>
      <c r="J1006" s="271" t="b">
        <f>Age_Sex23[[#This Row],[Total Spending After Applying Truncation at the Member Level]]+Age_Sex23[[#This Row],[Total Dollars Excluded from Spending After Applying Truncation at the Member Level]]=Age_Sex23[[#This Row],[Total Spending before Truncation is Applied]]</f>
        <v>1</v>
      </c>
    </row>
    <row r="1007" spans="1:10" x14ac:dyDescent="0.25">
      <c r="A1007" s="386"/>
      <c r="B1007" s="310"/>
      <c r="C1007" s="311"/>
      <c r="D1007" s="518"/>
      <c r="E1007" s="409"/>
      <c r="F1007" s="312"/>
      <c r="G1007" s="522"/>
      <c r="H1007" s="312"/>
      <c r="I1007" s="455"/>
      <c r="J1007" s="271" t="b">
        <f>Age_Sex23[[#This Row],[Total Spending After Applying Truncation at the Member Level]]+Age_Sex23[[#This Row],[Total Dollars Excluded from Spending After Applying Truncation at the Member Level]]=Age_Sex23[[#This Row],[Total Spending before Truncation is Applied]]</f>
        <v>1</v>
      </c>
    </row>
    <row r="1008" spans="1:10" x14ac:dyDescent="0.25">
      <c r="A1008" s="389"/>
      <c r="B1008" s="4"/>
      <c r="C1008" s="16"/>
      <c r="D1008" s="519"/>
      <c r="E1008" s="410"/>
      <c r="F1008" s="313"/>
      <c r="G1008" s="256"/>
      <c r="H1008" s="313"/>
      <c r="I1008" s="456"/>
      <c r="J1008" s="271" t="b">
        <f>Age_Sex23[[#This Row],[Total Spending After Applying Truncation at the Member Level]]+Age_Sex23[[#This Row],[Total Dollars Excluded from Spending After Applying Truncation at the Member Level]]=Age_Sex23[[#This Row],[Total Spending before Truncation is Applied]]</f>
        <v>1</v>
      </c>
    </row>
    <row r="1009" spans="1:10" x14ac:dyDescent="0.25">
      <c r="A1009" s="386"/>
      <c r="B1009" s="310"/>
      <c r="C1009" s="311"/>
      <c r="D1009" s="518"/>
      <c r="E1009" s="409"/>
      <c r="F1009" s="312"/>
      <c r="G1009" s="522"/>
      <c r="H1009" s="312"/>
      <c r="I1009" s="455"/>
      <c r="J1009" s="271" t="b">
        <f>Age_Sex23[[#This Row],[Total Spending After Applying Truncation at the Member Level]]+Age_Sex23[[#This Row],[Total Dollars Excluded from Spending After Applying Truncation at the Member Level]]=Age_Sex23[[#This Row],[Total Spending before Truncation is Applied]]</f>
        <v>1</v>
      </c>
    </row>
    <row r="1010" spans="1:10" x14ac:dyDescent="0.25">
      <c r="A1010" s="389"/>
      <c r="B1010" s="4"/>
      <c r="C1010" s="16"/>
      <c r="D1010" s="519"/>
      <c r="E1010" s="410"/>
      <c r="F1010" s="313"/>
      <c r="G1010" s="256"/>
      <c r="H1010" s="313"/>
      <c r="I1010" s="456"/>
      <c r="J1010" s="271" t="b">
        <f>Age_Sex23[[#This Row],[Total Spending After Applying Truncation at the Member Level]]+Age_Sex23[[#This Row],[Total Dollars Excluded from Spending After Applying Truncation at the Member Level]]=Age_Sex23[[#This Row],[Total Spending before Truncation is Applied]]</f>
        <v>1</v>
      </c>
    </row>
    <row r="1011" spans="1:10" x14ac:dyDescent="0.25">
      <c r="A1011" s="386"/>
      <c r="B1011" s="310"/>
      <c r="C1011" s="311"/>
      <c r="D1011" s="518"/>
      <c r="E1011" s="409"/>
      <c r="F1011" s="312"/>
      <c r="G1011" s="522"/>
      <c r="H1011" s="312"/>
      <c r="I1011" s="455"/>
      <c r="J1011" s="271" t="b">
        <f>Age_Sex23[[#This Row],[Total Spending After Applying Truncation at the Member Level]]+Age_Sex23[[#This Row],[Total Dollars Excluded from Spending After Applying Truncation at the Member Level]]=Age_Sex23[[#This Row],[Total Spending before Truncation is Applied]]</f>
        <v>1</v>
      </c>
    </row>
    <row r="1012" spans="1:10" x14ac:dyDescent="0.25">
      <c r="A1012" s="389"/>
      <c r="B1012" s="4"/>
      <c r="C1012" s="16"/>
      <c r="D1012" s="519"/>
      <c r="E1012" s="410"/>
      <c r="F1012" s="313"/>
      <c r="G1012" s="256"/>
      <c r="H1012" s="313"/>
      <c r="I1012" s="456"/>
      <c r="J1012" s="271" t="b">
        <f>Age_Sex23[[#This Row],[Total Spending After Applying Truncation at the Member Level]]+Age_Sex23[[#This Row],[Total Dollars Excluded from Spending After Applying Truncation at the Member Level]]=Age_Sex23[[#This Row],[Total Spending before Truncation is Applied]]</f>
        <v>1</v>
      </c>
    </row>
    <row r="1013" spans="1:10" x14ac:dyDescent="0.25">
      <c r="A1013" s="386"/>
      <c r="B1013" s="310"/>
      <c r="C1013" s="311"/>
      <c r="D1013" s="518"/>
      <c r="E1013" s="409"/>
      <c r="F1013" s="312"/>
      <c r="G1013" s="522"/>
      <c r="H1013" s="312"/>
      <c r="I1013" s="455"/>
      <c r="J1013" s="271" t="b">
        <f>Age_Sex23[[#This Row],[Total Spending After Applying Truncation at the Member Level]]+Age_Sex23[[#This Row],[Total Dollars Excluded from Spending After Applying Truncation at the Member Level]]=Age_Sex23[[#This Row],[Total Spending before Truncation is Applied]]</f>
        <v>1</v>
      </c>
    </row>
    <row r="1014" spans="1:10" x14ac:dyDescent="0.25">
      <c r="A1014" s="389"/>
      <c r="B1014" s="4"/>
      <c r="C1014" s="16"/>
      <c r="D1014" s="519"/>
      <c r="E1014" s="410"/>
      <c r="F1014" s="313"/>
      <c r="G1014" s="256"/>
      <c r="H1014" s="313"/>
      <c r="I1014" s="456"/>
      <c r="J1014" s="271" t="b">
        <f>Age_Sex23[[#This Row],[Total Spending After Applying Truncation at the Member Level]]+Age_Sex23[[#This Row],[Total Dollars Excluded from Spending After Applying Truncation at the Member Level]]=Age_Sex23[[#This Row],[Total Spending before Truncation is Applied]]</f>
        <v>1</v>
      </c>
    </row>
    <row r="1015" spans="1:10" x14ac:dyDescent="0.25">
      <c r="A1015" s="386"/>
      <c r="B1015" s="310"/>
      <c r="C1015" s="311"/>
      <c r="D1015" s="518"/>
      <c r="E1015" s="409"/>
      <c r="F1015" s="312"/>
      <c r="G1015" s="522"/>
      <c r="H1015" s="312"/>
      <c r="I1015" s="455"/>
      <c r="J1015" s="271" t="b">
        <f>Age_Sex23[[#This Row],[Total Spending After Applying Truncation at the Member Level]]+Age_Sex23[[#This Row],[Total Dollars Excluded from Spending After Applying Truncation at the Member Level]]=Age_Sex23[[#This Row],[Total Spending before Truncation is Applied]]</f>
        <v>1</v>
      </c>
    </row>
    <row r="1016" spans="1:10" x14ac:dyDescent="0.25">
      <c r="A1016" s="389"/>
      <c r="B1016" s="4"/>
      <c r="C1016" s="16"/>
      <c r="D1016" s="519"/>
      <c r="E1016" s="410"/>
      <c r="F1016" s="313"/>
      <c r="G1016" s="256"/>
      <c r="H1016" s="313"/>
      <c r="I1016" s="456"/>
      <c r="J1016" s="271" t="b">
        <f>Age_Sex23[[#This Row],[Total Spending After Applying Truncation at the Member Level]]+Age_Sex23[[#This Row],[Total Dollars Excluded from Spending After Applying Truncation at the Member Level]]=Age_Sex23[[#This Row],[Total Spending before Truncation is Applied]]</f>
        <v>1</v>
      </c>
    </row>
    <row r="1017" spans="1:10" x14ac:dyDescent="0.25">
      <c r="A1017" s="386"/>
      <c r="B1017" s="310"/>
      <c r="C1017" s="311"/>
      <c r="D1017" s="518"/>
      <c r="E1017" s="409"/>
      <c r="F1017" s="312"/>
      <c r="G1017" s="522"/>
      <c r="H1017" s="312"/>
      <c r="I1017" s="455"/>
      <c r="J1017" s="271" t="b">
        <f>Age_Sex23[[#This Row],[Total Spending After Applying Truncation at the Member Level]]+Age_Sex23[[#This Row],[Total Dollars Excluded from Spending After Applying Truncation at the Member Level]]=Age_Sex23[[#This Row],[Total Spending before Truncation is Applied]]</f>
        <v>1</v>
      </c>
    </row>
    <row r="1018" spans="1:10" x14ac:dyDescent="0.25">
      <c r="A1018" s="389"/>
      <c r="B1018" s="4"/>
      <c r="C1018" s="16"/>
      <c r="D1018" s="519"/>
      <c r="E1018" s="410"/>
      <c r="F1018" s="313"/>
      <c r="G1018" s="256"/>
      <c r="H1018" s="313"/>
      <c r="I1018" s="456"/>
      <c r="J1018" s="271" t="b">
        <f>Age_Sex23[[#This Row],[Total Spending After Applying Truncation at the Member Level]]+Age_Sex23[[#This Row],[Total Dollars Excluded from Spending After Applying Truncation at the Member Level]]=Age_Sex23[[#This Row],[Total Spending before Truncation is Applied]]</f>
        <v>1</v>
      </c>
    </row>
    <row r="1019" spans="1:10" x14ac:dyDescent="0.25">
      <c r="A1019" s="386"/>
      <c r="B1019" s="310"/>
      <c r="C1019" s="311"/>
      <c r="D1019" s="518"/>
      <c r="E1019" s="409"/>
      <c r="F1019" s="312"/>
      <c r="G1019" s="522"/>
      <c r="H1019" s="312"/>
      <c r="I1019" s="455"/>
      <c r="J1019" s="271" t="b">
        <f>Age_Sex23[[#This Row],[Total Spending After Applying Truncation at the Member Level]]+Age_Sex23[[#This Row],[Total Dollars Excluded from Spending After Applying Truncation at the Member Level]]=Age_Sex23[[#This Row],[Total Spending before Truncation is Applied]]</f>
        <v>1</v>
      </c>
    </row>
    <row r="1020" spans="1:10" x14ac:dyDescent="0.25">
      <c r="A1020" s="389"/>
      <c r="B1020" s="4"/>
      <c r="C1020" s="16"/>
      <c r="D1020" s="519"/>
      <c r="E1020" s="410"/>
      <c r="F1020" s="313"/>
      <c r="G1020" s="256"/>
      <c r="H1020" s="313"/>
      <c r="I1020" s="456"/>
      <c r="J1020" s="271" t="b">
        <f>Age_Sex23[[#This Row],[Total Spending After Applying Truncation at the Member Level]]+Age_Sex23[[#This Row],[Total Dollars Excluded from Spending After Applying Truncation at the Member Level]]=Age_Sex23[[#This Row],[Total Spending before Truncation is Applied]]</f>
        <v>1</v>
      </c>
    </row>
    <row r="1021" spans="1:10" x14ac:dyDescent="0.25">
      <c r="A1021" s="386"/>
      <c r="B1021" s="310"/>
      <c r="C1021" s="311"/>
      <c r="D1021" s="518"/>
      <c r="E1021" s="409"/>
      <c r="F1021" s="312"/>
      <c r="G1021" s="522"/>
      <c r="H1021" s="312"/>
      <c r="I1021" s="455"/>
      <c r="J1021" s="271" t="b">
        <f>Age_Sex23[[#This Row],[Total Spending After Applying Truncation at the Member Level]]+Age_Sex23[[#This Row],[Total Dollars Excluded from Spending After Applying Truncation at the Member Level]]=Age_Sex23[[#This Row],[Total Spending before Truncation is Applied]]</f>
        <v>1</v>
      </c>
    </row>
    <row r="1022" spans="1:10" x14ac:dyDescent="0.25">
      <c r="A1022" s="389"/>
      <c r="B1022" s="4"/>
      <c r="C1022" s="16"/>
      <c r="D1022" s="519"/>
      <c r="E1022" s="410"/>
      <c r="F1022" s="313"/>
      <c r="G1022" s="256"/>
      <c r="H1022" s="313"/>
      <c r="I1022" s="456"/>
      <c r="J1022" s="271" t="b">
        <f>Age_Sex23[[#This Row],[Total Spending After Applying Truncation at the Member Level]]+Age_Sex23[[#This Row],[Total Dollars Excluded from Spending After Applying Truncation at the Member Level]]=Age_Sex23[[#This Row],[Total Spending before Truncation is Applied]]</f>
        <v>1</v>
      </c>
    </row>
    <row r="1023" spans="1:10" x14ac:dyDescent="0.25">
      <c r="A1023" s="386"/>
      <c r="B1023" s="310"/>
      <c r="C1023" s="311"/>
      <c r="D1023" s="518"/>
      <c r="E1023" s="409"/>
      <c r="F1023" s="312"/>
      <c r="G1023" s="522"/>
      <c r="H1023" s="312"/>
      <c r="I1023" s="455"/>
      <c r="J1023" s="271" t="b">
        <f>Age_Sex23[[#This Row],[Total Spending After Applying Truncation at the Member Level]]+Age_Sex23[[#This Row],[Total Dollars Excluded from Spending After Applying Truncation at the Member Level]]=Age_Sex23[[#This Row],[Total Spending before Truncation is Applied]]</f>
        <v>1</v>
      </c>
    </row>
    <row r="1024" spans="1:10" x14ac:dyDescent="0.25">
      <c r="A1024" s="389"/>
      <c r="B1024" s="4"/>
      <c r="C1024" s="16"/>
      <c r="D1024" s="519"/>
      <c r="E1024" s="410"/>
      <c r="F1024" s="313"/>
      <c r="G1024" s="256"/>
      <c r="H1024" s="313"/>
      <c r="I1024" s="456"/>
      <c r="J1024" s="271" t="b">
        <f>Age_Sex23[[#This Row],[Total Spending After Applying Truncation at the Member Level]]+Age_Sex23[[#This Row],[Total Dollars Excluded from Spending After Applying Truncation at the Member Level]]=Age_Sex23[[#This Row],[Total Spending before Truncation is Applied]]</f>
        <v>1</v>
      </c>
    </row>
    <row r="1025" spans="1:10" x14ac:dyDescent="0.25">
      <c r="A1025" s="386"/>
      <c r="B1025" s="310"/>
      <c r="C1025" s="311"/>
      <c r="D1025" s="518"/>
      <c r="E1025" s="409"/>
      <c r="F1025" s="312"/>
      <c r="G1025" s="522"/>
      <c r="H1025" s="312"/>
      <c r="I1025" s="455"/>
      <c r="J1025" s="271" t="b">
        <f>Age_Sex23[[#This Row],[Total Spending After Applying Truncation at the Member Level]]+Age_Sex23[[#This Row],[Total Dollars Excluded from Spending After Applying Truncation at the Member Level]]=Age_Sex23[[#This Row],[Total Spending before Truncation is Applied]]</f>
        <v>1</v>
      </c>
    </row>
    <row r="1026" spans="1:10" x14ac:dyDescent="0.25">
      <c r="A1026" s="389"/>
      <c r="B1026" s="4"/>
      <c r="C1026" s="16"/>
      <c r="D1026" s="519"/>
      <c r="E1026" s="410"/>
      <c r="F1026" s="313"/>
      <c r="G1026" s="256"/>
      <c r="H1026" s="313"/>
      <c r="I1026" s="456"/>
      <c r="J1026" s="271" t="b">
        <f>Age_Sex23[[#This Row],[Total Spending After Applying Truncation at the Member Level]]+Age_Sex23[[#This Row],[Total Dollars Excluded from Spending After Applying Truncation at the Member Level]]=Age_Sex23[[#This Row],[Total Spending before Truncation is Applied]]</f>
        <v>1</v>
      </c>
    </row>
    <row r="1027" spans="1:10" x14ac:dyDescent="0.25">
      <c r="A1027" s="386"/>
      <c r="B1027" s="310"/>
      <c r="C1027" s="311"/>
      <c r="D1027" s="518"/>
      <c r="E1027" s="409"/>
      <c r="F1027" s="312"/>
      <c r="G1027" s="522"/>
      <c r="H1027" s="312"/>
      <c r="I1027" s="455"/>
      <c r="J1027" s="271" t="b">
        <f>Age_Sex23[[#This Row],[Total Spending After Applying Truncation at the Member Level]]+Age_Sex23[[#This Row],[Total Dollars Excluded from Spending After Applying Truncation at the Member Level]]=Age_Sex23[[#This Row],[Total Spending before Truncation is Applied]]</f>
        <v>1</v>
      </c>
    </row>
    <row r="1028" spans="1:10" x14ac:dyDescent="0.25">
      <c r="A1028" s="389"/>
      <c r="B1028" s="4"/>
      <c r="C1028" s="16"/>
      <c r="D1028" s="519"/>
      <c r="E1028" s="410"/>
      <c r="F1028" s="313"/>
      <c r="G1028" s="256"/>
      <c r="H1028" s="313"/>
      <c r="I1028" s="456"/>
      <c r="J1028" s="271" t="b">
        <f>Age_Sex23[[#This Row],[Total Spending After Applying Truncation at the Member Level]]+Age_Sex23[[#This Row],[Total Dollars Excluded from Spending After Applying Truncation at the Member Level]]=Age_Sex23[[#This Row],[Total Spending before Truncation is Applied]]</f>
        <v>1</v>
      </c>
    </row>
    <row r="1029" spans="1:10" x14ac:dyDescent="0.25">
      <c r="A1029" s="386"/>
      <c r="B1029" s="310"/>
      <c r="C1029" s="311"/>
      <c r="D1029" s="518"/>
      <c r="E1029" s="409"/>
      <c r="F1029" s="312"/>
      <c r="G1029" s="522"/>
      <c r="H1029" s="312"/>
      <c r="I1029" s="455"/>
      <c r="J1029" s="271" t="b">
        <f>Age_Sex23[[#This Row],[Total Spending After Applying Truncation at the Member Level]]+Age_Sex23[[#This Row],[Total Dollars Excluded from Spending After Applying Truncation at the Member Level]]=Age_Sex23[[#This Row],[Total Spending before Truncation is Applied]]</f>
        <v>1</v>
      </c>
    </row>
    <row r="1030" spans="1:10" x14ac:dyDescent="0.25">
      <c r="A1030" s="389"/>
      <c r="B1030" s="4"/>
      <c r="C1030" s="16"/>
      <c r="D1030" s="519"/>
      <c r="E1030" s="410"/>
      <c r="F1030" s="313"/>
      <c r="G1030" s="256"/>
      <c r="H1030" s="313"/>
      <c r="I1030" s="456"/>
      <c r="J1030" s="271" t="b">
        <f>Age_Sex23[[#This Row],[Total Spending After Applying Truncation at the Member Level]]+Age_Sex23[[#This Row],[Total Dollars Excluded from Spending After Applying Truncation at the Member Level]]=Age_Sex23[[#This Row],[Total Spending before Truncation is Applied]]</f>
        <v>1</v>
      </c>
    </row>
    <row r="1031" spans="1:10" x14ac:dyDescent="0.25">
      <c r="A1031" s="386"/>
      <c r="B1031" s="310"/>
      <c r="C1031" s="311"/>
      <c r="D1031" s="518"/>
      <c r="E1031" s="409"/>
      <c r="F1031" s="312"/>
      <c r="G1031" s="522"/>
      <c r="H1031" s="312"/>
      <c r="I1031" s="455"/>
      <c r="J1031" s="271" t="b">
        <f>Age_Sex23[[#This Row],[Total Spending After Applying Truncation at the Member Level]]+Age_Sex23[[#This Row],[Total Dollars Excluded from Spending After Applying Truncation at the Member Level]]=Age_Sex23[[#This Row],[Total Spending before Truncation is Applied]]</f>
        <v>1</v>
      </c>
    </row>
    <row r="1032" spans="1:10" x14ac:dyDescent="0.25">
      <c r="A1032" s="389"/>
      <c r="B1032" s="4"/>
      <c r="C1032" s="16"/>
      <c r="D1032" s="519"/>
      <c r="E1032" s="410"/>
      <c r="F1032" s="313"/>
      <c r="G1032" s="256"/>
      <c r="H1032" s="313"/>
      <c r="I1032" s="456"/>
      <c r="J1032" s="271" t="b">
        <f>Age_Sex23[[#This Row],[Total Spending After Applying Truncation at the Member Level]]+Age_Sex23[[#This Row],[Total Dollars Excluded from Spending After Applying Truncation at the Member Level]]=Age_Sex23[[#This Row],[Total Spending before Truncation is Applied]]</f>
        <v>1</v>
      </c>
    </row>
    <row r="1033" spans="1:10" x14ac:dyDescent="0.25">
      <c r="A1033" s="386"/>
      <c r="B1033" s="310"/>
      <c r="C1033" s="311"/>
      <c r="D1033" s="518"/>
      <c r="E1033" s="409"/>
      <c r="F1033" s="312"/>
      <c r="G1033" s="522"/>
      <c r="H1033" s="312"/>
      <c r="I1033" s="455"/>
      <c r="J1033" s="271" t="b">
        <f>Age_Sex23[[#This Row],[Total Spending After Applying Truncation at the Member Level]]+Age_Sex23[[#This Row],[Total Dollars Excluded from Spending After Applying Truncation at the Member Level]]=Age_Sex23[[#This Row],[Total Spending before Truncation is Applied]]</f>
        <v>1</v>
      </c>
    </row>
    <row r="1034" spans="1:10" x14ac:dyDescent="0.25">
      <c r="A1034" s="389"/>
      <c r="B1034" s="4"/>
      <c r="C1034" s="16"/>
      <c r="D1034" s="519"/>
      <c r="E1034" s="410"/>
      <c r="F1034" s="313"/>
      <c r="G1034" s="256"/>
      <c r="H1034" s="313"/>
      <c r="I1034" s="456"/>
      <c r="J1034" s="271" t="b">
        <f>Age_Sex23[[#This Row],[Total Spending After Applying Truncation at the Member Level]]+Age_Sex23[[#This Row],[Total Dollars Excluded from Spending After Applying Truncation at the Member Level]]=Age_Sex23[[#This Row],[Total Spending before Truncation is Applied]]</f>
        <v>1</v>
      </c>
    </row>
    <row r="1035" spans="1:10" x14ac:dyDescent="0.25">
      <c r="A1035" s="386"/>
      <c r="B1035" s="310"/>
      <c r="C1035" s="311"/>
      <c r="D1035" s="518"/>
      <c r="E1035" s="409"/>
      <c r="F1035" s="312"/>
      <c r="G1035" s="522"/>
      <c r="H1035" s="312"/>
      <c r="I1035" s="455"/>
      <c r="J1035" s="271" t="b">
        <f>Age_Sex23[[#This Row],[Total Spending After Applying Truncation at the Member Level]]+Age_Sex23[[#This Row],[Total Dollars Excluded from Spending After Applying Truncation at the Member Level]]=Age_Sex23[[#This Row],[Total Spending before Truncation is Applied]]</f>
        <v>1</v>
      </c>
    </row>
    <row r="1036" spans="1:10" x14ac:dyDescent="0.25">
      <c r="A1036" s="389"/>
      <c r="B1036" s="4"/>
      <c r="C1036" s="16"/>
      <c r="D1036" s="519"/>
      <c r="E1036" s="410"/>
      <c r="F1036" s="313"/>
      <c r="G1036" s="256"/>
      <c r="H1036" s="313"/>
      <c r="I1036" s="456"/>
      <c r="J1036" s="271" t="b">
        <f>Age_Sex23[[#This Row],[Total Spending After Applying Truncation at the Member Level]]+Age_Sex23[[#This Row],[Total Dollars Excluded from Spending After Applying Truncation at the Member Level]]=Age_Sex23[[#This Row],[Total Spending before Truncation is Applied]]</f>
        <v>1</v>
      </c>
    </row>
    <row r="1037" spans="1:10" x14ac:dyDescent="0.25">
      <c r="A1037" s="386"/>
      <c r="B1037" s="310"/>
      <c r="C1037" s="311"/>
      <c r="D1037" s="518"/>
      <c r="E1037" s="409"/>
      <c r="F1037" s="312"/>
      <c r="G1037" s="522"/>
      <c r="H1037" s="312"/>
      <c r="I1037" s="455"/>
      <c r="J1037" s="271" t="b">
        <f>Age_Sex23[[#This Row],[Total Spending After Applying Truncation at the Member Level]]+Age_Sex23[[#This Row],[Total Dollars Excluded from Spending After Applying Truncation at the Member Level]]=Age_Sex23[[#This Row],[Total Spending before Truncation is Applied]]</f>
        <v>1</v>
      </c>
    </row>
    <row r="1038" spans="1:10" x14ac:dyDescent="0.25">
      <c r="A1038" s="389"/>
      <c r="B1038" s="4"/>
      <c r="C1038" s="16"/>
      <c r="D1038" s="519"/>
      <c r="E1038" s="410"/>
      <c r="F1038" s="313"/>
      <c r="G1038" s="256"/>
      <c r="H1038" s="313"/>
      <c r="I1038" s="456"/>
      <c r="J1038" s="271" t="b">
        <f>Age_Sex23[[#This Row],[Total Spending After Applying Truncation at the Member Level]]+Age_Sex23[[#This Row],[Total Dollars Excluded from Spending After Applying Truncation at the Member Level]]=Age_Sex23[[#This Row],[Total Spending before Truncation is Applied]]</f>
        <v>1</v>
      </c>
    </row>
    <row r="1039" spans="1:10" x14ac:dyDescent="0.25">
      <c r="A1039" s="386"/>
      <c r="B1039" s="310"/>
      <c r="C1039" s="311"/>
      <c r="D1039" s="518"/>
      <c r="E1039" s="409"/>
      <c r="F1039" s="312"/>
      <c r="G1039" s="522"/>
      <c r="H1039" s="312"/>
      <c r="I1039" s="455"/>
      <c r="J1039" s="271" t="b">
        <f>Age_Sex23[[#This Row],[Total Spending After Applying Truncation at the Member Level]]+Age_Sex23[[#This Row],[Total Dollars Excluded from Spending After Applying Truncation at the Member Level]]=Age_Sex23[[#This Row],[Total Spending before Truncation is Applied]]</f>
        <v>1</v>
      </c>
    </row>
    <row r="1040" spans="1:10" x14ac:dyDescent="0.25">
      <c r="A1040" s="389"/>
      <c r="B1040" s="4"/>
      <c r="C1040" s="16"/>
      <c r="D1040" s="519"/>
      <c r="E1040" s="410"/>
      <c r="F1040" s="313"/>
      <c r="G1040" s="256"/>
      <c r="H1040" s="313"/>
      <c r="I1040" s="456"/>
      <c r="J1040" s="271" t="b">
        <f>Age_Sex23[[#This Row],[Total Spending After Applying Truncation at the Member Level]]+Age_Sex23[[#This Row],[Total Dollars Excluded from Spending After Applying Truncation at the Member Level]]=Age_Sex23[[#This Row],[Total Spending before Truncation is Applied]]</f>
        <v>1</v>
      </c>
    </row>
    <row r="1041" spans="1:10" x14ac:dyDescent="0.25">
      <c r="A1041" s="386"/>
      <c r="B1041" s="310"/>
      <c r="C1041" s="311"/>
      <c r="D1041" s="518"/>
      <c r="E1041" s="409"/>
      <c r="F1041" s="312"/>
      <c r="G1041" s="522"/>
      <c r="H1041" s="312"/>
      <c r="I1041" s="455"/>
      <c r="J1041" s="271" t="b">
        <f>Age_Sex23[[#This Row],[Total Spending After Applying Truncation at the Member Level]]+Age_Sex23[[#This Row],[Total Dollars Excluded from Spending After Applying Truncation at the Member Level]]=Age_Sex23[[#This Row],[Total Spending before Truncation is Applied]]</f>
        <v>1</v>
      </c>
    </row>
    <row r="1042" spans="1:10" x14ac:dyDescent="0.25">
      <c r="A1042" s="389"/>
      <c r="B1042" s="4"/>
      <c r="C1042" s="16"/>
      <c r="D1042" s="519"/>
      <c r="E1042" s="410"/>
      <c r="F1042" s="313"/>
      <c r="G1042" s="256"/>
      <c r="H1042" s="313"/>
      <c r="I1042" s="456"/>
      <c r="J1042" s="271" t="b">
        <f>Age_Sex23[[#This Row],[Total Spending After Applying Truncation at the Member Level]]+Age_Sex23[[#This Row],[Total Dollars Excluded from Spending After Applying Truncation at the Member Level]]=Age_Sex23[[#This Row],[Total Spending before Truncation is Applied]]</f>
        <v>1</v>
      </c>
    </row>
    <row r="1043" spans="1:10" x14ac:dyDescent="0.25">
      <c r="A1043" s="386"/>
      <c r="B1043" s="310"/>
      <c r="C1043" s="311"/>
      <c r="D1043" s="518"/>
      <c r="E1043" s="409"/>
      <c r="F1043" s="312"/>
      <c r="G1043" s="522"/>
      <c r="H1043" s="312"/>
      <c r="I1043" s="455"/>
      <c r="J1043" s="271" t="b">
        <f>Age_Sex23[[#This Row],[Total Spending After Applying Truncation at the Member Level]]+Age_Sex23[[#This Row],[Total Dollars Excluded from Spending After Applying Truncation at the Member Level]]=Age_Sex23[[#This Row],[Total Spending before Truncation is Applied]]</f>
        <v>1</v>
      </c>
    </row>
    <row r="1044" spans="1:10" x14ac:dyDescent="0.25">
      <c r="A1044" s="389"/>
      <c r="B1044" s="4"/>
      <c r="C1044" s="16"/>
      <c r="D1044" s="519"/>
      <c r="E1044" s="410"/>
      <c r="F1044" s="313"/>
      <c r="G1044" s="256"/>
      <c r="H1044" s="313"/>
      <c r="I1044" s="456"/>
      <c r="J1044" s="271" t="b">
        <f>Age_Sex23[[#This Row],[Total Spending After Applying Truncation at the Member Level]]+Age_Sex23[[#This Row],[Total Dollars Excluded from Spending After Applying Truncation at the Member Level]]=Age_Sex23[[#This Row],[Total Spending before Truncation is Applied]]</f>
        <v>1</v>
      </c>
    </row>
    <row r="1045" spans="1:10" x14ac:dyDescent="0.25">
      <c r="A1045" s="386"/>
      <c r="B1045" s="310"/>
      <c r="C1045" s="311"/>
      <c r="D1045" s="518"/>
      <c r="E1045" s="409"/>
      <c r="F1045" s="312"/>
      <c r="G1045" s="522"/>
      <c r="H1045" s="312"/>
      <c r="I1045" s="455"/>
      <c r="J1045" s="271" t="b">
        <f>Age_Sex23[[#This Row],[Total Spending After Applying Truncation at the Member Level]]+Age_Sex23[[#This Row],[Total Dollars Excluded from Spending After Applying Truncation at the Member Level]]=Age_Sex23[[#This Row],[Total Spending before Truncation is Applied]]</f>
        <v>1</v>
      </c>
    </row>
    <row r="1046" spans="1:10" x14ac:dyDescent="0.25">
      <c r="A1046" s="389"/>
      <c r="B1046" s="4"/>
      <c r="C1046" s="16"/>
      <c r="D1046" s="519"/>
      <c r="E1046" s="410"/>
      <c r="F1046" s="313"/>
      <c r="G1046" s="256"/>
      <c r="H1046" s="313"/>
      <c r="I1046" s="456"/>
      <c r="J1046" s="271" t="b">
        <f>Age_Sex23[[#This Row],[Total Spending After Applying Truncation at the Member Level]]+Age_Sex23[[#This Row],[Total Dollars Excluded from Spending After Applying Truncation at the Member Level]]=Age_Sex23[[#This Row],[Total Spending before Truncation is Applied]]</f>
        <v>1</v>
      </c>
    </row>
    <row r="1047" spans="1:10" x14ac:dyDescent="0.25">
      <c r="A1047" s="386"/>
      <c r="B1047" s="310"/>
      <c r="C1047" s="311"/>
      <c r="D1047" s="518"/>
      <c r="E1047" s="409"/>
      <c r="F1047" s="312"/>
      <c r="G1047" s="522"/>
      <c r="H1047" s="312"/>
      <c r="I1047" s="455"/>
      <c r="J1047" s="271" t="b">
        <f>Age_Sex23[[#This Row],[Total Spending After Applying Truncation at the Member Level]]+Age_Sex23[[#This Row],[Total Dollars Excluded from Spending After Applying Truncation at the Member Level]]=Age_Sex23[[#This Row],[Total Spending before Truncation is Applied]]</f>
        <v>1</v>
      </c>
    </row>
    <row r="1048" spans="1:10" x14ac:dyDescent="0.25">
      <c r="A1048" s="389"/>
      <c r="B1048" s="4"/>
      <c r="C1048" s="16"/>
      <c r="D1048" s="519"/>
      <c r="E1048" s="410"/>
      <c r="F1048" s="313"/>
      <c r="G1048" s="256"/>
      <c r="H1048" s="313"/>
      <c r="I1048" s="456"/>
      <c r="J1048" s="271" t="b">
        <f>Age_Sex23[[#This Row],[Total Spending After Applying Truncation at the Member Level]]+Age_Sex23[[#This Row],[Total Dollars Excluded from Spending After Applying Truncation at the Member Level]]=Age_Sex23[[#This Row],[Total Spending before Truncation is Applied]]</f>
        <v>1</v>
      </c>
    </row>
    <row r="1049" spans="1:10" x14ac:dyDescent="0.25">
      <c r="A1049" s="386"/>
      <c r="B1049" s="310"/>
      <c r="C1049" s="311"/>
      <c r="D1049" s="518"/>
      <c r="E1049" s="409"/>
      <c r="F1049" s="312"/>
      <c r="G1049" s="522"/>
      <c r="H1049" s="312"/>
      <c r="I1049" s="455"/>
      <c r="J1049" s="271" t="b">
        <f>Age_Sex23[[#This Row],[Total Spending After Applying Truncation at the Member Level]]+Age_Sex23[[#This Row],[Total Dollars Excluded from Spending After Applying Truncation at the Member Level]]=Age_Sex23[[#This Row],[Total Spending before Truncation is Applied]]</f>
        <v>1</v>
      </c>
    </row>
    <row r="1050" spans="1:10" x14ac:dyDescent="0.25">
      <c r="A1050" s="389"/>
      <c r="B1050" s="4"/>
      <c r="C1050" s="16"/>
      <c r="D1050" s="519"/>
      <c r="E1050" s="410"/>
      <c r="F1050" s="313"/>
      <c r="G1050" s="256"/>
      <c r="H1050" s="313"/>
      <c r="I1050" s="456"/>
      <c r="J1050" s="271" t="b">
        <f>Age_Sex23[[#This Row],[Total Spending After Applying Truncation at the Member Level]]+Age_Sex23[[#This Row],[Total Dollars Excluded from Spending After Applying Truncation at the Member Level]]=Age_Sex23[[#This Row],[Total Spending before Truncation is Applied]]</f>
        <v>1</v>
      </c>
    </row>
    <row r="1051" spans="1:10" x14ac:dyDescent="0.25">
      <c r="A1051" s="386"/>
      <c r="B1051" s="310"/>
      <c r="C1051" s="311"/>
      <c r="D1051" s="518"/>
      <c r="E1051" s="409"/>
      <c r="F1051" s="312"/>
      <c r="G1051" s="522"/>
      <c r="H1051" s="312"/>
      <c r="I1051" s="455"/>
      <c r="J1051" s="271" t="b">
        <f>Age_Sex23[[#This Row],[Total Spending After Applying Truncation at the Member Level]]+Age_Sex23[[#This Row],[Total Dollars Excluded from Spending After Applying Truncation at the Member Level]]=Age_Sex23[[#This Row],[Total Spending before Truncation is Applied]]</f>
        <v>1</v>
      </c>
    </row>
    <row r="1052" spans="1:10" x14ac:dyDescent="0.25">
      <c r="A1052" s="389"/>
      <c r="B1052" s="4"/>
      <c r="C1052" s="16"/>
      <c r="D1052" s="519"/>
      <c r="E1052" s="410"/>
      <c r="F1052" s="313"/>
      <c r="G1052" s="256"/>
      <c r="H1052" s="313"/>
      <c r="I1052" s="456"/>
      <c r="J1052" s="271" t="b">
        <f>Age_Sex23[[#This Row],[Total Spending After Applying Truncation at the Member Level]]+Age_Sex23[[#This Row],[Total Dollars Excluded from Spending After Applying Truncation at the Member Level]]=Age_Sex23[[#This Row],[Total Spending before Truncation is Applied]]</f>
        <v>1</v>
      </c>
    </row>
    <row r="1053" spans="1:10" x14ac:dyDescent="0.25">
      <c r="A1053" s="386"/>
      <c r="B1053" s="310"/>
      <c r="C1053" s="311"/>
      <c r="D1053" s="518"/>
      <c r="E1053" s="409"/>
      <c r="F1053" s="312"/>
      <c r="G1053" s="522"/>
      <c r="H1053" s="312"/>
      <c r="I1053" s="455"/>
      <c r="J1053" s="271" t="b">
        <f>Age_Sex23[[#This Row],[Total Spending After Applying Truncation at the Member Level]]+Age_Sex23[[#This Row],[Total Dollars Excluded from Spending After Applying Truncation at the Member Level]]=Age_Sex23[[#This Row],[Total Spending before Truncation is Applied]]</f>
        <v>1</v>
      </c>
    </row>
    <row r="1054" spans="1:10" x14ac:dyDescent="0.25">
      <c r="A1054" s="389"/>
      <c r="B1054" s="4"/>
      <c r="C1054" s="16"/>
      <c r="D1054" s="519"/>
      <c r="E1054" s="410"/>
      <c r="F1054" s="313"/>
      <c r="G1054" s="256"/>
      <c r="H1054" s="313"/>
      <c r="I1054" s="456"/>
      <c r="J1054" s="271" t="b">
        <f>Age_Sex23[[#This Row],[Total Spending After Applying Truncation at the Member Level]]+Age_Sex23[[#This Row],[Total Dollars Excluded from Spending After Applying Truncation at the Member Level]]=Age_Sex23[[#This Row],[Total Spending before Truncation is Applied]]</f>
        <v>1</v>
      </c>
    </row>
    <row r="1055" spans="1:10" x14ac:dyDescent="0.25">
      <c r="A1055" s="386"/>
      <c r="B1055" s="310"/>
      <c r="C1055" s="311"/>
      <c r="D1055" s="518"/>
      <c r="E1055" s="409"/>
      <c r="F1055" s="312"/>
      <c r="G1055" s="522"/>
      <c r="H1055" s="312"/>
      <c r="I1055" s="455"/>
      <c r="J1055" s="271" t="b">
        <f>Age_Sex23[[#This Row],[Total Spending After Applying Truncation at the Member Level]]+Age_Sex23[[#This Row],[Total Dollars Excluded from Spending After Applying Truncation at the Member Level]]=Age_Sex23[[#This Row],[Total Spending before Truncation is Applied]]</f>
        <v>1</v>
      </c>
    </row>
    <row r="1056" spans="1:10" x14ac:dyDescent="0.25">
      <c r="A1056" s="389"/>
      <c r="B1056" s="4"/>
      <c r="C1056" s="16"/>
      <c r="D1056" s="519"/>
      <c r="E1056" s="410"/>
      <c r="F1056" s="313"/>
      <c r="G1056" s="256"/>
      <c r="H1056" s="313"/>
      <c r="I1056" s="456"/>
      <c r="J1056" s="271" t="b">
        <f>Age_Sex23[[#This Row],[Total Spending After Applying Truncation at the Member Level]]+Age_Sex23[[#This Row],[Total Dollars Excluded from Spending After Applying Truncation at the Member Level]]=Age_Sex23[[#This Row],[Total Spending before Truncation is Applied]]</f>
        <v>1</v>
      </c>
    </row>
    <row r="1057" spans="1:10" x14ac:dyDescent="0.25">
      <c r="A1057" s="386"/>
      <c r="B1057" s="310"/>
      <c r="C1057" s="311"/>
      <c r="D1057" s="518"/>
      <c r="E1057" s="409"/>
      <c r="F1057" s="312"/>
      <c r="G1057" s="522"/>
      <c r="H1057" s="312"/>
      <c r="I1057" s="455"/>
      <c r="J1057" s="271" t="b">
        <f>Age_Sex23[[#This Row],[Total Spending After Applying Truncation at the Member Level]]+Age_Sex23[[#This Row],[Total Dollars Excluded from Spending After Applying Truncation at the Member Level]]=Age_Sex23[[#This Row],[Total Spending before Truncation is Applied]]</f>
        <v>1</v>
      </c>
    </row>
    <row r="1058" spans="1:10" x14ac:dyDescent="0.25">
      <c r="A1058" s="389"/>
      <c r="B1058" s="4"/>
      <c r="C1058" s="16"/>
      <c r="D1058" s="519"/>
      <c r="E1058" s="410"/>
      <c r="F1058" s="313"/>
      <c r="G1058" s="256"/>
      <c r="H1058" s="313"/>
      <c r="I1058" s="456"/>
      <c r="J1058" s="271" t="b">
        <f>Age_Sex23[[#This Row],[Total Spending After Applying Truncation at the Member Level]]+Age_Sex23[[#This Row],[Total Dollars Excluded from Spending After Applying Truncation at the Member Level]]=Age_Sex23[[#This Row],[Total Spending before Truncation is Applied]]</f>
        <v>1</v>
      </c>
    </row>
    <row r="1059" spans="1:10" x14ac:dyDescent="0.25">
      <c r="A1059" s="386"/>
      <c r="B1059" s="310"/>
      <c r="C1059" s="311"/>
      <c r="D1059" s="518"/>
      <c r="E1059" s="409"/>
      <c r="F1059" s="312"/>
      <c r="G1059" s="522"/>
      <c r="H1059" s="312"/>
      <c r="I1059" s="455"/>
      <c r="J1059" s="271" t="b">
        <f>Age_Sex23[[#This Row],[Total Spending After Applying Truncation at the Member Level]]+Age_Sex23[[#This Row],[Total Dollars Excluded from Spending After Applying Truncation at the Member Level]]=Age_Sex23[[#This Row],[Total Spending before Truncation is Applied]]</f>
        <v>1</v>
      </c>
    </row>
    <row r="1060" spans="1:10" x14ac:dyDescent="0.25">
      <c r="A1060" s="389"/>
      <c r="B1060" s="4"/>
      <c r="C1060" s="16"/>
      <c r="D1060" s="519"/>
      <c r="E1060" s="410"/>
      <c r="F1060" s="313"/>
      <c r="G1060" s="256"/>
      <c r="H1060" s="313"/>
      <c r="I1060" s="456"/>
      <c r="J1060" s="271" t="b">
        <f>Age_Sex23[[#This Row],[Total Spending After Applying Truncation at the Member Level]]+Age_Sex23[[#This Row],[Total Dollars Excluded from Spending After Applying Truncation at the Member Level]]=Age_Sex23[[#This Row],[Total Spending before Truncation is Applied]]</f>
        <v>1</v>
      </c>
    </row>
    <row r="1061" spans="1:10" x14ac:dyDescent="0.25">
      <c r="A1061" s="386"/>
      <c r="B1061" s="310"/>
      <c r="C1061" s="311"/>
      <c r="D1061" s="518"/>
      <c r="E1061" s="409"/>
      <c r="F1061" s="312"/>
      <c r="G1061" s="522"/>
      <c r="H1061" s="312"/>
      <c r="I1061" s="455"/>
      <c r="J1061" s="271" t="b">
        <f>Age_Sex23[[#This Row],[Total Spending After Applying Truncation at the Member Level]]+Age_Sex23[[#This Row],[Total Dollars Excluded from Spending After Applying Truncation at the Member Level]]=Age_Sex23[[#This Row],[Total Spending before Truncation is Applied]]</f>
        <v>1</v>
      </c>
    </row>
    <row r="1062" spans="1:10" x14ac:dyDescent="0.25">
      <c r="A1062" s="389"/>
      <c r="B1062" s="4"/>
      <c r="C1062" s="16"/>
      <c r="D1062" s="519"/>
      <c r="E1062" s="410"/>
      <c r="F1062" s="313"/>
      <c r="G1062" s="256"/>
      <c r="H1062" s="313"/>
      <c r="I1062" s="456"/>
      <c r="J1062" s="271" t="b">
        <f>Age_Sex23[[#This Row],[Total Spending After Applying Truncation at the Member Level]]+Age_Sex23[[#This Row],[Total Dollars Excluded from Spending After Applying Truncation at the Member Level]]=Age_Sex23[[#This Row],[Total Spending before Truncation is Applied]]</f>
        <v>1</v>
      </c>
    </row>
    <row r="1063" spans="1:10" x14ac:dyDescent="0.25">
      <c r="A1063" s="386"/>
      <c r="B1063" s="310"/>
      <c r="C1063" s="311"/>
      <c r="D1063" s="518"/>
      <c r="E1063" s="409"/>
      <c r="F1063" s="312"/>
      <c r="G1063" s="522"/>
      <c r="H1063" s="312"/>
      <c r="I1063" s="455"/>
      <c r="J1063" s="271" t="b">
        <f>Age_Sex23[[#This Row],[Total Spending After Applying Truncation at the Member Level]]+Age_Sex23[[#This Row],[Total Dollars Excluded from Spending After Applying Truncation at the Member Level]]=Age_Sex23[[#This Row],[Total Spending before Truncation is Applied]]</f>
        <v>1</v>
      </c>
    </row>
    <row r="1064" spans="1:10" x14ac:dyDescent="0.25">
      <c r="A1064" s="389"/>
      <c r="B1064" s="4"/>
      <c r="C1064" s="16"/>
      <c r="D1064" s="519"/>
      <c r="E1064" s="410"/>
      <c r="F1064" s="313"/>
      <c r="G1064" s="256"/>
      <c r="H1064" s="313"/>
      <c r="I1064" s="456"/>
      <c r="J1064" s="271" t="b">
        <f>Age_Sex23[[#This Row],[Total Spending After Applying Truncation at the Member Level]]+Age_Sex23[[#This Row],[Total Dollars Excluded from Spending After Applying Truncation at the Member Level]]=Age_Sex23[[#This Row],[Total Spending before Truncation is Applied]]</f>
        <v>1</v>
      </c>
    </row>
    <row r="1065" spans="1:10" x14ac:dyDescent="0.25">
      <c r="A1065" s="386"/>
      <c r="B1065" s="310"/>
      <c r="C1065" s="311"/>
      <c r="D1065" s="518"/>
      <c r="E1065" s="409"/>
      <c r="F1065" s="312"/>
      <c r="G1065" s="522"/>
      <c r="H1065" s="312"/>
      <c r="I1065" s="455"/>
      <c r="J1065" s="271" t="b">
        <f>Age_Sex23[[#This Row],[Total Spending After Applying Truncation at the Member Level]]+Age_Sex23[[#This Row],[Total Dollars Excluded from Spending After Applying Truncation at the Member Level]]=Age_Sex23[[#This Row],[Total Spending before Truncation is Applied]]</f>
        <v>1</v>
      </c>
    </row>
    <row r="1066" spans="1:10" x14ac:dyDescent="0.25">
      <c r="A1066" s="389"/>
      <c r="B1066" s="4"/>
      <c r="C1066" s="16"/>
      <c r="D1066" s="519"/>
      <c r="E1066" s="410"/>
      <c r="F1066" s="313"/>
      <c r="G1066" s="256"/>
      <c r="H1066" s="313"/>
      <c r="I1066" s="456"/>
      <c r="J1066" s="271" t="b">
        <f>Age_Sex23[[#This Row],[Total Spending After Applying Truncation at the Member Level]]+Age_Sex23[[#This Row],[Total Dollars Excluded from Spending After Applying Truncation at the Member Level]]=Age_Sex23[[#This Row],[Total Spending before Truncation is Applied]]</f>
        <v>1</v>
      </c>
    </row>
    <row r="1067" spans="1:10" x14ac:dyDescent="0.25">
      <c r="A1067" s="386"/>
      <c r="B1067" s="310"/>
      <c r="C1067" s="311"/>
      <c r="D1067" s="518"/>
      <c r="E1067" s="409"/>
      <c r="F1067" s="312"/>
      <c r="G1067" s="522"/>
      <c r="H1067" s="312"/>
      <c r="I1067" s="455"/>
      <c r="J1067" s="271" t="b">
        <f>Age_Sex23[[#This Row],[Total Spending After Applying Truncation at the Member Level]]+Age_Sex23[[#This Row],[Total Dollars Excluded from Spending After Applying Truncation at the Member Level]]=Age_Sex23[[#This Row],[Total Spending before Truncation is Applied]]</f>
        <v>1</v>
      </c>
    </row>
    <row r="1068" spans="1:10" x14ac:dyDescent="0.25">
      <c r="A1068" s="389"/>
      <c r="B1068" s="4"/>
      <c r="C1068" s="16"/>
      <c r="D1068" s="519"/>
      <c r="E1068" s="410"/>
      <c r="F1068" s="313"/>
      <c r="G1068" s="256"/>
      <c r="H1068" s="313"/>
      <c r="I1068" s="456"/>
      <c r="J1068" s="271" t="b">
        <f>Age_Sex23[[#This Row],[Total Spending After Applying Truncation at the Member Level]]+Age_Sex23[[#This Row],[Total Dollars Excluded from Spending After Applying Truncation at the Member Level]]=Age_Sex23[[#This Row],[Total Spending before Truncation is Applied]]</f>
        <v>1</v>
      </c>
    </row>
    <row r="1069" spans="1:10" x14ac:dyDescent="0.25">
      <c r="A1069" s="386"/>
      <c r="B1069" s="310"/>
      <c r="C1069" s="311"/>
      <c r="D1069" s="518"/>
      <c r="E1069" s="409"/>
      <c r="F1069" s="312"/>
      <c r="G1069" s="522"/>
      <c r="H1069" s="312"/>
      <c r="I1069" s="455"/>
      <c r="J1069" s="271" t="b">
        <f>Age_Sex23[[#This Row],[Total Spending After Applying Truncation at the Member Level]]+Age_Sex23[[#This Row],[Total Dollars Excluded from Spending After Applying Truncation at the Member Level]]=Age_Sex23[[#This Row],[Total Spending before Truncation is Applied]]</f>
        <v>1</v>
      </c>
    </row>
    <row r="1070" spans="1:10" x14ac:dyDescent="0.25">
      <c r="A1070" s="389"/>
      <c r="B1070" s="4"/>
      <c r="C1070" s="16"/>
      <c r="D1070" s="519"/>
      <c r="E1070" s="410"/>
      <c r="F1070" s="313"/>
      <c r="G1070" s="256"/>
      <c r="H1070" s="313"/>
      <c r="I1070" s="456"/>
      <c r="J1070" s="271" t="b">
        <f>Age_Sex23[[#This Row],[Total Spending After Applying Truncation at the Member Level]]+Age_Sex23[[#This Row],[Total Dollars Excluded from Spending After Applying Truncation at the Member Level]]=Age_Sex23[[#This Row],[Total Spending before Truncation is Applied]]</f>
        <v>1</v>
      </c>
    </row>
    <row r="1071" spans="1:10" x14ac:dyDescent="0.25">
      <c r="A1071" s="386"/>
      <c r="B1071" s="310"/>
      <c r="C1071" s="311"/>
      <c r="D1071" s="518"/>
      <c r="E1071" s="409"/>
      <c r="F1071" s="312"/>
      <c r="G1071" s="522"/>
      <c r="H1071" s="312"/>
      <c r="I1071" s="455"/>
      <c r="J1071" s="271" t="b">
        <f>Age_Sex23[[#This Row],[Total Spending After Applying Truncation at the Member Level]]+Age_Sex23[[#This Row],[Total Dollars Excluded from Spending After Applying Truncation at the Member Level]]=Age_Sex23[[#This Row],[Total Spending before Truncation is Applied]]</f>
        <v>1</v>
      </c>
    </row>
    <row r="1072" spans="1:10" x14ac:dyDescent="0.25">
      <c r="A1072" s="389"/>
      <c r="B1072" s="4"/>
      <c r="C1072" s="16"/>
      <c r="D1072" s="519"/>
      <c r="E1072" s="410"/>
      <c r="F1072" s="313"/>
      <c r="G1072" s="256"/>
      <c r="H1072" s="313"/>
      <c r="I1072" s="456"/>
      <c r="J1072" s="271" t="b">
        <f>Age_Sex23[[#This Row],[Total Spending After Applying Truncation at the Member Level]]+Age_Sex23[[#This Row],[Total Dollars Excluded from Spending After Applying Truncation at the Member Level]]=Age_Sex23[[#This Row],[Total Spending before Truncation is Applied]]</f>
        <v>1</v>
      </c>
    </row>
    <row r="1073" spans="1:10" x14ac:dyDescent="0.25">
      <c r="A1073" s="386"/>
      <c r="B1073" s="310"/>
      <c r="C1073" s="311"/>
      <c r="D1073" s="518"/>
      <c r="E1073" s="409"/>
      <c r="F1073" s="312"/>
      <c r="G1073" s="522"/>
      <c r="H1073" s="312"/>
      <c r="I1073" s="455"/>
      <c r="J1073" s="271" t="b">
        <f>Age_Sex23[[#This Row],[Total Spending After Applying Truncation at the Member Level]]+Age_Sex23[[#This Row],[Total Dollars Excluded from Spending After Applying Truncation at the Member Level]]=Age_Sex23[[#This Row],[Total Spending before Truncation is Applied]]</f>
        <v>1</v>
      </c>
    </row>
    <row r="1074" spans="1:10" x14ac:dyDescent="0.25">
      <c r="A1074" s="389"/>
      <c r="B1074" s="4"/>
      <c r="C1074" s="16"/>
      <c r="D1074" s="519"/>
      <c r="E1074" s="410"/>
      <c r="F1074" s="313"/>
      <c r="G1074" s="256"/>
      <c r="H1074" s="313"/>
      <c r="I1074" s="456"/>
      <c r="J1074" s="271" t="b">
        <f>Age_Sex23[[#This Row],[Total Spending After Applying Truncation at the Member Level]]+Age_Sex23[[#This Row],[Total Dollars Excluded from Spending After Applying Truncation at the Member Level]]=Age_Sex23[[#This Row],[Total Spending before Truncation is Applied]]</f>
        <v>1</v>
      </c>
    </row>
    <row r="1075" spans="1:10" x14ac:dyDescent="0.25">
      <c r="A1075" s="386"/>
      <c r="B1075" s="310"/>
      <c r="C1075" s="311"/>
      <c r="D1075" s="518"/>
      <c r="E1075" s="409"/>
      <c r="F1075" s="312"/>
      <c r="G1075" s="522"/>
      <c r="H1075" s="312"/>
      <c r="I1075" s="455"/>
      <c r="J1075" s="271" t="b">
        <f>Age_Sex23[[#This Row],[Total Spending After Applying Truncation at the Member Level]]+Age_Sex23[[#This Row],[Total Dollars Excluded from Spending After Applying Truncation at the Member Level]]=Age_Sex23[[#This Row],[Total Spending before Truncation is Applied]]</f>
        <v>1</v>
      </c>
    </row>
    <row r="1076" spans="1:10" x14ac:dyDescent="0.25">
      <c r="A1076" s="389"/>
      <c r="B1076" s="4"/>
      <c r="C1076" s="16"/>
      <c r="D1076" s="519"/>
      <c r="E1076" s="410"/>
      <c r="F1076" s="313"/>
      <c r="G1076" s="256"/>
      <c r="H1076" s="313"/>
      <c r="I1076" s="456"/>
      <c r="J1076" s="271" t="b">
        <f>Age_Sex23[[#This Row],[Total Spending After Applying Truncation at the Member Level]]+Age_Sex23[[#This Row],[Total Dollars Excluded from Spending After Applying Truncation at the Member Level]]=Age_Sex23[[#This Row],[Total Spending before Truncation is Applied]]</f>
        <v>1</v>
      </c>
    </row>
    <row r="1077" spans="1:10" x14ac:dyDescent="0.25">
      <c r="A1077" s="386"/>
      <c r="B1077" s="310"/>
      <c r="C1077" s="311"/>
      <c r="D1077" s="518"/>
      <c r="E1077" s="409"/>
      <c r="F1077" s="312"/>
      <c r="G1077" s="522"/>
      <c r="H1077" s="312"/>
      <c r="I1077" s="455"/>
      <c r="J1077" s="271" t="b">
        <f>Age_Sex23[[#This Row],[Total Spending After Applying Truncation at the Member Level]]+Age_Sex23[[#This Row],[Total Dollars Excluded from Spending After Applying Truncation at the Member Level]]=Age_Sex23[[#This Row],[Total Spending before Truncation is Applied]]</f>
        <v>1</v>
      </c>
    </row>
    <row r="1078" spans="1:10" x14ac:dyDescent="0.25">
      <c r="A1078" s="389"/>
      <c r="B1078" s="4"/>
      <c r="C1078" s="16"/>
      <c r="D1078" s="519"/>
      <c r="E1078" s="410"/>
      <c r="F1078" s="313"/>
      <c r="G1078" s="256"/>
      <c r="H1078" s="313"/>
      <c r="I1078" s="456"/>
      <c r="J1078" s="271" t="b">
        <f>Age_Sex23[[#This Row],[Total Spending After Applying Truncation at the Member Level]]+Age_Sex23[[#This Row],[Total Dollars Excluded from Spending After Applying Truncation at the Member Level]]=Age_Sex23[[#This Row],[Total Spending before Truncation is Applied]]</f>
        <v>1</v>
      </c>
    </row>
    <row r="1079" spans="1:10" x14ac:dyDescent="0.25">
      <c r="A1079" s="386"/>
      <c r="B1079" s="310"/>
      <c r="C1079" s="311"/>
      <c r="D1079" s="518"/>
      <c r="E1079" s="409"/>
      <c r="F1079" s="312"/>
      <c r="G1079" s="522"/>
      <c r="H1079" s="312"/>
      <c r="I1079" s="455"/>
      <c r="J1079" s="271" t="b">
        <f>Age_Sex23[[#This Row],[Total Spending After Applying Truncation at the Member Level]]+Age_Sex23[[#This Row],[Total Dollars Excluded from Spending After Applying Truncation at the Member Level]]=Age_Sex23[[#This Row],[Total Spending before Truncation is Applied]]</f>
        <v>1</v>
      </c>
    </row>
    <row r="1080" spans="1:10" x14ac:dyDescent="0.25">
      <c r="A1080" s="389"/>
      <c r="B1080" s="4"/>
      <c r="C1080" s="16"/>
      <c r="D1080" s="519"/>
      <c r="E1080" s="410"/>
      <c r="F1080" s="313"/>
      <c r="G1080" s="256"/>
      <c r="H1080" s="313"/>
      <c r="I1080" s="456"/>
      <c r="J1080" s="271" t="b">
        <f>Age_Sex23[[#This Row],[Total Spending After Applying Truncation at the Member Level]]+Age_Sex23[[#This Row],[Total Dollars Excluded from Spending After Applying Truncation at the Member Level]]=Age_Sex23[[#This Row],[Total Spending before Truncation is Applied]]</f>
        <v>1</v>
      </c>
    </row>
    <row r="1081" spans="1:10" x14ac:dyDescent="0.25">
      <c r="A1081" s="386"/>
      <c r="B1081" s="310"/>
      <c r="C1081" s="311"/>
      <c r="D1081" s="518"/>
      <c r="E1081" s="409"/>
      <c r="F1081" s="312"/>
      <c r="G1081" s="522"/>
      <c r="H1081" s="312"/>
      <c r="I1081" s="455"/>
      <c r="J1081" s="271" t="b">
        <f>Age_Sex23[[#This Row],[Total Spending After Applying Truncation at the Member Level]]+Age_Sex23[[#This Row],[Total Dollars Excluded from Spending After Applying Truncation at the Member Level]]=Age_Sex23[[#This Row],[Total Spending before Truncation is Applied]]</f>
        <v>1</v>
      </c>
    </row>
    <row r="1082" spans="1:10" x14ac:dyDescent="0.25">
      <c r="A1082" s="389"/>
      <c r="B1082" s="4"/>
      <c r="C1082" s="16"/>
      <c r="D1082" s="519"/>
      <c r="E1082" s="410"/>
      <c r="F1082" s="313"/>
      <c r="G1082" s="256"/>
      <c r="H1082" s="313"/>
      <c r="I1082" s="456"/>
      <c r="J1082" s="271" t="b">
        <f>Age_Sex23[[#This Row],[Total Spending After Applying Truncation at the Member Level]]+Age_Sex23[[#This Row],[Total Dollars Excluded from Spending After Applying Truncation at the Member Level]]=Age_Sex23[[#This Row],[Total Spending before Truncation is Applied]]</f>
        <v>1</v>
      </c>
    </row>
    <row r="1083" spans="1:10" x14ac:dyDescent="0.25">
      <c r="A1083" s="386"/>
      <c r="B1083" s="310"/>
      <c r="C1083" s="311"/>
      <c r="D1083" s="518"/>
      <c r="E1083" s="409"/>
      <c r="F1083" s="312"/>
      <c r="G1083" s="522"/>
      <c r="H1083" s="312"/>
      <c r="I1083" s="455"/>
      <c r="J1083" s="271" t="b">
        <f>Age_Sex23[[#This Row],[Total Spending After Applying Truncation at the Member Level]]+Age_Sex23[[#This Row],[Total Dollars Excluded from Spending After Applying Truncation at the Member Level]]=Age_Sex23[[#This Row],[Total Spending before Truncation is Applied]]</f>
        <v>1</v>
      </c>
    </row>
    <row r="1084" spans="1:10" x14ac:dyDescent="0.25">
      <c r="A1084" s="389"/>
      <c r="B1084" s="4"/>
      <c r="C1084" s="16"/>
      <c r="D1084" s="519"/>
      <c r="E1084" s="410"/>
      <c r="F1084" s="313"/>
      <c r="G1084" s="256"/>
      <c r="H1084" s="313"/>
      <c r="I1084" s="456"/>
      <c r="J1084" s="271" t="b">
        <f>Age_Sex23[[#This Row],[Total Spending After Applying Truncation at the Member Level]]+Age_Sex23[[#This Row],[Total Dollars Excluded from Spending After Applying Truncation at the Member Level]]=Age_Sex23[[#This Row],[Total Spending before Truncation is Applied]]</f>
        <v>1</v>
      </c>
    </row>
    <row r="1085" spans="1:10" x14ac:dyDescent="0.25">
      <c r="A1085" s="386"/>
      <c r="B1085" s="310"/>
      <c r="C1085" s="311"/>
      <c r="D1085" s="518"/>
      <c r="E1085" s="409"/>
      <c r="F1085" s="312"/>
      <c r="G1085" s="522"/>
      <c r="H1085" s="312"/>
      <c r="I1085" s="455"/>
      <c r="J1085" s="271" t="b">
        <f>Age_Sex23[[#This Row],[Total Spending After Applying Truncation at the Member Level]]+Age_Sex23[[#This Row],[Total Dollars Excluded from Spending After Applying Truncation at the Member Level]]=Age_Sex23[[#This Row],[Total Spending before Truncation is Applied]]</f>
        <v>1</v>
      </c>
    </row>
    <row r="1086" spans="1:10" x14ac:dyDescent="0.25">
      <c r="A1086" s="389"/>
      <c r="B1086" s="4"/>
      <c r="C1086" s="16"/>
      <c r="D1086" s="519"/>
      <c r="E1086" s="410"/>
      <c r="F1086" s="313"/>
      <c r="G1086" s="256"/>
      <c r="H1086" s="313"/>
      <c r="I1086" s="456"/>
      <c r="J1086" s="271" t="b">
        <f>Age_Sex23[[#This Row],[Total Spending After Applying Truncation at the Member Level]]+Age_Sex23[[#This Row],[Total Dollars Excluded from Spending After Applying Truncation at the Member Level]]=Age_Sex23[[#This Row],[Total Spending before Truncation is Applied]]</f>
        <v>1</v>
      </c>
    </row>
    <row r="1087" spans="1:10" x14ac:dyDescent="0.25">
      <c r="A1087" s="386"/>
      <c r="B1087" s="310"/>
      <c r="C1087" s="311"/>
      <c r="D1087" s="518"/>
      <c r="E1087" s="409"/>
      <c r="F1087" s="312"/>
      <c r="G1087" s="522"/>
      <c r="H1087" s="312"/>
      <c r="I1087" s="455"/>
      <c r="J1087" s="271" t="b">
        <f>Age_Sex23[[#This Row],[Total Spending After Applying Truncation at the Member Level]]+Age_Sex23[[#This Row],[Total Dollars Excluded from Spending After Applying Truncation at the Member Level]]=Age_Sex23[[#This Row],[Total Spending before Truncation is Applied]]</f>
        <v>1</v>
      </c>
    </row>
    <row r="1088" spans="1:10" x14ac:dyDescent="0.25">
      <c r="A1088" s="389"/>
      <c r="B1088" s="4"/>
      <c r="C1088" s="16"/>
      <c r="D1088" s="519"/>
      <c r="E1088" s="410"/>
      <c r="F1088" s="313"/>
      <c r="G1088" s="256"/>
      <c r="H1088" s="313"/>
      <c r="I1088" s="456"/>
      <c r="J1088" s="271" t="b">
        <f>Age_Sex23[[#This Row],[Total Spending After Applying Truncation at the Member Level]]+Age_Sex23[[#This Row],[Total Dollars Excluded from Spending After Applying Truncation at the Member Level]]=Age_Sex23[[#This Row],[Total Spending before Truncation is Applied]]</f>
        <v>1</v>
      </c>
    </row>
    <row r="1089" spans="1:10" x14ac:dyDescent="0.25">
      <c r="A1089" s="386"/>
      <c r="B1089" s="310"/>
      <c r="C1089" s="311"/>
      <c r="D1089" s="518"/>
      <c r="E1089" s="409"/>
      <c r="F1089" s="312"/>
      <c r="G1089" s="522"/>
      <c r="H1089" s="312"/>
      <c r="I1089" s="455"/>
      <c r="J1089" s="271" t="b">
        <f>Age_Sex23[[#This Row],[Total Spending After Applying Truncation at the Member Level]]+Age_Sex23[[#This Row],[Total Dollars Excluded from Spending After Applying Truncation at the Member Level]]=Age_Sex23[[#This Row],[Total Spending before Truncation is Applied]]</f>
        <v>1</v>
      </c>
    </row>
    <row r="1090" spans="1:10" x14ac:dyDescent="0.25">
      <c r="A1090" s="389"/>
      <c r="B1090" s="4"/>
      <c r="C1090" s="16"/>
      <c r="D1090" s="519"/>
      <c r="E1090" s="410"/>
      <c r="F1090" s="313"/>
      <c r="G1090" s="256"/>
      <c r="H1090" s="313"/>
      <c r="I1090" s="456"/>
      <c r="J1090" s="271" t="b">
        <f>Age_Sex23[[#This Row],[Total Spending After Applying Truncation at the Member Level]]+Age_Sex23[[#This Row],[Total Dollars Excluded from Spending After Applying Truncation at the Member Level]]=Age_Sex23[[#This Row],[Total Spending before Truncation is Applied]]</f>
        <v>1</v>
      </c>
    </row>
    <row r="1091" spans="1:10" x14ac:dyDescent="0.25">
      <c r="A1091" s="386"/>
      <c r="B1091" s="310"/>
      <c r="C1091" s="311"/>
      <c r="D1091" s="518"/>
      <c r="E1091" s="409"/>
      <c r="F1091" s="312"/>
      <c r="G1091" s="522"/>
      <c r="H1091" s="312"/>
      <c r="I1091" s="455"/>
      <c r="J1091" s="271" t="b">
        <f>Age_Sex23[[#This Row],[Total Spending After Applying Truncation at the Member Level]]+Age_Sex23[[#This Row],[Total Dollars Excluded from Spending After Applying Truncation at the Member Level]]=Age_Sex23[[#This Row],[Total Spending before Truncation is Applied]]</f>
        <v>1</v>
      </c>
    </row>
    <row r="1092" spans="1:10" x14ac:dyDescent="0.25">
      <c r="A1092" s="389"/>
      <c r="B1092" s="4"/>
      <c r="C1092" s="16"/>
      <c r="D1092" s="519"/>
      <c r="E1092" s="410"/>
      <c r="F1092" s="313"/>
      <c r="G1092" s="256"/>
      <c r="H1092" s="313"/>
      <c r="I1092" s="456"/>
      <c r="J1092" s="271" t="b">
        <f>Age_Sex23[[#This Row],[Total Spending After Applying Truncation at the Member Level]]+Age_Sex23[[#This Row],[Total Dollars Excluded from Spending After Applying Truncation at the Member Level]]=Age_Sex23[[#This Row],[Total Spending before Truncation is Applied]]</f>
        <v>1</v>
      </c>
    </row>
    <row r="1093" spans="1:10" x14ac:dyDescent="0.25">
      <c r="A1093" s="386"/>
      <c r="B1093" s="310"/>
      <c r="C1093" s="311"/>
      <c r="D1093" s="518"/>
      <c r="E1093" s="409"/>
      <c r="F1093" s="312"/>
      <c r="G1093" s="522"/>
      <c r="H1093" s="312"/>
      <c r="I1093" s="455"/>
      <c r="J1093" s="271" t="b">
        <f>Age_Sex23[[#This Row],[Total Spending After Applying Truncation at the Member Level]]+Age_Sex23[[#This Row],[Total Dollars Excluded from Spending After Applying Truncation at the Member Level]]=Age_Sex23[[#This Row],[Total Spending before Truncation is Applied]]</f>
        <v>1</v>
      </c>
    </row>
    <row r="1094" spans="1:10" x14ac:dyDescent="0.25">
      <c r="A1094" s="389"/>
      <c r="B1094" s="4"/>
      <c r="C1094" s="16"/>
      <c r="D1094" s="519"/>
      <c r="E1094" s="410"/>
      <c r="F1094" s="313"/>
      <c r="G1094" s="256"/>
      <c r="H1094" s="313"/>
      <c r="I1094" s="456"/>
      <c r="J1094" s="271" t="b">
        <f>Age_Sex23[[#This Row],[Total Spending After Applying Truncation at the Member Level]]+Age_Sex23[[#This Row],[Total Dollars Excluded from Spending After Applying Truncation at the Member Level]]=Age_Sex23[[#This Row],[Total Spending before Truncation is Applied]]</f>
        <v>1</v>
      </c>
    </row>
    <row r="1095" spans="1:10" x14ac:dyDescent="0.25">
      <c r="A1095" s="386"/>
      <c r="B1095" s="310"/>
      <c r="C1095" s="311"/>
      <c r="D1095" s="518"/>
      <c r="E1095" s="409"/>
      <c r="F1095" s="312"/>
      <c r="G1095" s="522"/>
      <c r="H1095" s="312"/>
      <c r="I1095" s="455"/>
      <c r="J1095" s="271" t="b">
        <f>Age_Sex23[[#This Row],[Total Spending After Applying Truncation at the Member Level]]+Age_Sex23[[#This Row],[Total Dollars Excluded from Spending After Applying Truncation at the Member Level]]=Age_Sex23[[#This Row],[Total Spending before Truncation is Applied]]</f>
        <v>1</v>
      </c>
    </row>
    <row r="1096" spans="1:10" x14ac:dyDescent="0.25">
      <c r="A1096" s="389"/>
      <c r="B1096" s="4"/>
      <c r="C1096" s="16"/>
      <c r="D1096" s="519"/>
      <c r="E1096" s="410"/>
      <c r="F1096" s="313"/>
      <c r="G1096" s="256"/>
      <c r="H1096" s="313"/>
      <c r="I1096" s="456"/>
      <c r="J1096" s="271" t="b">
        <f>Age_Sex23[[#This Row],[Total Spending After Applying Truncation at the Member Level]]+Age_Sex23[[#This Row],[Total Dollars Excluded from Spending After Applying Truncation at the Member Level]]=Age_Sex23[[#This Row],[Total Spending before Truncation is Applied]]</f>
        <v>1</v>
      </c>
    </row>
    <row r="1097" spans="1:10" x14ac:dyDescent="0.25">
      <c r="A1097" s="386"/>
      <c r="B1097" s="310"/>
      <c r="C1097" s="311"/>
      <c r="D1097" s="518"/>
      <c r="E1097" s="409"/>
      <c r="F1097" s="312"/>
      <c r="G1097" s="522"/>
      <c r="H1097" s="312"/>
      <c r="I1097" s="455"/>
      <c r="J1097" s="271" t="b">
        <f>Age_Sex23[[#This Row],[Total Spending After Applying Truncation at the Member Level]]+Age_Sex23[[#This Row],[Total Dollars Excluded from Spending After Applying Truncation at the Member Level]]=Age_Sex23[[#This Row],[Total Spending before Truncation is Applied]]</f>
        <v>1</v>
      </c>
    </row>
    <row r="1098" spans="1:10" x14ac:dyDescent="0.25">
      <c r="A1098" s="389"/>
      <c r="B1098" s="4"/>
      <c r="C1098" s="16"/>
      <c r="D1098" s="519"/>
      <c r="E1098" s="410"/>
      <c r="F1098" s="313"/>
      <c r="G1098" s="256"/>
      <c r="H1098" s="313"/>
      <c r="I1098" s="456"/>
      <c r="J1098" s="271" t="b">
        <f>Age_Sex23[[#This Row],[Total Spending After Applying Truncation at the Member Level]]+Age_Sex23[[#This Row],[Total Dollars Excluded from Spending After Applying Truncation at the Member Level]]=Age_Sex23[[#This Row],[Total Spending before Truncation is Applied]]</f>
        <v>1</v>
      </c>
    </row>
    <row r="1099" spans="1:10" x14ac:dyDescent="0.25">
      <c r="A1099" s="386"/>
      <c r="B1099" s="310"/>
      <c r="C1099" s="311"/>
      <c r="D1099" s="518"/>
      <c r="E1099" s="409"/>
      <c r="F1099" s="312"/>
      <c r="G1099" s="522"/>
      <c r="H1099" s="312"/>
      <c r="I1099" s="455"/>
      <c r="J1099" s="271" t="b">
        <f>Age_Sex23[[#This Row],[Total Spending After Applying Truncation at the Member Level]]+Age_Sex23[[#This Row],[Total Dollars Excluded from Spending After Applying Truncation at the Member Level]]=Age_Sex23[[#This Row],[Total Spending before Truncation is Applied]]</f>
        <v>1</v>
      </c>
    </row>
    <row r="1100" spans="1:10" x14ac:dyDescent="0.25">
      <c r="A1100" s="389"/>
      <c r="B1100" s="4"/>
      <c r="C1100" s="16"/>
      <c r="D1100" s="519"/>
      <c r="E1100" s="410"/>
      <c r="F1100" s="313"/>
      <c r="G1100" s="256"/>
      <c r="H1100" s="313"/>
      <c r="I1100" s="456"/>
      <c r="J1100" s="271" t="b">
        <f>Age_Sex23[[#This Row],[Total Spending After Applying Truncation at the Member Level]]+Age_Sex23[[#This Row],[Total Dollars Excluded from Spending After Applying Truncation at the Member Level]]=Age_Sex23[[#This Row],[Total Spending before Truncation is Applied]]</f>
        <v>1</v>
      </c>
    </row>
    <row r="1101" spans="1:10" x14ac:dyDescent="0.25">
      <c r="A1101" s="386"/>
      <c r="B1101" s="310"/>
      <c r="C1101" s="311"/>
      <c r="D1101" s="518"/>
      <c r="E1101" s="409"/>
      <c r="F1101" s="312"/>
      <c r="G1101" s="522"/>
      <c r="H1101" s="312"/>
      <c r="I1101" s="455"/>
      <c r="J1101" s="271" t="b">
        <f>Age_Sex23[[#This Row],[Total Spending After Applying Truncation at the Member Level]]+Age_Sex23[[#This Row],[Total Dollars Excluded from Spending After Applying Truncation at the Member Level]]=Age_Sex23[[#This Row],[Total Spending before Truncation is Applied]]</f>
        <v>1</v>
      </c>
    </row>
    <row r="1102" spans="1:10" x14ac:dyDescent="0.25">
      <c r="A1102" s="389"/>
      <c r="B1102" s="4"/>
      <c r="C1102" s="16"/>
      <c r="D1102" s="519"/>
      <c r="E1102" s="410"/>
      <c r="F1102" s="313"/>
      <c r="G1102" s="256"/>
      <c r="H1102" s="313"/>
      <c r="I1102" s="456"/>
      <c r="J1102" s="271" t="b">
        <f>Age_Sex23[[#This Row],[Total Spending After Applying Truncation at the Member Level]]+Age_Sex23[[#This Row],[Total Dollars Excluded from Spending After Applying Truncation at the Member Level]]=Age_Sex23[[#This Row],[Total Spending before Truncation is Applied]]</f>
        <v>1</v>
      </c>
    </row>
    <row r="1103" spans="1:10" x14ac:dyDescent="0.25">
      <c r="A1103" s="386"/>
      <c r="B1103" s="310"/>
      <c r="C1103" s="311"/>
      <c r="D1103" s="518"/>
      <c r="E1103" s="409"/>
      <c r="F1103" s="312"/>
      <c r="G1103" s="522"/>
      <c r="H1103" s="312"/>
      <c r="I1103" s="455"/>
      <c r="J1103" s="271" t="b">
        <f>Age_Sex23[[#This Row],[Total Spending After Applying Truncation at the Member Level]]+Age_Sex23[[#This Row],[Total Dollars Excluded from Spending After Applying Truncation at the Member Level]]=Age_Sex23[[#This Row],[Total Spending before Truncation is Applied]]</f>
        <v>1</v>
      </c>
    </row>
    <row r="1104" spans="1:10" x14ac:dyDescent="0.25">
      <c r="A1104" s="389"/>
      <c r="B1104" s="4"/>
      <c r="C1104" s="16"/>
      <c r="D1104" s="519"/>
      <c r="E1104" s="410"/>
      <c r="F1104" s="313"/>
      <c r="G1104" s="256"/>
      <c r="H1104" s="313"/>
      <c r="I1104" s="456"/>
      <c r="J1104" s="271" t="b">
        <f>Age_Sex23[[#This Row],[Total Spending After Applying Truncation at the Member Level]]+Age_Sex23[[#This Row],[Total Dollars Excluded from Spending After Applying Truncation at the Member Level]]=Age_Sex23[[#This Row],[Total Spending before Truncation is Applied]]</f>
        <v>1</v>
      </c>
    </row>
    <row r="1105" spans="1:10" x14ac:dyDescent="0.25">
      <c r="A1105" s="386"/>
      <c r="B1105" s="310"/>
      <c r="C1105" s="311"/>
      <c r="D1105" s="518"/>
      <c r="E1105" s="409"/>
      <c r="F1105" s="312"/>
      <c r="G1105" s="522"/>
      <c r="H1105" s="312"/>
      <c r="I1105" s="455"/>
      <c r="J1105" s="271" t="b">
        <f>Age_Sex23[[#This Row],[Total Spending After Applying Truncation at the Member Level]]+Age_Sex23[[#This Row],[Total Dollars Excluded from Spending After Applying Truncation at the Member Level]]=Age_Sex23[[#This Row],[Total Spending before Truncation is Applied]]</f>
        <v>1</v>
      </c>
    </row>
    <row r="1106" spans="1:10" x14ac:dyDescent="0.25">
      <c r="A1106" s="389"/>
      <c r="B1106" s="4"/>
      <c r="C1106" s="16"/>
      <c r="D1106" s="519"/>
      <c r="E1106" s="410"/>
      <c r="F1106" s="313"/>
      <c r="G1106" s="256"/>
      <c r="H1106" s="313"/>
      <c r="I1106" s="456"/>
      <c r="J1106" s="271" t="b">
        <f>Age_Sex23[[#This Row],[Total Spending After Applying Truncation at the Member Level]]+Age_Sex23[[#This Row],[Total Dollars Excluded from Spending After Applying Truncation at the Member Level]]=Age_Sex23[[#This Row],[Total Spending before Truncation is Applied]]</f>
        <v>1</v>
      </c>
    </row>
    <row r="1107" spans="1:10" x14ac:dyDescent="0.25">
      <c r="A1107" s="386"/>
      <c r="B1107" s="310"/>
      <c r="C1107" s="311"/>
      <c r="D1107" s="518"/>
      <c r="E1107" s="409"/>
      <c r="F1107" s="312"/>
      <c r="G1107" s="522"/>
      <c r="H1107" s="312"/>
      <c r="I1107" s="455"/>
      <c r="J1107" s="271" t="b">
        <f>Age_Sex23[[#This Row],[Total Spending After Applying Truncation at the Member Level]]+Age_Sex23[[#This Row],[Total Dollars Excluded from Spending After Applying Truncation at the Member Level]]=Age_Sex23[[#This Row],[Total Spending before Truncation is Applied]]</f>
        <v>1</v>
      </c>
    </row>
    <row r="1108" spans="1:10" x14ac:dyDescent="0.25">
      <c r="A1108" s="389"/>
      <c r="B1108" s="4"/>
      <c r="C1108" s="16"/>
      <c r="D1108" s="519"/>
      <c r="E1108" s="410"/>
      <c r="F1108" s="313"/>
      <c r="G1108" s="256"/>
      <c r="H1108" s="313"/>
      <c r="I1108" s="456"/>
      <c r="J1108" s="273" t="b">
        <f>Age_Sex23[[#This Row],[Total Spending After Applying Truncation at the Member Level]]+Age_Sex23[[#This Row],[Total Dollars Excluded from Spending After Applying Truncation at the Member Level]]=Age_Sex23[[#This Row],[Total Spending before Truncation is Applied]]</f>
        <v>1</v>
      </c>
    </row>
    <row r="1109" spans="1:10" x14ac:dyDescent="0.25">
      <c r="A1109" s="386"/>
      <c r="B1109" s="310"/>
      <c r="C1109" s="311"/>
      <c r="D1109" s="518"/>
      <c r="E1109" s="409"/>
      <c r="F1109" s="312"/>
      <c r="G1109" s="522"/>
      <c r="H1109" s="312"/>
      <c r="I1109" s="455"/>
      <c r="J1109" s="271" t="b">
        <f>Age_Sex23[[#This Row],[Total Spending After Applying Truncation at the Member Level]]+Age_Sex23[[#This Row],[Total Dollars Excluded from Spending After Applying Truncation at the Member Level]]=Age_Sex23[[#This Row],[Total Spending before Truncation is Applied]]</f>
        <v>1</v>
      </c>
    </row>
    <row r="1110" spans="1:10" x14ac:dyDescent="0.25">
      <c r="A1110" s="389"/>
      <c r="B1110" s="4"/>
      <c r="C1110" s="16"/>
      <c r="D1110" s="519"/>
      <c r="E1110" s="410"/>
      <c r="F1110" s="313"/>
      <c r="G1110" s="256"/>
      <c r="H1110" s="313"/>
      <c r="I1110" s="456"/>
      <c r="J1110" s="273" t="b">
        <f>Age_Sex23[[#This Row],[Total Spending After Applying Truncation at the Member Level]]+Age_Sex23[[#This Row],[Total Dollars Excluded from Spending After Applying Truncation at the Member Level]]=Age_Sex23[[#This Row],[Total Spending before Truncation is Applied]]</f>
        <v>1</v>
      </c>
    </row>
    <row r="1111" spans="1:10" x14ac:dyDescent="0.25">
      <c r="A1111" s="386"/>
      <c r="B1111" s="310"/>
      <c r="C1111" s="311"/>
      <c r="D1111" s="518"/>
      <c r="E1111" s="409"/>
      <c r="F1111" s="312"/>
      <c r="G1111" s="522"/>
      <c r="H1111" s="312"/>
      <c r="I1111" s="455"/>
      <c r="J1111" s="271" t="b">
        <f>Age_Sex23[[#This Row],[Total Spending After Applying Truncation at the Member Level]]+Age_Sex23[[#This Row],[Total Dollars Excluded from Spending After Applying Truncation at the Member Level]]=Age_Sex23[[#This Row],[Total Spending before Truncation is Applied]]</f>
        <v>1</v>
      </c>
    </row>
    <row r="1112" spans="1:10" x14ac:dyDescent="0.25">
      <c r="A1112" s="389"/>
      <c r="B1112" s="4"/>
      <c r="C1112" s="16"/>
      <c r="D1112" s="519"/>
      <c r="E1112" s="410"/>
      <c r="F1112" s="313"/>
      <c r="G1112" s="256"/>
      <c r="H1112" s="313"/>
      <c r="I1112" s="456"/>
      <c r="J1112" s="273" t="b">
        <f>Age_Sex23[[#This Row],[Total Spending After Applying Truncation at the Member Level]]+Age_Sex23[[#This Row],[Total Dollars Excluded from Spending After Applying Truncation at the Member Level]]=Age_Sex23[[#This Row],[Total Spending before Truncation is Applied]]</f>
        <v>1</v>
      </c>
    </row>
    <row r="1113" spans="1:10" x14ac:dyDescent="0.25">
      <c r="A1113" s="386"/>
      <c r="B1113" s="310"/>
      <c r="C1113" s="311"/>
      <c r="D1113" s="518"/>
      <c r="E1113" s="409"/>
      <c r="F1113" s="312"/>
      <c r="G1113" s="522"/>
      <c r="H1113" s="312"/>
      <c r="I1113" s="455"/>
      <c r="J1113" s="271" t="b">
        <f>Age_Sex23[[#This Row],[Total Spending After Applying Truncation at the Member Level]]+Age_Sex23[[#This Row],[Total Dollars Excluded from Spending After Applying Truncation at the Member Level]]=Age_Sex23[[#This Row],[Total Spending before Truncation is Applied]]</f>
        <v>1</v>
      </c>
    </row>
    <row r="1114" spans="1:10" x14ac:dyDescent="0.25">
      <c r="A1114" s="389"/>
      <c r="B1114" s="4"/>
      <c r="C1114" s="16"/>
      <c r="D1114" s="519"/>
      <c r="E1114" s="410"/>
      <c r="F1114" s="313"/>
      <c r="G1114" s="256"/>
      <c r="H1114" s="313"/>
      <c r="I1114" s="456"/>
      <c r="J1114" s="273" t="b">
        <f>Age_Sex23[[#This Row],[Total Spending After Applying Truncation at the Member Level]]+Age_Sex23[[#This Row],[Total Dollars Excluded from Spending After Applying Truncation at the Member Level]]=Age_Sex23[[#This Row],[Total Spending before Truncation is Applied]]</f>
        <v>1</v>
      </c>
    </row>
    <row r="1115" spans="1:10" x14ac:dyDescent="0.25">
      <c r="A1115" s="386"/>
      <c r="B1115" s="310"/>
      <c r="C1115" s="311"/>
      <c r="D1115" s="518"/>
      <c r="E1115" s="409"/>
      <c r="F1115" s="312"/>
      <c r="G1115" s="522"/>
      <c r="H1115" s="312"/>
      <c r="I1115" s="455"/>
      <c r="J1115" s="271" t="b">
        <f>Age_Sex23[[#This Row],[Total Spending After Applying Truncation at the Member Level]]+Age_Sex23[[#This Row],[Total Dollars Excluded from Spending After Applying Truncation at the Member Level]]=Age_Sex23[[#This Row],[Total Spending before Truncation is Applied]]</f>
        <v>1</v>
      </c>
    </row>
    <row r="1116" spans="1:10" x14ac:dyDescent="0.25">
      <c r="A1116" s="389"/>
      <c r="B1116" s="4"/>
      <c r="C1116" s="16"/>
      <c r="D1116" s="519"/>
      <c r="E1116" s="410"/>
      <c r="F1116" s="313"/>
      <c r="G1116" s="256"/>
      <c r="H1116" s="313"/>
      <c r="I1116" s="456"/>
      <c r="J1116" s="273" t="b">
        <f>Age_Sex23[[#This Row],[Total Spending After Applying Truncation at the Member Level]]+Age_Sex23[[#This Row],[Total Dollars Excluded from Spending After Applying Truncation at the Member Level]]=Age_Sex23[[#This Row],[Total Spending before Truncation is Applied]]</f>
        <v>1</v>
      </c>
    </row>
    <row r="1117" spans="1:10" x14ac:dyDescent="0.25">
      <c r="A1117" s="386"/>
      <c r="B1117" s="310"/>
      <c r="C1117" s="311"/>
      <c r="D1117" s="518"/>
      <c r="E1117" s="409"/>
      <c r="F1117" s="312"/>
      <c r="G1117" s="522"/>
      <c r="H1117" s="312"/>
      <c r="I1117" s="455"/>
      <c r="J1117" s="271" t="b">
        <f>Age_Sex23[[#This Row],[Total Spending After Applying Truncation at the Member Level]]+Age_Sex23[[#This Row],[Total Dollars Excluded from Spending After Applying Truncation at the Member Level]]=Age_Sex23[[#This Row],[Total Spending before Truncation is Applied]]</f>
        <v>1</v>
      </c>
    </row>
    <row r="1118" spans="1:10" x14ac:dyDescent="0.25">
      <c r="A1118" s="389"/>
      <c r="B1118" s="4"/>
      <c r="C1118" s="16"/>
      <c r="D1118" s="519"/>
      <c r="E1118" s="410"/>
      <c r="F1118" s="313"/>
      <c r="G1118" s="256"/>
      <c r="H1118" s="313"/>
      <c r="I1118" s="456"/>
      <c r="J1118" s="273" t="b">
        <f>Age_Sex23[[#This Row],[Total Spending After Applying Truncation at the Member Level]]+Age_Sex23[[#This Row],[Total Dollars Excluded from Spending After Applying Truncation at the Member Level]]=Age_Sex23[[#This Row],[Total Spending before Truncation is Applied]]</f>
        <v>1</v>
      </c>
    </row>
    <row r="1119" spans="1:10" x14ac:dyDescent="0.25">
      <c r="A1119" s="386"/>
      <c r="B1119" s="310"/>
      <c r="C1119" s="311"/>
      <c r="D1119" s="518"/>
      <c r="E1119" s="409"/>
      <c r="F1119" s="312"/>
      <c r="G1119" s="522"/>
      <c r="H1119" s="312"/>
      <c r="I1119" s="455"/>
      <c r="J1119" s="271" t="b">
        <f>Age_Sex23[[#This Row],[Total Spending After Applying Truncation at the Member Level]]+Age_Sex23[[#This Row],[Total Dollars Excluded from Spending After Applying Truncation at the Member Level]]=Age_Sex23[[#This Row],[Total Spending before Truncation is Applied]]</f>
        <v>1</v>
      </c>
    </row>
    <row r="1120" spans="1:10" x14ac:dyDescent="0.25">
      <c r="A1120" s="389"/>
      <c r="B1120" s="4"/>
      <c r="C1120" s="16"/>
      <c r="D1120" s="519"/>
      <c r="E1120" s="410"/>
      <c r="F1120" s="313"/>
      <c r="G1120" s="256"/>
      <c r="H1120" s="313"/>
      <c r="I1120" s="456"/>
      <c r="J1120" s="273" t="b">
        <f>Age_Sex23[[#This Row],[Total Spending After Applying Truncation at the Member Level]]+Age_Sex23[[#This Row],[Total Dollars Excluded from Spending After Applying Truncation at the Member Level]]=Age_Sex23[[#This Row],[Total Spending before Truncation is Applied]]</f>
        <v>1</v>
      </c>
    </row>
    <row r="1121" spans="1:10" x14ac:dyDescent="0.25">
      <c r="A1121" s="386"/>
      <c r="B1121" s="310"/>
      <c r="C1121" s="311"/>
      <c r="D1121" s="518"/>
      <c r="E1121" s="409"/>
      <c r="F1121" s="312"/>
      <c r="G1121" s="522"/>
      <c r="H1121" s="312"/>
      <c r="I1121" s="455"/>
      <c r="J1121" s="271" t="b">
        <f>Age_Sex23[[#This Row],[Total Spending After Applying Truncation at the Member Level]]+Age_Sex23[[#This Row],[Total Dollars Excluded from Spending After Applying Truncation at the Member Level]]=Age_Sex23[[#This Row],[Total Spending before Truncation is Applied]]</f>
        <v>1</v>
      </c>
    </row>
    <row r="1122" spans="1:10" x14ac:dyDescent="0.25">
      <c r="A1122" s="389"/>
      <c r="B1122" s="4"/>
      <c r="C1122" s="16"/>
      <c r="D1122" s="519"/>
      <c r="E1122" s="410"/>
      <c r="F1122" s="313"/>
      <c r="G1122" s="256"/>
      <c r="H1122" s="313"/>
      <c r="I1122" s="456"/>
      <c r="J1122" s="273" t="b">
        <f>Age_Sex23[[#This Row],[Total Spending After Applying Truncation at the Member Level]]+Age_Sex23[[#This Row],[Total Dollars Excluded from Spending After Applying Truncation at the Member Level]]=Age_Sex23[[#This Row],[Total Spending before Truncation is Applied]]</f>
        <v>1</v>
      </c>
    </row>
    <row r="1123" spans="1:10" x14ac:dyDescent="0.25">
      <c r="A1123" s="386"/>
      <c r="B1123" s="310"/>
      <c r="C1123" s="311"/>
      <c r="D1123" s="518"/>
      <c r="E1123" s="409"/>
      <c r="F1123" s="312"/>
      <c r="G1123" s="522"/>
      <c r="H1123" s="312"/>
      <c r="I1123" s="455"/>
      <c r="J1123" s="271" t="b">
        <f>Age_Sex23[[#This Row],[Total Spending After Applying Truncation at the Member Level]]+Age_Sex23[[#This Row],[Total Dollars Excluded from Spending After Applying Truncation at the Member Level]]=Age_Sex23[[#This Row],[Total Spending before Truncation is Applied]]</f>
        <v>1</v>
      </c>
    </row>
    <row r="1124" spans="1:10" x14ac:dyDescent="0.25">
      <c r="A1124" s="389"/>
      <c r="B1124" s="4"/>
      <c r="C1124" s="16"/>
      <c r="D1124" s="519"/>
      <c r="E1124" s="410"/>
      <c r="F1124" s="313"/>
      <c r="G1124" s="256"/>
      <c r="H1124" s="313"/>
      <c r="I1124" s="456"/>
      <c r="J1124" s="273" t="b">
        <f>Age_Sex23[[#This Row],[Total Spending After Applying Truncation at the Member Level]]+Age_Sex23[[#This Row],[Total Dollars Excluded from Spending After Applying Truncation at the Member Level]]=Age_Sex23[[#This Row],[Total Spending before Truncation is Applied]]</f>
        <v>1</v>
      </c>
    </row>
    <row r="1125" spans="1:10" x14ac:dyDescent="0.25">
      <c r="A1125" s="386"/>
      <c r="B1125" s="310"/>
      <c r="C1125" s="311"/>
      <c r="D1125" s="518"/>
      <c r="E1125" s="409"/>
      <c r="F1125" s="312"/>
      <c r="G1125" s="522"/>
      <c r="H1125" s="312"/>
      <c r="I1125" s="455"/>
      <c r="J1125" s="271" t="b">
        <f>Age_Sex23[[#This Row],[Total Spending After Applying Truncation at the Member Level]]+Age_Sex23[[#This Row],[Total Dollars Excluded from Spending After Applying Truncation at the Member Level]]=Age_Sex23[[#This Row],[Total Spending before Truncation is Applied]]</f>
        <v>1</v>
      </c>
    </row>
    <row r="1126" spans="1:10" x14ac:dyDescent="0.25">
      <c r="A1126" s="389"/>
      <c r="B1126" s="4"/>
      <c r="C1126" s="16"/>
      <c r="D1126" s="519"/>
      <c r="E1126" s="410"/>
      <c r="F1126" s="313"/>
      <c r="G1126" s="256"/>
      <c r="H1126" s="313"/>
      <c r="I1126" s="456"/>
      <c r="J1126" s="273" t="b">
        <f>Age_Sex23[[#This Row],[Total Spending After Applying Truncation at the Member Level]]+Age_Sex23[[#This Row],[Total Dollars Excluded from Spending After Applying Truncation at the Member Level]]=Age_Sex23[[#This Row],[Total Spending before Truncation is Applied]]</f>
        <v>1</v>
      </c>
    </row>
    <row r="1127" spans="1:10" x14ac:dyDescent="0.25">
      <c r="A1127" s="386"/>
      <c r="B1127" s="310"/>
      <c r="C1127" s="311"/>
      <c r="D1127" s="518"/>
      <c r="E1127" s="409"/>
      <c r="F1127" s="312"/>
      <c r="G1127" s="522"/>
      <c r="H1127" s="312"/>
      <c r="I1127" s="455"/>
      <c r="J1127" s="271" t="b">
        <f>Age_Sex23[[#This Row],[Total Spending After Applying Truncation at the Member Level]]+Age_Sex23[[#This Row],[Total Dollars Excluded from Spending After Applying Truncation at the Member Level]]=Age_Sex23[[#This Row],[Total Spending before Truncation is Applied]]</f>
        <v>1</v>
      </c>
    </row>
    <row r="1128" spans="1:10" x14ac:dyDescent="0.25">
      <c r="A1128" s="389"/>
      <c r="B1128" s="4"/>
      <c r="C1128" s="16"/>
      <c r="D1128" s="519"/>
      <c r="E1128" s="410"/>
      <c r="F1128" s="313"/>
      <c r="G1128" s="256"/>
      <c r="H1128" s="313"/>
      <c r="I1128" s="456"/>
      <c r="J1128" s="273" t="b">
        <f>Age_Sex23[[#This Row],[Total Spending After Applying Truncation at the Member Level]]+Age_Sex23[[#This Row],[Total Dollars Excluded from Spending After Applying Truncation at the Member Level]]=Age_Sex23[[#This Row],[Total Spending before Truncation is Applied]]</f>
        <v>1</v>
      </c>
    </row>
    <row r="1129" spans="1:10" x14ac:dyDescent="0.25">
      <c r="A1129" s="386"/>
      <c r="B1129" s="310"/>
      <c r="C1129" s="311"/>
      <c r="D1129" s="518"/>
      <c r="E1129" s="409"/>
      <c r="F1129" s="312"/>
      <c r="G1129" s="522"/>
      <c r="H1129" s="312"/>
      <c r="I1129" s="455"/>
      <c r="J1129" s="271" t="b">
        <f>Age_Sex23[[#This Row],[Total Spending After Applying Truncation at the Member Level]]+Age_Sex23[[#This Row],[Total Dollars Excluded from Spending After Applying Truncation at the Member Level]]=Age_Sex23[[#This Row],[Total Spending before Truncation is Applied]]</f>
        <v>1</v>
      </c>
    </row>
    <row r="1130" spans="1:10" x14ac:dyDescent="0.25">
      <c r="A1130" s="389"/>
      <c r="B1130" s="4"/>
      <c r="C1130" s="16"/>
      <c r="D1130" s="519"/>
      <c r="E1130" s="410"/>
      <c r="F1130" s="313"/>
      <c r="G1130" s="256"/>
      <c r="H1130" s="313"/>
      <c r="I1130" s="456"/>
      <c r="J1130" s="273" t="b">
        <f>Age_Sex23[[#This Row],[Total Spending After Applying Truncation at the Member Level]]+Age_Sex23[[#This Row],[Total Dollars Excluded from Spending After Applying Truncation at the Member Level]]=Age_Sex23[[#This Row],[Total Spending before Truncation is Applied]]</f>
        <v>1</v>
      </c>
    </row>
    <row r="1131" spans="1:10" x14ac:dyDescent="0.25">
      <c r="A1131" s="386"/>
      <c r="B1131" s="310"/>
      <c r="C1131" s="311"/>
      <c r="D1131" s="518"/>
      <c r="E1131" s="409"/>
      <c r="F1131" s="312"/>
      <c r="G1131" s="522"/>
      <c r="H1131" s="312"/>
      <c r="I1131" s="455"/>
      <c r="J1131" s="271" t="b">
        <f>Age_Sex23[[#This Row],[Total Spending After Applying Truncation at the Member Level]]+Age_Sex23[[#This Row],[Total Dollars Excluded from Spending After Applying Truncation at the Member Level]]=Age_Sex23[[#This Row],[Total Spending before Truncation is Applied]]</f>
        <v>1</v>
      </c>
    </row>
    <row r="1132" spans="1:10" x14ac:dyDescent="0.25">
      <c r="A1132" s="389"/>
      <c r="B1132" s="4"/>
      <c r="C1132" s="16"/>
      <c r="D1132" s="519"/>
      <c r="E1132" s="410"/>
      <c r="F1132" s="313"/>
      <c r="G1132" s="256"/>
      <c r="H1132" s="313"/>
      <c r="I1132" s="456"/>
      <c r="J1132" s="273" t="b">
        <f>Age_Sex23[[#This Row],[Total Spending After Applying Truncation at the Member Level]]+Age_Sex23[[#This Row],[Total Dollars Excluded from Spending After Applying Truncation at the Member Level]]=Age_Sex23[[#This Row],[Total Spending before Truncation is Applied]]</f>
        <v>1</v>
      </c>
    </row>
    <row r="1133" spans="1:10" x14ac:dyDescent="0.25">
      <c r="A1133" s="386"/>
      <c r="B1133" s="310"/>
      <c r="C1133" s="311"/>
      <c r="D1133" s="518"/>
      <c r="E1133" s="409"/>
      <c r="F1133" s="312"/>
      <c r="G1133" s="522"/>
      <c r="H1133" s="312"/>
      <c r="I1133" s="455"/>
      <c r="J1133" s="271" t="b">
        <f>Age_Sex23[[#This Row],[Total Spending After Applying Truncation at the Member Level]]+Age_Sex23[[#This Row],[Total Dollars Excluded from Spending After Applying Truncation at the Member Level]]=Age_Sex23[[#This Row],[Total Spending before Truncation is Applied]]</f>
        <v>1</v>
      </c>
    </row>
    <row r="1134" spans="1:10" x14ac:dyDescent="0.25">
      <c r="A1134" s="389"/>
      <c r="B1134" s="4"/>
      <c r="C1134" s="16"/>
      <c r="D1134" s="519"/>
      <c r="E1134" s="410"/>
      <c r="F1134" s="313"/>
      <c r="G1134" s="256"/>
      <c r="H1134" s="313"/>
      <c r="I1134" s="456"/>
      <c r="J1134" s="273" t="b">
        <f>Age_Sex23[[#This Row],[Total Spending After Applying Truncation at the Member Level]]+Age_Sex23[[#This Row],[Total Dollars Excluded from Spending After Applying Truncation at the Member Level]]=Age_Sex23[[#This Row],[Total Spending before Truncation is Applied]]</f>
        <v>1</v>
      </c>
    </row>
    <row r="1135" spans="1:10" x14ac:dyDescent="0.25">
      <c r="A1135" s="386"/>
      <c r="B1135" s="310"/>
      <c r="C1135" s="311"/>
      <c r="D1135" s="518"/>
      <c r="E1135" s="409"/>
      <c r="F1135" s="312"/>
      <c r="G1135" s="522"/>
      <c r="H1135" s="312"/>
      <c r="I1135" s="455"/>
      <c r="J1135" s="271" t="b">
        <f>Age_Sex23[[#This Row],[Total Spending After Applying Truncation at the Member Level]]+Age_Sex23[[#This Row],[Total Dollars Excluded from Spending After Applying Truncation at the Member Level]]=Age_Sex23[[#This Row],[Total Spending before Truncation is Applied]]</f>
        <v>1</v>
      </c>
    </row>
    <row r="1136" spans="1:10" x14ac:dyDescent="0.25">
      <c r="A1136" s="389"/>
      <c r="B1136" s="4"/>
      <c r="C1136" s="16"/>
      <c r="D1136" s="519"/>
      <c r="E1136" s="410"/>
      <c r="F1136" s="313"/>
      <c r="G1136" s="256"/>
      <c r="H1136" s="313"/>
      <c r="I1136" s="456"/>
      <c r="J1136" s="273" t="b">
        <f>Age_Sex23[[#This Row],[Total Spending After Applying Truncation at the Member Level]]+Age_Sex23[[#This Row],[Total Dollars Excluded from Spending After Applying Truncation at the Member Level]]=Age_Sex23[[#This Row],[Total Spending before Truncation is Applied]]</f>
        <v>1</v>
      </c>
    </row>
    <row r="1137" spans="1:10" x14ac:dyDescent="0.25">
      <c r="A1137" s="386"/>
      <c r="B1137" s="310"/>
      <c r="C1137" s="311"/>
      <c r="D1137" s="518"/>
      <c r="E1137" s="409"/>
      <c r="F1137" s="312"/>
      <c r="G1137" s="522"/>
      <c r="H1137" s="312"/>
      <c r="I1137" s="455"/>
      <c r="J1137" s="271" t="b">
        <f>Age_Sex23[[#This Row],[Total Spending After Applying Truncation at the Member Level]]+Age_Sex23[[#This Row],[Total Dollars Excluded from Spending After Applying Truncation at the Member Level]]=Age_Sex23[[#This Row],[Total Spending before Truncation is Applied]]</f>
        <v>1</v>
      </c>
    </row>
    <row r="1138" spans="1:10" x14ac:dyDescent="0.25">
      <c r="A1138" s="389"/>
      <c r="B1138" s="4"/>
      <c r="C1138" s="16"/>
      <c r="D1138" s="519"/>
      <c r="E1138" s="410"/>
      <c r="F1138" s="313"/>
      <c r="G1138" s="256"/>
      <c r="H1138" s="313"/>
      <c r="I1138" s="456"/>
      <c r="J1138" s="273" t="b">
        <f>Age_Sex23[[#This Row],[Total Spending After Applying Truncation at the Member Level]]+Age_Sex23[[#This Row],[Total Dollars Excluded from Spending After Applying Truncation at the Member Level]]=Age_Sex23[[#This Row],[Total Spending before Truncation is Applied]]</f>
        <v>1</v>
      </c>
    </row>
    <row r="1139" spans="1:10" x14ac:dyDescent="0.25">
      <c r="A1139" s="386"/>
      <c r="B1139" s="310"/>
      <c r="C1139" s="311"/>
      <c r="D1139" s="518"/>
      <c r="E1139" s="409"/>
      <c r="F1139" s="312"/>
      <c r="G1139" s="522"/>
      <c r="H1139" s="312"/>
      <c r="I1139" s="455"/>
      <c r="J1139" s="271" t="b">
        <f>Age_Sex23[[#This Row],[Total Spending After Applying Truncation at the Member Level]]+Age_Sex23[[#This Row],[Total Dollars Excluded from Spending After Applying Truncation at the Member Level]]=Age_Sex23[[#This Row],[Total Spending before Truncation is Applied]]</f>
        <v>1</v>
      </c>
    </row>
    <row r="1140" spans="1:10" x14ac:dyDescent="0.25">
      <c r="A1140" s="389"/>
      <c r="B1140" s="4"/>
      <c r="C1140" s="16"/>
      <c r="D1140" s="519"/>
      <c r="E1140" s="410"/>
      <c r="F1140" s="313"/>
      <c r="G1140" s="256"/>
      <c r="H1140" s="313"/>
      <c r="I1140" s="456"/>
      <c r="J1140" s="273" t="b">
        <f>Age_Sex23[[#This Row],[Total Spending After Applying Truncation at the Member Level]]+Age_Sex23[[#This Row],[Total Dollars Excluded from Spending After Applying Truncation at the Member Level]]=Age_Sex23[[#This Row],[Total Spending before Truncation is Applied]]</f>
        <v>1</v>
      </c>
    </row>
    <row r="1141" spans="1:10" x14ac:dyDescent="0.25">
      <c r="A1141" s="386"/>
      <c r="B1141" s="310"/>
      <c r="C1141" s="311"/>
      <c r="D1141" s="518"/>
      <c r="E1141" s="409"/>
      <c r="F1141" s="312"/>
      <c r="G1141" s="522"/>
      <c r="H1141" s="312"/>
      <c r="I1141" s="455"/>
      <c r="J1141" s="271" t="b">
        <f>Age_Sex23[[#This Row],[Total Spending After Applying Truncation at the Member Level]]+Age_Sex23[[#This Row],[Total Dollars Excluded from Spending After Applying Truncation at the Member Level]]=Age_Sex23[[#This Row],[Total Spending before Truncation is Applied]]</f>
        <v>1</v>
      </c>
    </row>
    <row r="1142" spans="1:10" x14ac:dyDescent="0.25">
      <c r="A1142" s="389"/>
      <c r="B1142" s="4"/>
      <c r="C1142" s="16"/>
      <c r="D1142" s="519"/>
      <c r="E1142" s="410"/>
      <c r="F1142" s="313"/>
      <c r="G1142" s="256"/>
      <c r="H1142" s="313"/>
      <c r="I1142" s="456"/>
      <c r="J1142" s="273" t="b">
        <f>Age_Sex23[[#This Row],[Total Spending After Applying Truncation at the Member Level]]+Age_Sex23[[#This Row],[Total Dollars Excluded from Spending After Applying Truncation at the Member Level]]=Age_Sex23[[#This Row],[Total Spending before Truncation is Applied]]</f>
        <v>1</v>
      </c>
    </row>
    <row r="1143" spans="1:10" x14ac:dyDescent="0.25">
      <c r="A1143" s="386"/>
      <c r="B1143" s="310"/>
      <c r="C1143" s="311"/>
      <c r="D1143" s="518"/>
      <c r="E1143" s="409"/>
      <c r="F1143" s="312"/>
      <c r="G1143" s="522"/>
      <c r="H1143" s="312"/>
      <c r="I1143" s="455"/>
      <c r="J1143" s="271" t="b">
        <f>Age_Sex23[[#This Row],[Total Spending After Applying Truncation at the Member Level]]+Age_Sex23[[#This Row],[Total Dollars Excluded from Spending After Applying Truncation at the Member Level]]=Age_Sex23[[#This Row],[Total Spending before Truncation is Applied]]</f>
        <v>1</v>
      </c>
    </row>
    <row r="1144" spans="1:10" x14ac:dyDescent="0.25">
      <c r="A1144" s="389"/>
      <c r="B1144" s="4"/>
      <c r="C1144" s="16"/>
      <c r="D1144" s="519"/>
      <c r="E1144" s="410"/>
      <c r="F1144" s="313"/>
      <c r="G1144" s="256"/>
      <c r="H1144" s="313"/>
      <c r="I1144" s="456"/>
      <c r="J1144" s="273" t="b">
        <f>Age_Sex23[[#This Row],[Total Spending After Applying Truncation at the Member Level]]+Age_Sex23[[#This Row],[Total Dollars Excluded from Spending After Applying Truncation at the Member Level]]=Age_Sex23[[#This Row],[Total Spending before Truncation is Applied]]</f>
        <v>1</v>
      </c>
    </row>
    <row r="1145" spans="1:10" x14ac:dyDescent="0.25">
      <c r="A1145" s="386"/>
      <c r="B1145" s="310"/>
      <c r="C1145" s="311"/>
      <c r="D1145" s="518"/>
      <c r="E1145" s="409"/>
      <c r="F1145" s="312"/>
      <c r="G1145" s="522"/>
      <c r="H1145" s="312"/>
      <c r="I1145" s="455"/>
      <c r="J1145" s="271" t="b">
        <f>Age_Sex23[[#This Row],[Total Spending After Applying Truncation at the Member Level]]+Age_Sex23[[#This Row],[Total Dollars Excluded from Spending After Applying Truncation at the Member Level]]=Age_Sex23[[#This Row],[Total Spending before Truncation is Applied]]</f>
        <v>1</v>
      </c>
    </row>
    <row r="1146" spans="1:10" x14ac:dyDescent="0.25">
      <c r="A1146" s="389"/>
      <c r="B1146" s="4"/>
      <c r="C1146" s="16"/>
      <c r="D1146" s="519"/>
      <c r="E1146" s="410"/>
      <c r="F1146" s="313"/>
      <c r="G1146" s="256"/>
      <c r="H1146" s="313"/>
      <c r="I1146" s="456"/>
      <c r="J1146" s="273" t="b">
        <f>Age_Sex23[[#This Row],[Total Spending After Applying Truncation at the Member Level]]+Age_Sex23[[#This Row],[Total Dollars Excluded from Spending After Applying Truncation at the Member Level]]=Age_Sex23[[#This Row],[Total Spending before Truncation is Applied]]</f>
        <v>1</v>
      </c>
    </row>
    <row r="1147" spans="1:10" x14ac:dyDescent="0.25">
      <c r="A1147" s="386"/>
      <c r="B1147" s="310"/>
      <c r="C1147" s="311"/>
      <c r="D1147" s="518"/>
      <c r="E1147" s="409"/>
      <c r="F1147" s="312"/>
      <c r="G1147" s="522"/>
      <c r="H1147" s="312"/>
      <c r="I1147" s="455"/>
      <c r="J1147" s="271" t="b">
        <f>Age_Sex23[[#This Row],[Total Spending After Applying Truncation at the Member Level]]+Age_Sex23[[#This Row],[Total Dollars Excluded from Spending After Applying Truncation at the Member Level]]=Age_Sex23[[#This Row],[Total Spending before Truncation is Applied]]</f>
        <v>1</v>
      </c>
    </row>
    <row r="1148" spans="1:10" x14ac:dyDescent="0.25">
      <c r="A1148" s="389"/>
      <c r="B1148" s="4"/>
      <c r="C1148" s="16"/>
      <c r="D1148" s="519"/>
      <c r="E1148" s="410"/>
      <c r="F1148" s="313"/>
      <c r="G1148" s="256"/>
      <c r="H1148" s="313"/>
      <c r="I1148" s="456"/>
      <c r="J1148" s="273" t="b">
        <f>Age_Sex23[[#This Row],[Total Spending After Applying Truncation at the Member Level]]+Age_Sex23[[#This Row],[Total Dollars Excluded from Spending After Applying Truncation at the Member Level]]=Age_Sex23[[#This Row],[Total Spending before Truncation is Applied]]</f>
        <v>1</v>
      </c>
    </row>
    <row r="1149" spans="1:10" x14ac:dyDescent="0.25">
      <c r="A1149" s="386"/>
      <c r="B1149" s="310"/>
      <c r="C1149" s="311"/>
      <c r="D1149" s="518"/>
      <c r="E1149" s="409"/>
      <c r="F1149" s="312"/>
      <c r="G1149" s="522"/>
      <c r="H1149" s="312"/>
      <c r="I1149" s="455"/>
      <c r="J1149" s="271" t="b">
        <f>Age_Sex23[[#This Row],[Total Spending After Applying Truncation at the Member Level]]+Age_Sex23[[#This Row],[Total Dollars Excluded from Spending After Applying Truncation at the Member Level]]=Age_Sex23[[#This Row],[Total Spending before Truncation is Applied]]</f>
        <v>1</v>
      </c>
    </row>
    <row r="1150" spans="1:10" x14ac:dyDescent="0.25">
      <c r="A1150" s="389"/>
      <c r="B1150" s="4"/>
      <c r="C1150" s="16"/>
      <c r="D1150" s="519"/>
      <c r="E1150" s="410"/>
      <c r="F1150" s="313"/>
      <c r="G1150" s="256"/>
      <c r="H1150" s="313"/>
      <c r="I1150" s="456"/>
      <c r="J1150" s="273" t="b">
        <f>Age_Sex23[[#This Row],[Total Spending After Applying Truncation at the Member Level]]+Age_Sex23[[#This Row],[Total Dollars Excluded from Spending After Applying Truncation at the Member Level]]=Age_Sex23[[#This Row],[Total Spending before Truncation is Applied]]</f>
        <v>1</v>
      </c>
    </row>
    <row r="1151" spans="1:10" x14ac:dyDescent="0.25">
      <c r="A1151" s="386"/>
      <c r="B1151" s="310"/>
      <c r="C1151" s="311"/>
      <c r="D1151" s="518"/>
      <c r="E1151" s="409"/>
      <c r="F1151" s="312"/>
      <c r="G1151" s="522"/>
      <c r="H1151" s="312"/>
      <c r="I1151" s="455"/>
      <c r="J1151" s="271" t="b">
        <f>Age_Sex23[[#This Row],[Total Spending After Applying Truncation at the Member Level]]+Age_Sex23[[#This Row],[Total Dollars Excluded from Spending After Applying Truncation at the Member Level]]=Age_Sex23[[#This Row],[Total Spending before Truncation is Applied]]</f>
        <v>1</v>
      </c>
    </row>
    <row r="1152" spans="1:10" x14ac:dyDescent="0.25">
      <c r="A1152" s="389"/>
      <c r="B1152" s="4"/>
      <c r="C1152" s="16"/>
      <c r="D1152" s="519"/>
      <c r="E1152" s="410"/>
      <c r="F1152" s="313"/>
      <c r="G1152" s="256"/>
      <c r="H1152" s="313"/>
      <c r="I1152" s="456"/>
      <c r="J1152" s="273" t="b">
        <f>Age_Sex23[[#This Row],[Total Spending After Applying Truncation at the Member Level]]+Age_Sex23[[#This Row],[Total Dollars Excluded from Spending After Applying Truncation at the Member Level]]=Age_Sex23[[#This Row],[Total Spending before Truncation is Applied]]</f>
        <v>1</v>
      </c>
    </row>
    <row r="1153" spans="1:10" x14ac:dyDescent="0.25">
      <c r="A1153" s="386"/>
      <c r="B1153" s="310"/>
      <c r="C1153" s="311"/>
      <c r="D1153" s="518"/>
      <c r="E1153" s="409"/>
      <c r="F1153" s="312"/>
      <c r="G1153" s="522"/>
      <c r="H1153" s="312"/>
      <c r="I1153" s="455"/>
      <c r="J1153" s="271" t="b">
        <f>Age_Sex23[[#This Row],[Total Spending After Applying Truncation at the Member Level]]+Age_Sex23[[#This Row],[Total Dollars Excluded from Spending After Applying Truncation at the Member Level]]=Age_Sex23[[#This Row],[Total Spending before Truncation is Applied]]</f>
        <v>1</v>
      </c>
    </row>
    <row r="1154" spans="1:10" x14ac:dyDescent="0.25">
      <c r="A1154" s="389"/>
      <c r="B1154" s="4"/>
      <c r="C1154" s="16"/>
      <c r="D1154" s="519"/>
      <c r="E1154" s="410"/>
      <c r="F1154" s="313"/>
      <c r="G1154" s="256"/>
      <c r="H1154" s="313"/>
      <c r="I1154" s="456"/>
      <c r="J1154" s="273" t="b">
        <f>Age_Sex23[[#This Row],[Total Spending After Applying Truncation at the Member Level]]+Age_Sex23[[#This Row],[Total Dollars Excluded from Spending After Applying Truncation at the Member Level]]=Age_Sex23[[#This Row],[Total Spending before Truncation is Applied]]</f>
        <v>1</v>
      </c>
    </row>
    <row r="1155" spans="1:10" x14ac:dyDescent="0.25">
      <c r="A1155" s="386"/>
      <c r="B1155" s="310"/>
      <c r="C1155" s="311"/>
      <c r="D1155" s="518"/>
      <c r="E1155" s="409"/>
      <c r="F1155" s="312"/>
      <c r="G1155" s="522"/>
      <c r="H1155" s="312"/>
      <c r="I1155" s="455"/>
      <c r="J1155" s="271" t="b">
        <f>Age_Sex23[[#This Row],[Total Spending After Applying Truncation at the Member Level]]+Age_Sex23[[#This Row],[Total Dollars Excluded from Spending After Applying Truncation at the Member Level]]=Age_Sex23[[#This Row],[Total Spending before Truncation is Applied]]</f>
        <v>1</v>
      </c>
    </row>
    <row r="1156" spans="1:10" x14ac:dyDescent="0.25">
      <c r="A1156" s="389"/>
      <c r="B1156" s="4"/>
      <c r="C1156" s="16"/>
      <c r="D1156" s="519"/>
      <c r="E1156" s="410"/>
      <c r="F1156" s="313"/>
      <c r="G1156" s="256"/>
      <c r="H1156" s="313"/>
      <c r="I1156" s="456"/>
      <c r="J1156" s="273" t="b">
        <f>Age_Sex23[[#This Row],[Total Spending After Applying Truncation at the Member Level]]+Age_Sex23[[#This Row],[Total Dollars Excluded from Spending After Applying Truncation at the Member Level]]=Age_Sex23[[#This Row],[Total Spending before Truncation is Applied]]</f>
        <v>1</v>
      </c>
    </row>
    <row r="1157" spans="1:10" x14ac:dyDescent="0.25">
      <c r="A1157" s="386"/>
      <c r="B1157" s="310"/>
      <c r="C1157" s="311"/>
      <c r="D1157" s="518"/>
      <c r="E1157" s="409"/>
      <c r="F1157" s="312"/>
      <c r="G1157" s="522"/>
      <c r="H1157" s="312"/>
      <c r="I1157" s="455"/>
      <c r="J1157" s="271" t="b">
        <f>Age_Sex23[[#This Row],[Total Spending After Applying Truncation at the Member Level]]+Age_Sex23[[#This Row],[Total Dollars Excluded from Spending After Applying Truncation at the Member Level]]=Age_Sex23[[#This Row],[Total Spending before Truncation is Applied]]</f>
        <v>1</v>
      </c>
    </row>
    <row r="1158" spans="1:10" x14ac:dyDescent="0.25">
      <c r="A1158" s="389"/>
      <c r="B1158" s="4"/>
      <c r="C1158" s="16"/>
      <c r="D1158" s="519"/>
      <c r="E1158" s="410"/>
      <c r="F1158" s="313"/>
      <c r="G1158" s="256"/>
      <c r="H1158" s="313"/>
      <c r="I1158" s="456"/>
      <c r="J1158" s="273" t="b">
        <f>Age_Sex23[[#This Row],[Total Spending After Applying Truncation at the Member Level]]+Age_Sex23[[#This Row],[Total Dollars Excluded from Spending After Applying Truncation at the Member Level]]=Age_Sex23[[#This Row],[Total Spending before Truncation is Applied]]</f>
        <v>1</v>
      </c>
    </row>
    <row r="1159" spans="1:10" x14ac:dyDescent="0.25">
      <c r="A1159" s="386"/>
      <c r="B1159" s="310"/>
      <c r="C1159" s="311"/>
      <c r="D1159" s="518"/>
      <c r="E1159" s="409"/>
      <c r="F1159" s="312"/>
      <c r="G1159" s="522"/>
      <c r="H1159" s="312"/>
      <c r="I1159" s="455"/>
      <c r="J1159" s="271" t="b">
        <f>Age_Sex23[[#This Row],[Total Spending After Applying Truncation at the Member Level]]+Age_Sex23[[#This Row],[Total Dollars Excluded from Spending After Applying Truncation at the Member Level]]=Age_Sex23[[#This Row],[Total Spending before Truncation is Applied]]</f>
        <v>1</v>
      </c>
    </row>
    <row r="1160" spans="1:10" x14ac:dyDescent="0.25">
      <c r="A1160" s="389"/>
      <c r="B1160" s="4"/>
      <c r="C1160" s="16"/>
      <c r="D1160" s="519"/>
      <c r="E1160" s="410"/>
      <c r="F1160" s="313"/>
      <c r="G1160" s="256"/>
      <c r="H1160" s="313"/>
      <c r="I1160" s="456"/>
      <c r="J1160" s="273" t="b">
        <f>Age_Sex23[[#This Row],[Total Spending After Applying Truncation at the Member Level]]+Age_Sex23[[#This Row],[Total Dollars Excluded from Spending After Applying Truncation at the Member Level]]=Age_Sex23[[#This Row],[Total Spending before Truncation is Applied]]</f>
        <v>1</v>
      </c>
    </row>
    <row r="1161" spans="1:10" x14ac:dyDescent="0.25">
      <c r="A1161" s="386"/>
      <c r="B1161" s="310"/>
      <c r="C1161" s="311"/>
      <c r="D1161" s="518"/>
      <c r="E1161" s="409"/>
      <c r="F1161" s="312"/>
      <c r="G1161" s="522"/>
      <c r="H1161" s="312"/>
      <c r="I1161" s="455"/>
      <c r="J1161" s="271" t="b">
        <f>Age_Sex23[[#This Row],[Total Spending After Applying Truncation at the Member Level]]+Age_Sex23[[#This Row],[Total Dollars Excluded from Spending After Applying Truncation at the Member Level]]=Age_Sex23[[#This Row],[Total Spending before Truncation is Applied]]</f>
        <v>1</v>
      </c>
    </row>
    <row r="1162" spans="1:10" x14ac:dyDescent="0.25">
      <c r="A1162" s="389"/>
      <c r="B1162" s="4"/>
      <c r="C1162" s="16"/>
      <c r="D1162" s="519"/>
      <c r="E1162" s="410"/>
      <c r="F1162" s="313"/>
      <c r="G1162" s="256"/>
      <c r="H1162" s="313"/>
      <c r="I1162" s="456"/>
      <c r="J1162" s="273" t="b">
        <f>Age_Sex23[[#This Row],[Total Spending After Applying Truncation at the Member Level]]+Age_Sex23[[#This Row],[Total Dollars Excluded from Spending After Applying Truncation at the Member Level]]=Age_Sex23[[#This Row],[Total Spending before Truncation is Applied]]</f>
        <v>1</v>
      </c>
    </row>
    <row r="1163" spans="1:10" x14ac:dyDescent="0.25">
      <c r="A1163" s="386"/>
      <c r="B1163" s="310"/>
      <c r="C1163" s="311"/>
      <c r="D1163" s="518"/>
      <c r="E1163" s="409"/>
      <c r="F1163" s="312"/>
      <c r="G1163" s="522"/>
      <c r="H1163" s="312"/>
      <c r="I1163" s="455"/>
      <c r="J1163" s="271" t="b">
        <f>Age_Sex23[[#This Row],[Total Spending After Applying Truncation at the Member Level]]+Age_Sex23[[#This Row],[Total Dollars Excluded from Spending After Applying Truncation at the Member Level]]=Age_Sex23[[#This Row],[Total Spending before Truncation is Applied]]</f>
        <v>1</v>
      </c>
    </row>
    <row r="1164" spans="1:10" x14ac:dyDescent="0.25">
      <c r="A1164" s="389"/>
      <c r="B1164" s="4"/>
      <c r="C1164" s="16"/>
      <c r="D1164" s="519"/>
      <c r="E1164" s="410"/>
      <c r="F1164" s="313"/>
      <c r="G1164" s="256"/>
      <c r="H1164" s="313"/>
      <c r="I1164" s="456"/>
      <c r="J1164" s="273" t="b">
        <f>Age_Sex23[[#This Row],[Total Spending After Applying Truncation at the Member Level]]+Age_Sex23[[#This Row],[Total Dollars Excluded from Spending After Applying Truncation at the Member Level]]=Age_Sex23[[#This Row],[Total Spending before Truncation is Applied]]</f>
        <v>1</v>
      </c>
    </row>
    <row r="1165" spans="1:10" x14ac:dyDescent="0.25">
      <c r="A1165" s="386"/>
      <c r="B1165" s="310"/>
      <c r="C1165" s="311"/>
      <c r="D1165" s="518"/>
      <c r="E1165" s="409"/>
      <c r="F1165" s="312"/>
      <c r="G1165" s="522"/>
      <c r="H1165" s="312"/>
      <c r="I1165" s="455"/>
      <c r="J1165" s="271" t="b">
        <f>Age_Sex23[[#This Row],[Total Spending After Applying Truncation at the Member Level]]+Age_Sex23[[#This Row],[Total Dollars Excluded from Spending After Applying Truncation at the Member Level]]=Age_Sex23[[#This Row],[Total Spending before Truncation is Applied]]</f>
        <v>1</v>
      </c>
    </row>
    <row r="1166" spans="1:10" x14ac:dyDescent="0.25">
      <c r="A1166" s="389"/>
      <c r="B1166" s="4"/>
      <c r="C1166" s="16"/>
      <c r="D1166" s="519"/>
      <c r="E1166" s="410"/>
      <c r="F1166" s="313"/>
      <c r="G1166" s="256"/>
      <c r="H1166" s="313"/>
      <c r="I1166" s="456"/>
      <c r="J1166" s="273" t="b">
        <f>Age_Sex23[[#This Row],[Total Spending After Applying Truncation at the Member Level]]+Age_Sex23[[#This Row],[Total Dollars Excluded from Spending After Applying Truncation at the Member Level]]=Age_Sex23[[#This Row],[Total Spending before Truncation is Applied]]</f>
        <v>1</v>
      </c>
    </row>
    <row r="1167" spans="1:10" x14ac:dyDescent="0.25">
      <c r="A1167" s="386"/>
      <c r="B1167" s="310"/>
      <c r="C1167" s="311"/>
      <c r="D1167" s="518"/>
      <c r="E1167" s="409"/>
      <c r="F1167" s="312"/>
      <c r="G1167" s="522"/>
      <c r="H1167" s="312"/>
      <c r="I1167" s="455"/>
      <c r="J1167" s="271" t="b">
        <f>Age_Sex23[[#This Row],[Total Spending After Applying Truncation at the Member Level]]+Age_Sex23[[#This Row],[Total Dollars Excluded from Spending After Applying Truncation at the Member Level]]=Age_Sex23[[#This Row],[Total Spending before Truncation is Applied]]</f>
        <v>1</v>
      </c>
    </row>
    <row r="1168" spans="1:10" x14ac:dyDescent="0.25">
      <c r="A1168" s="389"/>
      <c r="B1168" s="4"/>
      <c r="C1168" s="16"/>
      <c r="D1168" s="519"/>
      <c r="E1168" s="410"/>
      <c r="F1168" s="313"/>
      <c r="G1168" s="256"/>
      <c r="H1168" s="313"/>
      <c r="I1168" s="456"/>
      <c r="J1168" s="273" t="b">
        <f>Age_Sex23[[#This Row],[Total Spending After Applying Truncation at the Member Level]]+Age_Sex23[[#This Row],[Total Dollars Excluded from Spending After Applying Truncation at the Member Level]]=Age_Sex23[[#This Row],[Total Spending before Truncation is Applied]]</f>
        <v>1</v>
      </c>
    </row>
    <row r="1169" spans="1:10" x14ac:dyDescent="0.25">
      <c r="A1169" s="386"/>
      <c r="B1169" s="310"/>
      <c r="C1169" s="311"/>
      <c r="D1169" s="518"/>
      <c r="E1169" s="409"/>
      <c r="F1169" s="312"/>
      <c r="G1169" s="522"/>
      <c r="H1169" s="312"/>
      <c r="I1169" s="455"/>
      <c r="J1169" s="271" t="b">
        <f>Age_Sex23[[#This Row],[Total Spending After Applying Truncation at the Member Level]]+Age_Sex23[[#This Row],[Total Dollars Excluded from Spending After Applying Truncation at the Member Level]]=Age_Sex23[[#This Row],[Total Spending before Truncation is Applied]]</f>
        <v>1</v>
      </c>
    </row>
    <row r="1170" spans="1:10" x14ac:dyDescent="0.25">
      <c r="A1170" s="389"/>
      <c r="B1170" s="4"/>
      <c r="C1170" s="16"/>
      <c r="D1170" s="519"/>
      <c r="E1170" s="410"/>
      <c r="F1170" s="313"/>
      <c r="G1170" s="256"/>
      <c r="H1170" s="313"/>
      <c r="I1170" s="456"/>
      <c r="J1170" s="273" t="b">
        <f>Age_Sex23[[#This Row],[Total Spending After Applying Truncation at the Member Level]]+Age_Sex23[[#This Row],[Total Dollars Excluded from Spending After Applying Truncation at the Member Level]]=Age_Sex23[[#This Row],[Total Spending before Truncation is Applied]]</f>
        <v>1</v>
      </c>
    </row>
    <row r="1171" spans="1:10" x14ac:dyDescent="0.25">
      <c r="A1171" s="386"/>
      <c r="B1171" s="310"/>
      <c r="C1171" s="311"/>
      <c r="D1171" s="518"/>
      <c r="E1171" s="409"/>
      <c r="F1171" s="312"/>
      <c r="G1171" s="522"/>
      <c r="H1171" s="312"/>
      <c r="I1171" s="455"/>
      <c r="J1171" s="271" t="b">
        <f>Age_Sex23[[#This Row],[Total Spending After Applying Truncation at the Member Level]]+Age_Sex23[[#This Row],[Total Dollars Excluded from Spending After Applying Truncation at the Member Level]]=Age_Sex23[[#This Row],[Total Spending before Truncation is Applied]]</f>
        <v>1</v>
      </c>
    </row>
    <row r="1172" spans="1:10" x14ac:dyDescent="0.25">
      <c r="A1172" s="389"/>
      <c r="B1172" s="4"/>
      <c r="C1172" s="16"/>
      <c r="D1172" s="519"/>
      <c r="E1172" s="410"/>
      <c r="F1172" s="313"/>
      <c r="G1172" s="256"/>
      <c r="H1172" s="313"/>
      <c r="I1172" s="456"/>
      <c r="J1172" s="273" t="b">
        <f>Age_Sex23[[#This Row],[Total Spending After Applying Truncation at the Member Level]]+Age_Sex23[[#This Row],[Total Dollars Excluded from Spending After Applying Truncation at the Member Level]]=Age_Sex23[[#This Row],[Total Spending before Truncation is Applied]]</f>
        <v>1</v>
      </c>
    </row>
    <row r="1173" spans="1:10" x14ac:dyDescent="0.25">
      <c r="A1173" s="386"/>
      <c r="B1173" s="310"/>
      <c r="C1173" s="311"/>
      <c r="D1173" s="518"/>
      <c r="E1173" s="409"/>
      <c r="F1173" s="312"/>
      <c r="G1173" s="522"/>
      <c r="H1173" s="312"/>
      <c r="I1173" s="455"/>
      <c r="J1173" s="271" t="b">
        <f>Age_Sex23[[#This Row],[Total Spending After Applying Truncation at the Member Level]]+Age_Sex23[[#This Row],[Total Dollars Excluded from Spending After Applying Truncation at the Member Level]]=Age_Sex23[[#This Row],[Total Spending before Truncation is Applied]]</f>
        <v>1</v>
      </c>
    </row>
    <row r="1174" spans="1:10" x14ac:dyDescent="0.25">
      <c r="A1174" s="389"/>
      <c r="B1174" s="4"/>
      <c r="C1174" s="16"/>
      <c r="D1174" s="519"/>
      <c r="E1174" s="410"/>
      <c r="F1174" s="313"/>
      <c r="G1174" s="256"/>
      <c r="H1174" s="313"/>
      <c r="I1174" s="456"/>
      <c r="J1174" s="273" t="b">
        <f>Age_Sex23[[#This Row],[Total Spending After Applying Truncation at the Member Level]]+Age_Sex23[[#This Row],[Total Dollars Excluded from Spending After Applying Truncation at the Member Level]]=Age_Sex23[[#This Row],[Total Spending before Truncation is Applied]]</f>
        <v>1</v>
      </c>
    </row>
    <row r="1175" spans="1:10" x14ac:dyDescent="0.25">
      <c r="A1175" s="386"/>
      <c r="B1175" s="310"/>
      <c r="C1175" s="311"/>
      <c r="D1175" s="518"/>
      <c r="E1175" s="409"/>
      <c r="F1175" s="312"/>
      <c r="G1175" s="522"/>
      <c r="H1175" s="312"/>
      <c r="I1175" s="455"/>
      <c r="J1175" s="271" t="b">
        <f>Age_Sex23[[#This Row],[Total Spending After Applying Truncation at the Member Level]]+Age_Sex23[[#This Row],[Total Dollars Excluded from Spending After Applying Truncation at the Member Level]]=Age_Sex23[[#This Row],[Total Spending before Truncation is Applied]]</f>
        <v>1</v>
      </c>
    </row>
    <row r="1176" spans="1:10" x14ac:dyDescent="0.25">
      <c r="A1176" s="389"/>
      <c r="B1176" s="4"/>
      <c r="C1176" s="16"/>
      <c r="D1176" s="519"/>
      <c r="E1176" s="410"/>
      <c r="F1176" s="313"/>
      <c r="G1176" s="256"/>
      <c r="H1176" s="313"/>
      <c r="I1176" s="456"/>
      <c r="J1176" s="273" t="b">
        <f>Age_Sex23[[#This Row],[Total Spending After Applying Truncation at the Member Level]]+Age_Sex23[[#This Row],[Total Dollars Excluded from Spending After Applying Truncation at the Member Level]]=Age_Sex23[[#This Row],[Total Spending before Truncation is Applied]]</f>
        <v>1</v>
      </c>
    </row>
    <row r="1177" spans="1:10" x14ac:dyDescent="0.25">
      <c r="A1177" s="386"/>
      <c r="B1177" s="310"/>
      <c r="C1177" s="311"/>
      <c r="D1177" s="518"/>
      <c r="E1177" s="409"/>
      <c r="F1177" s="312"/>
      <c r="G1177" s="522"/>
      <c r="H1177" s="312"/>
      <c r="I1177" s="455"/>
      <c r="J1177" s="271" t="b">
        <f>Age_Sex23[[#This Row],[Total Spending After Applying Truncation at the Member Level]]+Age_Sex23[[#This Row],[Total Dollars Excluded from Spending After Applying Truncation at the Member Level]]=Age_Sex23[[#This Row],[Total Spending before Truncation is Applied]]</f>
        <v>1</v>
      </c>
    </row>
    <row r="1178" spans="1:10" x14ac:dyDescent="0.25">
      <c r="A1178" s="389"/>
      <c r="B1178" s="4"/>
      <c r="C1178" s="16"/>
      <c r="D1178" s="519"/>
      <c r="E1178" s="410"/>
      <c r="F1178" s="313"/>
      <c r="G1178" s="256"/>
      <c r="H1178" s="313"/>
      <c r="I1178" s="456"/>
      <c r="J1178" s="273" t="b">
        <f>Age_Sex23[[#This Row],[Total Spending After Applying Truncation at the Member Level]]+Age_Sex23[[#This Row],[Total Dollars Excluded from Spending After Applying Truncation at the Member Level]]=Age_Sex23[[#This Row],[Total Spending before Truncation is Applied]]</f>
        <v>1</v>
      </c>
    </row>
    <row r="1179" spans="1:10" x14ac:dyDescent="0.25">
      <c r="A1179" s="386"/>
      <c r="B1179" s="310"/>
      <c r="C1179" s="311"/>
      <c r="D1179" s="518"/>
      <c r="E1179" s="409"/>
      <c r="F1179" s="312"/>
      <c r="G1179" s="522"/>
      <c r="H1179" s="312"/>
      <c r="I1179" s="455"/>
      <c r="J1179" s="271" t="b">
        <f>Age_Sex23[[#This Row],[Total Spending After Applying Truncation at the Member Level]]+Age_Sex23[[#This Row],[Total Dollars Excluded from Spending After Applying Truncation at the Member Level]]=Age_Sex23[[#This Row],[Total Spending before Truncation is Applied]]</f>
        <v>1</v>
      </c>
    </row>
    <row r="1180" spans="1:10" x14ac:dyDescent="0.25">
      <c r="A1180" s="389"/>
      <c r="B1180" s="4"/>
      <c r="C1180" s="16"/>
      <c r="D1180" s="519"/>
      <c r="E1180" s="410"/>
      <c r="F1180" s="313"/>
      <c r="G1180" s="256"/>
      <c r="H1180" s="313"/>
      <c r="I1180" s="456"/>
      <c r="J1180" s="273" t="b">
        <f>Age_Sex23[[#This Row],[Total Spending After Applying Truncation at the Member Level]]+Age_Sex23[[#This Row],[Total Dollars Excluded from Spending After Applying Truncation at the Member Level]]=Age_Sex23[[#This Row],[Total Spending before Truncation is Applied]]</f>
        <v>1</v>
      </c>
    </row>
    <row r="1181" spans="1:10" x14ac:dyDescent="0.25">
      <c r="A1181" s="386"/>
      <c r="B1181" s="310"/>
      <c r="C1181" s="311"/>
      <c r="D1181" s="518"/>
      <c r="E1181" s="409"/>
      <c r="F1181" s="312"/>
      <c r="G1181" s="522"/>
      <c r="H1181" s="312"/>
      <c r="I1181" s="455"/>
      <c r="J1181" s="271" t="b">
        <f>Age_Sex23[[#This Row],[Total Spending After Applying Truncation at the Member Level]]+Age_Sex23[[#This Row],[Total Dollars Excluded from Spending After Applying Truncation at the Member Level]]=Age_Sex23[[#This Row],[Total Spending before Truncation is Applied]]</f>
        <v>1</v>
      </c>
    </row>
    <row r="1182" spans="1:10" x14ac:dyDescent="0.25">
      <c r="A1182" s="389"/>
      <c r="B1182" s="4"/>
      <c r="C1182" s="16"/>
      <c r="D1182" s="519"/>
      <c r="E1182" s="410"/>
      <c r="F1182" s="313"/>
      <c r="G1182" s="256"/>
      <c r="H1182" s="313"/>
      <c r="I1182" s="456"/>
      <c r="J1182" s="273" t="b">
        <f>Age_Sex23[[#This Row],[Total Spending After Applying Truncation at the Member Level]]+Age_Sex23[[#This Row],[Total Dollars Excluded from Spending After Applying Truncation at the Member Level]]=Age_Sex23[[#This Row],[Total Spending before Truncation is Applied]]</f>
        <v>1</v>
      </c>
    </row>
    <row r="1183" spans="1:10" x14ac:dyDescent="0.25">
      <c r="A1183" s="386"/>
      <c r="B1183" s="310"/>
      <c r="C1183" s="311"/>
      <c r="D1183" s="518"/>
      <c r="E1183" s="409"/>
      <c r="F1183" s="312"/>
      <c r="G1183" s="522"/>
      <c r="H1183" s="312"/>
      <c r="I1183" s="455"/>
      <c r="J1183" s="271" t="b">
        <f>Age_Sex23[[#This Row],[Total Spending After Applying Truncation at the Member Level]]+Age_Sex23[[#This Row],[Total Dollars Excluded from Spending After Applying Truncation at the Member Level]]=Age_Sex23[[#This Row],[Total Spending before Truncation is Applied]]</f>
        <v>1</v>
      </c>
    </row>
    <row r="1184" spans="1:10" x14ac:dyDescent="0.25">
      <c r="A1184" s="389"/>
      <c r="B1184" s="4"/>
      <c r="C1184" s="16"/>
      <c r="D1184" s="519"/>
      <c r="E1184" s="410"/>
      <c r="F1184" s="313"/>
      <c r="G1184" s="256"/>
      <c r="H1184" s="313"/>
      <c r="I1184" s="456"/>
      <c r="J1184" s="273" t="b">
        <f>Age_Sex23[[#This Row],[Total Spending After Applying Truncation at the Member Level]]+Age_Sex23[[#This Row],[Total Dollars Excluded from Spending After Applying Truncation at the Member Level]]=Age_Sex23[[#This Row],[Total Spending before Truncation is Applied]]</f>
        <v>1</v>
      </c>
    </row>
    <row r="1185" spans="1:10" x14ac:dyDescent="0.25">
      <c r="A1185" s="386"/>
      <c r="B1185" s="310"/>
      <c r="C1185" s="311"/>
      <c r="D1185" s="518"/>
      <c r="E1185" s="409"/>
      <c r="F1185" s="312"/>
      <c r="G1185" s="522"/>
      <c r="H1185" s="312"/>
      <c r="I1185" s="455"/>
      <c r="J1185" s="271" t="b">
        <f>Age_Sex23[[#This Row],[Total Spending After Applying Truncation at the Member Level]]+Age_Sex23[[#This Row],[Total Dollars Excluded from Spending After Applying Truncation at the Member Level]]=Age_Sex23[[#This Row],[Total Spending before Truncation is Applied]]</f>
        <v>1</v>
      </c>
    </row>
    <row r="1186" spans="1:10" x14ac:dyDescent="0.25">
      <c r="A1186" s="389"/>
      <c r="B1186" s="4"/>
      <c r="C1186" s="16"/>
      <c r="D1186" s="519"/>
      <c r="E1186" s="410"/>
      <c r="F1186" s="313"/>
      <c r="G1186" s="256"/>
      <c r="H1186" s="313"/>
      <c r="I1186" s="456"/>
      <c r="J1186" s="273" t="b">
        <f>Age_Sex23[[#This Row],[Total Spending After Applying Truncation at the Member Level]]+Age_Sex23[[#This Row],[Total Dollars Excluded from Spending After Applying Truncation at the Member Level]]=Age_Sex23[[#This Row],[Total Spending before Truncation is Applied]]</f>
        <v>1</v>
      </c>
    </row>
    <row r="1187" spans="1:10" x14ac:dyDescent="0.25">
      <c r="A1187" s="386"/>
      <c r="B1187" s="310"/>
      <c r="C1187" s="311"/>
      <c r="D1187" s="518"/>
      <c r="E1187" s="409"/>
      <c r="F1187" s="312"/>
      <c r="G1187" s="522"/>
      <c r="H1187" s="312"/>
      <c r="I1187" s="455"/>
      <c r="J1187" s="271" t="b">
        <f>Age_Sex23[[#This Row],[Total Spending After Applying Truncation at the Member Level]]+Age_Sex23[[#This Row],[Total Dollars Excluded from Spending After Applying Truncation at the Member Level]]=Age_Sex23[[#This Row],[Total Spending before Truncation is Applied]]</f>
        <v>1</v>
      </c>
    </row>
    <row r="1188" spans="1:10" x14ac:dyDescent="0.25">
      <c r="A1188" s="389"/>
      <c r="B1188" s="4"/>
      <c r="C1188" s="16"/>
      <c r="D1188" s="519"/>
      <c r="E1188" s="410"/>
      <c r="F1188" s="313"/>
      <c r="G1188" s="256"/>
      <c r="H1188" s="313"/>
      <c r="I1188" s="456"/>
      <c r="J1188" s="273" t="b">
        <f>Age_Sex23[[#This Row],[Total Spending After Applying Truncation at the Member Level]]+Age_Sex23[[#This Row],[Total Dollars Excluded from Spending After Applying Truncation at the Member Level]]=Age_Sex23[[#This Row],[Total Spending before Truncation is Applied]]</f>
        <v>1</v>
      </c>
    </row>
    <row r="1189" spans="1:10" x14ac:dyDescent="0.25">
      <c r="A1189" s="386"/>
      <c r="B1189" s="310"/>
      <c r="C1189" s="311"/>
      <c r="D1189" s="518"/>
      <c r="E1189" s="409"/>
      <c r="F1189" s="312"/>
      <c r="G1189" s="522"/>
      <c r="H1189" s="312"/>
      <c r="I1189" s="455"/>
      <c r="J1189" s="271" t="b">
        <f>Age_Sex23[[#This Row],[Total Spending After Applying Truncation at the Member Level]]+Age_Sex23[[#This Row],[Total Dollars Excluded from Spending After Applying Truncation at the Member Level]]=Age_Sex23[[#This Row],[Total Spending before Truncation is Applied]]</f>
        <v>1</v>
      </c>
    </row>
    <row r="1190" spans="1:10" x14ac:dyDescent="0.25">
      <c r="A1190" s="389"/>
      <c r="B1190" s="4"/>
      <c r="C1190" s="16"/>
      <c r="D1190" s="519"/>
      <c r="E1190" s="410"/>
      <c r="F1190" s="313"/>
      <c r="G1190" s="256"/>
      <c r="H1190" s="313"/>
      <c r="I1190" s="456"/>
      <c r="J1190" s="273" t="b">
        <f>Age_Sex23[[#This Row],[Total Spending After Applying Truncation at the Member Level]]+Age_Sex23[[#This Row],[Total Dollars Excluded from Spending After Applying Truncation at the Member Level]]=Age_Sex23[[#This Row],[Total Spending before Truncation is Applied]]</f>
        <v>1</v>
      </c>
    </row>
    <row r="1191" spans="1:10" x14ac:dyDescent="0.25">
      <c r="A1191" s="386"/>
      <c r="B1191" s="310"/>
      <c r="C1191" s="311"/>
      <c r="D1191" s="518"/>
      <c r="E1191" s="409"/>
      <c r="F1191" s="312"/>
      <c r="G1191" s="522"/>
      <c r="H1191" s="312"/>
      <c r="I1191" s="455"/>
      <c r="J1191" s="271" t="b">
        <f>Age_Sex23[[#This Row],[Total Spending After Applying Truncation at the Member Level]]+Age_Sex23[[#This Row],[Total Dollars Excluded from Spending After Applying Truncation at the Member Level]]=Age_Sex23[[#This Row],[Total Spending before Truncation is Applied]]</f>
        <v>1</v>
      </c>
    </row>
    <row r="1192" spans="1:10" x14ac:dyDescent="0.25">
      <c r="A1192" s="389"/>
      <c r="B1192" s="4"/>
      <c r="C1192" s="16"/>
      <c r="D1192" s="519"/>
      <c r="E1192" s="410"/>
      <c r="F1192" s="313"/>
      <c r="G1192" s="256"/>
      <c r="H1192" s="313"/>
      <c r="I1192" s="456"/>
      <c r="J1192" s="273" t="b">
        <f>Age_Sex23[[#This Row],[Total Spending After Applying Truncation at the Member Level]]+Age_Sex23[[#This Row],[Total Dollars Excluded from Spending After Applying Truncation at the Member Level]]=Age_Sex23[[#This Row],[Total Spending before Truncation is Applied]]</f>
        <v>1</v>
      </c>
    </row>
    <row r="1193" spans="1:10" x14ac:dyDescent="0.25">
      <c r="A1193" s="386"/>
      <c r="B1193" s="310"/>
      <c r="C1193" s="311"/>
      <c r="D1193" s="518"/>
      <c r="E1193" s="409"/>
      <c r="F1193" s="312"/>
      <c r="G1193" s="522"/>
      <c r="H1193" s="312"/>
      <c r="I1193" s="455"/>
      <c r="J1193" s="271" t="b">
        <f>Age_Sex23[[#This Row],[Total Spending After Applying Truncation at the Member Level]]+Age_Sex23[[#This Row],[Total Dollars Excluded from Spending After Applying Truncation at the Member Level]]=Age_Sex23[[#This Row],[Total Spending before Truncation is Applied]]</f>
        <v>1</v>
      </c>
    </row>
    <row r="1194" spans="1:10" x14ac:dyDescent="0.25">
      <c r="A1194" s="389"/>
      <c r="B1194" s="4"/>
      <c r="C1194" s="16"/>
      <c r="D1194" s="519"/>
      <c r="E1194" s="410"/>
      <c r="F1194" s="313"/>
      <c r="G1194" s="256"/>
      <c r="H1194" s="313"/>
      <c r="I1194" s="456"/>
      <c r="J1194" s="273" t="b">
        <f>Age_Sex23[[#This Row],[Total Spending After Applying Truncation at the Member Level]]+Age_Sex23[[#This Row],[Total Dollars Excluded from Spending After Applying Truncation at the Member Level]]=Age_Sex23[[#This Row],[Total Spending before Truncation is Applied]]</f>
        <v>1</v>
      </c>
    </row>
    <row r="1195" spans="1:10" x14ac:dyDescent="0.25">
      <c r="A1195" s="386"/>
      <c r="B1195" s="310"/>
      <c r="C1195" s="311"/>
      <c r="D1195" s="518"/>
      <c r="E1195" s="409"/>
      <c r="F1195" s="312"/>
      <c r="G1195" s="522"/>
      <c r="H1195" s="312"/>
      <c r="I1195" s="455"/>
      <c r="J1195" s="271" t="b">
        <f>Age_Sex23[[#This Row],[Total Spending After Applying Truncation at the Member Level]]+Age_Sex23[[#This Row],[Total Dollars Excluded from Spending After Applying Truncation at the Member Level]]=Age_Sex23[[#This Row],[Total Spending before Truncation is Applied]]</f>
        <v>1</v>
      </c>
    </row>
    <row r="1196" spans="1:10" x14ac:dyDescent="0.25">
      <c r="A1196" s="389"/>
      <c r="B1196" s="4"/>
      <c r="C1196" s="16"/>
      <c r="D1196" s="519"/>
      <c r="E1196" s="410"/>
      <c r="F1196" s="313"/>
      <c r="G1196" s="256"/>
      <c r="H1196" s="313"/>
      <c r="I1196" s="456"/>
      <c r="J1196" s="273" t="b">
        <f>Age_Sex23[[#This Row],[Total Spending After Applying Truncation at the Member Level]]+Age_Sex23[[#This Row],[Total Dollars Excluded from Spending After Applying Truncation at the Member Level]]=Age_Sex23[[#This Row],[Total Spending before Truncation is Applied]]</f>
        <v>1</v>
      </c>
    </row>
    <row r="1197" spans="1:10" x14ac:dyDescent="0.25">
      <c r="A1197" s="386"/>
      <c r="B1197" s="310"/>
      <c r="C1197" s="311"/>
      <c r="D1197" s="518"/>
      <c r="E1197" s="409"/>
      <c r="F1197" s="312"/>
      <c r="G1197" s="522"/>
      <c r="H1197" s="312"/>
      <c r="I1197" s="455"/>
      <c r="J1197" s="271" t="b">
        <f>Age_Sex23[[#This Row],[Total Spending After Applying Truncation at the Member Level]]+Age_Sex23[[#This Row],[Total Dollars Excluded from Spending After Applying Truncation at the Member Level]]=Age_Sex23[[#This Row],[Total Spending before Truncation is Applied]]</f>
        <v>1</v>
      </c>
    </row>
    <row r="1198" spans="1:10" x14ac:dyDescent="0.25">
      <c r="A1198" s="389"/>
      <c r="B1198" s="4"/>
      <c r="C1198" s="16"/>
      <c r="D1198" s="519"/>
      <c r="E1198" s="410"/>
      <c r="F1198" s="313"/>
      <c r="G1198" s="256"/>
      <c r="H1198" s="313"/>
      <c r="I1198" s="456"/>
      <c r="J1198" s="273" t="b">
        <f>Age_Sex23[[#This Row],[Total Spending After Applying Truncation at the Member Level]]+Age_Sex23[[#This Row],[Total Dollars Excluded from Spending After Applying Truncation at the Member Level]]=Age_Sex23[[#This Row],[Total Spending before Truncation is Applied]]</f>
        <v>1</v>
      </c>
    </row>
    <row r="1199" spans="1:10" x14ac:dyDescent="0.25">
      <c r="A1199" s="386"/>
      <c r="B1199" s="310"/>
      <c r="C1199" s="311"/>
      <c r="D1199" s="518"/>
      <c r="E1199" s="409"/>
      <c r="F1199" s="312"/>
      <c r="G1199" s="522"/>
      <c r="H1199" s="312"/>
      <c r="I1199" s="455"/>
      <c r="J1199" s="271" t="b">
        <f>Age_Sex23[[#This Row],[Total Spending After Applying Truncation at the Member Level]]+Age_Sex23[[#This Row],[Total Dollars Excluded from Spending After Applying Truncation at the Member Level]]=Age_Sex23[[#This Row],[Total Spending before Truncation is Applied]]</f>
        <v>1</v>
      </c>
    </row>
    <row r="1200" spans="1:10" x14ac:dyDescent="0.25">
      <c r="A1200" s="389"/>
      <c r="B1200" s="4"/>
      <c r="C1200" s="16"/>
      <c r="D1200" s="519"/>
      <c r="E1200" s="410"/>
      <c r="F1200" s="313"/>
      <c r="G1200" s="256"/>
      <c r="H1200" s="313"/>
      <c r="I1200" s="456"/>
      <c r="J1200" s="273" t="b">
        <f>Age_Sex23[[#This Row],[Total Spending After Applying Truncation at the Member Level]]+Age_Sex23[[#This Row],[Total Dollars Excluded from Spending After Applying Truncation at the Member Level]]=Age_Sex23[[#This Row],[Total Spending before Truncation is Applied]]</f>
        <v>1</v>
      </c>
    </row>
    <row r="1201" spans="1:10" x14ac:dyDescent="0.25">
      <c r="A1201" s="386"/>
      <c r="B1201" s="310"/>
      <c r="C1201" s="311"/>
      <c r="D1201" s="518"/>
      <c r="E1201" s="409"/>
      <c r="F1201" s="312"/>
      <c r="G1201" s="522"/>
      <c r="H1201" s="312"/>
      <c r="I1201" s="455"/>
      <c r="J1201" s="271" t="b">
        <f>Age_Sex23[[#This Row],[Total Spending After Applying Truncation at the Member Level]]+Age_Sex23[[#This Row],[Total Dollars Excluded from Spending After Applying Truncation at the Member Level]]=Age_Sex23[[#This Row],[Total Spending before Truncation is Applied]]</f>
        <v>1</v>
      </c>
    </row>
    <row r="1202" spans="1:10" x14ac:dyDescent="0.25">
      <c r="A1202" s="389"/>
      <c r="B1202" s="4"/>
      <c r="C1202" s="16"/>
      <c r="D1202" s="519"/>
      <c r="E1202" s="410"/>
      <c r="F1202" s="313"/>
      <c r="G1202" s="256"/>
      <c r="H1202" s="313"/>
      <c r="I1202" s="456"/>
      <c r="J1202" s="273" t="b">
        <f>Age_Sex23[[#This Row],[Total Spending After Applying Truncation at the Member Level]]+Age_Sex23[[#This Row],[Total Dollars Excluded from Spending After Applying Truncation at the Member Level]]=Age_Sex23[[#This Row],[Total Spending before Truncation is Applied]]</f>
        <v>1</v>
      </c>
    </row>
    <row r="1203" spans="1:10" x14ac:dyDescent="0.25">
      <c r="A1203" s="386"/>
      <c r="B1203" s="310"/>
      <c r="C1203" s="311"/>
      <c r="D1203" s="518"/>
      <c r="E1203" s="409"/>
      <c r="F1203" s="312"/>
      <c r="G1203" s="522"/>
      <c r="H1203" s="312"/>
      <c r="I1203" s="455"/>
      <c r="J1203" s="271" t="b">
        <f>Age_Sex23[[#This Row],[Total Spending After Applying Truncation at the Member Level]]+Age_Sex23[[#This Row],[Total Dollars Excluded from Spending After Applying Truncation at the Member Level]]=Age_Sex23[[#This Row],[Total Spending before Truncation is Applied]]</f>
        <v>1</v>
      </c>
    </row>
    <row r="1204" spans="1:10" x14ac:dyDescent="0.25">
      <c r="A1204" s="389"/>
      <c r="B1204" s="4"/>
      <c r="C1204" s="16"/>
      <c r="D1204" s="519"/>
      <c r="E1204" s="410"/>
      <c r="F1204" s="313"/>
      <c r="G1204" s="256"/>
      <c r="H1204" s="313"/>
      <c r="I1204" s="456"/>
      <c r="J1204" s="273" t="b">
        <f>Age_Sex23[[#This Row],[Total Spending After Applying Truncation at the Member Level]]+Age_Sex23[[#This Row],[Total Dollars Excluded from Spending After Applying Truncation at the Member Level]]=Age_Sex23[[#This Row],[Total Spending before Truncation is Applied]]</f>
        <v>1</v>
      </c>
    </row>
    <row r="1205" spans="1:10" x14ac:dyDescent="0.25">
      <c r="A1205" s="386"/>
      <c r="B1205" s="310"/>
      <c r="C1205" s="311"/>
      <c r="D1205" s="518"/>
      <c r="E1205" s="409"/>
      <c r="F1205" s="312"/>
      <c r="G1205" s="522"/>
      <c r="H1205" s="312"/>
      <c r="I1205" s="455"/>
      <c r="J1205" s="271" t="b">
        <f>Age_Sex23[[#This Row],[Total Spending After Applying Truncation at the Member Level]]+Age_Sex23[[#This Row],[Total Dollars Excluded from Spending After Applying Truncation at the Member Level]]=Age_Sex23[[#This Row],[Total Spending before Truncation is Applied]]</f>
        <v>1</v>
      </c>
    </row>
    <row r="1206" spans="1:10" x14ac:dyDescent="0.25">
      <c r="A1206" s="389"/>
      <c r="B1206" s="4"/>
      <c r="C1206" s="16"/>
      <c r="D1206" s="519"/>
      <c r="E1206" s="410"/>
      <c r="F1206" s="313"/>
      <c r="G1206" s="256"/>
      <c r="H1206" s="313"/>
      <c r="I1206" s="456"/>
      <c r="J1206" s="273" t="b">
        <f>Age_Sex23[[#This Row],[Total Spending After Applying Truncation at the Member Level]]+Age_Sex23[[#This Row],[Total Dollars Excluded from Spending After Applying Truncation at the Member Level]]=Age_Sex23[[#This Row],[Total Spending before Truncation is Applied]]</f>
        <v>1</v>
      </c>
    </row>
    <row r="1207" spans="1:10" x14ac:dyDescent="0.25">
      <c r="A1207" s="386"/>
      <c r="B1207" s="310"/>
      <c r="C1207" s="311"/>
      <c r="D1207" s="518"/>
      <c r="E1207" s="409"/>
      <c r="F1207" s="312"/>
      <c r="G1207" s="522"/>
      <c r="H1207" s="312"/>
      <c r="I1207" s="455"/>
      <c r="J1207" s="271" t="b">
        <f>Age_Sex23[[#This Row],[Total Spending After Applying Truncation at the Member Level]]+Age_Sex23[[#This Row],[Total Dollars Excluded from Spending After Applying Truncation at the Member Level]]=Age_Sex23[[#This Row],[Total Spending before Truncation is Applied]]</f>
        <v>1</v>
      </c>
    </row>
    <row r="1208" spans="1:10" x14ac:dyDescent="0.25">
      <c r="A1208" s="389"/>
      <c r="B1208" s="4"/>
      <c r="C1208" s="16"/>
      <c r="D1208" s="519"/>
      <c r="E1208" s="410"/>
      <c r="F1208" s="313"/>
      <c r="G1208" s="256"/>
      <c r="H1208" s="313"/>
      <c r="I1208" s="456"/>
      <c r="J1208" s="273" t="b">
        <f>Age_Sex23[[#This Row],[Total Spending After Applying Truncation at the Member Level]]+Age_Sex23[[#This Row],[Total Dollars Excluded from Spending After Applying Truncation at the Member Level]]=Age_Sex23[[#This Row],[Total Spending before Truncation is Applied]]</f>
        <v>1</v>
      </c>
    </row>
    <row r="1209" spans="1:10" x14ac:dyDescent="0.25">
      <c r="A1209" s="386"/>
      <c r="B1209" s="310"/>
      <c r="C1209" s="311"/>
      <c r="D1209" s="518"/>
      <c r="E1209" s="409"/>
      <c r="F1209" s="312"/>
      <c r="G1209" s="522"/>
      <c r="H1209" s="312"/>
      <c r="I1209" s="455"/>
      <c r="J1209" s="271" t="b">
        <f>Age_Sex23[[#This Row],[Total Spending After Applying Truncation at the Member Level]]+Age_Sex23[[#This Row],[Total Dollars Excluded from Spending After Applying Truncation at the Member Level]]=Age_Sex23[[#This Row],[Total Spending before Truncation is Applied]]</f>
        <v>1</v>
      </c>
    </row>
    <row r="1210" spans="1:10" x14ac:dyDescent="0.25">
      <c r="A1210" s="389"/>
      <c r="B1210" s="4"/>
      <c r="C1210" s="16"/>
      <c r="D1210" s="519"/>
      <c r="E1210" s="410"/>
      <c r="F1210" s="313"/>
      <c r="G1210" s="256"/>
      <c r="H1210" s="313"/>
      <c r="I1210" s="456"/>
      <c r="J1210" s="273" t="b">
        <f>Age_Sex23[[#This Row],[Total Spending After Applying Truncation at the Member Level]]+Age_Sex23[[#This Row],[Total Dollars Excluded from Spending After Applying Truncation at the Member Level]]=Age_Sex23[[#This Row],[Total Spending before Truncation is Applied]]</f>
        <v>1</v>
      </c>
    </row>
    <row r="1211" spans="1:10" x14ac:dyDescent="0.25">
      <c r="A1211" s="386"/>
      <c r="B1211" s="310"/>
      <c r="C1211" s="311"/>
      <c r="D1211" s="518"/>
      <c r="E1211" s="409"/>
      <c r="F1211" s="312"/>
      <c r="G1211" s="522"/>
      <c r="H1211" s="312"/>
      <c r="I1211" s="455"/>
      <c r="J1211" s="271" t="b">
        <f>Age_Sex23[[#This Row],[Total Spending After Applying Truncation at the Member Level]]+Age_Sex23[[#This Row],[Total Dollars Excluded from Spending After Applying Truncation at the Member Level]]=Age_Sex23[[#This Row],[Total Spending before Truncation is Applied]]</f>
        <v>1</v>
      </c>
    </row>
    <row r="1212" spans="1:10" x14ac:dyDescent="0.25">
      <c r="A1212" s="389"/>
      <c r="B1212" s="4"/>
      <c r="C1212" s="16"/>
      <c r="D1212" s="519"/>
      <c r="E1212" s="410"/>
      <c r="F1212" s="313"/>
      <c r="G1212" s="256"/>
      <c r="H1212" s="313"/>
      <c r="I1212" s="456"/>
      <c r="J1212" s="273" t="b">
        <f>Age_Sex23[[#This Row],[Total Spending After Applying Truncation at the Member Level]]+Age_Sex23[[#This Row],[Total Dollars Excluded from Spending After Applying Truncation at the Member Level]]=Age_Sex23[[#This Row],[Total Spending before Truncation is Applied]]</f>
        <v>1</v>
      </c>
    </row>
    <row r="1213" spans="1:10" x14ac:dyDescent="0.25">
      <c r="A1213" s="386"/>
      <c r="B1213" s="310"/>
      <c r="C1213" s="311"/>
      <c r="D1213" s="518"/>
      <c r="E1213" s="409"/>
      <c r="F1213" s="312"/>
      <c r="G1213" s="522"/>
      <c r="H1213" s="312"/>
      <c r="I1213" s="455"/>
      <c r="J1213" s="271" t="b">
        <f>Age_Sex23[[#This Row],[Total Spending After Applying Truncation at the Member Level]]+Age_Sex23[[#This Row],[Total Dollars Excluded from Spending After Applying Truncation at the Member Level]]=Age_Sex23[[#This Row],[Total Spending before Truncation is Applied]]</f>
        <v>1</v>
      </c>
    </row>
    <row r="1214" spans="1:10" x14ac:dyDescent="0.25">
      <c r="A1214" s="389"/>
      <c r="B1214" s="4"/>
      <c r="C1214" s="16"/>
      <c r="D1214" s="519"/>
      <c r="E1214" s="410"/>
      <c r="F1214" s="313"/>
      <c r="G1214" s="256"/>
      <c r="H1214" s="313"/>
      <c r="I1214" s="456"/>
      <c r="J1214" s="273" t="b">
        <f>Age_Sex23[[#This Row],[Total Spending After Applying Truncation at the Member Level]]+Age_Sex23[[#This Row],[Total Dollars Excluded from Spending After Applying Truncation at the Member Level]]=Age_Sex23[[#This Row],[Total Spending before Truncation is Applied]]</f>
        <v>1</v>
      </c>
    </row>
    <row r="1215" spans="1:10" x14ac:dyDescent="0.25">
      <c r="A1215" s="386"/>
      <c r="B1215" s="310"/>
      <c r="C1215" s="311"/>
      <c r="D1215" s="518"/>
      <c r="E1215" s="409"/>
      <c r="F1215" s="312"/>
      <c r="G1215" s="522"/>
      <c r="H1215" s="312"/>
      <c r="I1215" s="455"/>
      <c r="J1215" s="271" t="b">
        <f>Age_Sex23[[#This Row],[Total Spending After Applying Truncation at the Member Level]]+Age_Sex23[[#This Row],[Total Dollars Excluded from Spending After Applying Truncation at the Member Level]]=Age_Sex23[[#This Row],[Total Spending before Truncation is Applied]]</f>
        <v>1</v>
      </c>
    </row>
    <row r="1216" spans="1:10" x14ac:dyDescent="0.25">
      <c r="A1216" s="389"/>
      <c r="B1216" s="4"/>
      <c r="C1216" s="16"/>
      <c r="D1216" s="519"/>
      <c r="E1216" s="410"/>
      <c r="F1216" s="313"/>
      <c r="G1216" s="256"/>
      <c r="H1216" s="313"/>
      <c r="I1216" s="456"/>
      <c r="J1216" s="273" t="b">
        <f>Age_Sex23[[#This Row],[Total Spending After Applying Truncation at the Member Level]]+Age_Sex23[[#This Row],[Total Dollars Excluded from Spending After Applying Truncation at the Member Level]]=Age_Sex23[[#This Row],[Total Spending before Truncation is Applied]]</f>
        <v>1</v>
      </c>
    </row>
    <row r="1217" spans="1:10" x14ac:dyDescent="0.25">
      <c r="A1217" s="386"/>
      <c r="B1217" s="310"/>
      <c r="C1217" s="311"/>
      <c r="D1217" s="518"/>
      <c r="E1217" s="409"/>
      <c r="F1217" s="312"/>
      <c r="G1217" s="522"/>
      <c r="H1217" s="312"/>
      <c r="I1217" s="455"/>
      <c r="J1217" s="271" t="b">
        <f>Age_Sex23[[#This Row],[Total Spending After Applying Truncation at the Member Level]]+Age_Sex23[[#This Row],[Total Dollars Excluded from Spending After Applying Truncation at the Member Level]]=Age_Sex23[[#This Row],[Total Spending before Truncation is Applied]]</f>
        <v>1</v>
      </c>
    </row>
    <row r="1218" spans="1:10" x14ac:dyDescent="0.25">
      <c r="A1218" s="389"/>
      <c r="B1218" s="4"/>
      <c r="C1218" s="16"/>
      <c r="D1218" s="519"/>
      <c r="E1218" s="410"/>
      <c r="F1218" s="313"/>
      <c r="G1218" s="256"/>
      <c r="H1218" s="313"/>
      <c r="I1218" s="456"/>
      <c r="J1218" s="273" t="b">
        <f>Age_Sex23[[#This Row],[Total Spending After Applying Truncation at the Member Level]]+Age_Sex23[[#This Row],[Total Dollars Excluded from Spending After Applying Truncation at the Member Level]]=Age_Sex23[[#This Row],[Total Spending before Truncation is Applied]]</f>
        <v>1</v>
      </c>
    </row>
    <row r="1219" spans="1:10" x14ac:dyDescent="0.25">
      <c r="A1219" s="386"/>
      <c r="B1219" s="310"/>
      <c r="C1219" s="311"/>
      <c r="D1219" s="518"/>
      <c r="E1219" s="409"/>
      <c r="F1219" s="312"/>
      <c r="G1219" s="522"/>
      <c r="H1219" s="312"/>
      <c r="I1219" s="455"/>
      <c r="J1219" s="271" t="b">
        <f>Age_Sex23[[#This Row],[Total Spending After Applying Truncation at the Member Level]]+Age_Sex23[[#This Row],[Total Dollars Excluded from Spending After Applying Truncation at the Member Level]]=Age_Sex23[[#This Row],[Total Spending before Truncation is Applied]]</f>
        <v>1</v>
      </c>
    </row>
    <row r="1220" spans="1:10" x14ac:dyDescent="0.25">
      <c r="A1220" s="389"/>
      <c r="B1220" s="4"/>
      <c r="C1220" s="16"/>
      <c r="D1220" s="519"/>
      <c r="E1220" s="410"/>
      <c r="F1220" s="313"/>
      <c r="G1220" s="256"/>
      <c r="H1220" s="313"/>
      <c r="I1220" s="456"/>
      <c r="J1220" s="273" t="b">
        <f>Age_Sex23[[#This Row],[Total Spending After Applying Truncation at the Member Level]]+Age_Sex23[[#This Row],[Total Dollars Excluded from Spending After Applying Truncation at the Member Level]]=Age_Sex23[[#This Row],[Total Spending before Truncation is Applied]]</f>
        <v>1</v>
      </c>
    </row>
    <row r="1221" spans="1:10" x14ac:dyDescent="0.25">
      <c r="A1221" s="386"/>
      <c r="B1221" s="310"/>
      <c r="C1221" s="311"/>
      <c r="D1221" s="518"/>
      <c r="E1221" s="409"/>
      <c r="F1221" s="312"/>
      <c r="G1221" s="522"/>
      <c r="H1221" s="312"/>
      <c r="I1221" s="455"/>
      <c r="J1221" s="271" t="b">
        <f>Age_Sex23[[#This Row],[Total Spending After Applying Truncation at the Member Level]]+Age_Sex23[[#This Row],[Total Dollars Excluded from Spending After Applying Truncation at the Member Level]]=Age_Sex23[[#This Row],[Total Spending before Truncation is Applied]]</f>
        <v>1</v>
      </c>
    </row>
    <row r="1222" spans="1:10" x14ac:dyDescent="0.25">
      <c r="A1222" s="389"/>
      <c r="B1222" s="4"/>
      <c r="C1222" s="16"/>
      <c r="D1222" s="519"/>
      <c r="E1222" s="410"/>
      <c r="F1222" s="313"/>
      <c r="G1222" s="256"/>
      <c r="H1222" s="313"/>
      <c r="I1222" s="456"/>
      <c r="J1222" s="273" t="b">
        <f>Age_Sex23[[#This Row],[Total Spending After Applying Truncation at the Member Level]]+Age_Sex23[[#This Row],[Total Dollars Excluded from Spending After Applying Truncation at the Member Level]]=Age_Sex23[[#This Row],[Total Spending before Truncation is Applied]]</f>
        <v>1</v>
      </c>
    </row>
    <row r="1223" spans="1:10" x14ac:dyDescent="0.25">
      <c r="A1223" s="386"/>
      <c r="B1223" s="310"/>
      <c r="C1223" s="311"/>
      <c r="D1223" s="518"/>
      <c r="E1223" s="409"/>
      <c r="F1223" s="312"/>
      <c r="G1223" s="522"/>
      <c r="H1223" s="312"/>
      <c r="I1223" s="455"/>
      <c r="J1223" s="271" t="b">
        <f>Age_Sex23[[#This Row],[Total Spending After Applying Truncation at the Member Level]]+Age_Sex23[[#This Row],[Total Dollars Excluded from Spending After Applying Truncation at the Member Level]]=Age_Sex23[[#This Row],[Total Spending before Truncation is Applied]]</f>
        <v>1</v>
      </c>
    </row>
    <row r="1224" spans="1:10" x14ac:dyDescent="0.25">
      <c r="A1224" s="389"/>
      <c r="B1224" s="4"/>
      <c r="C1224" s="16"/>
      <c r="D1224" s="519"/>
      <c r="E1224" s="410"/>
      <c r="F1224" s="313"/>
      <c r="G1224" s="256"/>
      <c r="H1224" s="313"/>
      <c r="I1224" s="456"/>
      <c r="J1224" s="273" t="b">
        <f>Age_Sex23[[#This Row],[Total Spending After Applying Truncation at the Member Level]]+Age_Sex23[[#This Row],[Total Dollars Excluded from Spending After Applying Truncation at the Member Level]]=Age_Sex23[[#This Row],[Total Spending before Truncation is Applied]]</f>
        <v>1</v>
      </c>
    </row>
    <row r="1225" spans="1:10" x14ac:dyDescent="0.25">
      <c r="A1225" s="386"/>
      <c r="B1225" s="310"/>
      <c r="C1225" s="311"/>
      <c r="D1225" s="518"/>
      <c r="E1225" s="409"/>
      <c r="F1225" s="312"/>
      <c r="G1225" s="522"/>
      <c r="H1225" s="312"/>
      <c r="I1225" s="455"/>
      <c r="J1225" s="271" t="b">
        <f>Age_Sex23[[#This Row],[Total Spending After Applying Truncation at the Member Level]]+Age_Sex23[[#This Row],[Total Dollars Excluded from Spending After Applying Truncation at the Member Level]]=Age_Sex23[[#This Row],[Total Spending before Truncation is Applied]]</f>
        <v>1</v>
      </c>
    </row>
    <row r="1226" spans="1:10" x14ac:dyDescent="0.25">
      <c r="A1226" s="389"/>
      <c r="B1226" s="4"/>
      <c r="C1226" s="16"/>
      <c r="D1226" s="519"/>
      <c r="E1226" s="410"/>
      <c r="F1226" s="313"/>
      <c r="G1226" s="256"/>
      <c r="H1226" s="313"/>
      <c r="I1226" s="456"/>
      <c r="J1226" s="273" t="b">
        <f>Age_Sex23[[#This Row],[Total Spending After Applying Truncation at the Member Level]]+Age_Sex23[[#This Row],[Total Dollars Excluded from Spending After Applying Truncation at the Member Level]]=Age_Sex23[[#This Row],[Total Spending before Truncation is Applied]]</f>
        <v>1</v>
      </c>
    </row>
    <row r="1227" spans="1:10" x14ac:dyDescent="0.25">
      <c r="A1227" s="386"/>
      <c r="B1227" s="310"/>
      <c r="C1227" s="311"/>
      <c r="D1227" s="518"/>
      <c r="E1227" s="409"/>
      <c r="F1227" s="312"/>
      <c r="G1227" s="522"/>
      <c r="H1227" s="312"/>
      <c r="I1227" s="455"/>
      <c r="J1227" s="271" t="b">
        <f>Age_Sex23[[#This Row],[Total Spending After Applying Truncation at the Member Level]]+Age_Sex23[[#This Row],[Total Dollars Excluded from Spending After Applying Truncation at the Member Level]]=Age_Sex23[[#This Row],[Total Spending before Truncation is Applied]]</f>
        <v>1</v>
      </c>
    </row>
    <row r="1228" spans="1:10" x14ac:dyDescent="0.25">
      <c r="A1228" s="389"/>
      <c r="B1228" s="4"/>
      <c r="C1228" s="16"/>
      <c r="D1228" s="519"/>
      <c r="E1228" s="410"/>
      <c r="F1228" s="313"/>
      <c r="G1228" s="256"/>
      <c r="H1228" s="313"/>
      <c r="I1228" s="456"/>
      <c r="J1228" s="273" t="b">
        <f>Age_Sex23[[#This Row],[Total Spending After Applying Truncation at the Member Level]]+Age_Sex23[[#This Row],[Total Dollars Excluded from Spending After Applying Truncation at the Member Level]]=Age_Sex23[[#This Row],[Total Spending before Truncation is Applied]]</f>
        <v>1</v>
      </c>
    </row>
    <row r="1229" spans="1:10" x14ac:dyDescent="0.25">
      <c r="A1229" s="386"/>
      <c r="B1229" s="310"/>
      <c r="C1229" s="311"/>
      <c r="D1229" s="518"/>
      <c r="E1229" s="409"/>
      <c r="F1229" s="312"/>
      <c r="G1229" s="522"/>
      <c r="H1229" s="312"/>
      <c r="I1229" s="455"/>
      <c r="J1229" s="271" t="b">
        <f>Age_Sex23[[#This Row],[Total Spending After Applying Truncation at the Member Level]]+Age_Sex23[[#This Row],[Total Dollars Excluded from Spending After Applying Truncation at the Member Level]]=Age_Sex23[[#This Row],[Total Spending before Truncation is Applied]]</f>
        <v>1</v>
      </c>
    </row>
    <row r="1230" spans="1:10" x14ac:dyDescent="0.25">
      <c r="A1230" s="389"/>
      <c r="B1230" s="4"/>
      <c r="C1230" s="16"/>
      <c r="D1230" s="519"/>
      <c r="E1230" s="410"/>
      <c r="F1230" s="313"/>
      <c r="G1230" s="256"/>
      <c r="H1230" s="313"/>
      <c r="I1230" s="456"/>
      <c r="J1230" s="273" t="b">
        <f>Age_Sex23[[#This Row],[Total Spending After Applying Truncation at the Member Level]]+Age_Sex23[[#This Row],[Total Dollars Excluded from Spending After Applying Truncation at the Member Level]]=Age_Sex23[[#This Row],[Total Spending before Truncation is Applied]]</f>
        <v>1</v>
      </c>
    </row>
    <row r="1231" spans="1:10" x14ac:dyDescent="0.25">
      <c r="A1231" s="386"/>
      <c r="B1231" s="310"/>
      <c r="C1231" s="311"/>
      <c r="D1231" s="518"/>
      <c r="E1231" s="409"/>
      <c r="F1231" s="312"/>
      <c r="G1231" s="522"/>
      <c r="H1231" s="312"/>
      <c r="I1231" s="455"/>
      <c r="J1231" s="271" t="b">
        <f>Age_Sex23[[#This Row],[Total Spending After Applying Truncation at the Member Level]]+Age_Sex23[[#This Row],[Total Dollars Excluded from Spending After Applying Truncation at the Member Level]]=Age_Sex23[[#This Row],[Total Spending before Truncation is Applied]]</f>
        <v>1</v>
      </c>
    </row>
    <row r="1232" spans="1:10" x14ac:dyDescent="0.25">
      <c r="A1232" s="389"/>
      <c r="B1232" s="4"/>
      <c r="C1232" s="16"/>
      <c r="D1232" s="519"/>
      <c r="E1232" s="410"/>
      <c r="F1232" s="313"/>
      <c r="G1232" s="256"/>
      <c r="H1232" s="313"/>
      <c r="I1232" s="456"/>
      <c r="J1232" s="273" t="b">
        <f>Age_Sex23[[#This Row],[Total Spending After Applying Truncation at the Member Level]]+Age_Sex23[[#This Row],[Total Dollars Excluded from Spending After Applying Truncation at the Member Level]]=Age_Sex23[[#This Row],[Total Spending before Truncation is Applied]]</f>
        <v>1</v>
      </c>
    </row>
    <row r="1233" spans="1:10" x14ac:dyDescent="0.25">
      <c r="A1233" s="386"/>
      <c r="B1233" s="310"/>
      <c r="C1233" s="311"/>
      <c r="D1233" s="518"/>
      <c r="E1233" s="409"/>
      <c r="F1233" s="312"/>
      <c r="G1233" s="522"/>
      <c r="H1233" s="312"/>
      <c r="I1233" s="455"/>
      <c r="J1233" s="271" t="b">
        <f>Age_Sex23[[#This Row],[Total Spending After Applying Truncation at the Member Level]]+Age_Sex23[[#This Row],[Total Dollars Excluded from Spending After Applying Truncation at the Member Level]]=Age_Sex23[[#This Row],[Total Spending before Truncation is Applied]]</f>
        <v>1</v>
      </c>
    </row>
    <row r="1234" spans="1:10" x14ac:dyDescent="0.25">
      <c r="A1234" s="389"/>
      <c r="B1234" s="4"/>
      <c r="C1234" s="16"/>
      <c r="D1234" s="519"/>
      <c r="E1234" s="410"/>
      <c r="F1234" s="313"/>
      <c r="G1234" s="256"/>
      <c r="H1234" s="313"/>
      <c r="I1234" s="456"/>
      <c r="J1234" s="273" t="b">
        <f>Age_Sex23[[#This Row],[Total Spending After Applying Truncation at the Member Level]]+Age_Sex23[[#This Row],[Total Dollars Excluded from Spending After Applying Truncation at the Member Level]]=Age_Sex23[[#This Row],[Total Spending before Truncation is Applied]]</f>
        <v>1</v>
      </c>
    </row>
    <row r="1235" spans="1:10" x14ac:dyDescent="0.25">
      <c r="A1235" s="386"/>
      <c r="B1235" s="310"/>
      <c r="C1235" s="311"/>
      <c r="D1235" s="518"/>
      <c r="E1235" s="409"/>
      <c r="F1235" s="312"/>
      <c r="G1235" s="522"/>
      <c r="H1235" s="312"/>
      <c r="I1235" s="455"/>
      <c r="J1235" s="271" t="b">
        <f>Age_Sex23[[#This Row],[Total Spending After Applying Truncation at the Member Level]]+Age_Sex23[[#This Row],[Total Dollars Excluded from Spending After Applying Truncation at the Member Level]]=Age_Sex23[[#This Row],[Total Spending before Truncation is Applied]]</f>
        <v>1</v>
      </c>
    </row>
    <row r="1236" spans="1:10" x14ac:dyDescent="0.25">
      <c r="A1236" s="389"/>
      <c r="B1236" s="4"/>
      <c r="C1236" s="16"/>
      <c r="D1236" s="519"/>
      <c r="E1236" s="410"/>
      <c r="F1236" s="313"/>
      <c r="G1236" s="256"/>
      <c r="H1236" s="313"/>
      <c r="I1236" s="456"/>
      <c r="J1236" s="273" t="b">
        <f>Age_Sex23[[#This Row],[Total Spending After Applying Truncation at the Member Level]]+Age_Sex23[[#This Row],[Total Dollars Excluded from Spending After Applying Truncation at the Member Level]]=Age_Sex23[[#This Row],[Total Spending before Truncation is Applied]]</f>
        <v>1</v>
      </c>
    </row>
    <row r="1237" spans="1:10" x14ac:dyDescent="0.25">
      <c r="A1237" s="386"/>
      <c r="B1237" s="310"/>
      <c r="C1237" s="311"/>
      <c r="D1237" s="518"/>
      <c r="E1237" s="409"/>
      <c r="F1237" s="312"/>
      <c r="G1237" s="522"/>
      <c r="H1237" s="312"/>
      <c r="I1237" s="455"/>
      <c r="J1237" s="271" t="b">
        <f>Age_Sex23[[#This Row],[Total Spending After Applying Truncation at the Member Level]]+Age_Sex23[[#This Row],[Total Dollars Excluded from Spending After Applying Truncation at the Member Level]]=Age_Sex23[[#This Row],[Total Spending before Truncation is Applied]]</f>
        <v>1</v>
      </c>
    </row>
    <row r="1238" spans="1:10" x14ac:dyDescent="0.25">
      <c r="A1238" s="389"/>
      <c r="B1238" s="4"/>
      <c r="C1238" s="16"/>
      <c r="D1238" s="519"/>
      <c r="E1238" s="410"/>
      <c r="F1238" s="313"/>
      <c r="G1238" s="256"/>
      <c r="H1238" s="313"/>
      <c r="I1238" s="456"/>
      <c r="J1238" s="273" t="b">
        <f>Age_Sex23[[#This Row],[Total Spending After Applying Truncation at the Member Level]]+Age_Sex23[[#This Row],[Total Dollars Excluded from Spending After Applying Truncation at the Member Level]]=Age_Sex23[[#This Row],[Total Spending before Truncation is Applied]]</f>
        <v>1</v>
      </c>
    </row>
    <row r="1239" spans="1:10" x14ac:dyDescent="0.25">
      <c r="A1239" s="386"/>
      <c r="B1239" s="310"/>
      <c r="C1239" s="311"/>
      <c r="D1239" s="518"/>
      <c r="E1239" s="409"/>
      <c r="F1239" s="312"/>
      <c r="G1239" s="522"/>
      <c r="H1239" s="312"/>
      <c r="I1239" s="455"/>
      <c r="J1239" s="271" t="b">
        <f>Age_Sex23[[#This Row],[Total Spending After Applying Truncation at the Member Level]]+Age_Sex23[[#This Row],[Total Dollars Excluded from Spending After Applying Truncation at the Member Level]]=Age_Sex23[[#This Row],[Total Spending before Truncation is Applied]]</f>
        <v>1</v>
      </c>
    </row>
    <row r="1240" spans="1:10" x14ac:dyDescent="0.25">
      <c r="A1240" s="389"/>
      <c r="B1240" s="4"/>
      <c r="C1240" s="16"/>
      <c r="D1240" s="519"/>
      <c r="E1240" s="410"/>
      <c r="F1240" s="313"/>
      <c r="G1240" s="256"/>
      <c r="H1240" s="313"/>
      <c r="I1240" s="456"/>
      <c r="J1240" s="273" t="b">
        <f>Age_Sex23[[#This Row],[Total Spending After Applying Truncation at the Member Level]]+Age_Sex23[[#This Row],[Total Dollars Excluded from Spending After Applying Truncation at the Member Level]]=Age_Sex23[[#This Row],[Total Spending before Truncation is Applied]]</f>
        <v>1</v>
      </c>
    </row>
    <row r="1241" spans="1:10" x14ac:dyDescent="0.25">
      <c r="A1241" s="386"/>
      <c r="B1241" s="310"/>
      <c r="C1241" s="311"/>
      <c r="D1241" s="518"/>
      <c r="E1241" s="409"/>
      <c r="F1241" s="312"/>
      <c r="G1241" s="522"/>
      <c r="H1241" s="312"/>
      <c r="I1241" s="455"/>
      <c r="J1241" s="271" t="b">
        <f>Age_Sex23[[#This Row],[Total Spending After Applying Truncation at the Member Level]]+Age_Sex23[[#This Row],[Total Dollars Excluded from Spending After Applying Truncation at the Member Level]]=Age_Sex23[[#This Row],[Total Spending before Truncation is Applied]]</f>
        <v>1</v>
      </c>
    </row>
    <row r="1242" spans="1:10" x14ac:dyDescent="0.25">
      <c r="A1242" s="389"/>
      <c r="B1242" s="4"/>
      <c r="C1242" s="16"/>
      <c r="D1242" s="519"/>
      <c r="E1242" s="410"/>
      <c r="F1242" s="313"/>
      <c r="G1242" s="256"/>
      <c r="H1242" s="313"/>
      <c r="I1242" s="456"/>
      <c r="J1242" s="273" t="b">
        <f>Age_Sex23[[#This Row],[Total Spending After Applying Truncation at the Member Level]]+Age_Sex23[[#This Row],[Total Dollars Excluded from Spending After Applying Truncation at the Member Level]]=Age_Sex23[[#This Row],[Total Spending before Truncation is Applied]]</f>
        <v>1</v>
      </c>
    </row>
    <row r="1243" spans="1:10" x14ac:dyDescent="0.25">
      <c r="A1243" s="386"/>
      <c r="B1243" s="310"/>
      <c r="C1243" s="311"/>
      <c r="D1243" s="518"/>
      <c r="E1243" s="409"/>
      <c r="F1243" s="312"/>
      <c r="G1243" s="522"/>
      <c r="H1243" s="312"/>
      <c r="I1243" s="455"/>
      <c r="J1243" s="271" t="b">
        <f>Age_Sex23[[#This Row],[Total Spending After Applying Truncation at the Member Level]]+Age_Sex23[[#This Row],[Total Dollars Excluded from Spending After Applying Truncation at the Member Level]]=Age_Sex23[[#This Row],[Total Spending before Truncation is Applied]]</f>
        <v>1</v>
      </c>
    </row>
    <row r="1244" spans="1:10" x14ac:dyDescent="0.25">
      <c r="A1244" s="389"/>
      <c r="B1244" s="4"/>
      <c r="C1244" s="16"/>
      <c r="D1244" s="519"/>
      <c r="E1244" s="410"/>
      <c r="F1244" s="313"/>
      <c r="G1244" s="256"/>
      <c r="H1244" s="313"/>
      <c r="I1244" s="456"/>
      <c r="J1244" s="273" t="b">
        <f>Age_Sex23[[#This Row],[Total Spending After Applying Truncation at the Member Level]]+Age_Sex23[[#This Row],[Total Dollars Excluded from Spending After Applying Truncation at the Member Level]]=Age_Sex23[[#This Row],[Total Spending before Truncation is Applied]]</f>
        <v>1</v>
      </c>
    </row>
    <row r="1245" spans="1:10" x14ac:dyDescent="0.25">
      <c r="A1245" s="386"/>
      <c r="B1245" s="310"/>
      <c r="C1245" s="311"/>
      <c r="D1245" s="518"/>
      <c r="E1245" s="409"/>
      <c r="F1245" s="312"/>
      <c r="G1245" s="522"/>
      <c r="H1245" s="312"/>
      <c r="I1245" s="455"/>
      <c r="J1245" s="271" t="b">
        <f>Age_Sex23[[#This Row],[Total Spending After Applying Truncation at the Member Level]]+Age_Sex23[[#This Row],[Total Dollars Excluded from Spending After Applying Truncation at the Member Level]]=Age_Sex23[[#This Row],[Total Spending before Truncation is Applied]]</f>
        <v>1</v>
      </c>
    </row>
    <row r="1246" spans="1:10" x14ac:dyDescent="0.25">
      <c r="A1246" s="389"/>
      <c r="B1246" s="4"/>
      <c r="C1246" s="16"/>
      <c r="D1246" s="519"/>
      <c r="E1246" s="410"/>
      <c r="F1246" s="313"/>
      <c r="G1246" s="256"/>
      <c r="H1246" s="313"/>
      <c r="I1246" s="456"/>
      <c r="J1246" s="273" t="b">
        <f>Age_Sex23[[#This Row],[Total Spending After Applying Truncation at the Member Level]]+Age_Sex23[[#This Row],[Total Dollars Excluded from Spending After Applying Truncation at the Member Level]]=Age_Sex23[[#This Row],[Total Spending before Truncation is Applied]]</f>
        <v>1</v>
      </c>
    </row>
    <row r="1247" spans="1:10" x14ac:dyDescent="0.25">
      <c r="A1247" s="386"/>
      <c r="B1247" s="310"/>
      <c r="C1247" s="311"/>
      <c r="D1247" s="518"/>
      <c r="E1247" s="409"/>
      <c r="F1247" s="312"/>
      <c r="G1247" s="522"/>
      <c r="H1247" s="312"/>
      <c r="I1247" s="455"/>
      <c r="J1247" s="271" t="b">
        <f>Age_Sex23[[#This Row],[Total Spending After Applying Truncation at the Member Level]]+Age_Sex23[[#This Row],[Total Dollars Excluded from Spending After Applying Truncation at the Member Level]]=Age_Sex23[[#This Row],[Total Spending before Truncation is Applied]]</f>
        <v>1</v>
      </c>
    </row>
    <row r="1248" spans="1:10" x14ac:dyDescent="0.25">
      <c r="A1248" s="389"/>
      <c r="B1248" s="4"/>
      <c r="C1248" s="16"/>
      <c r="D1248" s="519"/>
      <c r="E1248" s="410"/>
      <c r="F1248" s="313"/>
      <c r="G1248" s="256"/>
      <c r="H1248" s="313"/>
      <c r="I1248" s="456"/>
      <c r="J1248" s="273" t="b">
        <f>Age_Sex23[[#This Row],[Total Spending After Applying Truncation at the Member Level]]+Age_Sex23[[#This Row],[Total Dollars Excluded from Spending After Applying Truncation at the Member Level]]=Age_Sex23[[#This Row],[Total Spending before Truncation is Applied]]</f>
        <v>1</v>
      </c>
    </row>
    <row r="1249" spans="1:10" x14ac:dyDescent="0.25">
      <c r="A1249" s="386"/>
      <c r="B1249" s="310"/>
      <c r="C1249" s="311"/>
      <c r="D1249" s="518"/>
      <c r="E1249" s="409"/>
      <c r="F1249" s="312"/>
      <c r="G1249" s="522"/>
      <c r="H1249" s="312"/>
      <c r="I1249" s="455"/>
      <c r="J1249" s="271" t="b">
        <f>Age_Sex23[[#This Row],[Total Spending After Applying Truncation at the Member Level]]+Age_Sex23[[#This Row],[Total Dollars Excluded from Spending After Applying Truncation at the Member Level]]=Age_Sex23[[#This Row],[Total Spending before Truncation is Applied]]</f>
        <v>1</v>
      </c>
    </row>
    <row r="1250" spans="1:10" x14ac:dyDescent="0.25">
      <c r="A1250" s="389"/>
      <c r="B1250" s="4"/>
      <c r="C1250" s="16"/>
      <c r="D1250" s="519"/>
      <c r="E1250" s="410"/>
      <c r="F1250" s="313"/>
      <c r="G1250" s="256"/>
      <c r="H1250" s="313"/>
      <c r="I1250" s="456"/>
      <c r="J1250" s="273" t="b">
        <f>Age_Sex23[[#This Row],[Total Spending After Applying Truncation at the Member Level]]+Age_Sex23[[#This Row],[Total Dollars Excluded from Spending After Applying Truncation at the Member Level]]=Age_Sex23[[#This Row],[Total Spending before Truncation is Applied]]</f>
        <v>1</v>
      </c>
    </row>
    <row r="1251" spans="1:10" x14ac:dyDescent="0.25">
      <c r="A1251" s="386"/>
      <c r="B1251" s="310"/>
      <c r="C1251" s="311"/>
      <c r="D1251" s="518"/>
      <c r="E1251" s="409"/>
      <c r="F1251" s="312"/>
      <c r="G1251" s="522"/>
      <c r="H1251" s="312"/>
      <c r="I1251" s="455"/>
      <c r="J1251" s="271" t="b">
        <f>Age_Sex23[[#This Row],[Total Spending After Applying Truncation at the Member Level]]+Age_Sex23[[#This Row],[Total Dollars Excluded from Spending After Applying Truncation at the Member Level]]=Age_Sex23[[#This Row],[Total Spending before Truncation is Applied]]</f>
        <v>1</v>
      </c>
    </row>
    <row r="1252" spans="1:10" x14ac:dyDescent="0.25">
      <c r="A1252" s="389"/>
      <c r="B1252" s="4"/>
      <c r="C1252" s="16"/>
      <c r="D1252" s="519"/>
      <c r="E1252" s="410"/>
      <c r="F1252" s="313"/>
      <c r="G1252" s="256"/>
      <c r="H1252" s="313"/>
      <c r="I1252" s="456"/>
      <c r="J1252" s="273" t="b">
        <f>Age_Sex23[[#This Row],[Total Spending After Applying Truncation at the Member Level]]+Age_Sex23[[#This Row],[Total Dollars Excluded from Spending After Applying Truncation at the Member Level]]=Age_Sex23[[#This Row],[Total Spending before Truncation is Applied]]</f>
        <v>1</v>
      </c>
    </row>
    <row r="1253" spans="1:10" x14ac:dyDescent="0.25">
      <c r="A1253" s="386"/>
      <c r="B1253" s="310"/>
      <c r="C1253" s="311"/>
      <c r="D1253" s="518"/>
      <c r="E1253" s="409"/>
      <c r="F1253" s="312"/>
      <c r="G1253" s="522"/>
      <c r="H1253" s="312"/>
      <c r="I1253" s="455"/>
      <c r="J1253" s="271" t="b">
        <f>Age_Sex23[[#This Row],[Total Spending After Applying Truncation at the Member Level]]+Age_Sex23[[#This Row],[Total Dollars Excluded from Spending After Applying Truncation at the Member Level]]=Age_Sex23[[#This Row],[Total Spending before Truncation is Applied]]</f>
        <v>1</v>
      </c>
    </row>
    <row r="1254" spans="1:10" x14ac:dyDescent="0.25">
      <c r="A1254" s="389"/>
      <c r="B1254" s="4"/>
      <c r="C1254" s="16"/>
      <c r="D1254" s="519"/>
      <c r="E1254" s="410"/>
      <c r="F1254" s="313"/>
      <c r="G1254" s="256"/>
      <c r="H1254" s="313"/>
      <c r="I1254" s="456"/>
      <c r="J1254" s="273" t="b">
        <f>Age_Sex23[[#This Row],[Total Spending After Applying Truncation at the Member Level]]+Age_Sex23[[#This Row],[Total Dollars Excluded from Spending After Applying Truncation at the Member Level]]=Age_Sex23[[#This Row],[Total Spending before Truncation is Applied]]</f>
        <v>1</v>
      </c>
    </row>
    <row r="1255" spans="1:10" x14ac:dyDescent="0.25">
      <c r="A1255" s="386"/>
      <c r="B1255" s="310"/>
      <c r="C1255" s="311"/>
      <c r="D1255" s="518"/>
      <c r="E1255" s="409"/>
      <c r="F1255" s="312"/>
      <c r="G1255" s="522"/>
      <c r="H1255" s="312"/>
      <c r="I1255" s="455"/>
      <c r="J1255" s="271" t="b">
        <f>Age_Sex23[[#This Row],[Total Spending After Applying Truncation at the Member Level]]+Age_Sex23[[#This Row],[Total Dollars Excluded from Spending After Applying Truncation at the Member Level]]=Age_Sex23[[#This Row],[Total Spending before Truncation is Applied]]</f>
        <v>1</v>
      </c>
    </row>
    <row r="1256" spans="1:10" x14ac:dyDescent="0.25">
      <c r="A1256" s="389"/>
      <c r="B1256" s="4"/>
      <c r="C1256" s="16"/>
      <c r="D1256" s="519"/>
      <c r="E1256" s="410"/>
      <c r="F1256" s="313"/>
      <c r="G1256" s="256"/>
      <c r="H1256" s="313"/>
      <c r="I1256" s="456"/>
      <c r="J1256" s="273" t="b">
        <f>Age_Sex23[[#This Row],[Total Spending After Applying Truncation at the Member Level]]+Age_Sex23[[#This Row],[Total Dollars Excluded from Spending After Applying Truncation at the Member Level]]=Age_Sex23[[#This Row],[Total Spending before Truncation is Applied]]</f>
        <v>1</v>
      </c>
    </row>
    <row r="1257" spans="1:10" x14ac:dyDescent="0.25">
      <c r="A1257" s="386"/>
      <c r="B1257" s="310"/>
      <c r="C1257" s="311"/>
      <c r="D1257" s="518"/>
      <c r="E1257" s="409"/>
      <c r="F1257" s="312"/>
      <c r="G1257" s="522"/>
      <c r="H1257" s="312"/>
      <c r="I1257" s="455"/>
      <c r="J1257" s="271" t="b">
        <f>Age_Sex23[[#This Row],[Total Spending After Applying Truncation at the Member Level]]+Age_Sex23[[#This Row],[Total Dollars Excluded from Spending After Applying Truncation at the Member Level]]=Age_Sex23[[#This Row],[Total Spending before Truncation is Applied]]</f>
        <v>1</v>
      </c>
    </row>
    <row r="1258" spans="1:10" x14ac:dyDescent="0.25">
      <c r="A1258" s="389"/>
      <c r="B1258" s="4"/>
      <c r="C1258" s="16"/>
      <c r="D1258" s="519"/>
      <c r="E1258" s="410"/>
      <c r="F1258" s="313"/>
      <c r="G1258" s="256"/>
      <c r="H1258" s="313"/>
      <c r="I1258" s="456"/>
      <c r="J1258" s="273" t="b">
        <f>Age_Sex23[[#This Row],[Total Spending After Applying Truncation at the Member Level]]+Age_Sex23[[#This Row],[Total Dollars Excluded from Spending After Applying Truncation at the Member Level]]=Age_Sex23[[#This Row],[Total Spending before Truncation is Applied]]</f>
        <v>1</v>
      </c>
    </row>
    <row r="1259" spans="1:10" x14ac:dyDescent="0.25">
      <c r="A1259" s="386"/>
      <c r="B1259" s="310"/>
      <c r="C1259" s="311"/>
      <c r="D1259" s="518"/>
      <c r="E1259" s="409"/>
      <c r="F1259" s="312"/>
      <c r="G1259" s="522"/>
      <c r="H1259" s="312"/>
      <c r="I1259" s="455"/>
      <c r="J1259" s="271" t="b">
        <f>Age_Sex23[[#This Row],[Total Spending After Applying Truncation at the Member Level]]+Age_Sex23[[#This Row],[Total Dollars Excluded from Spending After Applying Truncation at the Member Level]]=Age_Sex23[[#This Row],[Total Spending before Truncation is Applied]]</f>
        <v>1</v>
      </c>
    </row>
    <row r="1260" spans="1:10" x14ac:dyDescent="0.25">
      <c r="A1260" s="389"/>
      <c r="B1260" s="4"/>
      <c r="C1260" s="16"/>
      <c r="D1260" s="519"/>
      <c r="E1260" s="410"/>
      <c r="F1260" s="313"/>
      <c r="G1260" s="256"/>
      <c r="H1260" s="313"/>
      <c r="I1260" s="456"/>
      <c r="J1260" s="273" t="b">
        <f>Age_Sex23[[#This Row],[Total Spending After Applying Truncation at the Member Level]]+Age_Sex23[[#This Row],[Total Dollars Excluded from Spending After Applying Truncation at the Member Level]]=Age_Sex23[[#This Row],[Total Spending before Truncation is Applied]]</f>
        <v>1</v>
      </c>
    </row>
    <row r="1261" spans="1:10" x14ac:dyDescent="0.25">
      <c r="A1261" s="386"/>
      <c r="B1261" s="310"/>
      <c r="C1261" s="311"/>
      <c r="D1261" s="518"/>
      <c r="E1261" s="409"/>
      <c r="F1261" s="312"/>
      <c r="G1261" s="522"/>
      <c r="H1261" s="312"/>
      <c r="I1261" s="455"/>
      <c r="J1261" s="271" t="b">
        <f>Age_Sex23[[#This Row],[Total Spending After Applying Truncation at the Member Level]]+Age_Sex23[[#This Row],[Total Dollars Excluded from Spending After Applying Truncation at the Member Level]]=Age_Sex23[[#This Row],[Total Spending before Truncation is Applied]]</f>
        <v>1</v>
      </c>
    </row>
    <row r="1262" spans="1:10" x14ac:dyDescent="0.25">
      <c r="A1262" s="389"/>
      <c r="B1262" s="4"/>
      <c r="C1262" s="16"/>
      <c r="D1262" s="519"/>
      <c r="E1262" s="410"/>
      <c r="F1262" s="313"/>
      <c r="G1262" s="256"/>
      <c r="H1262" s="313"/>
      <c r="I1262" s="456"/>
      <c r="J1262" s="273" t="b">
        <f>Age_Sex23[[#This Row],[Total Spending After Applying Truncation at the Member Level]]+Age_Sex23[[#This Row],[Total Dollars Excluded from Spending After Applying Truncation at the Member Level]]=Age_Sex23[[#This Row],[Total Spending before Truncation is Applied]]</f>
        <v>1</v>
      </c>
    </row>
    <row r="1263" spans="1:10" x14ac:dyDescent="0.25">
      <c r="A1263" s="386"/>
      <c r="B1263" s="310"/>
      <c r="C1263" s="311"/>
      <c r="D1263" s="518"/>
      <c r="E1263" s="409"/>
      <c r="F1263" s="312"/>
      <c r="G1263" s="522"/>
      <c r="H1263" s="312"/>
      <c r="I1263" s="455"/>
      <c r="J1263" s="271" t="b">
        <f>Age_Sex23[[#This Row],[Total Spending After Applying Truncation at the Member Level]]+Age_Sex23[[#This Row],[Total Dollars Excluded from Spending After Applying Truncation at the Member Level]]=Age_Sex23[[#This Row],[Total Spending before Truncation is Applied]]</f>
        <v>1</v>
      </c>
    </row>
    <row r="1264" spans="1:10" x14ac:dyDescent="0.25">
      <c r="A1264" s="389"/>
      <c r="B1264" s="4"/>
      <c r="C1264" s="16"/>
      <c r="D1264" s="519"/>
      <c r="E1264" s="410"/>
      <c r="F1264" s="313"/>
      <c r="G1264" s="256"/>
      <c r="H1264" s="313"/>
      <c r="I1264" s="456"/>
      <c r="J1264" s="273" t="b">
        <f>Age_Sex23[[#This Row],[Total Spending After Applying Truncation at the Member Level]]+Age_Sex23[[#This Row],[Total Dollars Excluded from Spending After Applying Truncation at the Member Level]]=Age_Sex23[[#This Row],[Total Spending before Truncation is Applied]]</f>
        <v>1</v>
      </c>
    </row>
    <row r="1265" spans="1:10" x14ac:dyDescent="0.25">
      <c r="A1265" s="386"/>
      <c r="B1265" s="310"/>
      <c r="C1265" s="311"/>
      <c r="D1265" s="518"/>
      <c r="E1265" s="409"/>
      <c r="F1265" s="312"/>
      <c r="G1265" s="522"/>
      <c r="H1265" s="312"/>
      <c r="I1265" s="455"/>
      <c r="J1265" s="271" t="b">
        <f>Age_Sex23[[#This Row],[Total Spending After Applying Truncation at the Member Level]]+Age_Sex23[[#This Row],[Total Dollars Excluded from Spending After Applying Truncation at the Member Level]]=Age_Sex23[[#This Row],[Total Spending before Truncation is Applied]]</f>
        <v>1</v>
      </c>
    </row>
    <row r="1266" spans="1:10" x14ac:dyDescent="0.25">
      <c r="A1266" s="389"/>
      <c r="B1266" s="4"/>
      <c r="C1266" s="16"/>
      <c r="D1266" s="519"/>
      <c r="E1266" s="410"/>
      <c r="F1266" s="313"/>
      <c r="G1266" s="256"/>
      <c r="H1266" s="313"/>
      <c r="I1266" s="456"/>
      <c r="J1266" s="273" t="b">
        <f>Age_Sex23[[#This Row],[Total Spending After Applying Truncation at the Member Level]]+Age_Sex23[[#This Row],[Total Dollars Excluded from Spending After Applying Truncation at the Member Level]]=Age_Sex23[[#This Row],[Total Spending before Truncation is Applied]]</f>
        <v>1</v>
      </c>
    </row>
    <row r="1267" spans="1:10" x14ac:dyDescent="0.25">
      <c r="A1267" s="386"/>
      <c r="B1267" s="310"/>
      <c r="C1267" s="311"/>
      <c r="D1267" s="518"/>
      <c r="E1267" s="409"/>
      <c r="F1267" s="312"/>
      <c r="G1267" s="522"/>
      <c r="H1267" s="312"/>
      <c r="I1267" s="455"/>
      <c r="J1267" s="271" t="b">
        <f>Age_Sex23[[#This Row],[Total Spending After Applying Truncation at the Member Level]]+Age_Sex23[[#This Row],[Total Dollars Excluded from Spending After Applying Truncation at the Member Level]]=Age_Sex23[[#This Row],[Total Spending before Truncation is Applied]]</f>
        <v>1</v>
      </c>
    </row>
    <row r="1268" spans="1:10" x14ac:dyDescent="0.25">
      <c r="A1268" s="389"/>
      <c r="B1268" s="4"/>
      <c r="C1268" s="16"/>
      <c r="D1268" s="519"/>
      <c r="E1268" s="410"/>
      <c r="F1268" s="313"/>
      <c r="G1268" s="256"/>
      <c r="H1268" s="313"/>
      <c r="I1268" s="456"/>
      <c r="J1268" s="273" t="b">
        <f>Age_Sex23[[#This Row],[Total Spending After Applying Truncation at the Member Level]]+Age_Sex23[[#This Row],[Total Dollars Excluded from Spending After Applying Truncation at the Member Level]]=Age_Sex23[[#This Row],[Total Spending before Truncation is Applied]]</f>
        <v>1</v>
      </c>
    </row>
    <row r="1269" spans="1:10" x14ac:dyDescent="0.25">
      <c r="A1269" s="386"/>
      <c r="B1269" s="310"/>
      <c r="C1269" s="311"/>
      <c r="D1269" s="518"/>
      <c r="E1269" s="409"/>
      <c r="F1269" s="312"/>
      <c r="G1269" s="522"/>
      <c r="H1269" s="312"/>
      <c r="I1269" s="455"/>
      <c r="J1269" s="271" t="b">
        <f>Age_Sex23[[#This Row],[Total Spending After Applying Truncation at the Member Level]]+Age_Sex23[[#This Row],[Total Dollars Excluded from Spending After Applying Truncation at the Member Level]]=Age_Sex23[[#This Row],[Total Spending before Truncation is Applied]]</f>
        <v>1</v>
      </c>
    </row>
    <row r="1270" spans="1:10" x14ac:dyDescent="0.25">
      <c r="A1270" s="389"/>
      <c r="B1270" s="4"/>
      <c r="C1270" s="16"/>
      <c r="D1270" s="519"/>
      <c r="E1270" s="410"/>
      <c r="F1270" s="313"/>
      <c r="G1270" s="256"/>
      <c r="H1270" s="313"/>
      <c r="I1270" s="456"/>
      <c r="J1270" s="273" t="b">
        <f>Age_Sex23[[#This Row],[Total Spending After Applying Truncation at the Member Level]]+Age_Sex23[[#This Row],[Total Dollars Excluded from Spending After Applying Truncation at the Member Level]]=Age_Sex23[[#This Row],[Total Spending before Truncation is Applied]]</f>
        <v>1</v>
      </c>
    </row>
    <row r="1271" spans="1:10" x14ac:dyDescent="0.25">
      <c r="A1271" s="386"/>
      <c r="B1271" s="310"/>
      <c r="C1271" s="311"/>
      <c r="D1271" s="518"/>
      <c r="E1271" s="409"/>
      <c r="F1271" s="312"/>
      <c r="G1271" s="522"/>
      <c r="H1271" s="312"/>
      <c r="I1271" s="455"/>
      <c r="J1271" s="271" t="b">
        <f>Age_Sex23[[#This Row],[Total Spending After Applying Truncation at the Member Level]]+Age_Sex23[[#This Row],[Total Dollars Excluded from Spending After Applying Truncation at the Member Level]]=Age_Sex23[[#This Row],[Total Spending before Truncation is Applied]]</f>
        <v>1</v>
      </c>
    </row>
    <row r="1272" spans="1:10" x14ac:dyDescent="0.25">
      <c r="A1272" s="389"/>
      <c r="B1272" s="4"/>
      <c r="C1272" s="16"/>
      <c r="D1272" s="519"/>
      <c r="E1272" s="410"/>
      <c r="F1272" s="313"/>
      <c r="G1272" s="256"/>
      <c r="H1272" s="313"/>
      <c r="I1272" s="456"/>
      <c r="J1272" s="273" t="b">
        <f>Age_Sex23[[#This Row],[Total Spending After Applying Truncation at the Member Level]]+Age_Sex23[[#This Row],[Total Dollars Excluded from Spending After Applying Truncation at the Member Level]]=Age_Sex23[[#This Row],[Total Spending before Truncation is Applied]]</f>
        <v>1</v>
      </c>
    </row>
    <row r="1273" spans="1:10" x14ac:dyDescent="0.25">
      <c r="A1273" s="386"/>
      <c r="B1273" s="310"/>
      <c r="C1273" s="311"/>
      <c r="D1273" s="518"/>
      <c r="E1273" s="409"/>
      <c r="F1273" s="312"/>
      <c r="G1273" s="522"/>
      <c r="H1273" s="312"/>
      <c r="I1273" s="455"/>
      <c r="J1273" s="271" t="b">
        <f>Age_Sex23[[#This Row],[Total Spending After Applying Truncation at the Member Level]]+Age_Sex23[[#This Row],[Total Dollars Excluded from Spending After Applying Truncation at the Member Level]]=Age_Sex23[[#This Row],[Total Spending before Truncation is Applied]]</f>
        <v>1</v>
      </c>
    </row>
    <row r="1274" spans="1:10" x14ac:dyDescent="0.25">
      <c r="A1274" s="389"/>
      <c r="B1274" s="4"/>
      <c r="C1274" s="16"/>
      <c r="D1274" s="519"/>
      <c r="E1274" s="410"/>
      <c r="F1274" s="313"/>
      <c r="G1274" s="256"/>
      <c r="H1274" s="313"/>
      <c r="I1274" s="456"/>
      <c r="J1274" s="273" t="b">
        <f>Age_Sex23[[#This Row],[Total Spending After Applying Truncation at the Member Level]]+Age_Sex23[[#This Row],[Total Dollars Excluded from Spending After Applying Truncation at the Member Level]]=Age_Sex23[[#This Row],[Total Spending before Truncation is Applied]]</f>
        <v>1</v>
      </c>
    </row>
    <row r="1275" spans="1:10" x14ac:dyDescent="0.25">
      <c r="A1275" s="386"/>
      <c r="B1275" s="310"/>
      <c r="C1275" s="311"/>
      <c r="D1275" s="518"/>
      <c r="E1275" s="409"/>
      <c r="F1275" s="312"/>
      <c r="G1275" s="522"/>
      <c r="H1275" s="312"/>
      <c r="I1275" s="455"/>
      <c r="J1275" s="271" t="b">
        <f>Age_Sex23[[#This Row],[Total Spending After Applying Truncation at the Member Level]]+Age_Sex23[[#This Row],[Total Dollars Excluded from Spending After Applying Truncation at the Member Level]]=Age_Sex23[[#This Row],[Total Spending before Truncation is Applied]]</f>
        <v>1</v>
      </c>
    </row>
    <row r="1276" spans="1:10" x14ac:dyDescent="0.25">
      <c r="A1276" s="389"/>
      <c r="B1276" s="4"/>
      <c r="C1276" s="16"/>
      <c r="D1276" s="519"/>
      <c r="E1276" s="410"/>
      <c r="F1276" s="313"/>
      <c r="G1276" s="256"/>
      <c r="H1276" s="313"/>
      <c r="I1276" s="456"/>
      <c r="J1276" s="273" t="b">
        <f>Age_Sex23[[#This Row],[Total Spending After Applying Truncation at the Member Level]]+Age_Sex23[[#This Row],[Total Dollars Excluded from Spending After Applying Truncation at the Member Level]]=Age_Sex23[[#This Row],[Total Spending before Truncation is Applied]]</f>
        <v>1</v>
      </c>
    </row>
    <row r="1277" spans="1:10" x14ac:dyDescent="0.25">
      <c r="A1277" s="386"/>
      <c r="B1277" s="310"/>
      <c r="C1277" s="311"/>
      <c r="D1277" s="518"/>
      <c r="E1277" s="409"/>
      <c r="F1277" s="312"/>
      <c r="G1277" s="522"/>
      <c r="H1277" s="312"/>
      <c r="I1277" s="455"/>
      <c r="J1277" s="271" t="b">
        <f>Age_Sex23[[#This Row],[Total Spending After Applying Truncation at the Member Level]]+Age_Sex23[[#This Row],[Total Dollars Excluded from Spending After Applying Truncation at the Member Level]]=Age_Sex23[[#This Row],[Total Spending before Truncation is Applied]]</f>
        <v>1</v>
      </c>
    </row>
    <row r="1278" spans="1:10" x14ac:dyDescent="0.25">
      <c r="A1278" s="389"/>
      <c r="B1278" s="4"/>
      <c r="C1278" s="16"/>
      <c r="D1278" s="519"/>
      <c r="E1278" s="410"/>
      <c r="F1278" s="313"/>
      <c r="G1278" s="256"/>
      <c r="H1278" s="313"/>
      <c r="I1278" s="456"/>
      <c r="J1278" s="273" t="b">
        <f>Age_Sex23[[#This Row],[Total Spending After Applying Truncation at the Member Level]]+Age_Sex23[[#This Row],[Total Dollars Excluded from Spending After Applying Truncation at the Member Level]]=Age_Sex23[[#This Row],[Total Spending before Truncation is Applied]]</f>
        <v>1</v>
      </c>
    </row>
    <row r="1279" spans="1:10" x14ac:dyDescent="0.25">
      <c r="A1279" s="386"/>
      <c r="B1279" s="310"/>
      <c r="C1279" s="311"/>
      <c r="D1279" s="518"/>
      <c r="E1279" s="409"/>
      <c r="F1279" s="312"/>
      <c r="G1279" s="522"/>
      <c r="H1279" s="312"/>
      <c r="I1279" s="455"/>
      <c r="J1279" s="271" t="b">
        <f>Age_Sex23[[#This Row],[Total Spending After Applying Truncation at the Member Level]]+Age_Sex23[[#This Row],[Total Dollars Excluded from Spending After Applying Truncation at the Member Level]]=Age_Sex23[[#This Row],[Total Spending before Truncation is Applied]]</f>
        <v>1</v>
      </c>
    </row>
    <row r="1280" spans="1:10" x14ac:dyDescent="0.25">
      <c r="A1280" s="389"/>
      <c r="B1280" s="4"/>
      <c r="C1280" s="16"/>
      <c r="D1280" s="519"/>
      <c r="E1280" s="410"/>
      <c r="F1280" s="313"/>
      <c r="G1280" s="256"/>
      <c r="H1280" s="313"/>
      <c r="I1280" s="456"/>
      <c r="J1280" s="273" t="b">
        <f>Age_Sex23[[#This Row],[Total Spending After Applying Truncation at the Member Level]]+Age_Sex23[[#This Row],[Total Dollars Excluded from Spending After Applying Truncation at the Member Level]]=Age_Sex23[[#This Row],[Total Spending before Truncation is Applied]]</f>
        <v>1</v>
      </c>
    </row>
    <row r="1281" spans="1:10" x14ac:dyDescent="0.25">
      <c r="A1281" s="386"/>
      <c r="B1281" s="310"/>
      <c r="C1281" s="311"/>
      <c r="D1281" s="518"/>
      <c r="E1281" s="409"/>
      <c r="F1281" s="312"/>
      <c r="G1281" s="522"/>
      <c r="H1281" s="312"/>
      <c r="I1281" s="455"/>
      <c r="J1281" s="271" t="b">
        <f>Age_Sex23[[#This Row],[Total Spending After Applying Truncation at the Member Level]]+Age_Sex23[[#This Row],[Total Dollars Excluded from Spending After Applying Truncation at the Member Level]]=Age_Sex23[[#This Row],[Total Spending before Truncation is Applied]]</f>
        <v>1</v>
      </c>
    </row>
    <row r="1282" spans="1:10" x14ac:dyDescent="0.25">
      <c r="A1282" s="389"/>
      <c r="B1282" s="4"/>
      <c r="C1282" s="16"/>
      <c r="D1282" s="519"/>
      <c r="E1282" s="410"/>
      <c r="F1282" s="313"/>
      <c r="G1282" s="256"/>
      <c r="H1282" s="313"/>
      <c r="I1282" s="456"/>
      <c r="J1282" s="273" t="b">
        <f>Age_Sex23[[#This Row],[Total Spending After Applying Truncation at the Member Level]]+Age_Sex23[[#This Row],[Total Dollars Excluded from Spending After Applying Truncation at the Member Level]]=Age_Sex23[[#This Row],[Total Spending before Truncation is Applied]]</f>
        <v>1</v>
      </c>
    </row>
    <row r="1283" spans="1:10" x14ac:dyDescent="0.25">
      <c r="A1283" s="386"/>
      <c r="B1283" s="310"/>
      <c r="C1283" s="311"/>
      <c r="D1283" s="518"/>
      <c r="E1283" s="409"/>
      <c r="F1283" s="312"/>
      <c r="G1283" s="522"/>
      <c r="H1283" s="312"/>
      <c r="I1283" s="455"/>
      <c r="J1283" s="271" t="b">
        <f>Age_Sex23[[#This Row],[Total Spending After Applying Truncation at the Member Level]]+Age_Sex23[[#This Row],[Total Dollars Excluded from Spending After Applying Truncation at the Member Level]]=Age_Sex23[[#This Row],[Total Spending before Truncation is Applied]]</f>
        <v>1</v>
      </c>
    </row>
    <row r="1284" spans="1:10" x14ac:dyDescent="0.25">
      <c r="A1284" s="389"/>
      <c r="B1284" s="4"/>
      <c r="C1284" s="16"/>
      <c r="D1284" s="519"/>
      <c r="E1284" s="410"/>
      <c r="F1284" s="313"/>
      <c r="G1284" s="256"/>
      <c r="H1284" s="313"/>
      <c r="I1284" s="456"/>
      <c r="J1284" s="273" t="b">
        <f>Age_Sex23[[#This Row],[Total Spending After Applying Truncation at the Member Level]]+Age_Sex23[[#This Row],[Total Dollars Excluded from Spending After Applying Truncation at the Member Level]]=Age_Sex23[[#This Row],[Total Spending before Truncation is Applied]]</f>
        <v>1</v>
      </c>
    </row>
    <row r="1285" spans="1:10" x14ac:dyDescent="0.25">
      <c r="A1285" s="386"/>
      <c r="B1285" s="310"/>
      <c r="C1285" s="311"/>
      <c r="D1285" s="518"/>
      <c r="E1285" s="409"/>
      <c r="F1285" s="312"/>
      <c r="G1285" s="522"/>
      <c r="H1285" s="312"/>
      <c r="I1285" s="455"/>
      <c r="J1285" s="271" t="b">
        <f>Age_Sex23[[#This Row],[Total Spending After Applying Truncation at the Member Level]]+Age_Sex23[[#This Row],[Total Dollars Excluded from Spending After Applying Truncation at the Member Level]]=Age_Sex23[[#This Row],[Total Spending before Truncation is Applied]]</f>
        <v>1</v>
      </c>
    </row>
    <row r="1286" spans="1:10" x14ac:dyDescent="0.25">
      <c r="A1286" s="389"/>
      <c r="B1286" s="4"/>
      <c r="C1286" s="16"/>
      <c r="D1286" s="519"/>
      <c r="E1286" s="410"/>
      <c r="F1286" s="313"/>
      <c r="G1286" s="256"/>
      <c r="H1286" s="313"/>
      <c r="I1286" s="456"/>
      <c r="J1286" s="273" t="b">
        <f>Age_Sex23[[#This Row],[Total Spending After Applying Truncation at the Member Level]]+Age_Sex23[[#This Row],[Total Dollars Excluded from Spending After Applying Truncation at the Member Level]]=Age_Sex23[[#This Row],[Total Spending before Truncation is Applied]]</f>
        <v>1</v>
      </c>
    </row>
    <row r="1287" spans="1:10" x14ac:dyDescent="0.25">
      <c r="A1287" s="386"/>
      <c r="B1287" s="310"/>
      <c r="C1287" s="311"/>
      <c r="D1287" s="518"/>
      <c r="E1287" s="409"/>
      <c r="F1287" s="312"/>
      <c r="G1287" s="522"/>
      <c r="H1287" s="312"/>
      <c r="I1287" s="455"/>
      <c r="J1287" s="271" t="b">
        <f>Age_Sex23[[#This Row],[Total Spending After Applying Truncation at the Member Level]]+Age_Sex23[[#This Row],[Total Dollars Excluded from Spending After Applying Truncation at the Member Level]]=Age_Sex23[[#This Row],[Total Spending before Truncation is Applied]]</f>
        <v>1</v>
      </c>
    </row>
    <row r="1288" spans="1:10" x14ac:dyDescent="0.25">
      <c r="A1288" s="389"/>
      <c r="B1288" s="4"/>
      <c r="C1288" s="16"/>
      <c r="D1288" s="519"/>
      <c r="E1288" s="410"/>
      <c r="F1288" s="313"/>
      <c r="G1288" s="256"/>
      <c r="H1288" s="313"/>
      <c r="I1288" s="456"/>
      <c r="J1288" s="273" t="b">
        <f>Age_Sex23[[#This Row],[Total Spending After Applying Truncation at the Member Level]]+Age_Sex23[[#This Row],[Total Dollars Excluded from Spending After Applying Truncation at the Member Level]]=Age_Sex23[[#This Row],[Total Spending before Truncation is Applied]]</f>
        <v>1</v>
      </c>
    </row>
    <row r="1289" spans="1:10" x14ac:dyDescent="0.25">
      <c r="A1289" s="386"/>
      <c r="B1289" s="310"/>
      <c r="C1289" s="311"/>
      <c r="D1289" s="518"/>
      <c r="E1289" s="409"/>
      <c r="F1289" s="312"/>
      <c r="G1289" s="522"/>
      <c r="H1289" s="312"/>
      <c r="I1289" s="455"/>
      <c r="J1289" s="271" t="b">
        <f>Age_Sex23[[#This Row],[Total Spending After Applying Truncation at the Member Level]]+Age_Sex23[[#This Row],[Total Dollars Excluded from Spending After Applying Truncation at the Member Level]]=Age_Sex23[[#This Row],[Total Spending before Truncation is Applied]]</f>
        <v>1</v>
      </c>
    </row>
    <row r="1290" spans="1:10" x14ac:dyDescent="0.25">
      <c r="A1290" s="389"/>
      <c r="B1290" s="4"/>
      <c r="C1290" s="16"/>
      <c r="D1290" s="519"/>
      <c r="E1290" s="410"/>
      <c r="F1290" s="313"/>
      <c r="G1290" s="256"/>
      <c r="H1290" s="313"/>
      <c r="I1290" s="456"/>
      <c r="J1290" s="273" t="b">
        <f>Age_Sex23[[#This Row],[Total Spending After Applying Truncation at the Member Level]]+Age_Sex23[[#This Row],[Total Dollars Excluded from Spending After Applying Truncation at the Member Level]]=Age_Sex23[[#This Row],[Total Spending before Truncation is Applied]]</f>
        <v>1</v>
      </c>
    </row>
    <row r="1291" spans="1:10" x14ac:dyDescent="0.25">
      <c r="A1291" s="386"/>
      <c r="B1291" s="310"/>
      <c r="C1291" s="311"/>
      <c r="D1291" s="518"/>
      <c r="E1291" s="409"/>
      <c r="F1291" s="312"/>
      <c r="G1291" s="522"/>
      <c r="H1291" s="312"/>
      <c r="I1291" s="455"/>
      <c r="J1291" s="271" t="b">
        <f>Age_Sex23[[#This Row],[Total Spending After Applying Truncation at the Member Level]]+Age_Sex23[[#This Row],[Total Dollars Excluded from Spending After Applying Truncation at the Member Level]]=Age_Sex23[[#This Row],[Total Spending before Truncation is Applied]]</f>
        <v>1</v>
      </c>
    </row>
    <row r="1292" spans="1:10" x14ac:dyDescent="0.25">
      <c r="A1292" s="389"/>
      <c r="B1292" s="4"/>
      <c r="C1292" s="16"/>
      <c r="D1292" s="519"/>
      <c r="E1292" s="410"/>
      <c r="F1292" s="313"/>
      <c r="G1292" s="256"/>
      <c r="H1292" s="313"/>
      <c r="I1292" s="456"/>
      <c r="J1292" s="273" t="b">
        <f>Age_Sex23[[#This Row],[Total Spending After Applying Truncation at the Member Level]]+Age_Sex23[[#This Row],[Total Dollars Excluded from Spending After Applying Truncation at the Member Level]]=Age_Sex23[[#This Row],[Total Spending before Truncation is Applied]]</f>
        <v>1</v>
      </c>
    </row>
    <row r="1293" spans="1:10" x14ac:dyDescent="0.25">
      <c r="A1293" s="386"/>
      <c r="B1293" s="310"/>
      <c r="C1293" s="311"/>
      <c r="D1293" s="518"/>
      <c r="E1293" s="409"/>
      <c r="F1293" s="312"/>
      <c r="G1293" s="522"/>
      <c r="H1293" s="312"/>
      <c r="I1293" s="455"/>
      <c r="J1293" s="271" t="b">
        <f>Age_Sex23[[#This Row],[Total Spending After Applying Truncation at the Member Level]]+Age_Sex23[[#This Row],[Total Dollars Excluded from Spending After Applying Truncation at the Member Level]]=Age_Sex23[[#This Row],[Total Spending before Truncation is Applied]]</f>
        <v>1</v>
      </c>
    </row>
    <row r="1294" spans="1:10" x14ac:dyDescent="0.25">
      <c r="A1294" s="389"/>
      <c r="B1294" s="4"/>
      <c r="C1294" s="16"/>
      <c r="D1294" s="519"/>
      <c r="E1294" s="410"/>
      <c r="F1294" s="313"/>
      <c r="G1294" s="256"/>
      <c r="H1294" s="313"/>
      <c r="I1294" s="456"/>
      <c r="J1294" s="273" t="b">
        <f>Age_Sex23[[#This Row],[Total Spending After Applying Truncation at the Member Level]]+Age_Sex23[[#This Row],[Total Dollars Excluded from Spending After Applying Truncation at the Member Level]]=Age_Sex23[[#This Row],[Total Spending before Truncation is Applied]]</f>
        <v>1</v>
      </c>
    </row>
    <row r="1295" spans="1:10" x14ac:dyDescent="0.25">
      <c r="A1295" s="386"/>
      <c r="B1295" s="310"/>
      <c r="C1295" s="311"/>
      <c r="D1295" s="518"/>
      <c r="E1295" s="409"/>
      <c r="F1295" s="312"/>
      <c r="G1295" s="522"/>
      <c r="H1295" s="312"/>
      <c r="I1295" s="455"/>
      <c r="J1295" s="271" t="b">
        <f>Age_Sex23[[#This Row],[Total Spending After Applying Truncation at the Member Level]]+Age_Sex23[[#This Row],[Total Dollars Excluded from Spending After Applying Truncation at the Member Level]]=Age_Sex23[[#This Row],[Total Spending before Truncation is Applied]]</f>
        <v>1</v>
      </c>
    </row>
    <row r="1296" spans="1:10" x14ac:dyDescent="0.25">
      <c r="A1296" s="389"/>
      <c r="B1296" s="4"/>
      <c r="C1296" s="16"/>
      <c r="D1296" s="519"/>
      <c r="E1296" s="410"/>
      <c r="F1296" s="313"/>
      <c r="G1296" s="256"/>
      <c r="H1296" s="313"/>
      <c r="I1296" s="456"/>
      <c r="J1296" s="273" t="b">
        <f>Age_Sex23[[#This Row],[Total Spending After Applying Truncation at the Member Level]]+Age_Sex23[[#This Row],[Total Dollars Excluded from Spending After Applying Truncation at the Member Level]]=Age_Sex23[[#This Row],[Total Spending before Truncation is Applied]]</f>
        <v>1</v>
      </c>
    </row>
    <row r="1297" spans="1:10" x14ac:dyDescent="0.25">
      <c r="A1297" s="386"/>
      <c r="B1297" s="310"/>
      <c r="C1297" s="311"/>
      <c r="D1297" s="518"/>
      <c r="E1297" s="409"/>
      <c r="F1297" s="312"/>
      <c r="G1297" s="522"/>
      <c r="H1297" s="312"/>
      <c r="I1297" s="455"/>
      <c r="J1297" s="271" t="b">
        <f>Age_Sex23[[#This Row],[Total Spending After Applying Truncation at the Member Level]]+Age_Sex23[[#This Row],[Total Dollars Excluded from Spending After Applying Truncation at the Member Level]]=Age_Sex23[[#This Row],[Total Spending before Truncation is Applied]]</f>
        <v>1</v>
      </c>
    </row>
    <row r="1298" spans="1:10" x14ac:dyDescent="0.25">
      <c r="A1298" s="389"/>
      <c r="B1298" s="4"/>
      <c r="C1298" s="16"/>
      <c r="D1298" s="519"/>
      <c r="E1298" s="410"/>
      <c r="F1298" s="313"/>
      <c r="G1298" s="256"/>
      <c r="H1298" s="313"/>
      <c r="I1298" s="456"/>
      <c r="J1298" s="273" t="b">
        <f>Age_Sex23[[#This Row],[Total Spending After Applying Truncation at the Member Level]]+Age_Sex23[[#This Row],[Total Dollars Excluded from Spending After Applying Truncation at the Member Level]]=Age_Sex23[[#This Row],[Total Spending before Truncation is Applied]]</f>
        <v>1</v>
      </c>
    </row>
    <row r="1299" spans="1:10" x14ac:dyDescent="0.25">
      <c r="A1299" s="386"/>
      <c r="B1299" s="310"/>
      <c r="C1299" s="311"/>
      <c r="D1299" s="518"/>
      <c r="E1299" s="409"/>
      <c r="F1299" s="312"/>
      <c r="G1299" s="522"/>
      <c r="H1299" s="312"/>
      <c r="I1299" s="455"/>
      <c r="J1299" s="271" t="b">
        <f>Age_Sex23[[#This Row],[Total Spending After Applying Truncation at the Member Level]]+Age_Sex23[[#This Row],[Total Dollars Excluded from Spending After Applying Truncation at the Member Level]]=Age_Sex23[[#This Row],[Total Spending before Truncation is Applied]]</f>
        <v>1</v>
      </c>
    </row>
    <row r="1300" spans="1:10" x14ac:dyDescent="0.25">
      <c r="A1300" s="389"/>
      <c r="B1300" s="4"/>
      <c r="C1300" s="16"/>
      <c r="D1300" s="519"/>
      <c r="E1300" s="410"/>
      <c r="F1300" s="313"/>
      <c r="G1300" s="256"/>
      <c r="H1300" s="313"/>
      <c r="I1300" s="456"/>
      <c r="J1300" s="273" t="b">
        <f>Age_Sex23[[#This Row],[Total Spending After Applying Truncation at the Member Level]]+Age_Sex23[[#This Row],[Total Dollars Excluded from Spending After Applying Truncation at the Member Level]]=Age_Sex23[[#This Row],[Total Spending before Truncation is Applied]]</f>
        <v>1</v>
      </c>
    </row>
    <row r="1301" spans="1:10" x14ac:dyDescent="0.25">
      <c r="A1301" s="386"/>
      <c r="B1301" s="310"/>
      <c r="C1301" s="311"/>
      <c r="D1301" s="518"/>
      <c r="E1301" s="409"/>
      <c r="F1301" s="312"/>
      <c r="G1301" s="522"/>
      <c r="H1301" s="312"/>
      <c r="I1301" s="455"/>
      <c r="J1301" s="271" t="b">
        <f>Age_Sex23[[#This Row],[Total Spending After Applying Truncation at the Member Level]]+Age_Sex23[[#This Row],[Total Dollars Excluded from Spending After Applying Truncation at the Member Level]]=Age_Sex23[[#This Row],[Total Spending before Truncation is Applied]]</f>
        <v>1</v>
      </c>
    </row>
    <row r="1302" spans="1:10" x14ac:dyDescent="0.25">
      <c r="A1302" s="389"/>
      <c r="B1302" s="4"/>
      <c r="C1302" s="16"/>
      <c r="D1302" s="519"/>
      <c r="E1302" s="410"/>
      <c r="F1302" s="313"/>
      <c r="G1302" s="256"/>
      <c r="H1302" s="313"/>
      <c r="I1302" s="456"/>
      <c r="J1302" s="273" t="b">
        <f>Age_Sex23[[#This Row],[Total Spending After Applying Truncation at the Member Level]]+Age_Sex23[[#This Row],[Total Dollars Excluded from Spending After Applying Truncation at the Member Level]]=Age_Sex23[[#This Row],[Total Spending before Truncation is Applied]]</f>
        <v>1</v>
      </c>
    </row>
    <row r="1303" spans="1:10" x14ac:dyDescent="0.25">
      <c r="A1303" s="386"/>
      <c r="B1303" s="310"/>
      <c r="C1303" s="311"/>
      <c r="D1303" s="518"/>
      <c r="E1303" s="409"/>
      <c r="F1303" s="312"/>
      <c r="G1303" s="522"/>
      <c r="H1303" s="312"/>
      <c r="I1303" s="455"/>
      <c r="J1303" s="271" t="b">
        <f>Age_Sex23[[#This Row],[Total Spending After Applying Truncation at the Member Level]]+Age_Sex23[[#This Row],[Total Dollars Excluded from Spending After Applying Truncation at the Member Level]]=Age_Sex23[[#This Row],[Total Spending before Truncation is Applied]]</f>
        <v>1</v>
      </c>
    </row>
    <row r="1304" spans="1:10" x14ac:dyDescent="0.25">
      <c r="A1304" s="389"/>
      <c r="B1304" s="4"/>
      <c r="C1304" s="16"/>
      <c r="D1304" s="519"/>
      <c r="E1304" s="410"/>
      <c r="F1304" s="313"/>
      <c r="G1304" s="256"/>
      <c r="H1304" s="313"/>
      <c r="I1304" s="456"/>
      <c r="J1304" s="273" t="b">
        <f>Age_Sex23[[#This Row],[Total Spending After Applying Truncation at the Member Level]]+Age_Sex23[[#This Row],[Total Dollars Excluded from Spending After Applying Truncation at the Member Level]]=Age_Sex23[[#This Row],[Total Spending before Truncation is Applied]]</f>
        <v>1</v>
      </c>
    </row>
    <row r="1305" spans="1:10" x14ac:dyDescent="0.25">
      <c r="A1305" s="386"/>
      <c r="B1305" s="310"/>
      <c r="C1305" s="311"/>
      <c r="D1305" s="518"/>
      <c r="E1305" s="409"/>
      <c r="F1305" s="312"/>
      <c r="G1305" s="522"/>
      <c r="H1305" s="312"/>
      <c r="I1305" s="455"/>
      <c r="J1305" s="271" t="b">
        <f>Age_Sex23[[#This Row],[Total Spending After Applying Truncation at the Member Level]]+Age_Sex23[[#This Row],[Total Dollars Excluded from Spending After Applying Truncation at the Member Level]]=Age_Sex23[[#This Row],[Total Spending before Truncation is Applied]]</f>
        <v>1</v>
      </c>
    </row>
    <row r="1306" spans="1:10" x14ac:dyDescent="0.25">
      <c r="A1306" s="389"/>
      <c r="B1306" s="4"/>
      <c r="C1306" s="16"/>
      <c r="D1306" s="519"/>
      <c r="E1306" s="410"/>
      <c r="F1306" s="313"/>
      <c r="G1306" s="256"/>
      <c r="H1306" s="313"/>
      <c r="I1306" s="456"/>
      <c r="J1306" s="273" t="b">
        <f>Age_Sex23[[#This Row],[Total Spending After Applying Truncation at the Member Level]]+Age_Sex23[[#This Row],[Total Dollars Excluded from Spending After Applying Truncation at the Member Level]]=Age_Sex23[[#This Row],[Total Spending before Truncation is Applied]]</f>
        <v>1</v>
      </c>
    </row>
    <row r="1307" spans="1:10" x14ac:dyDescent="0.25">
      <c r="A1307" s="386"/>
      <c r="B1307" s="310"/>
      <c r="C1307" s="311"/>
      <c r="D1307" s="518"/>
      <c r="E1307" s="409"/>
      <c r="F1307" s="312"/>
      <c r="G1307" s="522"/>
      <c r="H1307" s="312"/>
      <c r="I1307" s="455"/>
      <c r="J1307" s="271" t="b">
        <f>Age_Sex23[[#This Row],[Total Spending After Applying Truncation at the Member Level]]+Age_Sex23[[#This Row],[Total Dollars Excluded from Spending After Applying Truncation at the Member Level]]=Age_Sex23[[#This Row],[Total Spending before Truncation is Applied]]</f>
        <v>1</v>
      </c>
    </row>
    <row r="1308" spans="1:10" x14ac:dyDescent="0.25">
      <c r="A1308" s="389"/>
      <c r="B1308" s="4"/>
      <c r="C1308" s="16"/>
      <c r="D1308" s="519"/>
      <c r="E1308" s="410"/>
      <c r="F1308" s="313"/>
      <c r="G1308" s="256"/>
      <c r="H1308" s="313"/>
      <c r="I1308" s="456"/>
      <c r="J1308" s="273" t="b">
        <f>Age_Sex23[[#This Row],[Total Spending After Applying Truncation at the Member Level]]+Age_Sex23[[#This Row],[Total Dollars Excluded from Spending After Applying Truncation at the Member Level]]=Age_Sex23[[#This Row],[Total Spending before Truncation is Applied]]</f>
        <v>1</v>
      </c>
    </row>
    <row r="1309" spans="1:10" x14ac:dyDescent="0.25">
      <c r="A1309" s="386"/>
      <c r="B1309" s="310"/>
      <c r="C1309" s="311"/>
      <c r="D1309" s="518"/>
      <c r="E1309" s="409"/>
      <c r="F1309" s="312"/>
      <c r="G1309" s="522"/>
      <c r="H1309" s="312"/>
      <c r="I1309" s="455"/>
      <c r="J1309" s="271" t="b">
        <f>Age_Sex23[[#This Row],[Total Spending After Applying Truncation at the Member Level]]+Age_Sex23[[#This Row],[Total Dollars Excluded from Spending After Applying Truncation at the Member Level]]=Age_Sex23[[#This Row],[Total Spending before Truncation is Applied]]</f>
        <v>1</v>
      </c>
    </row>
    <row r="1310" spans="1:10" x14ac:dyDescent="0.25">
      <c r="A1310" s="389"/>
      <c r="B1310" s="4"/>
      <c r="C1310" s="16"/>
      <c r="D1310" s="519"/>
      <c r="E1310" s="410"/>
      <c r="F1310" s="313"/>
      <c r="G1310" s="256"/>
      <c r="H1310" s="313"/>
      <c r="I1310" s="456"/>
      <c r="J1310" s="273" t="b">
        <f>Age_Sex23[[#This Row],[Total Spending After Applying Truncation at the Member Level]]+Age_Sex23[[#This Row],[Total Dollars Excluded from Spending After Applying Truncation at the Member Level]]=Age_Sex23[[#This Row],[Total Spending before Truncation is Applied]]</f>
        <v>1</v>
      </c>
    </row>
    <row r="1311" spans="1:10" x14ac:dyDescent="0.25">
      <c r="A1311" s="386"/>
      <c r="B1311" s="310"/>
      <c r="C1311" s="311"/>
      <c r="D1311" s="518"/>
      <c r="E1311" s="409"/>
      <c r="F1311" s="312"/>
      <c r="G1311" s="522"/>
      <c r="H1311" s="312"/>
      <c r="I1311" s="455"/>
      <c r="J1311" s="271" t="b">
        <f>Age_Sex23[[#This Row],[Total Spending After Applying Truncation at the Member Level]]+Age_Sex23[[#This Row],[Total Dollars Excluded from Spending After Applying Truncation at the Member Level]]=Age_Sex23[[#This Row],[Total Spending before Truncation is Applied]]</f>
        <v>1</v>
      </c>
    </row>
    <row r="1312" spans="1:10" x14ac:dyDescent="0.25">
      <c r="A1312" s="389"/>
      <c r="B1312" s="4"/>
      <c r="C1312" s="16"/>
      <c r="D1312" s="519"/>
      <c r="E1312" s="410"/>
      <c r="F1312" s="313"/>
      <c r="G1312" s="256"/>
      <c r="H1312" s="313"/>
      <c r="I1312" s="456"/>
      <c r="J1312" s="273" t="b">
        <f>Age_Sex23[[#This Row],[Total Spending After Applying Truncation at the Member Level]]+Age_Sex23[[#This Row],[Total Dollars Excluded from Spending After Applying Truncation at the Member Level]]=Age_Sex23[[#This Row],[Total Spending before Truncation is Applied]]</f>
        <v>1</v>
      </c>
    </row>
    <row r="1313" spans="1:10" x14ac:dyDescent="0.25">
      <c r="A1313" s="386"/>
      <c r="B1313" s="310"/>
      <c r="C1313" s="311"/>
      <c r="D1313" s="518"/>
      <c r="E1313" s="409"/>
      <c r="F1313" s="312"/>
      <c r="G1313" s="522"/>
      <c r="H1313" s="312"/>
      <c r="I1313" s="455"/>
      <c r="J1313" s="271" t="b">
        <f>Age_Sex23[[#This Row],[Total Spending After Applying Truncation at the Member Level]]+Age_Sex23[[#This Row],[Total Dollars Excluded from Spending After Applying Truncation at the Member Level]]=Age_Sex23[[#This Row],[Total Spending before Truncation is Applied]]</f>
        <v>1</v>
      </c>
    </row>
    <row r="1314" spans="1:10" x14ac:dyDescent="0.25">
      <c r="A1314" s="389"/>
      <c r="B1314" s="4"/>
      <c r="C1314" s="16"/>
      <c r="D1314" s="519"/>
      <c r="E1314" s="410"/>
      <c r="F1314" s="313"/>
      <c r="G1314" s="256"/>
      <c r="H1314" s="313"/>
      <c r="I1314" s="456"/>
      <c r="J1314" s="273" t="b">
        <f>Age_Sex23[[#This Row],[Total Spending After Applying Truncation at the Member Level]]+Age_Sex23[[#This Row],[Total Dollars Excluded from Spending After Applying Truncation at the Member Level]]=Age_Sex23[[#This Row],[Total Spending before Truncation is Applied]]</f>
        <v>1</v>
      </c>
    </row>
    <row r="1315" spans="1:10" x14ac:dyDescent="0.25">
      <c r="A1315" s="386"/>
      <c r="B1315" s="310"/>
      <c r="C1315" s="311"/>
      <c r="D1315" s="518"/>
      <c r="E1315" s="409"/>
      <c r="F1315" s="312"/>
      <c r="G1315" s="522"/>
      <c r="H1315" s="312"/>
      <c r="I1315" s="455"/>
      <c r="J1315" s="271" t="b">
        <f>Age_Sex23[[#This Row],[Total Spending After Applying Truncation at the Member Level]]+Age_Sex23[[#This Row],[Total Dollars Excluded from Spending After Applying Truncation at the Member Level]]=Age_Sex23[[#This Row],[Total Spending before Truncation is Applied]]</f>
        <v>1</v>
      </c>
    </row>
    <row r="1316" spans="1:10" x14ac:dyDescent="0.25">
      <c r="A1316" s="389"/>
      <c r="B1316" s="4"/>
      <c r="C1316" s="16"/>
      <c r="D1316" s="519"/>
      <c r="E1316" s="410"/>
      <c r="F1316" s="313"/>
      <c r="G1316" s="256"/>
      <c r="H1316" s="313"/>
      <c r="I1316" s="456"/>
      <c r="J1316" s="273" t="b">
        <f>Age_Sex23[[#This Row],[Total Spending After Applying Truncation at the Member Level]]+Age_Sex23[[#This Row],[Total Dollars Excluded from Spending After Applying Truncation at the Member Level]]=Age_Sex23[[#This Row],[Total Spending before Truncation is Applied]]</f>
        <v>1</v>
      </c>
    </row>
    <row r="1317" spans="1:10" x14ac:dyDescent="0.25">
      <c r="A1317" s="386"/>
      <c r="B1317" s="310"/>
      <c r="C1317" s="311"/>
      <c r="D1317" s="518"/>
      <c r="E1317" s="409"/>
      <c r="F1317" s="312"/>
      <c r="G1317" s="522"/>
      <c r="H1317" s="312"/>
      <c r="I1317" s="455"/>
      <c r="J1317" s="271" t="b">
        <f>Age_Sex23[[#This Row],[Total Spending After Applying Truncation at the Member Level]]+Age_Sex23[[#This Row],[Total Dollars Excluded from Spending After Applying Truncation at the Member Level]]=Age_Sex23[[#This Row],[Total Spending before Truncation is Applied]]</f>
        <v>1</v>
      </c>
    </row>
    <row r="1318" spans="1:10" x14ac:dyDescent="0.25">
      <c r="A1318" s="389"/>
      <c r="B1318" s="4"/>
      <c r="C1318" s="16"/>
      <c r="D1318" s="519"/>
      <c r="E1318" s="410"/>
      <c r="F1318" s="313"/>
      <c r="G1318" s="256"/>
      <c r="H1318" s="313"/>
      <c r="I1318" s="456"/>
      <c r="J1318" s="273" t="b">
        <f>Age_Sex23[[#This Row],[Total Spending After Applying Truncation at the Member Level]]+Age_Sex23[[#This Row],[Total Dollars Excluded from Spending After Applying Truncation at the Member Level]]=Age_Sex23[[#This Row],[Total Spending before Truncation is Applied]]</f>
        <v>1</v>
      </c>
    </row>
    <row r="1319" spans="1:10" x14ac:dyDescent="0.25">
      <c r="A1319" s="386"/>
      <c r="B1319" s="310"/>
      <c r="C1319" s="311"/>
      <c r="D1319" s="518"/>
      <c r="E1319" s="409"/>
      <c r="F1319" s="312"/>
      <c r="G1319" s="522"/>
      <c r="H1319" s="312"/>
      <c r="I1319" s="455"/>
      <c r="J1319" s="271" t="b">
        <f>Age_Sex23[[#This Row],[Total Spending After Applying Truncation at the Member Level]]+Age_Sex23[[#This Row],[Total Dollars Excluded from Spending After Applying Truncation at the Member Level]]=Age_Sex23[[#This Row],[Total Spending before Truncation is Applied]]</f>
        <v>1</v>
      </c>
    </row>
    <row r="1320" spans="1:10" x14ac:dyDescent="0.25">
      <c r="A1320" s="389"/>
      <c r="B1320" s="4"/>
      <c r="C1320" s="16"/>
      <c r="D1320" s="519"/>
      <c r="E1320" s="410"/>
      <c r="F1320" s="313"/>
      <c r="G1320" s="256"/>
      <c r="H1320" s="313"/>
      <c r="I1320" s="456"/>
      <c r="J1320" s="273" t="b">
        <f>Age_Sex23[[#This Row],[Total Spending After Applying Truncation at the Member Level]]+Age_Sex23[[#This Row],[Total Dollars Excluded from Spending After Applying Truncation at the Member Level]]=Age_Sex23[[#This Row],[Total Spending before Truncation is Applied]]</f>
        <v>1</v>
      </c>
    </row>
    <row r="1321" spans="1:10" x14ac:dyDescent="0.25">
      <c r="A1321" s="386"/>
      <c r="B1321" s="310"/>
      <c r="C1321" s="311"/>
      <c r="D1321" s="518"/>
      <c r="E1321" s="409"/>
      <c r="F1321" s="312"/>
      <c r="G1321" s="522"/>
      <c r="H1321" s="312"/>
      <c r="I1321" s="455"/>
      <c r="J1321" s="271" t="b">
        <f>Age_Sex23[[#This Row],[Total Spending After Applying Truncation at the Member Level]]+Age_Sex23[[#This Row],[Total Dollars Excluded from Spending After Applying Truncation at the Member Level]]=Age_Sex23[[#This Row],[Total Spending before Truncation is Applied]]</f>
        <v>1</v>
      </c>
    </row>
    <row r="1322" spans="1:10" x14ac:dyDescent="0.25">
      <c r="A1322" s="389"/>
      <c r="B1322" s="4"/>
      <c r="C1322" s="16"/>
      <c r="D1322" s="519"/>
      <c r="E1322" s="410"/>
      <c r="F1322" s="313"/>
      <c r="G1322" s="256"/>
      <c r="H1322" s="313"/>
      <c r="I1322" s="456"/>
      <c r="J1322" s="273" t="b">
        <f>Age_Sex23[[#This Row],[Total Spending After Applying Truncation at the Member Level]]+Age_Sex23[[#This Row],[Total Dollars Excluded from Spending After Applying Truncation at the Member Level]]=Age_Sex23[[#This Row],[Total Spending before Truncation is Applied]]</f>
        <v>1</v>
      </c>
    </row>
    <row r="1323" spans="1:10" x14ac:dyDescent="0.25">
      <c r="A1323" s="386"/>
      <c r="B1323" s="310"/>
      <c r="C1323" s="311"/>
      <c r="D1323" s="518"/>
      <c r="E1323" s="409"/>
      <c r="F1323" s="312"/>
      <c r="G1323" s="522"/>
      <c r="H1323" s="312"/>
      <c r="I1323" s="455"/>
      <c r="J1323" s="271" t="b">
        <f>Age_Sex23[[#This Row],[Total Spending After Applying Truncation at the Member Level]]+Age_Sex23[[#This Row],[Total Dollars Excluded from Spending After Applying Truncation at the Member Level]]=Age_Sex23[[#This Row],[Total Spending before Truncation is Applied]]</f>
        <v>1</v>
      </c>
    </row>
    <row r="1324" spans="1:10" x14ac:dyDescent="0.25">
      <c r="A1324" s="389"/>
      <c r="B1324" s="4"/>
      <c r="C1324" s="16"/>
      <c r="D1324" s="519"/>
      <c r="E1324" s="410"/>
      <c r="F1324" s="313"/>
      <c r="G1324" s="256"/>
      <c r="H1324" s="313"/>
      <c r="I1324" s="456"/>
      <c r="J1324" s="273" t="b">
        <f>Age_Sex23[[#This Row],[Total Spending After Applying Truncation at the Member Level]]+Age_Sex23[[#This Row],[Total Dollars Excluded from Spending After Applying Truncation at the Member Level]]=Age_Sex23[[#This Row],[Total Spending before Truncation is Applied]]</f>
        <v>1</v>
      </c>
    </row>
    <row r="1325" spans="1:10" x14ac:dyDescent="0.25">
      <c r="A1325" s="386"/>
      <c r="B1325" s="310"/>
      <c r="C1325" s="311"/>
      <c r="D1325" s="518"/>
      <c r="E1325" s="409"/>
      <c r="F1325" s="312"/>
      <c r="G1325" s="522"/>
      <c r="H1325" s="312"/>
      <c r="I1325" s="455"/>
      <c r="J1325" s="271" t="b">
        <f>Age_Sex23[[#This Row],[Total Spending After Applying Truncation at the Member Level]]+Age_Sex23[[#This Row],[Total Dollars Excluded from Spending After Applying Truncation at the Member Level]]=Age_Sex23[[#This Row],[Total Spending before Truncation is Applied]]</f>
        <v>1</v>
      </c>
    </row>
    <row r="1326" spans="1:10" x14ac:dyDescent="0.25">
      <c r="A1326" s="389"/>
      <c r="B1326" s="4"/>
      <c r="C1326" s="16"/>
      <c r="D1326" s="519"/>
      <c r="E1326" s="410"/>
      <c r="F1326" s="313"/>
      <c r="G1326" s="256"/>
      <c r="H1326" s="313"/>
      <c r="I1326" s="456"/>
      <c r="J1326" s="273" t="b">
        <f>Age_Sex23[[#This Row],[Total Spending After Applying Truncation at the Member Level]]+Age_Sex23[[#This Row],[Total Dollars Excluded from Spending After Applying Truncation at the Member Level]]=Age_Sex23[[#This Row],[Total Spending before Truncation is Applied]]</f>
        <v>1</v>
      </c>
    </row>
    <row r="1327" spans="1:10" x14ac:dyDescent="0.25">
      <c r="A1327" s="386"/>
      <c r="B1327" s="310"/>
      <c r="C1327" s="311"/>
      <c r="D1327" s="518"/>
      <c r="E1327" s="409"/>
      <c r="F1327" s="312"/>
      <c r="G1327" s="522"/>
      <c r="H1327" s="312"/>
      <c r="I1327" s="455"/>
      <c r="J1327" s="271" t="b">
        <f>Age_Sex23[[#This Row],[Total Spending After Applying Truncation at the Member Level]]+Age_Sex23[[#This Row],[Total Dollars Excluded from Spending After Applying Truncation at the Member Level]]=Age_Sex23[[#This Row],[Total Spending before Truncation is Applied]]</f>
        <v>1</v>
      </c>
    </row>
    <row r="1328" spans="1:10" x14ac:dyDescent="0.25">
      <c r="A1328" s="389"/>
      <c r="B1328" s="4"/>
      <c r="C1328" s="16"/>
      <c r="D1328" s="519"/>
      <c r="E1328" s="410"/>
      <c r="F1328" s="313"/>
      <c r="G1328" s="256"/>
      <c r="H1328" s="313"/>
      <c r="I1328" s="456"/>
      <c r="J1328" s="273" t="b">
        <f>Age_Sex23[[#This Row],[Total Spending After Applying Truncation at the Member Level]]+Age_Sex23[[#This Row],[Total Dollars Excluded from Spending After Applying Truncation at the Member Level]]=Age_Sex23[[#This Row],[Total Spending before Truncation is Applied]]</f>
        <v>1</v>
      </c>
    </row>
    <row r="1329" spans="1:10" x14ac:dyDescent="0.25">
      <c r="A1329" s="386"/>
      <c r="B1329" s="310"/>
      <c r="C1329" s="311"/>
      <c r="D1329" s="518"/>
      <c r="E1329" s="409"/>
      <c r="F1329" s="312"/>
      <c r="G1329" s="522"/>
      <c r="H1329" s="312"/>
      <c r="I1329" s="455"/>
      <c r="J1329" s="271" t="b">
        <f>Age_Sex23[[#This Row],[Total Spending After Applying Truncation at the Member Level]]+Age_Sex23[[#This Row],[Total Dollars Excluded from Spending After Applying Truncation at the Member Level]]=Age_Sex23[[#This Row],[Total Spending before Truncation is Applied]]</f>
        <v>1</v>
      </c>
    </row>
    <row r="1330" spans="1:10" x14ac:dyDescent="0.25">
      <c r="A1330" s="389"/>
      <c r="B1330" s="4"/>
      <c r="C1330" s="16"/>
      <c r="D1330" s="519"/>
      <c r="E1330" s="410"/>
      <c r="F1330" s="313"/>
      <c r="G1330" s="256"/>
      <c r="H1330" s="313"/>
      <c r="I1330" s="456"/>
      <c r="J1330" s="273" t="b">
        <f>Age_Sex23[[#This Row],[Total Spending After Applying Truncation at the Member Level]]+Age_Sex23[[#This Row],[Total Dollars Excluded from Spending After Applying Truncation at the Member Level]]=Age_Sex23[[#This Row],[Total Spending before Truncation is Applied]]</f>
        <v>1</v>
      </c>
    </row>
    <row r="1331" spans="1:10" x14ac:dyDescent="0.25">
      <c r="A1331" s="386"/>
      <c r="B1331" s="310"/>
      <c r="C1331" s="311"/>
      <c r="D1331" s="518"/>
      <c r="E1331" s="409"/>
      <c r="F1331" s="312"/>
      <c r="G1331" s="522"/>
      <c r="H1331" s="312"/>
      <c r="I1331" s="455"/>
      <c r="J1331" s="271" t="b">
        <f>Age_Sex23[[#This Row],[Total Spending After Applying Truncation at the Member Level]]+Age_Sex23[[#This Row],[Total Dollars Excluded from Spending After Applying Truncation at the Member Level]]=Age_Sex23[[#This Row],[Total Spending before Truncation is Applied]]</f>
        <v>1</v>
      </c>
    </row>
    <row r="1332" spans="1:10" x14ac:dyDescent="0.25">
      <c r="A1332" s="389"/>
      <c r="B1332" s="4"/>
      <c r="C1332" s="16"/>
      <c r="D1332" s="519"/>
      <c r="E1332" s="410"/>
      <c r="F1332" s="313"/>
      <c r="G1332" s="256"/>
      <c r="H1332" s="313"/>
      <c r="I1332" s="456"/>
      <c r="J1332" s="273" t="b">
        <f>Age_Sex23[[#This Row],[Total Spending After Applying Truncation at the Member Level]]+Age_Sex23[[#This Row],[Total Dollars Excluded from Spending After Applying Truncation at the Member Level]]=Age_Sex23[[#This Row],[Total Spending before Truncation is Applied]]</f>
        <v>1</v>
      </c>
    </row>
    <row r="1333" spans="1:10" x14ac:dyDescent="0.25">
      <c r="A1333" s="386"/>
      <c r="B1333" s="310"/>
      <c r="C1333" s="311"/>
      <c r="D1333" s="518"/>
      <c r="E1333" s="409"/>
      <c r="F1333" s="312"/>
      <c r="G1333" s="522"/>
      <c r="H1333" s="312"/>
      <c r="I1333" s="455"/>
      <c r="J1333" s="271" t="b">
        <f>Age_Sex23[[#This Row],[Total Spending After Applying Truncation at the Member Level]]+Age_Sex23[[#This Row],[Total Dollars Excluded from Spending After Applying Truncation at the Member Level]]=Age_Sex23[[#This Row],[Total Spending before Truncation is Applied]]</f>
        <v>1</v>
      </c>
    </row>
    <row r="1334" spans="1:10" x14ac:dyDescent="0.25">
      <c r="A1334" s="389"/>
      <c r="B1334" s="4"/>
      <c r="C1334" s="16"/>
      <c r="D1334" s="519"/>
      <c r="E1334" s="410"/>
      <c r="F1334" s="313"/>
      <c r="G1334" s="256"/>
      <c r="H1334" s="313"/>
      <c r="I1334" s="456"/>
      <c r="J1334" s="273" t="b">
        <f>Age_Sex23[[#This Row],[Total Spending After Applying Truncation at the Member Level]]+Age_Sex23[[#This Row],[Total Dollars Excluded from Spending After Applying Truncation at the Member Level]]=Age_Sex23[[#This Row],[Total Spending before Truncation is Applied]]</f>
        <v>1</v>
      </c>
    </row>
    <row r="1335" spans="1:10" x14ac:dyDescent="0.25">
      <c r="A1335" s="386"/>
      <c r="B1335" s="310"/>
      <c r="C1335" s="311"/>
      <c r="D1335" s="518"/>
      <c r="E1335" s="409"/>
      <c r="F1335" s="312"/>
      <c r="G1335" s="522"/>
      <c r="H1335" s="312"/>
      <c r="I1335" s="455"/>
      <c r="J1335" s="271" t="b">
        <f>Age_Sex23[[#This Row],[Total Spending After Applying Truncation at the Member Level]]+Age_Sex23[[#This Row],[Total Dollars Excluded from Spending After Applying Truncation at the Member Level]]=Age_Sex23[[#This Row],[Total Spending before Truncation is Applied]]</f>
        <v>1</v>
      </c>
    </row>
    <row r="1336" spans="1:10" x14ac:dyDescent="0.25">
      <c r="A1336" s="389"/>
      <c r="B1336" s="4"/>
      <c r="C1336" s="16"/>
      <c r="D1336" s="519"/>
      <c r="E1336" s="410"/>
      <c r="F1336" s="313"/>
      <c r="G1336" s="256"/>
      <c r="H1336" s="313"/>
      <c r="I1336" s="456"/>
      <c r="J1336" s="273" t="b">
        <f>Age_Sex23[[#This Row],[Total Spending After Applying Truncation at the Member Level]]+Age_Sex23[[#This Row],[Total Dollars Excluded from Spending After Applying Truncation at the Member Level]]=Age_Sex23[[#This Row],[Total Spending before Truncation is Applied]]</f>
        <v>1</v>
      </c>
    </row>
    <row r="1337" spans="1:10" x14ac:dyDescent="0.25">
      <c r="A1337" s="386"/>
      <c r="B1337" s="310"/>
      <c r="C1337" s="311"/>
      <c r="D1337" s="518"/>
      <c r="E1337" s="409"/>
      <c r="F1337" s="312"/>
      <c r="G1337" s="522"/>
      <c r="H1337" s="312"/>
      <c r="I1337" s="455"/>
      <c r="J1337" s="271" t="b">
        <f>Age_Sex23[[#This Row],[Total Spending After Applying Truncation at the Member Level]]+Age_Sex23[[#This Row],[Total Dollars Excluded from Spending After Applying Truncation at the Member Level]]=Age_Sex23[[#This Row],[Total Spending before Truncation is Applied]]</f>
        <v>1</v>
      </c>
    </row>
    <row r="1338" spans="1:10" x14ac:dyDescent="0.25">
      <c r="A1338" s="389"/>
      <c r="B1338" s="4"/>
      <c r="C1338" s="16"/>
      <c r="D1338" s="519"/>
      <c r="E1338" s="410"/>
      <c r="F1338" s="313"/>
      <c r="G1338" s="256"/>
      <c r="H1338" s="313"/>
      <c r="I1338" s="456"/>
      <c r="J1338" s="273" t="b">
        <f>Age_Sex23[[#This Row],[Total Spending After Applying Truncation at the Member Level]]+Age_Sex23[[#This Row],[Total Dollars Excluded from Spending After Applying Truncation at the Member Level]]=Age_Sex23[[#This Row],[Total Spending before Truncation is Applied]]</f>
        <v>1</v>
      </c>
    </row>
    <row r="1339" spans="1:10" x14ac:dyDescent="0.25">
      <c r="A1339" s="386"/>
      <c r="B1339" s="310"/>
      <c r="C1339" s="311"/>
      <c r="D1339" s="518"/>
      <c r="E1339" s="409"/>
      <c r="F1339" s="312"/>
      <c r="G1339" s="522"/>
      <c r="H1339" s="312"/>
      <c r="I1339" s="455"/>
      <c r="J1339" s="271" t="b">
        <f>Age_Sex23[[#This Row],[Total Spending After Applying Truncation at the Member Level]]+Age_Sex23[[#This Row],[Total Dollars Excluded from Spending After Applying Truncation at the Member Level]]=Age_Sex23[[#This Row],[Total Spending before Truncation is Applied]]</f>
        <v>1</v>
      </c>
    </row>
    <row r="1340" spans="1:10" x14ac:dyDescent="0.25">
      <c r="A1340" s="389"/>
      <c r="B1340" s="4"/>
      <c r="C1340" s="16"/>
      <c r="D1340" s="519"/>
      <c r="E1340" s="410"/>
      <c r="F1340" s="313"/>
      <c r="G1340" s="256"/>
      <c r="H1340" s="313"/>
      <c r="I1340" s="456"/>
      <c r="J1340" s="273" t="b">
        <f>Age_Sex23[[#This Row],[Total Spending After Applying Truncation at the Member Level]]+Age_Sex23[[#This Row],[Total Dollars Excluded from Spending After Applying Truncation at the Member Level]]=Age_Sex23[[#This Row],[Total Spending before Truncation is Applied]]</f>
        <v>1</v>
      </c>
    </row>
    <row r="1341" spans="1:10" x14ac:dyDescent="0.25">
      <c r="A1341" s="386"/>
      <c r="B1341" s="310"/>
      <c r="C1341" s="311"/>
      <c r="D1341" s="518"/>
      <c r="E1341" s="409"/>
      <c r="F1341" s="312"/>
      <c r="G1341" s="522"/>
      <c r="H1341" s="312"/>
      <c r="I1341" s="455"/>
      <c r="J1341" s="271" t="b">
        <f>Age_Sex23[[#This Row],[Total Spending After Applying Truncation at the Member Level]]+Age_Sex23[[#This Row],[Total Dollars Excluded from Spending After Applying Truncation at the Member Level]]=Age_Sex23[[#This Row],[Total Spending before Truncation is Applied]]</f>
        <v>1</v>
      </c>
    </row>
    <row r="1342" spans="1:10" x14ac:dyDescent="0.25">
      <c r="A1342" s="389"/>
      <c r="B1342" s="4"/>
      <c r="C1342" s="16"/>
      <c r="D1342" s="519"/>
      <c r="E1342" s="410"/>
      <c r="F1342" s="313"/>
      <c r="G1342" s="256"/>
      <c r="H1342" s="313"/>
      <c r="I1342" s="456"/>
      <c r="J1342" s="273" t="b">
        <f>Age_Sex23[[#This Row],[Total Spending After Applying Truncation at the Member Level]]+Age_Sex23[[#This Row],[Total Dollars Excluded from Spending After Applying Truncation at the Member Level]]=Age_Sex23[[#This Row],[Total Spending before Truncation is Applied]]</f>
        <v>1</v>
      </c>
    </row>
    <row r="1343" spans="1:10" x14ac:dyDescent="0.25">
      <c r="A1343" s="386"/>
      <c r="B1343" s="310"/>
      <c r="C1343" s="311"/>
      <c r="D1343" s="518"/>
      <c r="E1343" s="409"/>
      <c r="F1343" s="312"/>
      <c r="G1343" s="522"/>
      <c r="H1343" s="312"/>
      <c r="I1343" s="455"/>
      <c r="J1343" s="271" t="b">
        <f>Age_Sex23[[#This Row],[Total Spending After Applying Truncation at the Member Level]]+Age_Sex23[[#This Row],[Total Dollars Excluded from Spending After Applying Truncation at the Member Level]]=Age_Sex23[[#This Row],[Total Spending before Truncation is Applied]]</f>
        <v>1</v>
      </c>
    </row>
    <row r="1344" spans="1:10" x14ac:dyDescent="0.25">
      <c r="A1344" s="389"/>
      <c r="B1344" s="4"/>
      <c r="C1344" s="16"/>
      <c r="D1344" s="519"/>
      <c r="E1344" s="410"/>
      <c r="F1344" s="313"/>
      <c r="G1344" s="256"/>
      <c r="H1344" s="313"/>
      <c r="I1344" s="456"/>
      <c r="J1344" s="273" t="b">
        <f>Age_Sex23[[#This Row],[Total Spending After Applying Truncation at the Member Level]]+Age_Sex23[[#This Row],[Total Dollars Excluded from Spending After Applying Truncation at the Member Level]]=Age_Sex23[[#This Row],[Total Spending before Truncation is Applied]]</f>
        <v>1</v>
      </c>
    </row>
    <row r="1345" spans="1:10" x14ac:dyDescent="0.25">
      <c r="A1345" s="386"/>
      <c r="B1345" s="310"/>
      <c r="C1345" s="311"/>
      <c r="D1345" s="518"/>
      <c r="E1345" s="409"/>
      <c r="F1345" s="312"/>
      <c r="G1345" s="522"/>
      <c r="H1345" s="312"/>
      <c r="I1345" s="455"/>
      <c r="J1345" s="271" t="b">
        <f>Age_Sex23[[#This Row],[Total Spending After Applying Truncation at the Member Level]]+Age_Sex23[[#This Row],[Total Dollars Excluded from Spending After Applying Truncation at the Member Level]]=Age_Sex23[[#This Row],[Total Spending before Truncation is Applied]]</f>
        <v>1</v>
      </c>
    </row>
    <row r="1346" spans="1:10" x14ac:dyDescent="0.25">
      <c r="A1346" s="389"/>
      <c r="B1346" s="4"/>
      <c r="C1346" s="16"/>
      <c r="D1346" s="519"/>
      <c r="E1346" s="410"/>
      <c r="F1346" s="313"/>
      <c r="G1346" s="256"/>
      <c r="H1346" s="313"/>
      <c r="I1346" s="456"/>
      <c r="J1346" s="273" t="b">
        <f>Age_Sex23[[#This Row],[Total Spending After Applying Truncation at the Member Level]]+Age_Sex23[[#This Row],[Total Dollars Excluded from Spending After Applying Truncation at the Member Level]]=Age_Sex23[[#This Row],[Total Spending before Truncation is Applied]]</f>
        <v>1</v>
      </c>
    </row>
    <row r="1347" spans="1:10" x14ac:dyDescent="0.25">
      <c r="A1347" s="386"/>
      <c r="B1347" s="310"/>
      <c r="C1347" s="311"/>
      <c r="D1347" s="518"/>
      <c r="E1347" s="409"/>
      <c r="F1347" s="312"/>
      <c r="G1347" s="522"/>
      <c r="H1347" s="312"/>
      <c r="I1347" s="455"/>
      <c r="J1347" s="271" t="b">
        <f>Age_Sex23[[#This Row],[Total Spending After Applying Truncation at the Member Level]]+Age_Sex23[[#This Row],[Total Dollars Excluded from Spending After Applying Truncation at the Member Level]]=Age_Sex23[[#This Row],[Total Spending before Truncation is Applied]]</f>
        <v>1</v>
      </c>
    </row>
    <row r="1348" spans="1:10" x14ac:dyDescent="0.25">
      <c r="A1348" s="389"/>
      <c r="B1348" s="4"/>
      <c r="C1348" s="16"/>
      <c r="D1348" s="519"/>
      <c r="E1348" s="410"/>
      <c r="F1348" s="313"/>
      <c r="G1348" s="256"/>
      <c r="H1348" s="313"/>
      <c r="I1348" s="456"/>
      <c r="J1348" s="273" t="b">
        <f>Age_Sex23[[#This Row],[Total Spending After Applying Truncation at the Member Level]]+Age_Sex23[[#This Row],[Total Dollars Excluded from Spending After Applying Truncation at the Member Level]]=Age_Sex23[[#This Row],[Total Spending before Truncation is Applied]]</f>
        <v>1</v>
      </c>
    </row>
    <row r="1349" spans="1:10" x14ac:dyDescent="0.25">
      <c r="A1349" s="386"/>
      <c r="B1349" s="310"/>
      <c r="C1349" s="311"/>
      <c r="D1349" s="518"/>
      <c r="E1349" s="409"/>
      <c r="F1349" s="312"/>
      <c r="G1349" s="522"/>
      <c r="H1349" s="312"/>
      <c r="I1349" s="455"/>
      <c r="J1349" s="271" t="b">
        <f>Age_Sex23[[#This Row],[Total Spending After Applying Truncation at the Member Level]]+Age_Sex23[[#This Row],[Total Dollars Excluded from Spending After Applying Truncation at the Member Level]]=Age_Sex23[[#This Row],[Total Spending before Truncation is Applied]]</f>
        <v>1</v>
      </c>
    </row>
    <row r="1350" spans="1:10" x14ac:dyDescent="0.25">
      <c r="A1350" s="389"/>
      <c r="B1350" s="4"/>
      <c r="C1350" s="16"/>
      <c r="D1350" s="519"/>
      <c r="E1350" s="410"/>
      <c r="F1350" s="313"/>
      <c r="G1350" s="256"/>
      <c r="H1350" s="313"/>
      <c r="I1350" s="456"/>
      <c r="J1350" s="273" t="b">
        <f>Age_Sex23[[#This Row],[Total Spending After Applying Truncation at the Member Level]]+Age_Sex23[[#This Row],[Total Dollars Excluded from Spending After Applying Truncation at the Member Level]]=Age_Sex23[[#This Row],[Total Spending before Truncation is Applied]]</f>
        <v>1</v>
      </c>
    </row>
    <row r="1351" spans="1:10" x14ac:dyDescent="0.25">
      <c r="A1351" s="386"/>
      <c r="B1351" s="310"/>
      <c r="C1351" s="311"/>
      <c r="D1351" s="518"/>
      <c r="E1351" s="409"/>
      <c r="F1351" s="312"/>
      <c r="G1351" s="522"/>
      <c r="H1351" s="312"/>
      <c r="I1351" s="455"/>
      <c r="J1351" s="271" t="b">
        <f>Age_Sex23[[#This Row],[Total Spending After Applying Truncation at the Member Level]]+Age_Sex23[[#This Row],[Total Dollars Excluded from Spending After Applying Truncation at the Member Level]]=Age_Sex23[[#This Row],[Total Spending before Truncation is Applied]]</f>
        <v>1</v>
      </c>
    </row>
    <row r="1352" spans="1:10" x14ac:dyDescent="0.25">
      <c r="A1352" s="389"/>
      <c r="B1352" s="4"/>
      <c r="C1352" s="16"/>
      <c r="D1352" s="519"/>
      <c r="E1352" s="410"/>
      <c r="F1352" s="313"/>
      <c r="G1352" s="256"/>
      <c r="H1352" s="313"/>
      <c r="I1352" s="456"/>
      <c r="J1352" s="273" t="b">
        <f>Age_Sex23[[#This Row],[Total Spending After Applying Truncation at the Member Level]]+Age_Sex23[[#This Row],[Total Dollars Excluded from Spending After Applying Truncation at the Member Level]]=Age_Sex23[[#This Row],[Total Spending before Truncation is Applied]]</f>
        <v>1</v>
      </c>
    </row>
    <row r="1353" spans="1:10" x14ac:dyDescent="0.25">
      <c r="A1353" s="386"/>
      <c r="B1353" s="310"/>
      <c r="C1353" s="311"/>
      <c r="D1353" s="518"/>
      <c r="E1353" s="409"/>
      <c r="F1353" s="312"/>
      <c r="G1353" s="522"/>
      <c r="H1353" s="312"/>
      <c r="I1353" s="455"/>
      <c r="J1353" s="271" t="b">
        <f>Age_Sex23[[#This Row],[Total Spending After Applying Truncation at the Member Level]]+Age_Sex23[[#This Row],[Total Dollars Excluded from Spending After Applying Truncation at the Member Level]]=Age_Sex23[[#This Row],[Total Spending before Truncation is Applied]]</f>
        <v>1</v>
      </c>
    </row>
    <row r="1354" spans="1:10" x14ac:dyDescent="0.25">
      <c r="A1354" s="389"/>
      <c r="B1354" s="4"/>
      <c r="C1354" s="16"/>
      <c r="D1354" s="519"/>
      <c r="E1354" s="410"/>
      <c r="F1354" s="313"/>
      <c r="G1354" s="256"/>
      <c r="H1354" s="313"/>
      <c r="I1354" s="456"/>
      <c r="J1354" s="273" t="b">
        <f>Age_Sex23[[#This Row],[Total Spending After Applying Truncation at the Member Level]]+Age_Sex23[[#This Row],[Total Dollars Excluded from Spending After Applying Truncation at the Member Level]]=Age_Sex23[[#This Row],[Total Spending before Truncation is Applied]]</f>
        <v>1</v>
      </c>
    </row>
    <row r="1355" spans="1:10" x14ac:dyDescent="0.25">
      <c r="A1355" s="386"/>
      <c r="B1355" s="310"/>
      <c r="C1355" s="311"/>
      <c r="D1355" s="518"/>
      <c r="E1355" s="409"/>
      <c r="F1355" s="312"/>
      <c r="G1355" s="522"/>
      <c r="H1355" s="312"/>
      <c r="I1355" s="455"/>
      <c r="J1355" s="271" t="b">
        <f>Age_Sex23[[#This Row],[Total Spending After Applying Truncation at the Member Level]]+Age_Sex23[[#This Row],[Total Dollars Excluded from Spending After Applying Truncation at the Member Level]]=Age_Sex23[[#This Row],[Total Spending before Truncation is Applied]]</f>
        <v>1</v>
      </c>
    </row>
    <row r="1356" spans="1:10" x14ac:dyDescent="0.25">
      <c r="A1356" s="389"/>
      <c r="B1356" s="4"/>
      <c r="C1356" s="16"/>
      <c r="D1356" s="519"/>
      <c r="E1356" s="410"/>
      <c r="F1356" s="313"/>
      <c r="G1356" s="256"/>
      <c r="H1356" s="313"/>
      <c r="I1356" s="456"/>
      <c r="J1356" s="273" t="b">
        <f>Age_Sex23[[#This Row],[Total Spending After Applying Truncation at the Member Level]]+Age_Sex23[[#This Row],[Total Dollars Excluded from Spending After Applying Truncation at the Member Level]]=Age_Sex23[[#This Row],[Total Spending before Truncation is Applied]]</f>
        <v>1</v>
      </c>
    </row>
    <row r="1357" spans="1:10" x14ac:dyDescent="0.25">
      <c r="A1357" s="386"/>
      <c r="B1357" s="310"/>
      <c r="C1357" s="311"/>
      <c r="D1357" s="518"/>
      <c r="E1357" s="409"/>
      <c r="F1357" s="312"/>
      <c r="G1357" s="522"/>
      <c r="H1357" s="312"/>
      <c r="I1357" s="455"/>
      <c r="J1357" s="271" t="b">
        <f>Age_Sex23[[#This Row],[Total Spending After Applying Truncation at the Member Level]]+Age_Sex23[[#This Row],[Total Dollars Excluded from Spending After Applying Truncation at the Member Level]]=Age_Sex23[[#This Row],[Total Spending before Truncation is Applied]]</f>
        <v>1</v>
      </c>
    </row>
    <row r="1358" spans="1:10" x14ac:dyDescent="0.25">
      <c r="A1358" s="389"/>
      <c r="B1358" s="4"/>
      <c r="C1358" s="16"/>
      <c r="D1358" s="519"/>
      <c r="E1358" s="410"/>
      <c r="F1358" s="313"/>
      <c r="G1358" s="256"/>
      <c r="H1358" s="313"/>
      <c r="I1358" s="456"/>
      <c r="J1358" s="273" t="b">
        <f>Age_Sex23[[#This Row],[Total Spending After Applying Truncation at the Member Level]]+Age_Sex23[[#This Row],[Total Dollars Excluded from Spending After Applying Truncation at the Member Level]]=Age_Sex23[[#This Row],[Total Spending before Truncation is Applied]]</f>
        <v>1</v>
      </c>
    </row>
    <row r="1359" spans="1:10" x14ac:dyDescent="0.25">
      <c r="A1359" s="386"/>
      <c r="B1359" s="310"/>
      <c r="C1359" s="311"/>
      <c r="D1359" s="518"/>
      <c r="E1359" s="409"/>
      <c r="F1359" s="312"/>
      <c r="G1359" s="522"/>
      <c r="H1359" s="312"/>
      <c r="I1359" s="455"/>
      <c r="J1359" s="271" t="b">
        <f>Age_Sex23[[#This Row],[Total Spending After Applying Truncation at the Member Level]]+Age_Sex23[[#This Row],[Total Dollars Excluded from Spending After Applying Truncation at the Member Level]]=Age_Sex23[[#This Row],[Total Spending before Truncation is Applied]]</f>
        <v>1</v>
      </c>
    </row>
    <row r="1360" spans="1:10" x14ac:dyDescent="0.25">
      <c r="A1360" s="389"/>
      <c r="B1360" s="4"/>
      <c r="C1360" s="16"/>
      <c r="D1360" s="519"/>
      <c r="E1360" s="410"/>
      <c r="F1360" s="313"/>
      <c r="G1360" s="256"/>
      <c r="H1360" s="313"/>
      <c r="I1360" s="456"/>
      <c r="J1360" s="273" t="b">
        <f>Age_Sex23[[#This Row],[Total Spending After Applying Truncation at the Member Level]]+Age_Sex23[[#This Row],[Total Dollars Excluded from Spending After Applying Truncation at the Member Level]]=Age_Sex23[[#This Row],[Total Spending before Truncation is Applied]]</f>
        <v>1</v>
      </c>
    </row>
    <row r="1361" spans="1:10" x14ac:dyDescent="0.25">
      <c r="A1361" s="386"/>
      <c r="B1361" s="310"/>
      <c r="C1361" s="311"/>
      <c r="D1361" s="518"/>
      <c r="E1361" s="409"/>
      <c r="F1361" s="312"/>
      <c r="G1361" s="522"/>
      <c r="H1361" s="312"/>
      <c r="I1361" s="455"/>
      <c r="J1361" s="271" t="b">
        <f>Age_Sex23[[#This Row],[Total Spending After Applying Truncation at the Member Level]]+Age_Sex23[[#This Row],[Total Dollars Excluded from Spending After Applying Truncation at the Member Level]]=Age_Sex23[[#This Row],[Total Spending before Truncation is Applied]]</f>
        <v>1</v>
      </c>
    </row>
    <row r="1362" spans="1:10" x14ac:dyDescent="0.25">
      <c r="A1362" s="389"/>
      <c r="B1362" s="4"/>
      <c r="C1362" s="16"/>
      <c r="D1362" s="519"/>
      <c r="E1362" s="410"/>
      <c r="F1362" s="313"/>
      <c r="G1362" s="256"/>
      <c r="H1362" s="313"/>
      <c r="I1362" s="456"/>
      <c r="J1362" s="273" t="b">
        <f>Age_Sex23[[#This Row],[Total Spending After Applying Truncation at the Member Level]]+Age_Sex23[[#This Row],[Total Dollars Excluded from Spending After Applying Truncation at the Member Level]]=Age_Sex23[[#This Row],[Total Spending before Truncation is Applied]]</f>
        <v>1</v>
      </c>
    </row>
    <row r="1363" spans="1:10" x14ac:dyDescent="0.25">
      <c r="A1363" s="386"/>
      <c r="B1363" s="310"/>
      <c r="C1363" s="311"/>
      <c r="D1363" s="518"/>
      <c r="E1363" s="409"/>
      <c r="F1363" s="312"/>
      <c r="G1363" s="522"/>
      <c r="H1363" s="312"/>
      <c r="I1363" s="455"/>
      <c r="J1363" s="271" t="b">
        <f>Age_Sex23[[#This Row],[Total Spending After Applying Truncation at the Member Level]]+Age_Sex23[[#This Row],[Total Dollars Excluded from Spending After Applying Truncation at the Member Level]]=Age_Sex23[[#This Row],[Total Spending before Truncation is Applied]]</f>
        <v>1</v>
      </c>
    </row>
    <row r="1364" spans="1:10" x14ac:dyDescent="0.25">
      <c r="A1364" s="389"/>
      <c r="B1364" s="4"/>
      <c r="C1364" s="16"/>
      <c r="D1364" s="519"/>
      <c r="E1364" s="410"/>
      <c r="F1364" s="313"/>
      <c r="G1364" s="256"/>
      <c r="H1364" s="313"/>
      <c r="I1364" s="456"/>
      <c r="J1364" s="273" t="b">
        <f>Age_Sex23[[#This Row],[Total Spending After Applying Truncation at the Member Level]]+Age_Sex23[[#This Row],[Total Dollars Excluded from Spending After Applying Truncation at the Member Level]]=Age_Sex23[[#This Row],[Total Spending before Truncation is Applied]]</f>
        <v>1</v>
      </c>
    </row>
    <row r="1365" spans="1:10" x14ac:dyDescent="0.25">
      <c r="A1365" s="386"/>
      <c r="B1365" s="310"/>
      <c r="C1365" s="311"/>
      <c r="D1365" s="518"/>
      <c r="E1365" s="409"/>
      <c r="F1365" s="312"/>
      <c r="G1365" s="522"/>
      <c r="H1365" s="312"/>
      <c r="I1365" s="455"/>
      <c r="J1365" s="271" t="b">
        <f>Age_Sex23[[#This Row],[Total Spending After Applying Truncation at the Member Level]]+Age_Sex23[[#This Row],[Total Dollars Excluded from Spending After Applying Truncation at the Member Level]]=Age_Sex23[[#This Row],[Total Spending before Truncation is Applied]]</f>
        <v>1</v>
      </c>
    </row>
    <row r="1366" spans="1:10" x14ac:dyDescent="0.25">
      <c r="A1366" s="389"/>
      <c r="B1366" s="4"/>
      <c r="C1366" s="16"/>
      <c r="D1366" s="519"/>
      <c r="E1366" s="410"/>
      <c r="F1366" s="313"/>
      <c r="G1366" s="256"/>
      <c r="H1366" s="313"/>
      <c r="I1366" s="456"/>
      <c r="J1366" s="273" t="b">
        <f>Age_Sex23[[#This Row],[Total Spending After Applying Truncation at the Member Level]]+Age_Sex23[[#This Row],[Total Dollars Excluded from Spending After Applying Truncation at the Member Level]]=Age_Sex23[[#This Row],[Total Spending before Truncation is Applied]]</f>
        <v>1</v>
      </c>
    </row>
    <row r="1367" spans="1:10" x14ac:dyDescent="0.25">
      <c r="A1367" s="386"/>
      <c r="B1367" s="310"/>
      <c r="C1367" s="311"/>
      <c r="D1367" s="518"/>
      <c r="E1367" s="409"/>
      <c r="F1367" s="312"/>
      <c r="G1367" s="522"/>
      <c r="H1367" s="312"/>
      <c r="I1367" s="455"/>
      <c r="J1367" s="271" t="b">
        <f>Age_Sex23[[#This Row],[Total Spending After Applying Truncation at the Member Level]]+Age_Sex23[[#This Row],[Total Dollars Excluded from Spending After Applying Truncation at the Member Level]]=Age_Sex23[[#This Row],[Total Spending before Truncation is Applied]]</f>
        <v>1</v>
      </c>
    </row>
    <row r="1368" spans="1:10" x14ac:dyDescent="0.25">
      <c r="A1368" s="389"/>
      <c r="B1368" s="4"/>
      <c r="C1368" s="16"/>
      <c r="D1368" s="519"/>
      <c r="E1368" s="410"/>
      <c r="F1368" s="313"/>
      <c r="G1368" s="256"/>
      <c r="H1368" s="313"/>
      <c r="I1368" s="456"/>
      <c r="J1368" s="273" t="b">
        <f>Age_Sex23[[#This Row],[Total Spending After Applying Truncation at the Member Level]]+Age_Sex23[[#This Row],[Total Dollars Excluded from Spending After Applying Truncation at the Member Level]]=Age_Sex23[[#This Row],[Total Spending before Truncation is Applied]]</f>
        <v>1</v>
      </c>
    </row>
    <row r="1369" spans="1:10" x14ac:dyDescent="0.25">
      <c r="A1369" s="386"/>
      <c r="B1369" s="310"/>
      <c r="C1369" s="311"/>
      <c r="D1369" s="518"/>
      <c r="E1369" s="409"/>
      <c r="F1369" s="312"/>
      <c r="G1369" s="522"/>
      <c r="H1369" s="312"/>
      <c r="I1369" s="455"/>
      <c r="J1369" s="271" t="b">
        <f>Age_Sex23[[#This Row],[Total Spending After Applying Truncation at the Member Level]]+Age_Sex23[[#This Row],[Total Dollars Excluded from Spending After Applying Truncation at the Member Level]]=Age_Sex23[[#This Row],[Total Spending before Truncation is Applied]]</f>
        <v>1</v>
      </c>
    </row>
    <row r="1370" spans="1:10" x14ac:dyDescent="0.25">
      <c r="A1370" s="389"/>
      <c r="B1370" s="4"/>
      <c r="C1370" s="16"/>
      <c r="D1370" s="519"/>
      <c r="E1370" s="410"/>
      <c r="F1370" s="313"/>
      <c r="G1370" s="256"/>
      <c r="H1370" s="313"/>
      <c r="I1370" s="456"/>
      <c r="J1370" s="273" t="b">
        <f>Age_Sex23[[#This Row],[Total Spending After Applying Truncation at the Member Level]]+Age_Sex23[[#This Row],[Total Dollars Excluded from Spending After Applying Truncation at the Member Level]]=Age_Sex23[[#This Row],[Total Spending before Truncation is Applied]]</f>
        <v>1</v>
      </c>
    </row>
    <row r="1371" spans="1:10" x14ac:dyDescent="0.25">
      <c r="A1371" s="386"/>
      <c r="B1371" s="310"/>
      <c r="C1371" s="311"/>
      <c r="D1371" s="518"/>
      <c r="E1371" s="409"/>
      <c r="F1371" s="312"/>
      <c r="G1371" s="522"/>
      <c r="H1371" s="312"/>
      <c r="I1371" s="455"/>
      <c r="J1371" s="271" t="b">
        <f>Age_Sex23[[#This Row],[Total Spending After Applying Truncation at the Member Level]]+Age_Sex23[[#This Row],[Total Dollars Excluded from Spending After Applying Truncation at the Member Level]]=Age_Sex23[[#This Row],[Total Spending before Truncation is Applied]]</f>
        <v>1</v>
      </c>
    </row>
    <row r="1372" spans="1:10" x14ac:dyDescent="0.25">
      <c r="A1372" s="389"/>
      <c r="B1372" s="4"/>
      <c r="C1372" s="16"/>
      <c r="D1372" s="519"/>
      <c r="E1372" s="410"/>
      <c r="F1372" s="313"/>
      <c r="G1372" s="256"/>
      <c r="H1372" s="313"/>
      <c r="I1372" s="456"/>
      <c r="J1372" s="273" t="b">
        <f>Age_Sex23[[#This Row],[Total Spending After Applying Truncation at the Member Level]]+Age_Sex23[[#This Row],[Total Dollars Excluded from Spending After Applying Truncation at the Member Level]]=Age_Sex23[[#This Row],[Total Spending before Truncation is Applied]]</f>
        <v>1</v>
      </c>
    </row>
    <row r="1373" spans="1:10" x14ac:dyDescent="0.25">
      <c r="A1373" s="386"/>
      <c r="B1373" s="310"/>
      <c r="C1373" s="311"/>
      <c r="D1373" s="518"/>
      <c r="E1373" s="409"/>
      <c r="F1373" s="312"/>
      <c r="G1373" s="522"/>
      <c r="H1373" s="312"/>
      <c r="I1373" s="455"/>
      <c r="J1373" s="271" t="b">
        <f>Age_Sex23[[#This Row],[Total Spending After Applying Truncation at the Member Level]]+Age_Sex23[[#This Row],[Total Dollars Excluded from Spending After Applying Truncation at the Member Level]]=Age_Sex23[[#This Row],[Total Spending before Truncation is Applied]]</f>
        <v>1</v>
      </c>
    </row>
    <row r="1374" spans="1:10" x14ac:dyDescent="0.25">
      <c r="A1374" s="389"/>
      <c r="B1374" s="4"/>
      <c r="C1374" s="16"/>
      <c r="D1374" s="519"/>
      <c r="E1374" s="410"/>
      <c r="F1374" s="313"/>
      <c r="G1374" s="256"/>
      <c r="H1374" s="313"/>
      <c r="I1374" s="456"/>
      <c r="J1374" s="273" t="b">
        <f>Age_Sex23[[#This Row],[Total Spending After Applying Truncation at the Member Level]]+Age_Sex23[[#This Row],[Total Dollars Excluded from Spending After Applying Truncation at the Member Level]]=Age_Sex23[[#This Row],[Total Spending before Truncation is Applied]]</f>
        <v>1</v>
      </c>
    </row>
    <row r="1375" spans="1:10" x14ac:dyDescent="0.25">
      <c r="A1375" s="386"/>
      <c r="B1375" s="310"/>
      <c r="C1375" s="311"/>
      <c r="D1375" s="518"/>
      <c r="E1375" s="409"/>
      <c r="F1375" s="312"/>
      <c r="G1375" s="522"/>
      <c r="H1375" s="312"/>
      <c r="I1375" s="455"/>
      <c r="J1375" s="271" t="b">
        <f>Age_Sex23[[#This Row],[Total Spending After Applying Truncation at the Member Level]]+Age_Sex23[[#This Row],[Total Dollars Excluded from Spending After Applying Truncation at the Member Level]]=Age_Sex23[[#This Row],[Total Spending before Truncation is Applied]]</f>
        <v>1</v>
      </c>
    </row>
    <row r="1376" spans="1:10" x14ac:dyDescent="0.25">
      <c r="A1376" s="389"/>
      <c r="B1376" s="4"/>
      <c r="C1376" s="16"/>
      <c r="D1376" s="519"/>
      <c r="E1376" s="410"/>
      <c r="F1376" s="313"/>
      <c r="G1376" s="256"/>
      <c r="H1376" s="313"/>
      <c r="I1376" s="456"/>
      <c r="J1376" s="273" t="b">
        <f>Age_Sex23[[#This Row],[Total Spending After Applying Truncation at the Member Level]]+Age_Sex23[[#This Row],[Total Dollars Excluded from Spending After Applying Truncation at the Member Level]]=Age_Sex23[[#This Row],[Total Spending before Truncation is Applied]]</f>
        <v>1</v>
      </c>
    </row>
    <row r="1377" spans="1:10" x14ac:dyDescent="0.25">
      <c r="A1377" s="386"/>
      <c r="B1377" s="310"/>
      <c r="C1377" s="311"/>
      <c r="D1377" s="518"/>
      <c r="E1377" s="409"/>
      <c r="F1377" s="312"/>
      <c r="G1377" s="522"/>
      <c r="H1377" s="312"/>
      <c r="I1377" s="455"/>
      <c r="J1377" s="271" t="b">
        <f>Age_Sex23[[#This Row],[Total Spending After Applying Truncation at the Member Level]]+Age_Sex23[[#This Row],[Total Dollars Excluded from Spending After Applying Truncation at the Member Level]]=Age_Sex23[[#This Row],[Total Spending before Truncation is Applied]]</f>
        <v>1</v>
      </c>
    </row>
    <row r="1378" spans="1:10" x14ac:dyDescent="0.25">
      <c r="A1378" s="389"/>
      <c r="B1378" s="4"/>
      <c r="C1378" s="16"/>
      <c r="D1378" s="519"/>
      <c r="E1378" s="410"/>
      <c r="F1378" s="313"/>
      <c r="G1378" s="256"/>
      <c r="H1378" s="313"/>
      <c r="I1378" s="456"/>
      <c r="J1378" s="273" t="b">
        <f>Age_Sex23[[#This Row],[Total Spending After Applying Truncation at the Member Level]]+Age_Sex23[[#This Row],[Total Dollars Excluded from Spending After Applying Truncation at the Member Level]]=Age_Sex23[[#This Row],[Total Spending before Truncation is Applied]]</f>
        <v>1</v>
      </c>
    </row>
    <row r="1379" spans="1:10" x14ac:dyDescent="0.25">
      <c r="A1379" s="386"/>
      <c r="B1379" s="310"/>
      <c r="C1379" s="311"/>
      <c r="D1379" s="518"/>
      <c r="E1379" s="409"/>
      <c r="F1379" s="312"/>
      <c r="G1379" s="522"/>
      <c r="H1379" s="312"/>
      <c r="I1379" s="455"/>
      <c r="J1379" s="271" t="b">
        <f>Age_Sex23[[#This Row],[Total Spending After Applying Truncation at the Member Level]]+Age_Sex23[[#This Row],[Total Dollars Excluded from Spending After Applying Truncation at the Member Level]]=Age_Sex23[[#This Row],[Total Spending before Truncation is Applied]]</f>
        <v>1</v>
      </c>
    </row>
    <row r="1380" spans="1:10" x14ac:dyDescent="0.25">
      <c r="A1380" s="389"/>
      <c r="B1380" s="4"/>
      <c r="C1380" s="16"/>
      <c r="D1380" s="519"/>
      <c r="E1380" s="410"/>
      <c r="F1380" s="313"/>
      <c r="G1380" s="256"/>
      <c r="H1380" s="313"/>
      <c r="I1380" s="456"/>
      <c r="J1380" s="273" t="b">
        <f>Age_Sex23[[#This Row],[Total Spending After Applying Truncation at the Member Level]]+Age_Sex23[[#This Row],[Total Dollars Excluded from Spending After Applying Truncation at the Member Level]]=Age_Sex23[[#This Row],[Total Spending before Truncation is Applied]]</f>
        <v>1</v>
      </c>
    </row>
    <row r="1381" spans="1:10" x14ac:dyDescent="0.25">
      <c r="A1381" s="386"/>
      <c r="B1381" s="310"/>
      <c r="C1381" s="311"/>
      <c r="D1381" s="518"/>
      <c r="E1381" s="409"/>
      <c r="F1381" s="312"/>
      <c r="G1381" s="522"/>
      <c r="H1381" s="312"/>
      <c r="I1381" s="455"/>
      <c r="J1381" s="271" t="b">
        <f>Age_Sex23[[#This Row],[Total Spending After Applying Truncation at the Member Level]]+Age_Sex23[[#This Row],[Total Dollars Excluded from Spending After Applying Truncation at the Member Level]]=Age_Sex23[[#This Row],[Total Spending before Truncation is Applied]]</f>
        <v>1</v>
      </c>
    </row>
    <row r="1382" spans="1:10" x14ac:dyDescent="0.25">
      <c r="A1382" s="389"/>
      <c r="B1382" s="4"/>
      <c r="C1382" s="16"/>
      <c r="D1382" s="519"/>
      <c r="E1382" s="410"/>
      <c r="F1382" s="313"/>
      <c r="G1382" s="256"/>
      <c r="H1382" s="313"/>
      <c r="I1382" s="456"/>
      <c r="J1382" s="273" t="b">
        <f>Age_Sex23[[#This Row],[Total Spending After Applying Truncation at the Member Level]]+Age_Sex23[[#This Row],[Total Dollars Excluded from Spending After Applying Truncation at the Member Level]]=Age_Sex23[[#This Row],[Total Spending before Truncation is Applied]]</f>
        <v>1</v>
      </c>
    </row>
    <row r="1383" spans="1:10" x14ac:dyDescent="0.25">
      <c r="A1383" s="386"/>
      <c r="B1383" s="310"/>
      <c r="C1383" s="311"/>
      <c r="D1383" s="518"/>
      <c r="E1383" s="409"/>
      <c r="F1383" s="312"/>
      <c r="G1383" s="522"/>
      <c r="H1383" s="312"/>
      <c r="I1383" s="455"/>
      <c r="J1383" s="271" t="b">
        <f>Age_Sex23[[#This Row],[Total Spending After Applying Truncation at the Member Level]]+Age_Sex23[[#This Row],[Total Dollars Excluded from Spending After Applying Truncation at the Member Level]]=Age_Sex23[[#This Row],[Total Spending before Truncation is Applied]]</f>
        <v>1</v>
      </c>
    </row>
    <row r="1384" spans="1:10" x14ac:dyDescent="0.25">
      <c r="A1384" s="389"/>
      <c r="B1384" s="4"/>
      <c r="C1384" s="16"/>
      <c r="D1384" s="519"/>
      <c r="E1384" s="410"/>
      <c r="F1384" s="313"/>
      <c r="G1384" s="256"/>
      <c r="H1384" s="313"/>
      <c r="I1384" s="456"/>
      <c r="J1384" s="273" t="b">
        <f>Age_Sex23[[#This Row],[Total Spending After Applying Truncation at the Member Level]]+Age_Sex23[[#This Row],[Total Dollars Excluded from Spending After Applying Truncation at the Member Level]]=Age_Sex23[[#This Row],[Total Spending before Truncation is Applied]]</f>
        <v>1</v>
      </c>
    </row>
    <row r="1385" spans="1:10" x14ac:dyDescent="0.25">
      <c r="A1385" s="386"/>
      <c r="B1385" s="310"/>
      <c r="C1385" s="311"/>
      <c r="D1385" s="518"/>
      <c r="E1385" s="409"/>
      <c r="F1385" s="312"/>
      <c r="G1385" s="522"/>
      <c r="H1385" s="312"/>
      <c r="I1385" s="455"/>
      <c r="J1385" s="271" t="b">
        <f>Age_Sex23[[#This Row],[Total Spending After Applying Truncation at the Member Level]]+Age_Sex23[[#This Row],[Total Dollars Excluded from Spending After Applying Truncation at the Member Level]]=Age_Sex23[[#This Row],[Total Spending before Truncation is Applied]]</f>
        <v>1</v>
      </c>
    </row>
    <row r="1386" spans="1:10" x14ac:dyDescent="0.25">
      <c r="A1386" s="389"/>
      <c r="B1386" s="4"/>
      <c r="C1386" s="16"/>
      <c r="D1386" s="519"/>
      <c r="E1386" s="410"/>
      <c r="F1386" s="313"/>
      <c r="G1386" s="256"/>
      <c r="H1386" s="313"/>
      <c r="I1386" s="456"/>
      <c r="J1386" s="273" t="b">
        <f>Age_Sex23[[#This Row],[Total Spending After Applying Truncation at the Member Level]]+Age_Sex23[[#This Row],[Total Dollars Excluded from Spending After Applying Truncation at the Member Level]]=Age_Sex23[[#This Row],[Total Spending before Truncation is Applied]]</f>
        <v>1</v>
      </c>
    </row>
    <row r="1387" spans="1:10" x14ac:dyDescent="0.25">
      <c r="A1387" s="386"/>
      <c r="B1387" s="310"/>
      <c r="C1387" s="311"/>
      <c r="D1387" s="518"/>
      <c r="E1387" s="409"/>
      <c r="F1387" s="312"/>
      <c r="G1387" s="522"/>
      <c r="H1387" s="312"/>
      <c r="I1387" s="455"/>
      <c r="J1387" s="271" t="b">
        <f>Age_Sex23[[#This Row],[Total Spending After Applying Truncation at the Member Level]]+Age_Sex23[[#This Row],[Total Dollars Excluded from Spending After Applying Truncation at the Member Level]]=Age_Sex23[[#This Row],[Total Spending before Truncation is Applied]]</f>
        <v>1</v>
      </c>
    </row>
    <row r="1388" spans="1:10" x14ac:dyDescent="0.25">
      <c r="A1388" s="389"/>
      <c r="B1388" s="4"/>
      <c r="C1388" s="16"/>
      <c r="D1388" s="519"/>
      <c r="E1388" s="410"/>
      <c r="F1388" s="313"/>
      <c r="G1388" s="256"/>
      <c r="H1388" s="313"/>
      <c r="I1388" s="456"/>
      <c r="J1388" s="273" t="b">
        <f>Age_Sex23[[#This Row],[Total Spending After Applying Truncation at the Member Level]]+Age_Sex23[[#This Row],[Total Dollars Excluded from Spending After Applying Truncation at the Member Level]]=Age_Sex23[[#This Row],[Total Spending before Truncation is Applied]]</f>
        <v>1</v>
      </c>
    </row>
    <row r="1389" spans="1:10" x14ac:dyDescent="0.25">
      <c r="A1389" s="386"/>
      <c r="B1389" s="310"/>
      <c r="C1389" s="311"/>
      <c r="D1389" s="518"/>
      <c r="E1389" s="409"/>
      <c r="F1389" s="312"/>
      <c r="G1389" s="522"/>
      <c r="H1389" s="312"/>
      <c r="I1389" s="455"/>
      <c r="J1389" s="271" t="b">
        <f>Age_Sex23[[#This Row],[Total Spending After Applying Truncation at the Member Level]]+Age_Sex23[[#This Row],[Total Dollars Excluded from Spending After Applying Truncation at the Member Level]]=Age_Sex23[[#This Row],[Total Spending before Truncation is Applied]]</f>
        <v>1</v>
      </c>
    </row>
    <row r="1390" spans="1:10" x14ac:dyDescent="0.25">
      <c r="A1390" s="389"/>
      <c r="B1390" s="4"/>
      <c r="C1390" s="16"/>
      <c r="D1390" s="519"/>
      <c r="E1390" s="410"/>
      <c r="F1390" s="313"/>
      <c r="G1390" s="256"/>
      <c r="H1390" s="313"/>
      <c r="I1390" s="456"/>
      <c r="J1390" s="273" t="b">
        <f>Age_Sex23[[#This Row],[Total Spending After Applying Truncation at the Member Level]]+Age_Sex23[[#This Row],[Total Dollars Excluded from Spending After Applying Truncation at the Member Level]]=Age_Sex23[[#This Row],[Total Spending before Truncation is Applied]]</f>
        <v>1</v>
      </c>
    </row>
    <row r="1391" spans="1:10" x14ac:dyDescent="0.25">
      <c r="A1391" s="386"/>
      <c r="B1391" s="310"/>
      <c r="C1391" s="311"/>
      <c r="D1391" s="518"/>
      <c r="E1391" s="409"/>
      <c r="F1391" s="312"/>
      <c r="G1391" s="522"/>
      <c r="H1391" s="312"/>
      <c r="I1391" s="455"/>
      <c r="J1391" s="271" t="b">
        <f>Age_Sex23[[#This Row],[Total Spending After Applying Truncation at the Member Level]]+Age_Sex23[[#This Row],[Total Dollars Excluded from Spending After Applying Truncation at the Member Level]]=Age_Sex23[[#This Row],[Total Spending before Truncation is Applied]]</f>
        <v>1</v>
      </c>
    </row>
    <row r="1392" spans="1:10" x14ac:dyDescent="0.25">
      <c r="A1392" s="389"/>
      <c r="B1392" s="4"/>
      <c r="C1392" s="16"/>
      <c r="D1392" s="519"/>
      <c r="E1392" s="410"/>
      <c r="F1392" s="313"/>
      <c r="G1392" s="256"/>
      <c r="H1392" s="313"/>
      <c r="I1392" s="456"/>
      <c r="J1392" s="273" t="b">
        <f>Age_Sex23[[#This Row],[Total Spending After Applying Truncation at the Member Level]]+Age_Sex23[[#This Row],[Total Dollars Excluded from Spending After Applying Truncation at the Member Level]]=Age_Sex23[[#This Row],[Total Spending before Truncation is Applied]]</f>
        <v>1</v>
      </c>
    </row>
    <row r="1393" spans="1:10" x14ac:dyDescent="0.25">
      <c r="A1393" s="386"/>
      <c r="B1393" s="310"/>
      <c r="C1393" s="311"/>
      <c r="D1393" s="518"/>
      <c r="E1393" s="409"/>
      <c r="F1393" s="312"/>
      <c r="G1393" s="522"/>
      <c r="H1393" s="312"/>
      <c r="I1393" s="455"/>
      <c r="J1393" s="271" t="b">
        <f>Age_Sex23[[#This Row],[Total Spending After Applying Truncation at the Member Level]]+Age_Sex23[[#This Row],[Total Dollars Excluded from Spending After Applying Truncation at the Member Level]]=Age_Sex23[[#This Row],[Total Spending before Truncation is Applied]]</f>
        <v>1</v>
      </c>
    </row>
    <row r="1394" spans="1:10" x14ac:dyDescent="0.25">
      <c r="A1394" s="389"/>
      <c r="B1394" s="4"/>
      <c r="C1394" s="16"/>
      <c r="D1394" s="519"/>
      <c r="E1394" s="410"/>
      <c r="F1394" s="313"/>
      <c r="G1394" s="256"/>
      <c r="H1394" s="313"/>
      <c r="I1394" s="456"/>
      <c r="J1394" s="273" t="b">
        <f>Age_Sex23[[#This Row],[Total Spending After Applying Truncation at the Member Level]]+Age_Sex23[[#This Row],[Total Dollars Excluded from Spending After Applying Truncation at the Member Level]]=Age_Sex23[[#This Row],[Total Spending before Truncation is Applied]]</f>
        <v>1</v>
      </c>
    </row>
    <row r="1395" spans="1:10" x14ac:dyDescent="0.25">
      <c r="A1395" s="386"/>
      <c r="B1395" s="310"/>
      <c r="C1395" s="311"/>
      <c r="D1395" s="518"/>
      <c r="E1395" s="409"/>
      <c r="F1395" s="312"/>
      <c r="G1395" s="522"/>
      <c r="H1395" s="312"/>
      <c r="I1395" s="455"/>
      <c r="J1395" s="271" t="b">
        <f>Age_Sex23[[#This Row],[Total Spending After Applying Truncation at the Member Level]]+Age_Sex23[[#This Row],[Total Dollars Excluded from Spending After Applying Truncation at the Member Level]]=Age_Sex23[[#This Row],[Total Spending before Truncation is Applied]]</f>
        <v>1</v>
      </c>
    </row>
    <row r="1396" spans="1:10" x14ac:dyDescent="0.25">
      <c r="A1396" s="389"/>
      <c r="B1396" s="4"/>
      <c r="C1396" s="16"/>
      <c r="D1396" s="519"/>
      <c r="E1396" s="410"/>
      <c r="F1396" s="313"/>
      <c r="G1396" s="256"/>
      <c r="H1396" s="313"/>
      <c r="I1396" s="456"/>
      <c r="J1396" s="273" t="b">
        <f>Age_Sex23[[#This Row],[Total Spending After Applying Truncation at the Member Level]]+Age_Sex23[[#This Row],[Total Dollars Excluded from Spending After Applying Truncation at the Member Level]]=Age_Sex23[[#This Row],[Total Spending before Truncation is Applied]]</f>
        <v>1</v>
      </c>
    </row>
    <row r="1397" spans="1:10" x14ac:dyDescent="0.25">
      <c r="A1397" s="386"/>
      <c r="B1397" s="310"/>
      <c r="C1397" s="311"/>
      <c r="D1397" s="518"/>
      <c r="E1397" s="409"/>
      <c r="F1397" s="312"/>
      <c r="G1397" s="522"/>
      <c r="H1397" s="312"/>
      <c r="I1397" s="455"/>
      <c r="J1397" s="271" t="b">
        <f>Age_Sex23[[#This Row],[Total Spending After Applying Truncation at the Member Level]]+Age_Sex23[[#This Row],[Total Dollars Excluded from Spending After Applying Truncation at the Member Level]]=Age_Sex23[[#This Row],[Total Spending before Truncation is Applied]]</f>
        <v>1</v>
      </c>
    </row>
    <row r="1398" spans="1:10" x14ac:dyDescent="0.25">
      <c r="A1398" s="389"/>
      <c r="B1398" s="4"/>
      <c r="C1398" s="16"/>
      <c r="D1398" s="519"/>
      <c r="E1398" s="410"/>
      <c r="F1398" s="313"/>
      <c r="G1398" s="256"/>
      <c r="H1398" s="313"/>
      <c r="I1398" s="456"/>
      <c r="J1398" s="273" t="b">
        <f>Age_Sex23[[#This Row],[Total Spending After Applying Truncation at the Member Level]]+Age_Sex23[[#This Row],[Total Dollars Excluded from Spending After Applying Truncation at the Member Level]]=Age_Sex23[[#This Row],[Total Spending before Truncation is Applied]]</f>
        <v>1</v>
      </c>
    </row>
    <row r="1399" spans="1:10" x14ac:dyDescent="0.25">
      <c r="A1399" s="386"/>
      <c r="B1399" s="310"/>
      <c r="C1399" s="311"/>
      <c r="D1399" s="518"/>
      <c r="E1399" s="409"/>
      <c r="F1399" s="312"/>
      <c r="G1399" s="522"/>
      <c r="H1399" s="312"/>
      <c r="I1399" s="455"/>
      <c r="J1399" s="271" t="b">
        <f>Age_Sex23[[#This Row],[Total Spending After Applying Truncation at the Member Level]]+Age_Sex23[[#This Row],[Total Dollars Excluded from Spending After Applying Truncation at the Member Level]]=Age_Sex23[[#This Row],[Total Spending before Truncation is Applied]]</f>
        <v>1</v>
      </c>
    </row>
    <row r="1400" spans="1:10" x14ac:dyDescent="0.25">
      <c r="A1400" s="389"/>
      <c r="B1400" s="4"/>
      <c r="C1400" s="16"/>
      <c r="D1400" s="519"/>
      <c r="E1400" s="410"/>
      <c r="F1400" s="313"/>
      <c r="G1400" s="256"/>
      <c r="H1400" s="313"/>
      <c r="I1400" s="456"/>
      <c r="J1400" s="273" t="b">
        <f>Age_Sex23[[#This Row],[Total Spending After Applying Truncation at the Member Level]]+Age_Sex23[[#This Row],[Total Dollars Excluded from Spending After Applying Truncation at the Member Level]]=Age_Sex23[[#This Row],[Total Spending before Truncation is Applied]]</f>
        <v>1</v>
      </c>
    </row>
    <row r="1401" spans="1:10" x14ac:dyDescent="0.25">
      <c r="A1401" s="386"/>
      <c r="B1401" s="310"/>
      <c r="C1401" s="311"/>
      <c r="D1401" s="518"/>
      <c r="E1401" s="409"/>
      <c r="F1401" s="312"/>
      <c r="G1401" s="522"/>
      <c r="H1401" s="312"/>
      <c r="I1401" s="455"/>
      <c r="J1401" s="271" t="b">
        <f>Age_Sex23[[#This Row],[Total Spending After Applying Truncation at the Member Level]]+Age_Sex23[[#This Row],[Total Dollars Excluded from Spending After Applying Truncation at the Member Level]]=Age_Sex23[[#This Row],[Total Spending before Truncation is Applied]]</f>
        <v>1</v>
      </c>
    </row>
    <row r="1402" spans="1:10" x14ac:dyDescent="0.25">
      <c r="A1402" s="389"/>
      <c r="B1402" s="4"/>
      <c r="C1402" s="16"/>
      <c r="D1402" s="519"/>
      <c r="E1402" s="410"/>
      <c r="F1402" s="313"/>
      <c r="G1402" s="256"/>
      <c r="H1402" s="313"/>
      <c r="I1402" s="456"/>
      <c r="J1402" s="273" t="b">
        <f>Age_Sex23[[#This Row],[Total Spending After Applying Truncation at the Member Level]]+Age_Sex23[[#This Row],[Total Dollars Excluded from Spending After Applying Truncation at the Member Level]]=Age_Sex23[[#This Row],[Total Spending before Truncation is Applied]]</f>
        <v>1</v>
      </c>
    </row>
    <row r="1403" spans="1:10" x14ac:dyDescent="0.25">
      <c r="A1403" s="386"/>
      <c r="B1403" s="310"/>
      <c r="C1403" s="311"/>
      <c r="D1403" s="518"/>
      <c r="E1403" s="409"/>
      <c r="F1403" s="312"/>
      <c r="G1403" s="522"/>
      <c r="H1403" s="312"/>
      <c r="I1403" s="455"/>
      <c r="J1403" s="271" t="b">
        <f>Age_Sex23[[#This Row],[Total Spending After Applying Truncation at the Member Level]]+Age_Sex23[[#This Row],[Total Dollars Excluded from Spending After Applying Truncation at the Member Level]]=Age_Sex23[[#This Row],[Total Spending before Truncation is Applied]]</f>
        <v>1</v>
      </c>
    </row>
    <row r="1404" spans="1:10" x14ac:dyDescent="0.25">
      <c r="A1404" s="389"/>
      <c r="B1404" s="4"/>
      <c r="C1404" s="16"/>
      <c r="D1404" s="519"/>
      <c r="E1404" s="410"/>
      <c r="F1404" s="313"/>
      <c r="G1404" s="256"/>
      <c r="H1404" s="313"/>
      <c r="I1404" s="456"/>
      <c r="J1404" s="273" t="b">
        <f>Age_Sex23[[#This Row],[Total Spending After Applying Truncation at the Member Level]]+Age_Sex23[[#This Row],[Total Dollars Excluded from Spending After Applying Truncation at the Member Level]]=Age_Sex23[[#This Row],[Total Spending before Truncation is Applied]]</f>
        <v>1</v>
      </c>
    </row>
    <row r="1405" spans="1:10" x14ac:dyDescent="0.25">
      <c r="A1405" s="386"/>
      <c r="B1405" s="310"/>
      <c r="C1405" s="311"/>
      <c r="D1405" s="518"/>
      <c r="E1405" s="409"/>
      <c r="F1405" s="312"/>
      <c r="G1405" s="522"/>
      <c r="H1405" s="312"/>
      <c r="I1405" s="455"/>
      <c r="J1405" s="271" t="b">
        <f>Age_Sex23[[#This Row],[Total Spending After Applying Truncation at the Member Level]]+Age_Sex23[[#This Row],[Total Dollars Excluded from Spending After Applying Truncation at the Member Level]]=Age_Sex23[[#This Row],[Total Spending before Truncation is Applied]]</f>
        <v>1</v>
      </c>
    </row>
    <row r="1406" spans="1:10" x14ac:dyDescent="0.25">
      <c r="A1406" s="389"/>
      <c r="B1406" s="4"/>
      <c r="C1406" s="16"/>
      <c r="D1406" s="519"/>
      <c r="E1406" s="410"/>
      <c r="F1406" s="313"/>
      <c r="G1406" s="256"/>
      <c r="H1406" s="313"/>
      <c r="I1406" s="456"/>
      <c r="J1406" s="273" t="b">
        <f>Age_Sex23[[#This Row],[Total Spending After Applying Truncation at the Member Level]]+Age_Sex23[[#This Row],[Total Dollars Excluded from Spending After Applying Truncation at the Member Level]]=Age_Sex23[[#This Row],[Total Spending before Truncation is Applied]]</f>
        <v>1</v>
      </c>
    </row>
    <row r="1407" spans="1:10" x14ac:dyDescent="0.25">
      <c r="A1407" s="386"/>
      <c r="B1407" s="310"/>
      <c r="C1407" s="311"/>
      <c r="D1407" s="518"/>
      <c r="E1407" s="409"/>
      <c r="F1407" s="312"/>
      <c r="G1407" s="522"/>
      <c r="H1407" s="312"/>
      <c r="I1407" s="455"/>
      <c r="J1407" s="271" t="b">
        <f>Age_Sex23[[#This Row],[Total Spending After Applying Truncation at the Member Level]]+Age_Sex23[[#This Row],[Total Dollars Excluded from Spending After Applying Truncation at the Member Level]]=Age_Sex23[[#This Row],[Total Spending before Truncation is Applied]]</f>
        <v>1</v>
      </c>
    </row>
    <row r="1408" spans="1:10" x14ac:dyDescent="0.25">
      <c r="A1408" s="389"/>
      <c r="B1408" s="4"/>
      <c r="C1408" s="16"/>
      <c r="D1408" s="519"/>
      <c r="E1408" s="410"/>
      <c r="F1408" s="313"/>
      <c r="G1408" s="256"/>
      <c r="H1408" s="313"/>
      <c r="I1408" s="456"/>
      <c r="J1408" s="273" t="b">
        <f>Age_Sex23[[#This Row],[Total Spending After Applying Truncation at the Member Level]]+Age_Sex23[[#This Row],[Total Dollars Excluded from Spending After Applying Truncation at the Member Level]]=Age_Sex23[[#This Row],[Total Spending before Truncation is Applied]]</f>
        <v>1</v>
      </c>
    </row>
    <row r="1409" spans="1:10" x14ac:dyDescent="0.25">
      <c r="A1409" s="386"/>
      <c r="B1409" s="310"/>
      <c r="C1409" s="311"/>
      <c r="D1409" s="518"/>
      <c r="E1409" s="409"/>
      <c r="F1409" s="312"/>
      <c r="G1409" s="522"/>
      <c r="H1409" s="312"/>
      <c r="I1409" s="455"/>
      <c r="J1409" s="271" t="b">
        <f>Age_Sex23[[#This Row],[Total Spending After Applying Truncation at the Member Level]]+Age_Sex23[[#This Row],[Total Dollars Excluded from Spending After Applying Truncation at the Member Level]]=Age_Sex23[[#This Row],[Total Spending before Truncation is Applied]]</f>
        <v>1</v>
      </c>
    </row>
    <row r="1410" spans="1:10" x14ac:dyDescent="0.25">
      <c r="A1410" s="389"/>
      <c r="B1410" s="4"/>
      <c r="C1410" s="16"/>
      <c r="D1410" s="519"/>
      <c r="E1410" s="410"/>
      <c r="F1410" s="313"/>
      <c r="G1410" s="256"/>
      <c r="H1410" s="313"/>
      <c r="I1410" s="456"/>
      <c r="J1410" s="273" t="b">
        <f>Age_Sex23[[#This Row],[Total Spending After Applying Truncation at the Member Level]]+Age_Sex23[[#This Row],[Total Dollars Excluded from Spending After Applying Truncation at the Member Level]]=Age_Sex23[[#This Row],[Total Spending before Truncation is Applied]]</f>
        <v>1</v>
      </c>
    </row>
    <row r="1411" spans="1:10" x14ac:dyDescent="0.25">
      <c r="A1411" s="386"/>
      <c r="B1411" s="310"/>
      <c r="C1411" s="311"/>
      <c r="D1411" s="518"/>
      <c r="E1411" s="409"/>
      <c r="F1411" s="312"/>
      <c r="G1411" s="522"/>
      <c r="H1411" s="312"/>
      <c r="I1411" s="455"/>
      <c r="J1411" s="271" t="b">
        <f>Age_Sex23[[#This Row],[Total Spending After Applying Truncation at the Member Level]]+Age_Sex23[[#This Row],[Total Dollars Excluded from Spending After Applying Truncation at the Member Level]]=Age_Sex23[[#This Row],[Total Spending before Truncation is Applied]]</f>
        <v>1</v>
      </c>
    </row>
    <row r="1412" spans="1:10" x14ac:dyDescent="0.25">
      <c r="A1412" s="389"/>
      <c r="B1412" s="4"/>
      <c r="C1412" s="16"/>
      <c r="D1412" s="519"/>
      <c r="E1412" s="410"/>
      <c r="F1412" s="313"/>
      <c r="G1412" s="256"/>
      <c r="H1412" s="313"/>
      <c r="I1412" s="456"/>
      <c r="J1412" s="273" t="b">
        <f>Age_Sex23[[#This Row],[Total Spending After Applying Truncation at the Member Level]]+Age_Sex23[[#This Row],[Total Dollars Excluded from Spending After Applying Truncation at the Member Level]]=Age_Sex23[[#This Row],[Total Spending before Truncation is Applied]]</f>
        <v>1</v>
      </c>
    </row>
    <row r="1413" spans="1:10" x14ac:dyDescent="0.25">
      <c r="A1413" s="386"/>
      <c r="B1413" s="310"/>
      <c r="C1413" s="311"/>
      <c r="D1413" s="518"/>
      <c r="E1413" s="409"/>
      <c r="F1413" s="312"/>
      <c r="G1413" s="522"/>
      <c r="H1413" s="312"/>
      <c r="I1413" s="455"/>
      <c r="J1413" s="271" t="b">
        <f>Age_Sex23[[#This Row],[Total Spending After Applying Truncation at the Member Level]]+Age_Sex23[[#This Row],[Total Dollars Excluded from Spending After Applying Truncation at the Member Level]]=Age_Sex23[[#This Row],[Total Spending before Truncation is Applied]]</f>
        <v>1</v>
      </c>
    </row>
    <row r="1414" spans="1:10" x14ac:dyDescent="0.25">
      <c r="A1414" s="389"/>
      <c r="B1414" s="4"/>
      <c r="C1414" s="16"/>
      <c r="D1414" s="519"/>
      <c r="E1414" s="410"/>
      <c r="F1414" s="313"/>
      <c r="G1414" s="256"/>
      <c r="H1414" s="313"/>
      <c r="I1414" s="456"/>
      <c r="J1414" s="273" t="b">
        <f>Age_Sex23[[#This Row],[Total Spending After Applying Truncation at the Member Level]]+Age_Sex23[[#This Row],[Total Dollars Excluded from Spending After Applying Truncation at the Member Level]]=Age_Sex23[[#This Row],[Total Spending before Truncation is Applied]]</f>
        <v>1</v>
      </c>
    </row>
    <row r="1415" spans="1:10" x14ac:dyDescent="0.25">
      <c r="A1415" s="386"/>
      <c r="B1415" s="310"/>
      <c r="C1415" s="311"/>
      <c r="D1415" s="518"/>
      <c r="E1415" s="409"/>
      <c r="F1415" s="312"/>
      <c r="G1415" s="522"/>
      <c r="H1415" s="312"/>
      <c r="I1415" s="455"/>
      <c r="J1415" s="271" t="b">
        <f>Age_Sex23[[#This Row],[Total Spending After Applying Truncation at the Member Level]]+Age_Sex23[[#This Row],[Total Dollars Excluded from Spending After Applying Truncation at the Member Level]]=Age_Sex23[[#This Row],[Total Spending before Truncation is Applied]]</f>
        <v>1</v>
      </c>
    </row>
    <row r="1416" spans="1:10" x14ac:dyDescent="0.25">
      <c r="A1416" s="389"/>
      <c r="B1416" s="4"/>
      <c r="C1416" s="16"/>
      <c r="D1416" s="519"/>
      <c r="E1416" s="410"/>
      <c r="F1416" s="313"/>
      <c r="G1416" s="256"/>
      <c r="H1416" s="313"/>
      <c r="I1416" s="456"/>
      <c r="J1416" s="273" t="b">
        <f>Age_Sex23[[#This Row],[Total Spending After Applying Truncation at the Member Level]]+Age_Sex23[[#This Row],[Total Dollars Excluded from Spending After Applying Truncation at the Member Level]]=Age_Sex23[[#This Row],[Total Spending before Truncation is Applied]]</f>
        <v>1</v>
      </c>
    </row>
    <row r="1417" spans="1:10" x14ac:dyDescent="0.25">
      <c r="A1417" s="386"/>
      <c r="B1417" s="310"/>
      <c r="C1417" s="311"/>
      <c r="D1417" s="518"/>
      <c r="E1417" s="409"/>
      <c r="F1417" s="312"/>
      <c r="G1417" s="522"/>
      <c r="H1417" s="312"/>
      <c r="I1417" s="455"/>
      <c r="J1417" s="271" t="b">
        <f>Age_Sex23[[#This Row],[Total Spending After Applying Truncation at the Member Level]]+Age_Sex23[[#This Row],[Total Dollars Excluded from Spending After Applying Truncation at the Member Level]]=Age_Sex23[[#This Row],[Total Spending before Truncation is Applied]]</f>
        <v>1</v>
      </c>
    </row>
    <row r="1418" spans="1:10" x14ac:dyDescent="0.25">
      <c r="A1418" s="389"/>
      <c r="B1418" s="4"/>
      <c r="C1418" s="16"/>
      <c r="D1418" s="519"/>
      <c r="E1418" s="410"/>
      <c r="F1418" s="313"/>
      <c r="G1418" s="256"/>
      <c r="H1418" s="313"/>
      <c r="I1418" s="456"/>
      <c r="J1418" s="273" t="b">
        <f>Age_Sex23[[#This Row],[Total Spending After Applying Truncation at the Member Level]]+Age_Sex23[[#This Row],[Total Dollars Excluded from Spending After Applying Truncation at the Member Level]]=Age_Sex23[[#This Row],[Total Spending before Truncation is Applied]]</f>
        <v>1</v>
      </c>
    </row>
    <row r="1419" spans="1:10" x14ac:dyDescent="0.25">
      <c r="A1419" s="386"/>
      <c r="B1419" s="310"/>
      <c r="C1419" s="311"/>
      <c r="D1419" s="518"/>
      <c r="E1419" s="409"/>
      <c r="F1419" s="312"/>
      <c r="G1419" s="522"/>
      <c r="H1419" s="312"/>
      <c r="I1419" s="455"/>
      <c r="J1419" s="271" t="b">
        <f>Age_Sex23[[#This Row],[Total Spending After Applying Truncation at the Member Level]]+Age_Sex23[[#This Row],[Total Dollars Excluded from Spending After Applying Truncation at the Member Level]]=Age_Sex23[[#This Row],[Total Spending before Truncation is Applied]]</f>
        <v>1</v>
      </c>
    </row>
    <row r="1420" spans="1:10" x14ac:dyDescent="0.25">
      <c r="A1420" s="389"/>
      <c r="B1420" s="4"/>
      <c r="C1420" s="16"/>
      <c r="D1420" s="519"/>
      <c r="E1420" s="410"/>
      <c r="F1420" s="313"/>
      <c r="G1420" s="256"/>
      <c r="H1420" s="313"/>
      <c r="I1420" s="456"/>
      <c r="J1420" s="273" t="b">
        <f>Age_Sex23[[#This Row],[Total Spending After Applying Truncation at the Member Level]]+Age_Sex23[[#This Row],[Total Dollars Excluded from Spending After Applying Truncation at the Member Level]]=Age_Sex23[[#This Row],[Total Spending before Truncation is Applied]]</f>
        <v>1</v>
      </c>
    </row>
    <row r="1421" spans="1:10" x14ac:dyDescent="0.25">
      <c r="A1421" s="386"/>
      <c r="B1421" s="310"/>
      <c r="C1421" s="311"/>
      <c r="D1421" s="518"/>
      <c r="E1421" s="409"/>
      <c r="F1421" s="312"/>
      <c r="G1421" s="522"/>
      <c r="H1421" s="312"/>
      <c r="I1421" s="455"/>
      <c r="J1421" s="271" t="b">
        <f>Age_Sex23[[#This Row],[Total Spending After Applying Truncation at the Member Level]]+Age_Sex23[[#This Row],[Total Dollars Excluded from Spending After Applying Truncation at the Member Level]]=Age_Sex23[[#This Row],[Total Spending before Truncation is Applied]]</f>
        <v>1</v>
      </c>
    </row>
    <row r="1422" spans="1:10" x14ac:dyDescent="0.25">
      <c r="A1422" s="389"/>
      <c r="B1422" s="4"/>
      <c r="C1422" s="16"/>
      <c r="D1422" s="519"/>
      <c r="E1422" s="410"/>
      <c r="F1422" s="313"/>
      <c r="G1422" s="256"/>
      <c r="H1422" s="313"/>
      <c r="I1422" s="456"/>
      <c r="J1422" s="273" t="b">
        <f>Age_Sex23[[#This Row],[Total Spending After Applying Truncation at the Member Level]]+Age_Sex23[[#This Row],[Total Dollars Excluded from Spending After Applying Truncation at the Member Level]]=Age_Sex23[[#This Row],[Total Spending before Truncation is Applied]]</f>
        <v>1</v>
      </c>
    </row>
    <row r="1423" spans="1:10" x14ac:dyDescent="0.25">
      <c r="A1423" s="386"/>
      <c r="B1423" s="310"/>
      <c r="C1423" s="311"/>
      <c r="D1423" s="518"/>
      <c r="E1423" s="409"/>
      <c r="F1423" s="312"/>
      <c r="G1423" s="522"/>
      <c r="H1423" s="312"/>
      <c r="I1423" s="455"/>
      <c r="J1423" s="271" t="b">
        <f>Age_Sex23[[#This Row],[Total Spending After Applying Truncation at the Member Level]]+Age_Sex23[[#This Row],[Total Dollars Excluded from Spending After Applying Truncation at the Member Level]]=Age_Sex23[[#This Row],[Total Spending before Truncation is Applied]]</f>
        <v>1</v>
      </c>
    </row>
    <row r="1424" spans="1:10" x14ac:dyDescent="0.25">
      <c r="A1424" s="389"/>
      <c r="B1424" s="4"/>
      <c r="C1424" s="16"/>
      <c r="D1424" s="519"/>
      <c r="E1424" s="410"/>
      <c r="F1424" s="313"/>
      <c r="G1424" s="256"/>
      <c r="H1424" s="313"/>
      <c r="I1424" s="456"/>
      <c r="J1424" s="273" t="b">
        <f>Age_Sex23[[#This Row],[Total Spending After Applying Truncation at the Member Level]]+Age_Sex23[[#This Row],[Total Dollars Excluded from Spending After Applying Truncation at the Member Level]]=Age_Sex23[[#This Row],[Total Spending before Truncation is Applied]]</f>
        <v>1</v>
      </c>
    </row>
    <row r="1425" spans="1:10" x14ac:dyDescent="0.25">
      <c r="A1425" s="386"/>
      <c r="B1425" s="310"/>
      <c r="C1425" s="311"/>
      <c r="D1425" s="518"/>
      <c r="E1425" s="409"/>
      <c r="F1425" s="312"/>
      <c r="G1425" s="522"/>
      <c r="H1425" s="312"/>
      <c r="I1425" s="455"/>
      <c r="J1425" s="271" t="b">
        <f>Age_Sex23[[#This Row],[Total Spending After Applying Truncation at the Member Level]]+Age_Sex23[[#This Row],[Total Dollars Excluded from Spending After Applying Truncation at the Member Level]]=Age_Sex23[[#This Row],[Total Spending before Truncation is Applied]]</f>
        <v>1</v>
      </c>
    </row>
    <row r="1426" spans="1:10" x14ac:dyDescent="0.25">
      <c r="A1426" s="389"/>
      <c r="B1426" s="4"/>
      <c r="C1426" s="16"/>
      <c r="D1426" s="519"/>
      <c r="E1426" s="410"/>
      <c r="F1426" s="313"/>
      <c r="G1426" s="256"/>
      <c r="H1426" s="313"/>
      <c r="I1426" s="456"/>
      <c r="J1426" s="273" t="b">
        <f>Age_Sex23[[#This Row],[Total Spending After Applying Truncation at the Member Level]]+Age_Sex23[[#This Row],[Total Dollars Excluded from Spending After Applying Truncation at the Member Level]]=Age_Sex23[[#This Row],[Total Spending before Truncation is Applied]]</f>
        <v>1</v>
      </c>
    </row>
    <row r="1427" spans="1:10" x14ac:dyDescent="0.25">
      <c r="A1427" s="386"/>
      <c r="B1427" s="310"/>
      <c r="C1427" s="311"/>
      <c r="D1427" s="518"/>
      <c r="E1427" s="409"/>
      <c r="F1427" s="312"/>
      <c r="G1427" s="522"/>
      <c r="H1427" s="312"/>
      <c r="I1427" s="455"/>
      <c r="J1427" s="271" t="b">
        <f>Age_Sex23[[#This Row],[Total Spending After Applying Truncation at the Member Level]]+Age_Sex23[[#This Row],[Total Dollars Excluded from Spending After Applying Truncation at the Member Level]]=Age_Sex23[[#This Row],[Total Spending before Truncation is Applied]]</f>
        <v>1</v>
      </c>
    </row>
    <row r="1428" spans="1:10" x14ac:dyDescent="0.25">
      <c r="A1428" s="389"/>
      <c r="B1428" s="4"/>
      <c r="C1428" s="16"/>
      <c r="D1428" s="519"/>
      <c r="E1428" s="410"/>
      <c r="F1428" s="313"/>
      <c r="G1428" s="256"/>
      <c r="H1428" s="313"/>
      <c r="I1428" s="456"/>
      <c r="J1428" s="273" t="b">
        <f>Age_Sex23[[#This Row],[Total Spending After Applying Truncation at the Member Level]]+Age_Sex23[[#This Row],[Total Dollars Excluded from Spending After Applying Truncation at the Member Level]]=Age_Sex23[[#This Row],[Total Spending before Truncation is Applied]]</f>
        <v>1</v>
      </c>
    </row>
    <row r="1429" spans="1:10" x14ac:dyDescent="0.25">
      <c r="A1429" s="386"/>
      <c r="B1429" s="310"/>
      <c r="C1429" s="311"/>
      <c r="D1429" s="518"/>
      <c r="E1429" s="409"/>
      <c r="F1429" s="312"/>
      <c r="G1429" s="522"/>
      <c r="H1429" s="312"/>
      <c r="I1429" s="455"/>
      <c r="J1429" s="271" t="b">
        <f>Age_Sex23[[#This Row],[Total Spending After Applying Truncation at the Member Level]]+Age_Sex23[[#This Row],[Total Dollars Excluded from Spending After Applying Truncation at the Member Level]]=Age_Sex23[[#This Row],[Total Spending before Truncation is Applied]]</f>
        <v>1</v>
      </c>
    </row>
    <row r="1430" spans="1:10" x14ac:dyDescent="0.25">
      <c r="A1430" s="389"/>
      <c r="B1430" s="4"/>
      <c r="C1430" s="16"/>
      <c r="D1430" s="519"/>
      <c r="E1430" s="410"/>
      <c r="F1430" s="313"/>
      <c r="G1430" s="256"/>
      <c r="H1430" s="313"/>
      <c r="I1430" s="456"/>
      <c r="J1430" s="273" t="b">
        <f>Age_Sex23[[#This Row],[Total Spending After Applying Truncation at the Member Level]]+Age_Sex23[[#This Row],[Total Dollars Excluded from Spending After Applying Truncation at the Member Level]]=Age_Sex23[[#This Row],[Total Spending before Truncation is Applied]]</f>
        <v>1</v>
      </c>
    </row>
    <row r="1431" spans="1:10" x14ac:dyDescent="0.25">
      <c r="A1431" s="386"/>
      <c r="B1431" s="310"/>
      <c r="C1431" s="311"/>
      <c r="D1431" s="518"/>
      <c r="E1431" s="409"/>
      <c r="F1431" s="312"/>
      <c r="G1431" s="522"/>
      <c r="H1431" s="312"/>
      <c r="I1431" s="455"/>
      <c r="J1431" s="271" t="b">
        <f>Age_Sex23[[#This Row],[Total Spending After Applying Truncation at the Member Level]]+Age_Sex23[[#This Row],[Total Dollars Excluded from Spending After Applying Truncation at the Member Level]]=Age_Sex23[[#This Row],[Total Spending before Truncation is Applied]]</f>
        <v>1</v>
      </c>
    </row>
    <row r="1432" spans="1:10" x14ac:dyDescent="0.25">
      <c r="A1432" s="389"/>
      <c r="B1432" s="4"/>
      <c r="C1432" s="16"/>
      <c r="D1432" s="519"/>
      <c r="E1432" s="410"/>
      <c r="F1432" s="313"/>
      <c r="G1432" s="256"/>
      <c r="H1432" s="313"/>
      <c r="I1432" s="456"/>
      <c r="J1432" s="273" t="b">
        <f>Age_Sex23[[#This Row],[Total Spending After Applying Truncation at the Member Level]]+Age_Sex23[[#This Row],[Total Dollars Excluded from Spending After Applying Truncation at the Member Level]]=Age_Sex23[[#This Row],[Total Spending before Truncation is Applied]]</f>
        <v>1</v>
      </c>
    </row>
    <row r="1433" spans="1:10" x14ac:dyDescent="0.25">
      <c r="A1433" s="386"/>
      <c r="B1433" s="310"/>
      <c r="C1433" s="311"/>
      <c r="D1433" s="518"/>
      <c r="E1433" s="409"/>
      <c r="F1433" s="312"/>
      <c r="G1433" s="522"/>
      <c r="H1433" s="312"/>
      <c r="I1433" s="455"/>
      <c r="J1433" s="271" t="b">
        <f>Age_Sex23[[#This Row],[Total Spending After Applying Truncation at the Member Level]]+Age_Sex23[[#This Row],[Total Dollars Excluded from Spending After Applying Truncation at the Member Level]]=Age_Sex23[[#This Row],[Total Spending before Truncation is Applied]]</f>
        <v>1</v>
      </c>
    </row>
    <row r="1434" spans="1:10" x14ac:dyDescent="0.25">
      <c r="A1434" s="389"/>
      <c r="B1434" s="4"/>
      <c r="C1434" s="16"/>
      <c r="D1434" s="519"/>
      <c r="E1434" s="410"/>
      <c r="F1434" s="313"/>
      <c r="G1434" s="256"/>
      <c r="H1434" s="313"/>
      <c r="I1434" s="456"/>
      <c r="J1434" s="273" t="b">
        <f>Age_Sex23[[#This Row],[Total Spending After Applying Truncation at the Member Level]]+Age_Sex23[[#This Row],[Total Dollars Excluded from Spending After Applying Truncation at the Member Level]]=Age_Sex23[[#This Row],[Total Spending before Truncation is Applied]]</f>
        <v>1</v>
      </c>
    </row>
    <row r="1435" spans="1:10" x14ac:dyDescent="0.25">
      <c r="A1435" s="386"/>
      <c r="B1435" s="310"/>
      <c r="C1435" s="311"/>
      <c r="D1435" s="518"/>
      <c r="E1435" s="409"/>
      <c r="F1435" s="312"/>
      <c r="G1435" s="522"/>
      <c r="H1435" s="312"/>
      <c r="I1435" s="455"/>
      <c r="J1435" s="271" t="b">
        <f>Age_Sex23[[#This Row],[Total Spending After Applying Truncation at the Member Level]]+Age_Sex23[[#This Row],[Total Dollars Excluded from Spending After Applying Truncation at the Member Level]]=Age_Sex23[[#This Row],[Total Spending before Truncation is Applied]]</f>
        <v>1</v>
      </c>
    </row>
    <row r="1436" spans="1:10" x14ac:dyDescent="0.25">
      <c r="A1436" s="389"/>
      <c r="B1436" s="4"/>
      <c r="C1436" s="16"/>
      <c r="D1436" s="519"/>
      <c r="E1436" s="410"/>
      <c r="F1436" s="313"/>
      <c r="G1436" s="256"/>
      <c r="H1436" s="313"/>
      <c r="I1436" s="456"/>
      <c r="J1436" s="273" t="b">
        <f>Age_Sex23[[#This Row],[Total Spending After Applying Truncation at the Member Level]]+Age_Sex23[[#This Row],[Total Dollars Excluded from Spending After Applying Truncation at the Member Level]]=Age_Sex23[[#This Row],[Total Spending before Truncation is Applied]]</f>
        <v>1</v>
      </c>
    </row>
    <row r="1437" spans="1:10" x14ac:dyDescent="0.25">
      <c r="A1437" s="386"/>
      <c r="B1437" s="310"/>
      <c r="C1437" s="311"/>
      <c r="D1437" s="518"/>
      <c r="E1437" s="409"/>
      <c r="F1437" s="312"/>
      <c r="G1437" s="522"/>
      <c r="H1437" s="312"/>
      <c r="I1437" s="455"/>
      <c r="J1437" s="271" t="b">
        <f>Age_Sex23[[#This Row],[Total Spending After Applying Truncation at the Member Level]]+Age_Sex23[[#This Row],[Total Dollars Excluded from Spending After Applying Truncation at the Member Level]]=Age_Sex23[[#This Row],[Total Spending before Truncation is Applied]]</f>
        <v>1</v>
      </c>
    </row>
    <row r="1438" spans="1:10" x14ac:dyDescent="0.25">
      <c r="A1438" s="389"/>
      <c r="B1438" s="4"/>
      <c r="C1438" s="16"/>
      <c r="D1438" s="519"/>
      <c r="E1438" s="410"/>
      <c r="F1438" s="313"/>
      <c r="G1438" s="256"/>
      <c r="H1438" s="313"/>
      <c r="I1438" s="456"/>
      <c r="J1438" s="273" t="b">
        <f>Age_Sex23[[#This Row],[Total Spending After Applying Truncation at the Member Level]]+Age_Sex23[[#This Row],[Total Dollars Excluded from Spending After Applying Truncation at the Member Level]]=Age_Sex23[[#This Row],[Total Spending before Truncation is Applied]]</f>
        <v>1</v>
      </c>
    </row>
    <row r="1439" spans="1:10" x14ac:dyDescent="0.25">
      <c r="A1439" s="386"/>
      <c r="B1439" s="310"/>
      <c r="C1439" s="311"/>
      <c r="D1439" s="518"/>
      <c r="E1439" s="409"/>
      <c r="F1439" s="312"/>
      <c r="G1439" s="522"/>
      <c r="H1439" s="312"/>
      <c r="I1439" s="455"/>
      <c r="J1439" s="271" t="b">
        <f>Age_Sex23[[#This Row],[Total Spending After Applying Truncation at the Member Level]]+Age_Sex23[[#This Row],[Total Dollars Excluded from Spending After Applying Truncation at the Member Level]]=Age_Sex23[[#This Row],[Total Spending before Truncation is Applied]]</f>
        <v>1</v>
      </c>
    </row>
    <row r="1440" spans="1:10" x14ac:dyDescent="0.25">
      <c r="A1440" s="389"/>
      <c r="B1440" s="4"/>
      <c r="C1440" s="16"/>
      <c r="D1440" s="519"/>
      <c r="E1440" s="410"/>
      <c r="F1440" s="313"/>
      <c r="G1440" s="256"/>
      <c r="H1440" s="313"/>
      <c r="I1440" s="456"/>
      <c r="J1440" s="273" t="b">
        <f>Age_Sex23[[#This Row],[Total Spending After Applying Truncation at the Member Level]]+Age_Sex23[[#This Row],[Total Dollars Excluded from Spending After Applying Truncation at the Member Level]]=Age_Sex23[[#This Row],[Total Spending before Truncation is Applied]]</f>
        <v>1</v>
      </c>
    </row>
    <row r="1441" spans="1:10" x14ac:dyDescent="0.25">
      <c r="A1441" s="386"/>
      <c r="B1441" s="310"/>
      <c r="C1441" s="311"/>
      <c r="D1441" s="518"/>
      <c r="E1441" s="409"/>
      <c r="F1441" s="312"/>
      <c r="G1441" s="522"/>
      <c r="H1441" s="312"/>
      <c r="I1441" s="455"/>
      <c r="J1441" s="271" t="b">
        <f>Age_Sex23[[#This Row],[Total Spending After Applying Truncation at the Member Level]]+Age_Sex23[[#This Row],[Total Dollars Excluded from Spending After Applying Truncation at the Member Level]]=Age_Sex23[[#This Row],[Total Spending before Truncation is Applied]]</f>
        <v>1</v>
      </c>
    </row>
    <row r="1442" spans="1:10" x14ac:dyDescent="0.25">
      <c r="A1442" s="389"/>
      <c r="B1442" s="4"/>
      <c r="C1442" s="16"/>
      <c r="D1442" s="519"/>
      <c r="E1442" s="410"/>
      <c r="F1442" s="313"/>
      <c r="G1442" s="256"/>
      <c r="H1442" s="313"/>
      <c r="I1442" s="456"/>
      <c r="J1442" s="273" t="b">
        <f>Age_Sex23[[#This Row],[Total Spending After Applying Truncation at the Member Level]]+Age_Sex23[[#This Row],[Total Dollars Excluded from Spending After Applying Truncation at the Member Level]]=Age_Sex23[[#This Row],[Total Spending before Truncation is Applied]]</f>
        <v>1</v>
      </c>
    </row>
    <row r="1443" spans="1:10" x14ac:dyDescent="0.25">
      <c r="A1443" s="386"/>
      <c r="B1443" s="310"/>
      <c r="C1443" s="311"/>
      <c r="D1443" s="518"/>
      <c r="E1443" s="409"/>
      <c r="F1443" s="312"/>
      <c r="G1443" s="522"/>
      <c r="H1443" s="312"/>
      <c r="I1443" s="455"/>
      <c r="J1443" s="271" t="b">
        <f>Age_Sex23[[#This Row],[Total Spending After Applying Truncation at the Member Level]]+Age_Sex23[[#This Row],[Total Dollars Excluded from Spending After Applying Truncation at the Member Level]]=Age_Sex23[[#This Row],[Total Spending before Truncation is Applied]]</f>
        <v>1</v>
      </c>
    </row>
    <row r="1444" spans="1:10" x14ac:dyDescent="0.25">
      <c r="A1444" s="389"/>
      <c r="B1444" s="4"/>
      <c r="C1444" s="16"/>
      <c r="D1444" s="519"/>
      <c r="E1444" s="410"/>
      <c r="F1444" s="313"/>
      <c r="G1444" s="256"/>
      <c r="H1444" s="313"/>
      <c r="I1444" s="456"/>
      <c r="J1444" s="273" t="b">
        <f>Age_Sex23[[#This Row],[Total Spending After Applying Truncation at the Member Level]]+Age_Sex23[[#This Row],[Total Dollars Excluded from Spending After Applying Truncation at the Member Level]]=Age_Sex23[[#This Row],[Total Spending before Truncation is Applied]]</f>
        <v>1</v>
      </c>
    </row>
    <row r="1445" spans="1:10" x14ac:dyDescent="0.25">
      <c r="A1445" s="386"/>
      <c r="B1445" s="310"/>
      <c r="C1445" s="311"/>
      <c r="D1445" s="518"/>
      <c r="E1445" s="409"/>
      <c r="F1445" s="312"/>
      <c r="G1445" s="522"/>
      <c r="H1445" s="312"/>
      <c r="I1445" s="455"/>
      <c r="J1445" s="271" t="b">
        <f>Age_Sex23[[#This Row],[Total Spending After Applying Truncation at the Member Level]]+Age_Sex23[[#This Row],[Total Dollars Excluded from Spending After Applying Truncation at the Member Level]]=Age_Sex23[[#This Row],[Total Spending before Truncation is Applied]]</f>
        <v>1</v>
      </c>
    </row>
    <row r="1446" spans="1:10" x14ac:dyDescent="0.25">
      <c r="A1446" s="389"/>
      <c r="B1446" s="4"/>
      <c r="C1446" s="16"/>
      <c r="D1446" s="519"/>
      <c r="E1446" s="410"/>
      <c r="F1446" s="313"/>
      <c r="G1446" s="256"/>
      <c r="H1446" s="313"/>
      <c r="I1446" s="456"/>
      <c r="J1446" s="273" t="b">
        <f>Age_Sex23[[#This Row],[Total Spending After Applying Truncation at the Member Level]]+Age_Sex23[[#This Row],[Total Dollars Excluded from Spending After Applying Truncation at the Member Level]]=Age_Sex23[[#This Row],[Total Spending before Truncation is Applied]]</f>
        <v>1</v>
      </c>
    </row>
    <row r="1447" spans="1:10" x14ac:dyDescent="0.25">
      <c r="A1447" s="386"/>
      <c r="B1447" s="310"/>
      <c r="C1447" s="311"/>
      <c r="D1447" s="518"/>
      <c r="E1447" s="409"/>
      <c r="F1447" s="312"/>
      <c r="G1447" s="522"/>
      <c r="H1447" s="312"/>
      <c r="I1447" s="455"/>
      <c r="J1447" s="271" t="b">
        <f>Age_Sex23[[#This Row],[Total Spending After Applying Truncation at the Member Level]]+Age_Sex23[[#This Row],[Total Dollars Excluded from Spending After Applying Truncation at the Member Level]]=Age_Sex23[[#This Row],[Total Spending before Truncation is Applied]]</f>
        <v>1</v>
      </c>
    </row>
    <row r="1448" spans="1:10" x14ac:dyDescent="0.25">
      <c r="A1448" s="389"/>
      <c r="B1448" s="4"/>
      <c r="C1448" s="16"/>
      <c r="D1448" s="519"/>
      <c r="E1448" s="410"/>
      <c r="F1448" s="313"/>
      <c r="G1448" s="256"/>
      <c r="H1448" s="313"/>
      <c r="I1448" s="456"/>
      <c r="J1448" s="273" t="b">
        <f>Age_Sex23[[#This Row],[Total Spending After Applying Truncation at the Member Level]]+Age_Sex23[[#This Row],[Total Dollars Excluded from Spending After Applying Truncation at the Member Level]]=Age_Sex23[[#This Row],[Total Spending before Truncation is Applied]]</f>
        <v>1</v>
      </c>
    </row>
    <row r="1449" spans="1:10" x14ac:dyDescent="0.25">
      <c r="A1449" s="386"/>
      <c r="B1449" s="310"/>
      <c r="C1449" s="311"/>
      <c r="D1449" s="518"/>
      <c r="E1449" s="409"/>
      <c r="F1449" s="312"/>
      <c r="G1449" s="522"/>
      <c r="H1449" s="312"/>
      <c r="I1449" s="455"/>
      <c r="J1449" s="271" t="b">
        <f>Age_Sex23[[#This Row],[Total Spending After Applying Truncation at the Member Level]]+Age_Sex23[[#This Row],[Total Dollars Excluded from Spending After Applying Truncation at the Member Level]]=Age_Sex23[[#This Row],[Total Spending before Truncation is Applied]]</f>
        <v>1</v>
      </c>
    </row>
    <row r="1450" spans="1:10" x14ac:dyDescent="0.25">
      <c r="A1450" s="389"/>
      <c r="B1450" s="4"/>
      <c r="C1450" s="16"/>
      <c r="D1450" s="519"/>
      <c r="E1450" s="410"/>
      <c r="F1450" s="313"/>
      <c r="G1450" s="256"/>
      <c r="H1450" s="313"/>
      <c r="I1450" s="456"/>
      <c r="J1450" s="273" t="b">
        <f>Age_Sex23[[#This Row],[Total Spending After Applying Truncation at the Member Level]]+Age_Sex23[[#This Row],[Total Dollars Excluded from Spending After Applying Truncation at the Member Level]]=Age_Sex23[[#This Row],[Total Spending before Truncation is Applied]]</f>
        <v>1</v>
      </c>
    </row>
    <row r="1451" spans="1:10" x14ac:dyDescent="0.25">
      <c r="A1451" s="386"/>
      <c r="B1451" s="310"/>
      <c r="C1451" s="311"/>
      <c r="D1451" s="518"/>
      <c r="E1451" s="409"/>
      <c r="F1451" s="312"/>
      <c r="G1451" s="522"/>
      <c r="H1451" s="312"/>
      <c r="I1451" s="455"/>
      <c r="J1451" s="271" t="b">
        <f>Age_Sex23[[#This Row],[Total Spending After Applying Truncation at the Member Level]]+Age_Sex23[[#This Row],[Total Dollars Excluded from Spending After Applying Truncation at the Member Level]]=Age_Sex23[[#This Row],[Total Spending before Truncation is Applied]]</f>
        <v>1</v>
      </c>
    </row>
    <row r="1452" spans="1:10" x14ac:dyDescent="0.25">
      <c r="A1452" s="389"/>
      <c r="B1452" s="4"/>
      <c r="C1452" s="16"/>
      <c r="D1452" s="519"/>
      <c r="E1452" s="410"/>
      <c r="F1452" s="313"/>
      <c r="G1452" s="256"/>
      <c r="H1452" s="313"/>
      <c r="I1452" s="456"/>
      <c r="J1452" s="273" t="b">
        <f>Age_Sex23[[#This Row],[Total Spending After Applying Truncation at the Member Level]]+Age_Sex23[[#This Row],[Total Dollars Excluded from Spending After Applying Truncation at the Member Level]]=Age_Sex23[[#This Row],[Total Spending before Truncation is Applied]]</f>
        <v>1</v>
      </c>
    </row>
    <row r="1453" spans="1:10" x14ac:dyDescent="0.25">
      <c r="A1453" s="386"/>
      <c r="B1453" s="310"/>
      <c r="C1453" s="311"/>
      <c r="D1453" s="518"/>
      <c r="E1453" s="409"/>
      <c r="F1453" s="312"/>
      <c r="G1453" s="522"/>
      <c r="H1453" s="312"/>
      <c r="I1453" s="455"/>
      <c r="J1453" s="271" t="b">
        <f>Age_Sex23[[#This Row],[Total Spending After Applying Truncation at the Member Level]]+Age_Sex23[[#This Row],[Total Dollars Excluded from Spending After Applying Truncation at the Member Level]]=Age_Sex23[[#This Row],[Total Spending before Truncation is Applied]]</f>
        <v>1</v>
      </c>
    </row>
    <row r="1454" spans="1:10" x14ac:dyDescent="0.25">
      <c r="A1454" s="389"/>
      <c r="B1454" s="4"/>
      <c r="C1454" s="16"/>
      <c r="D1454" s="519"/>
      <c r="E1454" s="410"/>
      <c r="F1454" s="313"/>
      <c r="G1454" s="256"/>
      <c r="H1454" s="313"/>
      <c r="I1454" s="456"/>
      <c r="J1454" s="273" t="b">
        <f>Age_Sex23[[#This Row],[Total Spending After Applying Truncation at the Member Level]]+Age_Sex23[[#This Row],[Total Dollars Excluded from Spending After Applying Truncation at the Member Level]]=Age_Sex23[[#This Row],[Total Spending before Truncation is Applied]]</f>
        <v>1</v>
      </c>
    </row>
    <row r="1455" spans="1:10" x14ac:dyDescent="0.25">
      <c r="A1455" s="386"/>
      <c r="B1455" s="310"/>
      <c r="C1455" s="311"/>
      <c r="D1455" s="518"/>
      <c r="E1455" s="409"/>
      <c r="F1455" s="312"/>
      <c r="G1455" s="522"/>
      <c r="H1455" s="312"/>
      <c r="I1455" s="455"/>
      <c r="J1455" s="271" t="b">
        <f>Age_Sex23[[#This Row],[Total Spending After Applying Truncation at the Member Level]]+Age_Sex23[[#This Row],[Total Dollars Excluded from Spending After Applying Truncation at the Member Level]]=Age_Sex23[[#This Row],[Total Spending before Truncation is Applied]]</f>
        <v>1</v>
      </c>
    </row>
    <row r="1456" spans="1:10" x14ac:dyDescent="0.25">
      <c r="A1456" s="389"/>
      <c r="B1456" s="4"/>
      <c r="C1456" s="16"/>
      <c r="D1456" s="519"/>
      <c r="E1456" s="410"/>
      <c r="F1456" s="313"/>
      <c r="G1456" s="256"/>
      <c r="H1456" s="313"/>
      <c r="I1456" s="456"/>
      <c r="J1456" s="273" t="b">
        <f>Age_Sex23[[#This Row],[Total Spending After Applying Truncation at the Member Level]]+Age_Sex23[[#This Row],[Total Dollars Excluded from Spending After Applying Truncation at the Member Level]]=Age_Sex23[[#This Row],[Total Spending before Truncation is Applied]]</f>
        <v>1</v>
      </c>
    </row>
    <row r="1457" spans="1:10" x14ac:dyDescent="0.25">
      <c r="A1457" s="386"/>
      <c r="B1457" s="310"/>
      <c r="C1457" s="311"/>
      <c r="D1457" s="518"/>
      <c r="E1457" s="409"/>
      <c r="F1457" s="312"/>
      <c r="G1457" s="522"/>
      <c r="H1457" s="312"/>
      <c r="I1457" s="455"/>
      <c r="J1457" s="271" t="b">
        <f>Age_Sex23[[#This Row],[Total Spending After Applying Truncation at the Member Level]]+Age_Sex23[[#This Row],[Total Dollars Excluded from Spending After Applying Truncation at the Member Level]]=Age_Sex23[[#This Row],[Total Spending before Truncation is Applied]]</f>
        <v>1</v>
      </c>
    </row>
    <row r="1458" spans="1:10" x14ac:dyDescent="0.25">
      <c r="A1458" s="389"/>
      <c r="B1458" s="4"/>
      <c r="C1458" s="16"/>
      <c r="D1458" s="519"/>
      <c r="E1458" s="410"/>
      <c r="F1458" s="313"/>
      <c r="G1458" s="256"/>
      <c r="H1458" s="313"/>
      <c r="I1458" s="456"/>
      <c r="J1458" s="273" t="b">
        <f>Age_Sex23[[#This Row],[Total Spending After Applying Truncation at the Member Level]]+Age_Sex23[[#This Row],[Total Dollars Excluded from Spending After Applying Truncation at the Member Level]]=Age_Sex23[[#This Row],[Total Spending before Truncation is Applied]]</f>
        <v>1</v>
      </c>
    </row>
    <row r="1459" spans="1:10" x14ac:dyDescent="0.25">
      <c r="A1459" s="386"/>
      <c r="B1459" s="310"/>
      <c r="C1459" s="311"/>
      <c r="D1459" s="518"/>
      <c r="E1459" s="409"/>
      <c r="F1459" s="312"/>
      <c r="G1459" s="522"/>
      <c r="H1459" s="312"/>
      <c r="I1459" s="455"/>
      <c r="J1459" s="271" t="b">
        <f>Age_Sex23[[#This Row],[Total Spending After Applying Truncation at the Member Level]]+Age_Sex23[[#This Row],[Total Dollars Excluded from Spending After Applying Truncation at the Member Level]]=Age_Sex23[[#This Row],[Total Spending before Truncation is Applied]]</f>
        <v>1</v>
      </c>
    </row>
    <row r="1460" spans="1:10" x14ac:dyDescent="0.25">
      <c r="A1460" s="389"/>
      <c r="B1460" s="4"/>
      <c r="C1460" s="16"/>
      <c r="D1460" s="519"/>
      <c r="E1460" s="410"/>
      <c r="F1460" s="313"/>
      <c r="G1460" s="256"/>
      <c r="H1460" s="313"/>
      <c r="I1460" s="456"/>
      <c r="J1460" s="273" t="b">
        <f>Age_Sex23[[#This Row],[Total Spending After Applying Truncation at the Member Level]]+Age_Sex23[[#This Row],[Total Dollars Excluded from Spending After Applying Truncation at the Member Level]]=Age_Sex23[[#This Row],[Total Spending before Truncation is Applied]]</f>
        <v>1</v>
      </c>
    </row>
    <row r="1461" spans="1:10" x14ac:dyDescent="0.25">
      <c r="A1461" s="386"/>
      <c r="B1461" s="310"/>
      <c r="C1461" s="311"/>
      <c r="D1461" s="518"/>
      <c r="E1461" s="409"/>
      <c r="F1461" s="312"/>
      <c r="G1461" s="522"/>
      <c r="H1461" s="312"/>
      <c r="I1461" s="455"/>
      <c r="J1461" s="271" t="b">
        <f>Age_Sex23[[#This Row],[Total Spending After Applying Truncation at the Member Level]]+Age_Sex23[[#This Row],[Total Dollars Excluded from Spending After Applying Truncation at the Member Level]]=Age_Sex23[[#This Row],[Total Spending before Truncation is Applied]]</f>
        <v>1</v>
      </c>
    </row>
    <row r="1462" spans="1:10" x14ac:dyDescent="0.25">
      <c r="A1462" s="389"/>
      <c r="B1462" s="4"/>
      <c r="C1462" s="16"/>
      <c r="D1462" s="519"/>
      <c r="E1462" s="410"/>
      <c r="F1462" s="313"/>
      <c r="G1462" s="256"/>
      <c r="H1462" s="313"/>
      <c r="I1462" s="456"/>
      <c r="J1462" s="273" t="b">
        <f>Age_Sex23[[#This Row],[Total Spending After Applying Truncation at the Member Level]]+Age_Sex23[[#This Row],[Total Dollars Excluded from Spending After Applying Truncation at the Member Level]]=Age_Sex23[[#This Row],[Total Spending before Truncation is Applied]]</f>
        <v>1</v>
      </c>
    </row>
    <row r="1463" spans="1:10" x14ac:dyDescent="0.25">
      <c r="A1463" s="386"/>
      <c r="B1463" s="310"/>
      <c r="C1463" s="311"/>
      <c r="D1463" s="518"/>
      <c r="E1463" s="409"/>
      <c r="F1463" s="312"/>
      <c r="G1463" s="522"/>
      <c r="H1463" s="312"/>
      <c r="I1463" s="455"/>
      <c r="J1463" s="271" t="b">
        <f>Age_Sex23[[#This Row],[Total Spending After Applying Truncation at the Member Level]]+Age_Sex23[[#This Row],[Total Dollars Excluded from Spending After Applying Truncation at the Member Level]]=Age_Sex23[[#This Row],[Total Spending before Truncation is Applied]]</f>
        <v>1</v>
      </c>
    </row>
    <row r="1464" spans="1:10" x14ac:dyDescent="0.25">
      <c r="A1464" s="389"/>
      <c r="B1464" s="4"/>
      <c r="C1464" s="16"/>
      <c r="D1464" s="519"/>
      <c r="E1464" s="410"/>
      <c r="F1464" s="313"/>
      <c r="G1464" s="256"/>
      <c r="H1464" s="313"/>
      <c r="I1464" s="456"/>
      <c r="J1464" s="273" t="b">
        <f>Age_Sex23[[#This Row],[Total Spending After Applying Truncation at the Member Level]]+Age_Sex23[[#This Row],[Total Dollars Excluded from Spending After Applying Truncation at the Member Level]]=Age_Sex23[[#This Row],[Total Spending before Truncation is Applied]]</f>
        <v>1</v>
      </c>
    </row>
    <row r="1465" spans="1:10" x14ac:dyDescent="0.25">
      <c r="A1465" s="386"/>
      <c r="B1465" s="310"/>
      <c r="C1465" s="311"/>
      <c r="D1465" s="518"/>
      <c r="E1465" s="409"/>
      <c r="F1465" s="312"/>
      <c r="G1465" s="522"/>
      <c r="H1465" s="312"/>
      <c r="I1465" s="455"/>
      <c r="J1465" s="271" t="b">
        <f>Age_Sex23[[#This Row],[Total Spending After Applying Truncation at the Member Level]]+Age_Sex23[[#This Row],[Total Dollars Excluded from Spending After Applying Truncation at the Member Level]]=Age_Sex23[[#This Row],[Total Spending before Truncation is Applied]]</f>
        <v>1</v>
      </c>
    </row>
    <row r="1466" spans="1:10" x14ac:dyDescent="0.25">
      <c r="A1466" s="389"/>
      <c r="B1466" s="4"/>
      <c r="C1466" s="16"/>
      <c r="D1466" s="519"/>
      <c r="E1466" s="410"/>
      <c r="F1466" s="313"/>
      <c r="G1466" s="256"/>
      <c r="H1466" s="313"/>
      <c r="I1466" s="456"/>
      <c r="J1466" s="273" t="b">
        <f>Age_Sex23[[#This Row],[Total Spending After Applying Truncation at the Member Level]]+Age_Sex23[[#This Row],[Total Dollars Excluded from Spending After Applying Truncation at the Member Level]]=Age_Sex23[[#This Row],[Total Spending before Truncation is Applied]]</f>
        <v>1</v>
      </c>
    </row>
    <row r="1467" spans="1:10" x14ac:dyDescent="0.25">
      <c r="A1467" s="386"/>
      <c r="B1467" s="310"/>
      <c r="C1467" s="311"/>
      <c r="D1467" s="518"/>
      <c r="E1467" s="409"/>
      <c r="F1467" s="312"/>
      <c r="G1467" s="522"/>
      <c r="H1467" s="312"/>
      <c r="I1467" s="455"/>
      <c r="J1467" s="271" t="b">
        <f>Age_Sex23[[#This Row],[Total Spending After Applying Truncation at the Member Level]]+Age_Sex23[[#This Row],[Total Dollars Excluded from Spending After Applying Truncation at the Member Level]]=Age_Sex23[[#This Row],[Total Spending before Truncation is Applied]]</f>
        <v>1</v>
      </c>
    </row>
    <row r="1468" spans="1:10" x14ac:dyDescent="0.25">
      <c r="A1468" s="389"/>
      <c r="B1468" s="4"/>
      <c r="C1468" s="16"/>
      <c r="D1468" s="519"/>
      <c r="E1468" s="410"/>
      <c r="F1468" s="313"/>
      <c r="G1468" s="256"/>
      <c r="H1468" s="313"/>
      <c r="I1468" s="456"/>
      <c r="J1468" s="273" t="b">
        <f>Age_Sex23[[#This Row],[Total Spending After Applying Truncation at the Member Level]]+Age_Sex23[[#This Row],[Total Dollars Excluded from Spending After Applying Truncation at the Member Level]]=Age_Sex23[[#This Row],[Total Spending before Truncation is Applied]]</f>
        <v>1</v>
      </c>
    </row>
    <row r="1469" spans="1:10" x14ac:dyDescent="0.25">
      <c r="A1469" s="386"/>
      <c r="B1469" s="310"/>
      <c r="C1469" s="311"/>
      <c r="D1469" s="518"/>
      <c r="E1469" s="409"/>
      <c r="F1469" s="312"/>
      <c r="G1469" s="522"/>
      <c r="H1469" s="312"/>
      <c r="I1469" s="455"/>
      <c r="J1469" s="271" t="b">
        <f>Age_Sex23[[#This Row],[Total Spending After Applying Truncation at the Member Level]]+Age_Sex23[[#This Row],[Total Dollars Excluded from Spending After Applying Truncation at the Member Level]]=Age_Sex23[[#This Row],[Total Spending before Truncation is Applied]]</f>
        <v>1</v>
      </c>
    </row>
    <row r="1470" spans="1:10" x14ac:dyDescent="0.25">
      <c r="A1470" s="389"/>
      <c r="B1470" s="4"/>
      <c r="C1470" s="16"/>
      <c r="D1470" s="519"/>
      <c r="E1470" s="410"/>
      <c r="F1470" s="313"/>
      <c r="G1470" s="256"/>
      <c r="H1470" s="313"/>
      <c r="I1470" s="456"/>
      <c r="J1470" s="273" t="b">
        <f>Age_Sex23[[#This Row],[Total Spending After Applying Truncation at the Member Level]]+Age_Sex23[[#This Row],[Total Dollars Excluded from Spending After Applying Truncation at the Member Level]]=Age_Sex23[[#This Row],[Total Spending before Truncation is Applied]]</f>
        <v>1</v>
      </c>
    </row>
    <row r="1471" spans="1:10" x14ac:dyDescent="0.25">
      <c r="A1471" s="386"/>
      <c r="B1471" s="310"/>
      <c r="C1471" s="311"/>
      <c r="D1471" s="518"/>
      <c r="E1471" s="409"/>
      <c r="F1471" s="312"/>
      <c r="G1471" s="522"/>
      <c r="H1471" s="312"/>
      <c r="I1471" s="455"/>
      <c r="J1471" s="271" t="b">
        <f>Age_Sex23[[#This Row],[Total Spending After Applying Truncation at the Member Level]]+Age_Sex23[[#This Row],[Total Dollars Excluded from Spending After Applying Truncation at the Member Level]]=Age_Sex23[[#This Row],[Total Spending before Truncation is Applied]]</f>
        <v>1</v>
      </c>
    </row>
    <row r="1472" spans="1:10" x14ac:dyDescent="0.25">
      <c r="A1472" s="389"/>
      <c r="B1472" s="4"/>
      <c r="C1472" s="16"/>
      <c r="D1472" s="519"/>
      <c r="E1472" s="410"/>
      <c r="F1472" s="313"/>
      <c r="G1472" s="256"/>
      <c r="H1472" s="313"/>
      <c r="I1472" s="456"/>
      <c r="J1472" s="273" t="b">
        <f>Age_Sex23[[#This Row],[Total Spending After Applying Truncation at the Member Level]]+Age_Sex23[[#This Row],[Total Dollars Excluded from Spending After Applying Truncation at the Member Level]]=Age_Sex23[[#This Row],[Total Spending before Truncation is Applied]]</f>
        <v>1</v>
      </c>
    </row>
    <row r="1473" spans="1:10" x14ac:dyDescent="0.25">
      <c r="A1473" s="386"/>
      <c r="B1473" s="310"/>
      <c r="C1473" s="311"/>
      <c r="D1473" s="518"/>
      <c r="E1473" s="409"/>
      <c r="F1473" s="312"/>
      <c r="G1473" s="522"/>
      <c r="H1473" s="312"/>
      <c r="I1473" s="455"/>
      <c r="J1473" s="271" t="b">
        <f>Age_Sex23[[#This Row],[Total Spending After Applying Truncation at the Member Level]]+Age_Sex23[[#This Row],[Total Dollars Excluded from Spending After Applying Truncation at the Member Level]]=Age_Sex23[[#This Row],[Total Spending before Truncation is Applied]]</f>
        <v>1</v>
      </c>
    </row>
    <row r="1474" spans="1:10" x14ac:dyDescent="0.25">
      <c r="A1474" s="389"/>
      <c r="B1474" s="4"/>
      <c r="C1474" s="16"/>
      <c r="D1474" s="519"/>
      <c r="E1474" s="410"/>
      <c r="F1474" s="313"/>
      <c r="G1474" s="256"/>
      <c r="H1474" s="313"/>
      <c r="I1474" s="456"/>
      <c r="J1474" s="273" t="b">
        <f>Age_Sex23[[#This Row],[Total Spending After Applying Truncation at the Member Level]]+Age_Sex23[[#This Row],[Total Dollars Excluded from Spending After Applying Truncation at the Member Level]]=Age_Sex23[[#This Row],[Total Spending before Truncation is Applied]]</f>
        <v>1</v>
      </c>
    </row>
    <row r="1475" spans="1:10" x14ac:dyDescent="0.25">
      <c r="A1475" s="386"/>
      <c r="B1475" s="310"/>
      <c r="C1475" s="311"/>
      <c r="D1475" s="518"/>
      <c r="E1475" s="409"/>
      <c r="F1475" s="312"/>
      <c r="G1475" s="522"/>
      <c r="H1475" s="312"/>
      <c r="I1475" s="455"/>
      <c r="J1475" s="271" t="b">
        <f>Age_Sex23[[#This Row],[Total Spending After Applying Truncation at the Member Level]]+Age_Sex23[[#This Row],[Total Dollars Excluded from Spending After Applying Truncation at the Member Level]]=Age_Sex23[[#This Row],[Total Spending before Truncation is Applied]]</f>
        <v>1</v>
      </c>
    </row>
    <row r="1476" spans="1:10" x14ac:dyDescent="0.25">
      <c r="A1476" s="389"/>
      <c r="B1476" s="4"/>
      <c r="C1476" s="16"/>
      <c r="D1476" s="519"/>
      <c r="E1476" s="410"/>
      <c r="F1476" s="313"/>
      <c r="G1476" s="256"/>
      <c r="H1476" s="313"/>
      <c r="I1476" s="456"/>
      <c r="J1476" s="273" t="b">
        <f>Age_Sex23[[#This Row],[Total Spending After Applying Truncation at the Member Level]]+Age_Sex23[[#This Row],[Total Dollars Excluded from Spending After Applying Truncation at the Member Level]]=Age_Sex23[[#This Row],[Total Spending before Truncation is Applied]]</f>
        <v>1</v>
      </c>
    </row>
    <row r="1477" spans="1:10" x14ac:dyDescent="0.25">
      <c r="A1477" s="386"/>
      <c r="B1477" s="310"/>
      <c r="C1477" s="311"/>
      <c r="D1477" s="518"/>
      <c r="E1477" s="409"/>
      <c r="F1477" s="312"/>
      <c r="G1477" s="522"/>
      <c r="H1477" s="312"/>
      <c r="I1477" s="455"/>
      <c r="J1477" s="271" t="b">
        <f>Age_Sex23[[#This Row],[Total Spending After Applying Truncation at the Member Level]]+Age_Sex23[[#This Row],[Total Dollars Excluded from Spending After Applying Truncation at the Member Level]]=Age_Sex23[[#This Row],[Total Spending before Truncation is Applied]]</f>
        <v>1</v>
      </c>
    </row>
    <row r="1478" spans="1:10" x14ac:dyDescent="0.25">
      <c r="A1478" s="389"/>
      <c r="B1478" s="4"/>
      <c r="C1478" s="16"/>
      <c r="D1478" s="519"/>
      <c r="E1478" s="410"/>
      <c r="F1478" s="313"/>
      <c r="G1478" s="256"/>
      <c r="H1478" s="313"/>
      <c r="I1478" s="456"/>
      <c r="J1478" s="273" t="b">
        <f>Age_Sex23[[#This Row],[Total Spending After Applying Truncation at the Member Level]]+Age_Sex23[[#This Row],[Total Dollars Excluded from Spending After Applying Truncation at the Member Level]]=Age_Sex23[[#This Row],[Total Spending before Truncation is Applied]]</f>
        <v>1</v>
      </c>
    </row>
    <row r="1479" spans="1:10" x14ac:dyDescent="0.25">
      <c r="A1479" s="386"/>
      <c r="B1479" s="310"/>
      <c r="C1479" s="311"/>
      <c r="D1479" s="518"/>
      <c r="E1479" s="409"/>
      <c r="F1479" s="312"/>
      <c r="G1479" s="522"/>
      <c r="H1479" s="312"/>
      <c r="I1479" s="455"/>
      <c r="J1479" s="271" t="b">
        <f>Age_Sex23[[#This Row],[Total Spending After Applying Truncation at the Member Level]]+Age_Sex23[[#This Row],[Total Dollars Excluded from Spending After Applying Truncation at the Member Level]]=Age_Sex23[[#This Row],[Total Spending before Truncation is Applied]]</f>
        <v>1</v>
      </c>
    </row>
    <row r="1480" spans="1:10" x14ac:dyDescent="0.25">
      <c r="A1480" s="389"/>
      <c r="B1480" s="4"/>
      <c r="C1480" s="16"/>
      <c r="D1480" s="519"/>
      <c r="E1480" s="410"/>
      <c r="F1480" s="313"/>
      <c r="G1480" s="256"/>
      <c r="H1480" s="313"/>
      <c r="I1480" s="456"/>
      <c r="J1480" s="273" t="b">
        <f>Age_Sex23[[#This Row],[Total Spending After Applying Truncation at the Member Level]]+Age_Sex23[[#This Row],[Total Dollars Excluded from Spending After Applying Truncation at the Member Level]]=Age_Sex23[[#This Row],[Total Spending before Truncation is Applied]]</f>
        <v>1</v>
      </c>
    </row>
    <row r="1481" spans="1:10" x14ac:dyDescent="0.25">
      <c r="A1481" s="386"/>
      <c r="B1481" s="310"/>
      <c r="C1481" s="311"/>
      <c r="D1481" s="518"/>
      <c r="E1481" s="409"/>
      <c r="F1481" s="312"/>
      <c r="G1481" s="522"/>
      <c r="H1481" s="312"/>
      <c r="I1481" s="455"/>
      <c r="J1481" s="271" t="b">
        <f>Age_Sex23[[#This Row],[Total Spending After Applying Truncation at the Member Level]]+Age_Sex23[[#This Row],[Total Dollars Excluded from Spending After Applying Truncation at the Member Level]]=Age_Sex23[[#This Row],[Total Spending before Truncation is Applied]]</f>
        <v>1</v>
      </c>
    </row>
    <row r="1482" spans="1:10" x14ac:dyDescent="0.25">
      <c r="A1482" s="389"/>
      <c r="B1482" s="4"/>
      <c r="C1482" s="16"/>
      <c r="D1482" s="519"/>
      <c r="E1482" s="410"/>
      <c r="F1482" s="313"/>
      <c r="G1482" s="256"/>
      <c r="H1482" s="313"/>
      <c r="I1482" s="456"/>
      <c r="J1482" s="273" t="b">
        <f>Age_Sex23[[#This Row],[Total Spending After Applying Truncation at the Member Level]]+Age_Sex23[[#This Row],[Total Dollars Excluded from Spending After Applying Truncation at the Member Level]]=Age_Sex23[[#This Row],[Total Spending before Truncation is Applied]]</f>
        <v>1</v>
      </c>
    </row>
    <row r="1483" spans="1:10" x14ac:dyDescent="0.25">
      <c r="A1483" s="386"/>
      <c r="B1483" s="310"/>
      <c r="C1483" s="311"/>
      <c r="D1483" s="518"/>
      <c r="E1483" s="409"/>
      <c r="F1483" s="312"/>
      <c r="G1483" s="522"/>
      <c r="H1483" s="312"/>
      <c r="I1483" s="455"/>
      <c r="J1483" s="271" t="b">
        <f>Age_Sex23[[#This Row],[Total Spending After Applying Truncation at the Member Level]]+Age_Sex23[[#This Row],[Total Dollars Excluded from Spending After Applying Truncation at the Member Level]]=Age_Sex23[[#This Row],[Total Spending before Truncation is Applied]]</f>
        <v>1</v>
      </c>
    </row>
    <row r="1484" spans="1:10" x14ac:dyDescent="0.25">
      <c r="A1484" s="389"/>
      <c r="B1484" s="4"/>
      <c r="C1484" s="16"/>
      <c r="D1484" s="519"/>
      <c r="E1484" s="410"/>
      <c r="F1484" s="313"/>
      <c r="G1484" s="256"/>
      <c r="H1484" s="313"/>
      <c r="I1484" s="456"/>
      <c r="J1484" s="273" t="b">
        <f>Age_Sex23[[#This Row],[Total Spending After Applying Truncation at the Member Level]]+Age_Sex23[[#This Row],[Total Dollars Excluded from Spending After Applying Truncation at the Member Level]]=Age_Sex23[[#This Row],[Total Spending before Truncation is Applied]]</f>
        <v>1</v>
      </c>
    </row>
    <row r="1485" spans="1:10" x14ac:dyDescent="0.25">
      <c r="A1485" s="386"/>
      <c r="B1485" s="310"/>
      <c r="C1485" s="311"/>
      <c r="D1485" s="518"/>
      <c r="E1485" s="409"/>
      <c r="F1485" s="312"/>
      <c r="G1485" s="522"/>
      <c r="H1485" s="312"/>
      <c r="I1485" s="455"/>
      <c r="J1485" s="271" t="b">
        <f>Age_Sex23[[#This Row],[Total Spending After Applying Truncation at the Member Level]]+Age_Sex23[[#This Row],[Total Dollars Excluded from Spending After Applying Truncation at the Member Level]]=Age_Sex23[[#This Row],[Total Spending before Truncation is Applied]]</f>
        <v>1</v>
      </c>
    </row>
    <row r="1486" spans="1:10" x14ac:dyDescent="0.25">
      <c r="A1486" s="389"/>
      <c r="B1486" s="4"/>
      <c r="C1486" s="16"/>
      <c r="D1486" s="519"/>
      <c r="E1486" s="410"/>
      <c r="F1486" s="313"/>
      <c r="G1486" s="256"/>
      <c r="H1486" s="313"/>
      <c r="I1486" s="456"/>
      <c r="J1486" s="273" t="b">
        <f>Age_Sex23[[#This Row],[Total Spending After Applying Truncation at the Member Level]]+Age_Sex23[[#This Row],[Total Dollars Excluded from Spending After Applying Truncation at the Member Level]]=Age_Sex23[[#This Row],[Total Spending before Truncation is Applied]]</f>
        <v>1</v>
      </c>
    </row>
    <row r="1487" spans="1:10" x14ac:dyDescent="0.25">
      <c r="A1487" s="386"/>
      <c r="B1487" s="310"/>
      <c r="C1487" s="311"/>
      <c r="D1487" s="518"/>
      <c r="E1487" s="409"/>
      <c r="F1487" s="312"/>
      <c r="G1487" s="522"/>
      <c r="H1487" s="312"/>
      <c r="I1487" s="455"/>
      <c r="J1487" s="271" t="b">
        <f>Age_Sex23[[#This Row],[Total Spending After Applying Truncation at the Member Level]]+Age_Sex23[[#This Row],[Total Dollars Excluded from Spending After Applying Truncation at the Member Level]]=Age_Sex23[[#This Row],[Total Spending before Truncation is Applied]]</f>
        <v>1</v>
      </c>
    </row>
    <row r="1488" spans="1:10" x14ac:dyDescent="0.25">
      <c r="A1488" s="389"/>
      <c r="B1488" s="4"/>
      <c r="C1488" s="16"/>
      <c r="D1488" s="519"/>
      <c r="E1488" s="410"/>
      <c r="F1488" s="313"/>
      <c r="G1488" s="256"/>
      <c r="H1488" s="313"/>
      <c r="I1488" s="456"/>
      <c r="J1488" s="273" t="b">
        <f>Age_Sex23[[#This Row],[Total Spending After Applying Truncation at the Member Level]]+Age_Sex23[[#This Row],[Total Dollars Excluded from Spending After Applying Truncation at the Member Level]]=Age_Sex23[[#This Row],[Total Spending before Truncation is Applied]]</f>
        <v>1</v>
      </c>
    </row>
    <row r="1489" spans="1:10" x14ac:dyDescent="0.25">
      <c r="A1489" s="386"/>
      <c r="B1489" s="310"/>
      <c r="C1489" s="311"/>
      <c r="D1489" s="518"/>
      <c r="E1489" s="409"/>
      <c r="F1489" s="312"/>
      <c r="G1489" s="522"/>
      <c r="H1489" s="312"/>
      <c r="I1489" s="455"/>
      <c r="J1489" s="271" t="b">
        <f>Age_Sex23[[#This Row],[Total Spending After Applying Truncation at the Member Level]]+Age_Sex23[[#This Row],[Total Dollars Excluded from Spending After Applying Truncation at the Member Level]]=Age_Sex23[[#This Row],[Total Spending before Truncation is Applied]]</f>
        <v>1</v>
      </c>
    </row>
    <row r="1490" spans="1:10" x14ac:dyDescent="0.25">
      <c r="A1490" s="389"/>
      <c r="B1490" s="4"/>
      <c r="C1490" s="16"/>
      <c r="D1490" s="519"/>
      <c r="E1490" s="410"/>
      <c r="F1490" s="313"/>
      <c r="G1490" s="256"/>
      <c r="H1490" s="313"/>
      <c r="I1490" s="456"/>
      <c r="J1490" s="273" t="b">
        <f>Age_Sex23[[#This Row],[Total Spending After Applying Truncation at the Member Level]]+Age_Sex23[[#This Row],[Total Dollars Excluded from Spending After Applying Truncation at the Member Level]]=Age_Sex23[[#This Row],[Total Spending before Truncation is Applied]]</f>
        <v>1</v>
      </c>
    </row>
    <row r="1491" spans="1:10" x14ac:dyDescent="0.25">
      <c r="A1491" s="386"/>
      <c r="B1491" s="310"/>
      <c r="C1491" s="311"/>
      <c r="D1491" s="518"/>
      <c r="E1491" s="409"/>
      <c r="F1491" s="312"/>
      <c r="G1491" s="522"/>
      <c r="H1491" s="312"/>
      <c r="I1491" s="455"/>
      <c r="J1491" s="271" t="b">
        <f>Age_Sex23[[#This Row],[Total Spending After Applying Truncation at the Member Level]]+Age_Sex23[[#This Row],[Total Dollars Excluded from Spending After Applying Truncation at the Member Level]]=Age_Sex23[[#This Row],[Total Spending before Truncation is Applied]]</f>
        <v>1</v>
      </c>
    </row>
    <row r="1492" spans="1:10" x14ac:dyDescent="0.25">
      <c r="A1492" s="389"/>
      <c r="B1492" s="4"/>
      <c r="C1492" s="16"/>
      <c r="D1492" s="519"/>
      <c r="E1492" s="410"/>
      <c r="F1492" s="313"/>
      <c r="G1492" s="256"/>
      <c r="H1492" s="313"/>
      <c r="I1492" s="456"/>
      <c r="J1492" s="273" t="b">
        <f>Age_Sex23[[#This Row],[Total Spending After Applying Truncation at the Member Level]]+Age_Sex23[[#This Row],[Total Dollars Excluded from Spending After Applying Truncation at the Member Level]]=Age_Sex23[[#This Row],[Total Spending before Truncation is Applied]]</f>
        <v>1</v>
      </c>
    </row>
    <row r="1493" spans="1:10" x14ac:dyDescent="0.25">
      <c r="A1493" s="386"/>
      <c r="B1493" s="310"/>
      <c r="C1493" s="311"/>
      <c r="D1493" s="518"/>
      <c r="E1493" s="409"/>
      <c r="F1493" s="312"/>
      <c r="G1493" s="522"/>
      <c r="H1493" s="312"/>
      <c r="I1493" s="455"/>
      <c r="J1493" s="271" t="b">
        <f>Age_Sex23[[#This Row],[Total Spending After Applying Truncation at the Member Level]]+Age_Sex23[[#This Row],[Total Dollars Excluded from Spending After Applying Truncation at the Member Level]]=Age_Sex23[[#This Row],[Total Spending before Truncation is Applied]]</f>
        <v>1</v>
      </c>
    </row>
    <row r="1494" spans="1:10" x14ac:dyDescent="0.25">
      <c r="A1494" s="389"/>
      <c r="B1494" s="4"/>
      <c r="C1494" s="16"/>
      <c r="D1494" s="519"/>
      <c r="E1494" s="410"/>
      <c r="F1494" s="313"/>
      <c r="G1494" s="256"/>
      <c r="H1494" s="313"/>
      <c r="I1494" s="456"/>
      <c r="J1494" s="273" t="b">
        <f>Age_Sex23[[#This Row],[Total Spending After Applying Truncation at the Member Level]]+Age_Sex23[[#This Row],[Total Dollars Excluded from Spending After Applying Truncation at the Member Level]]=Age_Sex23[[#This Row],[Total Spending before Truncation is Applied]]</f>
        <v>1</v>
      </c>
    </row>
    <row r="1495" spans="1:10" x14ac:dyDescent="0.25">
      <c r="A1495" s="386"/>
      <c r="B1495" s="310"/>
      <c r="C1495" s="311"/>
      <c r="D1495" s="518"/>
      <c r="E1495" s="409"/>
      <c r="F1495" s="312"/>
      <c r="G1495" s="522"/>
      <c r="H1495" s="312"/>
      <c r="I1495" s="455"/>
      <c r="J1495" s="271" t="b">
        <f>Age_Sex23[[#This Row],[Total Spending After Applying Truncation at the Member Level]]+Age_Sex23[[#This Row],[Total Dollars Excluded from Spending After Applying Truncation at the Member Level]]=Age_Sex23[[#This Row],[Total Spending before Truncation is Applied]]</f>
        <v>1</v>
      </c>
    </row>
    <row r="1496" spans="1:10" x14ac:dyDescent="0.25">
      <c r="A1496" s="389"/>
      <c r="B1496" s="4"/>
      <c r="C1496" s="16"/>
      <c r="D1496" s="519"/>
      <c r="E1496" s="410"/>
      <c r="F1496" s="313"/>
      <c r="G1496" s="256"/>
      <c r="H1496" s="313"/>
      <c r="I1496" s="456"/>
      <c r="J1496" s="273" t="b">
        <f>Age_Sex23[[#This Row],[Total Spending After Applying Truncation at the Member Level]]+Age_Sex23[[#This Row],[Total Dollars Excluded from Spending After Applying Truncation at the Member Level]]=Age_Sex23[[#This Row],[Total Spending before Truncation is Applied]]</f>
        <v>1</v>
      </c>
    </row>
    <row r="1497" spans="1:10" x14ac:dyDescent="0.25">
      <c r="A1497" s="386"/>
      <c r="B1497" s="310"/>
      <c r="C1497" s="311"/>
      <c r="D1497" s="518"/>
      <c r="E1497" s="409"/>
      <c r="F1497" s="312"/>
      <c r="G1497" s="522"/>
      <c r="H1497" s="312"/>
      <c r="I1497" s="455"/>
      <c r="J1497" s="271" t="b">
        <f>Age_Sex23[[#This Row],[Total Spending After Applying Truncation at the Member Level]]+Age_Sex23[[#This Row],[Total Dollars Excluded from Spending After Applying Truncation at the Member Level]]=Age_Sex23[[#This Row],[Total Spending before Truncation is Applied]]</f>
        <v>1</v>
      </c>
    </row>
    <row r="1498" spans="1:10" x14ac:dyDescent="0.25">
      <c r="A1498" s="389"/>
      <c r="B1498" s="4"/>
      <c r="C1498" s="16"/>
      <c r="D1498" s="519"/>
      <c r="E1498" s="410"/>
      <c r="F1498" s="313"/>
      <c r="G1498" s="256"/>
      <c r="H1498" s="313"/>
      <c r="I1498" s="456"/>
      <c r="J1498" s="273" t="b">
        <f>Age_Sex23[[#This Row],[Total Spending After Applying Truncation at the Member Level]]+Age_Sex23[[#This Row],[Total Dollars Excluded from Spending After Applying Truncation at the Member Level]]=Age_Sex23[[#This Row],[Total Spending before Truncation is Applied]]</f>
        <v>1</v>
      </c>
    </row>
    <row r="1499" spans="1:10" x14ac:dyDescent="0.25">
      <c r="A1499" s="386"/>
      <c r="B1499" s="310"/>
      <c r="C1499" s="311"/>
      <c r="D1499" s="518"/>
      <c r="E1499" s="409"/>
      <c r="F1499" s="312"/>
      <c r="G1499" s="522"/>
      <c r="H1499" s="312"/>
      <c r="I1499" s="455"/>
      <c r="J1499" s="271" t="b">
        <f>Age_Sex23[[#This Row],[Total Spending After Applying Truncation at the Member Level]]+Age_Sex23[[#This Row],[Total Dollars Excluded from Spending After Applying Truncation at the Member Level]]=Age_Sex23[[#This Row],[Total Spending before Truncation is Applied]]</f>
        <v>1</v>
      </c>
    </row>
    <row r="1500" spans="1:10" x14ac:dyDescent="0.25">
      <c r="A1500" s="389"/>
      <c r="B1500" s="4"/>
      <c r="C1500" s="16"/>
      <c r="D1500" s="519"/>
      <c r="E1500" s="410"/>
      <c r="F1500" s="313"/>
      <c r="G1500" s="256"/>
      <c r="H1500" s="313"/>
      <c r="I1500" s="456"/>
      <c r="J1500" s="273" t="b">
        <f>Age_Sex23[[#This Row],[Total Spending After Applying Truncation at the Member Level]]+Age_Sex23[[#This Row],[Total Dollars Excluded from Spending After Applying Truncation at the Member Level]]=Age_Sex23[[#This Row],[Total Spending before Truncation is Applied]]</f>
        <v>1</v>
      </c>
    </row>
    <row r="1501" spans="1:10" x14ac:dyDescent="0.25">
      <c r="A1501" s="386"/>
      <c r="B1501" s="310"/>
      <c r="C1501" s="311"/>
      <c r="D1501" s="518"/>
      <c r="E1501" s="409"/>
      <c r="F1501" s="312"/>
      <c r="G1501" s="522"/>
      <c r="H1501" s="312"/>
      <c r="I1501" s="455"/>
      <c r="J1501" s="271" t="b">
        <f>Age_Sex23[[#This Row],[Total Spending After Applying Truncation at the Member Level]]+Age_Sex23[[#This Row],[Total Dollars Excluded from Spending After Applying Truncation at the Member Level]]=Age_Sex23[[#This Row],[Total Spending before Truncation is Applied]]</f>
        <v>1</v>
      </c>
    </row>
    <row r="1502" spans="1:10" x14ac:dyDescent="0.25">
      <c r="A1502" s="389"/>
      <c r="B1502" s="4"/>
      <c r="C1502" s="16"/>
      <c r="D1502" s="519"/>
      <c r="E1502" s="410"/>
      <c r="F1502" s="313"/>
      <c r="G1502" s="256"/>
      <c r="H1502" s="313"/>
      <c r="I1502" s="456"/>
      <c r="J1502" s="273" t="b">
        <f>Age_Sex23[[#This Row],[Total Spending After Applying Truncation at the Member Level]]+Age_Sex23[[#This Row],[Total Dollars Excluded from Spending After Applying Truncation at the Member Level]]=Age_Sex23[[#This Row],[Total Spending before Truncation is Applied]]</f>
        <v>1</v>
      </c>
    </row>
    <row r="1503" spans="1:10" x14ac:dyDescent="0.25">
      <c r="A1503" s="386"/>
      <c r="B1503" s="310"/>
      <c r="C1503" s="311"/>
      <c r="D1503" s="518"/>
      <c r="E1503" s="409"/>
      <c r="F1503" s="312"/>
      <c r="G1503" s="522"/>
      <c r="H1503" s="312"/>
      <c r="I1503" s="455"/>
      <c r="J1503" s="271" t="b">
        <f>Age_Sex23[[#This Row],[Total Spending After Applying Truncation at the Member Level]]+Age_Sex23[[#This Row],[Total Dollars Excluded from Spending After Applying Truncation at the Member Level]]=Age_Sex23[[#This Row],[Total Spending before Truncation is Applied]]</f>
        <v>1</v>
      </c>
    </row>
    <row r="1504" spans="1:10" x14ac:dyDescent="0.25">
      <c r="A1504" s="389"/>
      <c r="B1504" s="4"/>
      <c r="C1504" s="16"/>
      <c r="D1504" s="519"/>
      <c r="E1504" s="410"/>
      <c r="F1504" s="313"/>
      <c r="G1504" s="256"/>
      <c r="H1504" s="313"/>
      <c r="I1504" s="456"/>
      <c r="J1504" s="273" t="b">
        <f>Age_Sex23[[#This Row],[Total Spending After Applying Truncation at the Member Level]]+Age_Sex23[[#This Row],[Total Dollars Excluded from Spending After Applying Truncation at the Member Level]]=Age_Sex23[[#This Row],[Total Spending before Truncation is Applied]]</f>
        <v>1</v>
      </c>
    </row>
    <row r="1505" spans="1:10" x14ac:dyDescent="0.25">
      <c r="A1505" s="386"/>
      <c r="B1505" s="310"/>
      <c r="C1505" s="311"/>
      <c r="D1505" s="518"/>
      <c r="E1505" s="409"/>
      <c r="F1505" s="312"/>
      <c r="G1505" s="522"/>
      <c r="H1505" s="312"/>
      <c r="I1505" s="455"/>
      <c r="J1505" s="271" t="b">
        <f>Age_Sex23[[#This Row],[Total Spending After Applying Truncation at the Member Level]]+Age_Sex23[[#This Row],[Total Dollars Excluded from Spending After Applying Truncation at the Member Level]]=Age_Sex23[[#This Row],[Total Spending before Truncation is Applied]]</f>
        <v>1</v>
      </c>
    </row>
    <row r="1506" spans="1:10" x14ac:dyDescent="0.25">
      <c r="A1506" s="389"/>
      <c r="B1506" s="4"/>
      <c r="C1506" s="16"/>
      <c r="D1506" s="519"/>
      <c r="E1506" s="410"/>
      <c r="F1506" s="313"/>
      <c r="G1506" s="256"/>
      <c r="H1506" s="313"/>
      <c r="I1506" s="456"/>
      <c r="J1506" s="273" t="b">
        <f>Age_Sex23[[#This Row],[Total Spending After Applying Truncation at the Member Level]]+Age_Sex23[[#This Row],[Total Dollars Excluded from Spending After Applying Truncation at the Member Level]]=Age_Sex23[[#This Row],[Total Spending before Truncation is Applied]]</f>
        <v>1</v>
      </c>
    </row>
    <row r="1507" spans="1:10" x14ac:dyDescent="0.25">
      <c r="A1507" s="386"/>
      <c r="B1507" s="310"/>
      <c r="C1507" s="311"/>
      <c r="D1507" s="518"/>
      <c r="E1507" s="409"/>
      <c r="F1507" s="312"/>
      <c r="G1507" s="522"/>
      <c r="H1507" s="312"/>
      <c r="I1507" s="455"/>
      <c r="J1507" s="271" t="b">
        <f>Age_Sex23[[#This Row],[Total Spending After Applying Truncation at the Member Level]]+Age_Sex23[[#This Row],[Total Dollars Excluded from Spending After Applying Truncation at the Member Level]]=Age_Sex23[[#This Row],[Total Spending before Truncation is Applied]]</f>
        <v>1</v>
      </c>
    </row>
    <row r="1508" spans="1:10" x14ac:dyDescent="0.25">
      <c r="A1508" s="389"/>
      <c r="B1508" s="4"/>
      <c r="C1508" s="16"/>
      <c r="D1508" s="519"/>
      <c r="E1508" s="410"/>
      <c r="F1508" s="313"/>
      <c r="G1508" s="256"/>
      <c r="H1508" s="313"/>
      <c r="I1508" s="456"/>
      <c r="J1508" s="273" t="b">
        <f>Age_Sex23[[#This Row],[Total Spending After Applying Truncation at the Member Level]]+Age_Sex23[[#This Row],[Total Dollars Excluded from Spending After Applying Truncation at the Member Level]]=Age_Sex23[[#This Row],[Total Spending before Truncation is Applied]]</f>
        <v>1</v>
      </c>
    </row>
    <row r="1509" spans="1:10" x14ac:dyDescent="0.25">
      <c r="A1509" s="386"/>
      <c r="B1509" s="310"/>
      <c r="C1509" s="311"/>
      <c r="D1509" s="518"/>
      <c r="E1509" s="409"/>
      <c r="F1509" s="312"/>
      <c r="G1509" s="522"/>
      <c r="H1509" s="312"/>
      <c r="I1509" s="455"/>
      <c r="J1509" s="271" t="b">
        <f>Age_Sex23[[#This Row],[Total Spending After Applying Truncation at the Member Level]]+Age_Sex23[[#This Row],[Total Dollars Excluded from Spending After Applying Truncation at the Member Level]]=Age_Sex23[[#This Row],[Total Spending before Truncation is Applied]]</f>
        <v>1</v>
      </c>
    </row>
    <row r="1510" spans="1:10" x14ac:dyDescent="0.25">
      <c r="A1510" s="389"/>
      <c r="B1510" s="4"/>
      <c r="C1510" s="16"/>
      <c r="D1510" s="519"/>
      <c r="E1510" s="410"/>
      <c r="F1510" s="313"/>
      <c r="G1510" s="256"/>
      <c r="H1510" s="313"/>
      <c r="I1510" s="456"/>
      <c r="J1510" s="273" t="b">
        <f>Age_Sex23[[#This Row],[Total Spending After Applying Truncation at the Member Level]]+Age_Sex23[[#This Row],[Total Dollars Excluded from Spending After Applying Truncation at the Member Level]]=Age_Sex23[[#This Row],[Total Spending before Truncation is Applied]]</f>
        <v>1</v>
      </c>
    </row>
    <row r="1511" spans="1:10" x14ac:dyDescent="0.25">
      <c r="A1511" s="386"/>
      <c r="B1511" s="310"/>
      <c r="C1511" s="311"/>
      <c r="D1511" s="518"/>
      <c r="E1511" s="409"/>
      <c r="F1511" s="312"/>
      <c r="G1511" s="522"/>
      <c r="H1511" s="312"/>
      <c r="I1511" s="455"/>
      <c r="J1511" s="271" t="b">
        <f>Age_Sex23[[#This Row],[Total Spending After Applying Truncation at the Member Level]]+Age_Sex23[[#This Row],[Total Dollars Excluded from Spending After Applying Truncation at the Member Level]]=Age_Sex23[[#This Row],[Total Spending before Truncation is Applied]]</f>
        <v>1</v>
      </c>
    </row>
    <row r="1512" spans="1:10" x14ac:dyDescent="0.25">
      <c r="A1512" s="389"/>
      <c r="B1512" s="4"/>
      <c r="C1512" s="16"/>
      <c r="D1512" s="519"/>
      <c r="E1512" s="410"/>
      <c r="F1512" s="313"/>
      <c r="G1512" s="256"/>
      <c r="H1512" s="313"/>
      <c r="I1512" s="456"/>
      <c r="J1512" s="273" t="b">
        <f>Age_Sex23[[#This Row],[Total Spending After Applying Truncation at the Member Level]]+Age_Sex23[[#This Row],[Total Dollars Excluded from Spending After Applying Truncation at the Member Level]]=Age_Sex23[[#This Row],[Total Spending before Truncation is Applied]]</f>
        <v>1</v>
      </c>
    </row>
    <row r="1513" spans="1:10" x14ac:dyDescent="0.25">
      <c r="A1513" s="386"/>
      <c r="B1513" s="310"/>
      <c r="C1513" s="311"/>
      <c r="D1513" s="518"/>
      <c r="E1513" s="409"/>
      <c r="F1513" s="312"/>
      <c r="G1513" s="522"/>
      <c r="H1513" s="312"/>
      <c r="I1513" s="455"/>
      <c r="J1513" s="271" t="b">
        <f>Age_Sex23[[#This Row],[Total Spending After Applying Truncation at the Member Level]]+Age_Sex23[[#This Row],[Total Dollars Excluded from Spending After Applying Truncation at the Member Level]]=Age_Sex23[[#This Row],[Total Spending before Truncation is Applied]]</f>
        <v>1</v>
      </c>
    </row>
    <row r="1514" spans="1:10" x14ac:dyDescent="0.25">
      <c r="A1514" s="389"/>
      <c r="B1514" s="4"/>
      <c r="C1514" s="16"/>
      <c r="D1514" s="519"/>
      <c r="E1514" s="410"/>
      <c r="F1514" s="313"/>
      <c r="G1514" s="256"/>
      <c r="H1514" s="313"/>
      <c r="I1514" s="456"/>
      <c r="J1514" s="273" t="b">
        <f>Age_Sex23[[#This Row],[Total Spending After Applying Truncation at the Member Level]]+Age_Sex23[[#This Row],[Total Dollars Excluded from Spending After Applying Truncation at the Member Level]]=Age_Sex23[[#This Row],[Total Spending before Truncation is Applied]]</f>
        <v>1</v>
      </c>
    </row>
    <row r="1515" spans="1:10" x14ac:dyDescent="0.25">
      <c r="A1515" s="386"/>
      <c r="B1515" s="310"/>
      <c r="C1515" s="311"/>
      <c r="D1515" s="518"/>
      <c r="E1515" s="409"/>
      <c r="F1515" s="312"/>
      <c r="G1515" s="522"/>
      <c r="H1515" s="312"/>
      <c r="I1515" s="455"/>
      <c r="J1515" s="271" t="b">
        <f>Age_Sex23[[#This Row],[Total Spending After Applying Truncation at the Member Level]]+Age_Sex23[[#This Row],[Total Dollars Excluded from Spending After Applying Truncation at the Member Level]]=Age_Sex23[[#This Row],[Total Spending before Truncation is Applied]]</f>
        <v>1</v>
      </c>
    </row>
    <row r="1516" spans="1:10" x14ac:dyDescent="0.25">
      <c r="A1516" s="389"/>
      <c r="B1516" s="4"/>
      <c r="C1516" s="16"/>
      <c r="D1516" s="519"/>
      <c r="E1516" s="410"/>
      <c r="F1516" s="313"/>
      <c r="G1516" s="256"/>
      <c r="H1516" s="313"/>
      <c r="I1516" s="456"/>
      <c r="J1516" s="273" t="b">
        <f>Age_Sex23[[#This Row],[Total Spending After Applying Truncation at the Member Level]]+Age_Sex23[[#This Row],[Total Dollars Excluded from Spending After Applying Truncation at the Member Level]]=Age_Sex23[[#This Row],[Total Spending before Truncation is Applied]]</f>
        <v>1</v>
      </c>
    </row>
    <row r="1517" spans="1:10" x14ac:dyDescent="0.25">
      <c r="A1517" s="386"/>
      <c r="B1517" s="310"/>
      <c r="C1517" s="311"/>
      <c r="D1517" s="518"/>
      <c r="E1517" s="409"/>
      <c r="F1517" s="312"/>
      <c r="G1517" s="522"/>
      <c r="H1517" s="312"/>
      <c r="I1517" s="455"/>
      <c r="J1517" s="271" t="b">
        <f>Age_Sex23[[#This Row],[Total Spending After Applying Truncation at the Member Level]]+Age_Sex23[[#This Row],[Total Dollars Excluded from Spending After Applying Truncation at the Member Level]]=Age_Sex23[[#This Row],[Total Spending before Truncation is Applied]]</f>
        <v>1</v>
      </c>
    </row>
    <row r="1518" spans="1:10" x14ac:dyDescent="0.25">
      <c r="A1518" s="389"/>
      <c r="B1518" s="4"/>
      <c r="C1518" s="16"/>
      <c r="D1518" s="519"/>
      <c r="E1518" s="410"/>
      <c r="F1518" s="313"/>
      <c r="G1518" s="256"/>
      <c r="H1518" s="313"/>
      <c r="I1518" s="456"/>
      <c r="J1518" s="273" t="b">
        <f>Age_Sex23[[#This Row],[Total Spending After Applying Truncation at the Member Level]]+Age_Sex23[[#This Row],[Total Dollars Excluded from Spending After Applying Truncation at the Member Level]]=Age_Sex23[[#This Row],[Total Spending before Truncation is Applied]]</f>
        <v>1</v>
      </c>
    </row>
    <row r="1519" spans="1:10" x14ac:dyDescent="0.25">
      <c r="A1519" s="386"/>
      <c r="B1519" s="310"/>
      <c r="C1519" s="311"/>
      <c r="D1519" s="518"/>
      <c r="E1519" s="409"/>
      <c r="F1519" s="312"/>
      <c r="G1519" s="522"/>
      <c r="H1519" s="312"/>
      <c r="I1519" s="455"/>
      <c r="J1519" s="271" t="b">
        <f>Age_Sex23[[#This Row],[Total Spending After Applying Truncation at the Member Level]]+Age_Sex23[[#This Row],[Total Dollars Excluded from Spending After Applying Truncation at the Member Level]]=Age_Sex23[[#This Row],[Total Spending before Truncation is Applied]]</f>
        <v>1</v>
      </c>
    </row>
    <row r="1520" spans="1:10" x14ac:dyDescent="0.25">
      <c r="A1520" s="389"/>
      <c r="B1520" s="4"/>
      <c r="C1520" s="16"/>
      <c r="D1520" s="519"/>
      <c r="E1520" s="410"/>
      <c r="F1520" s="313"/>
      <c r="G1520" s="256"/>
      <c r="H1520" s="313"/>
      <c r="I1520" s="456"/>
      <c r="J1520" s="273" t="b">
        <f>Age_Sex23[[#This Row],[Total Spending After Applying Truncation at the Member Level]]+Age_Sex23[[#This Row],[Total Dollars Excluded from Spending After Applying Truncation at the Member Level]]=Age_Sex23[[#This Row],[Total Spending before Truncation is Applied]]</f>
        <v>1</v>
      </c>
    </row>
    <row r="1521" spans="1:10" x14ac:dyDescent="0.25">
      <c r="A1521" s="386"/>
      <c r="B1521" s="310"/>
      <c r="C1521" s="311"/>
      <c r="D1521" s="518"/>
      <c r="E1521" s="409"/>
      <c r="F1521" s="312"/>
      <c r="G1521" s="522"/>
      <c r="H1521" s="312"/>
      <c r="I1521" s="455"/>
      <c r="J1521" s="271" t="b">
        <f>Age_Sex23[[#This Row],[Total Spending After Applying Truncation at the Member Level]]+Age_Sex23[[#This Row],[Total Dollars Excluded from Spending After Applying Truncation at the Member Level]]=Age_Sex23[[#This Row],[Total Spending before Truncation is Applied]]</f>
        <v>1</v>
      </c>
    </row>
    <row r="1522" spans="1:10" x14ac:dyDescent="0.25">
      <c r="A1522" s="389"/>
      <c r="B1522" s="4"/>
      <c r="C1522" s="16"/>
      <c r="D1522" s="519"/>
      <c r="E1522" s="410"/>
      <c r="F1522" s="313"/>
      <c r="G1522" s="256"/>
      <c r="H1522" s="313"/>
      <c r="I1522" s="456"/>
      <c r="J1522" s="273" t="b">
        <f>Age_Sex23[[#This Row],[Total Spending After Applying Truncation at the Member Level]]+Age_Sex23[[#This Row],[Total Dollars Excluded from Spending After Applying Truncation at the Member Level]]=Age_Sex23[[#This Row],[Total Spending before Truncation is Applied]]</f>
        <v>1</v>
      </c>
    </row>
    <row r="1523" spans="1:10" x14ac:dyDescent="0.25">
      <c r="A1523" s="386"/>
      <c r="B1523" s="310"/>
      <c r="C1523" s="311"/>
      <c r="D1523" s="518"/>
      <c r="E1523" s="409"/>
      <c r="F1523" s="312"/>
      <c r="G1523" s="522"/>
      <c r="H1523" s="312"/>
      <c r="I1523" s="455"/>
      <c r="J1523" s="271" t="b">
        <f>Age_Sex23[[#This Row],[Total Spending After Applying Truncation at the Member Level]]+Age_Sex23[[#This Row],[Total Dollars Excluded from Spending After Applying Truncation at the Member Level]]=Age_Sex23[[#This Row],[Total Spending before Truncation is Applied]]</f>
        <v>1</v>
      </c>
    </row>
    <row r="1524" spans="1:10" x14ac:dyDescent="0.25">
      <c r="A1524" s="389"/>
      <c r="B1524" s="4"/>
      <c r="C1524" s="16"/>
      <c r="D1524" s="519"/>
      <c r="E1524" s="410"/>
      <c r="F1524" s="313"/>
      <c r="G1524" s="256"/>
      <c r="H1524" s="313"/>
      <c r="I1524" s="456"/>
      <c r="J1524" s="273" t="b">
        <f>Age_Sex23[[#This Row],[Total Spending After Applying Truncation at the Member Level]]+Age_Sex23[[#This Row],[Total Dollars Excluded from Spending After Applying Truncation at the Member Level]]=Age_Sex23[[#This Row],[Total Spending before Truncation is Applied]]</f>
        <v>1</v>
      </c>
    </row>
    <row r="1525" spans="1:10" x14ac:dyDescent="0.25">
      <c r="A1525" s="386"/>
      <c r="B1525" s="310"/>
      <c r="C1525" s="311"/>
      <c r="D1525" s="518"/>
      <c r="E1525" s="409"/>
      <c r="F1525" s="312"/>
      <c r="G1525" s="522"/>
      <c r="H1525" s="312"/>
      <c r="I1525" s="455"/>
      <c r="J1525" s="271" t="b">
        <f>Age_Sex23[[#This Row],[Total Spending After Applying Truncation at the Member Level]]+Age_Sex23[[#This Row],[Total Dollars Excluded from Spending After Applying Truncation at the Member Level]]=Age_Sex23[[#This Row],[Total Spending before Truncation is Applied]]</f>
        <v>1</v>
      </c>
    </row>
    <row r="1526" spans="1:10" x14ac:dyDescent="0.25">
      <c r="A1526" s="389"/>
      <c r="B1526" s="4"/>
      <c r="C1526" s="16"/>
      <c r="D1526" s="519"/>
      <c r="E1526" s="410"/>
      <c r="F1526" s="313"/>
      <c r="G1526" s="256"/>
      <c r="H1526" s="313"/>
      <c r="I1526" s="456"/>
      <c r="J1526" s="273" t="b">
        <f>Age_Sex23[[#This Row],[Total Spending After Applying Truncation at the Member Level]]+Age_Sex23[[#This Row],[Total Dollars Excluded from Spending After Applying Truncation at the Member Level]]=Age_Sex23[[#This Row],[Total Spending before Truncation is Applied]]</f>
        <v>1</v>
      </c>
    </row>
    <row r="1527" spans="1:10" x14ac:dyDescent="0.25">
      <c r="A1527" s="386"/>
      <c r="B1527" s="310"/>
      <c r="C1527" s="311"/>
      <c r="D1527" s="518"/>
      <c r="E1527" s="409"/>
      <c r="F1527" s="312"/>
      <c r="G1527" s="522"/>
      <c r="H1527" s="312"/>
      <c r="I1527" s="455"/>
      <c r="J1527" s="271" t="b">
        <f>Age_Sex23[[#This Row],[Total Spending After Applying Truncation at the Member Level]]+Age_Sex23[[#This Row],[Total Dollars Excluded from Spending After Applying Truncation at the Member Level]]=Age_Sex23[[#This Row],[Total Spending before Truncation is Applied]]</f>
        <v>1</v>
      </c>
    </row>
    <row r="1528" spans="1:10" x14ac:dyDescent="0.25">
      <c r="A1528" s="389"/>
      <c r="B1528" s="4"/>
      <c r="C1528" s="16"/>
      <c r="D1528" s="519"/>
      <c r="E1528" s="410"/>
      <c r="F1528" s="313"/>
      <c r="G1528" s="256"/>
      <c r="H1528" s="313"/>
      <c r="I1528" s="456"/>
      <c r="J1528" s="273" t="b">
        <f>Age_Sex23[[#This Row],[Total Spending After Applying Truncation at the Member Level]]+Age_Sex23[[#This Row],[Total Dollars Excluded from Spending After Applying Truncation at the Member Level]]=Age_Sex23[[#This Row],[Total Spending before Truncation is Applied]]</f>
        <v>1</v>
      </c>
    </row>
    <row r="1529" spans="1:10" x14ac:dyDescent="0.25">
      <c r="A1529" s="386"/>
      <c r="B1529" s="310"/>
      <c r="C1529" s="311"/>
      <c r="D1529" s="518"/>
      <c r="E1529" s="409"/>
      <c r="F1529" s="312"/>
      <c r="G1529" s="522"/>
      <c r="H1529" s="312"/>
      <c r="I1529" s="455"/>
      <c r="J1529" s="271" t="b">
        <f>Age_Sex23[[#This Row],[Total Spending After Applying Truncation at the Member Level]]+Age_Sex23[[#This Row],[Total Dollars Excluded from Spending After Applying Truncation at the Member Level]]=Age_Sex23[[#This Row],[Total Spending before Truncation is Applied]]</f>
        <v>1</v>
      </c>
    </row>
    <row r="1530" spans="1:10" x14ac:dyDescent="0.25">
      <c r="A1530" s="389"/>
      <c r="B1530" s="4"/>
      <c r="C1530" s="16"/>
      <c r="D1530" s="519"/>
      <c r="E1530" s="410"/>
      <c r="F1530" s="313"/>
      <c r="G1530" s="256"/>
      <c r="H1530" s="313"/>
      <c r="I1530" s="456"/>
      <c r="J1530" s="273" t="b">
        <f>Age_Sex23[[#This Row],[Total Spending After Applying Truncation at the Member Level]]+Age_Sex23[[#This Row],[Total Dollars Excluded from Spending After Applying Truncation at the Member Level]]=Age_Sex23[[#This Row],[Total Spending before Truncation is Applied]]</f>
        <v>1</v>
      </c>
    </row>
    <row r="1531" spans="1:10" x14ac:dyDescent="0.25">
      <c r="A1531" s="386"/>
      <c r="B1531" s="310"/>
      <c r="C1531" s="311"/>
      <c r="D1531" s="518"/>
      <c r="E1531" s="409"/>
      <c r="F1531" s="312"/>
      <c r="G1531" s="522"/>
      <c r="H1531" s="312"/>
      <c r="I1531" s="455"/>
      <c r="J1531" s="271" t="b">
        <f>Age_Sex23[[#This Row],[Total Spending After Applying Truncation at the Member Level]]+Age_Sex23[[#This Row],[Total Dollars Excluded from Spending After Applying Truncation at the Member Level]]=Age_Sex23[[#This Row],[Total Spending before Truncation is Applied]]</f>
        <v>1</v>
      </c>
    </row>
    <row r="1532" spans="1:10" x14ac:dyDescent="0.25">
      <c r="A1532" s="389"/>
      <c r="B1532" s="4"/>
      <c r="C1532" s="16"/>
      <c r="D1532" s="519"/>
      <c r="E1532" s="410"/>
      <c r="F1532" s="313"/>
      <c r="G1532" s="256"/>
      <c r="H1532" s="313"/>
      <c r="I1532" s="456"/>
      <c r="J1532" s="273" t="b">
        <f>Age_Sex23[[#This Row],[Total Spending After Applying Truncation at the Member Level]]+Age_Sex23[[#This Row],[Total Dollars Excluded from Spending After Applying Truncation at the Member Level]]=Age_Sex23[[#This Row],[Total Spending before Truncation is Applied]]</f>
        <v>1</v>
      </c>
    </row>
    <row r="1533" spans="1:10" x14ac:dyDescent="0.25">
      <c r="A1533" s="386"/>
      <c r="B1533" s="310"/>
      <c r="C1533" s="311"/>
      <c r="D1533" s="518"/>
      <c r="E1533" s="409"/>
      <c r="F1533" s="312"/>
      <c r="G1533" s="522"/>
      <c r="H1533" s="312"/>
      <c r="I1533" s="455"/>
      <c r="J1533" s="271" t="b">
        <f>Age_Sex23[[#This Row],[Total Spending After Applying Truncation at the Member Level]]+Age_Sex23[[#This Row],[Total Dollars Excluded from Spending After Applying Truncation at the Member Level]]=Age_Sex23[[#This Row],[Total Spending before Truncation is Applied]]</f>
        <v>1</v>
      </c>
    </row>
    <row r="1534" spans="1:10" x14ac:dyDescent="0.25">
      <c r="A1534" s="389"/>
      <c r="B1534" s="4"/>
      <c r="C1534" s="16"/>
      <c r="D1534" s="519"/>
      <c r="E1534" s="410"/>
      <c r="F1534" s="313"/>
      <c r="G1534" s="256"/>
      <c r="H1534" s="313"/>
      <c r="I1534" s="456"/>
      <c r="J1534" s="273" t="b">
        <f>Age_Sex23[[#This Row],[Total Spending After Applying Truncation at the Member Level]]+Age_Sex23[[#This Row],[Total Dollars Excluded from Spending After Applying Truncation at the Member Level]]=Age_Sex23[[#This Row],[Total Spending before Truncation is Applied]]</f>
        <v>1</v>
      </c>
    </row>
    <row r="1535" spans="1:10" x14ac:dyDescent="0.25">
      <c r="A1535" s="386"/>
      <c r="B1535" s="310"/>
      <c r="C1535" s="311"/>
      <c r="D1535" s="518"/>
      <c r="E1535" s="409"/>
      <c r="F1535" s="312"/>
      <c r="G1535" s="522"/>
      <c r="H1535" s="312"/>
      <c r="I1535" s="455"/>
      <c r="J1535" s="271" t="b">
        <f>Age_Sex23[[#This Row],[Total Spending After Applying Truncation at the Member Level]]+Age_Sex23[[#This Row],[Total Dollars Excluded from Spending After Applying Truncation at the Member Level]]=Age_Sex23[[#This Row],[Total Spending before Truncation is Applied]]</f>
        <v>1</v>
      </c>
    </row>
    <row r="1536" spans="1:10" x14ac:dyDescent="0.25">
      <c r="A1536" s="389"/>
      <c r="B1536" s="4"/>
      <c r="C1536" s="16"/>
      <c r="D1536" s="519"/>
      <c r="E1536" s="410"/>
      <c r="F1536" s="313"/>
      <c r="G1536" s="256"/>
      <c r="H1536" s="313"/>
      <c r="I1536" s="456"/>
      <c r="J1536" s="273" t="b">
        <f>Age_Sex23[[#This Row],[Total Spending After Applying Truncation at the Member Level]]+Age_Sex23[[#This Row],[Total Dollars Excluded from Spending After Applying Truncation at the Member Level]]=Age_Sex23[[#This Row],[Total Spending before Truncation is Applied]]</f>
        <v>1</v>
      </c>
    </row>
    <row r="1537" spans="1:10" x14ac:dyDescent="0.25">
      <c r="A1537" s="386"/>
      <c r="B1537" s="310"/>
      <c r="C1537" s="311"/>
      <c r="D1537" s="518"/>
      <c r="E1537" s="409"/>
      <c r="F1537" s="312"/>
      <c r="G1537" s="522"/>
      <c r="H1537" s="312"/>
      <c r="I1537" s="455"/>
      <c r="J1537" s="271" t="b">
        <f>Age_Sex23[[#This Row],[Total Spending After Applying Truncation at the Member Level]]+Age_Sex23[[#This Row],[Total Dollars Excluded from Spending After Applying Truncation at the Member Level]]=Age_Sex23[[#This Row],[Total Spending before Truncation is Applied]]</f>
        <v>1</v>
      </c>
    </row>
    <row r="1538" spans="1:10" x14ac:dyDescent="0.25">
      <c r="A1538" s="389"/>
      <c r="B1538" s="4"/>
      <c r="C1538" s="16"/>
      <c r="D1538" s="519"/>
      <c r="E1538" s="410"/>
      <c r="F1538" s="313"/>
      <c r="G1538" s="256"/>
      <c r="H1538" s="313"/>
      <c r="I1538" s="456"/>
      <c r="J1538" s="273" t="b">
        <f>Age_Sex23[[#This Row],[Total Spending After Applying Truncation at the Member Level]]+Age_Sex23[[#This Row],[Total Dollars Excluded from Spending After Applying Truncation at the Member Level]]=Age_Sex23[[#This Row],[Total Spending before Truncation is Applied]]</f>
        <v>1</v>
      </c>
    </row>
    <row r="1539" spans="1:10" x14ac:dyDescent="0.25">
      <c r="A1539" s="386"/>
      <c r="B1539" s="310"/>
      <c r="C1539" s="311"/>
      <c r="D1539" s="518"/>
      <c r="E1539" s="409"/>
      <c r="F1539" s="312"/>
      <c r="G1539" s="522"/>
      <c r="H1539" s="312"/>
      <c r="I1539" s="455"/>
      <c r="J1539" s="271" t="b">
        <f>Age_Sex23[[#This Row],[Total Spending After Applying Truncation at the Member Level]]+Age_Sex23[[#This Row],[Total Dollars Excluded from Spending After Applying Truncation at the Member Level]]=Age_Sex23[[#This Row],[Total Spending before Truncation is Applied]]</f>
        <v>1</v>
      </c>
    </row>
    <row r="1540" spans="1:10" x14ac:dyDescent="0.25">
      <c r="A1540" s="389"/>
      <c r="B1540" s="4"/>
      <c r="C1540" s="16"/>
      <c r="D1540" s="519"/>
      <c r="E1540" s="410"/>
      <c r="F1540" s="313"/>
      <c r="G1540" s="256"/>
      <c r="H1540" s="313"/>
      <c r="I1540" s="456"/>
      <c r="J1540" s="273" t="b">
        <f>Age_Sex23[[#This Row],[Total Spending After Applying Truncation at the Member Level]]+Age_Sex23[[#This Row],[Total Dollars Excluded from Spending After Applying Truncation at the Member Level]]=Age_Sex23[[#This Row],[Total Spending before Truncation is Applied]]</f>
        <v>1</v>
      </c>
    </row>
    <row r="1541" spans="1:10" x14ac:dyDescent="0.25">
      <c r="A1541" s="386"/>
      <c r="B1541" s="310"/>
      <c r="C1541" s="311"/>
      <c r="D1541" s="518"/>
      <c r="E1541" s="409"/>
      <c r="F1541" s="312"/>
      <c r="G1541" s="522"/>
      <c r="H1541" s="312"/>
      <c r="I1541" s="455"/>
      <c r="J1541" s="271" t="b">
        <f>Age_Sex23[[#This Row],[Total Spending After Applying Truncation at the Member Level]]+Age_Sex23[[#This Row],[Total Dollars Excluded from Spending After Applying Truncation at the Member Level]]=Age_Sex23[[#This Row],[Total Spending before Truncation is Applied]]</f>
        <v>1</v>
      </c>
    </row>
    <row r="1542" spans="1:10" x14ac:dyDescent="0.25">
      <c r="A1542" s="389"/>
      <c r="B1542" s="4"/>
      <c r="C1542" s="16"/>
      <c r="D1542" s="519"/>
      <c r="E1542" s="410"/>
      <c r="F1542" s="313"/>
      <c r="G1542" s="256"/>
      <c r="H1542" s="313"/>
      <c r="I1542" s="456"/>
      <c r="J1542" s="273" t="b">
        <f>Age_Sex23[[#This Row],[Total Spending After Applying Truncation at the Member Level]]+Age_Sex23[[#This Row],[Total Dollars Excluded from Spending After Applying Truncation at the Member Level]]=Age_Sex23[[#This Row],[Total Spending before Truncation is Applied]]</f>
        <v>1</v>
      </c>
    </row>
    <row r="1543" spans="1:10" x14ac:dyDescent="0.25">
      <c r="A1543" s="386"/>
      <c r="B1543" s="310"/>
      <c r="C1543" s="311"/>
      <c r="D1543" s="518"/>
      <c r="E1543" s="409"/>
      <c r="F1543" s="312"/>
      <c r="G1543" s="522"/>
      <c r="H1543" s="312"/>
      <c r="I1543" s="455"/>
      <c r="J1543" s="271" t="b">
        <f>Age_Sex23[[#This Row],[Total Spending After Applying Truncation at the Member Level]]+Age_Sex23[[#This Row],[Total Dollars Excluded from Spending After Applying Truncation at the Member Level]]=Age_Sex23[[#This Row],[Total Spending before Truncation is Applied]]</f>
        <v>1</v>
      </c>
    </row>
    <row r="1544" spans="1:10" x14ac:dyDescent="0.25">
      <c r="A1544" s="389"/>
      <c r="B1544" s="4"/>
      <c r="C1544" s="16"/>
      <c r="D1544" s="519"/>
      <c r="E1544" s="410"/>
      <c r="F1544" s="313"/>
      <c r="G1544" s="256"/>
      <c r="H1544" s="313"/>
      <c r="I1544" s="456"/>
      <c r="J1544" s="273" t="b">
        <f>Age_Sex23[[#This Row],[Total Spending After Applying Truncation at the Member Level]]+Age_Sex23[[#This Row],[Total Dollars Excluded from Spending After Applying Truncation at the Member Level]]=Age_Sex23[[#This Row],[Total Spending before Truncation is Applied]]</f>
        <v>1</v>
      </c>
    </row>
    <row r="1545" spans="1:10" x14ac:dyDescent="0.25">
      <c r="A1545" s="386"/>
      <c r="B1545" s="310"/>
      <c r="C1545" s="311"/>
      <c r="D1545" s="518"/>
      <c r="E1545" s="409"/>
      <c r="F1545" s="312"/>
      <c r="G1545" s="522"/>
      <c r="H1545" s="312"/>
      <c r="I1545" s="455"/>
      <c r="J1545" s="271" t="b">
        <f>Age_Sex23[[#This Row],[Total Spending After Applying Truncation at the Member Level]]+Age_Sex23[[#This Row],[Total Dollars Excluded from Spending After Applying Truncation at the Member Level]]=Age_Sex23[[#This Row],[Total Spending before Truncation is Applied]]</f>
        <v>1</v>
      </c>
    </row>
    <row r="1546" spans="1:10" x14ac:dyDescent="0.25">
      <c r="A1546" s="389"/>
      <c r="B1546" s="4"/>
      <c r="C1546" s="16"/>
      <c r="D1546" s="519"/>
      <c r="E1546" s="410"/>
      <c r="F1546" s="313"/>
      <c r="G1546" s="256"/>
      <c r="H1546" s="313"/>
      <c r="I1546" s="456"/>
      <c r="J1546" s="273" t="b">
        <f>Age_Sex23[[#This Row],[Total Spending After Applying Truncation at the Member Level]]+Age_Sex23[[#This Row],[Total Dollars Excluded from Spending After Applying Truncation at the Member Level]]=Age_Sex23[[#This Row],[Total Spending before Truncation is Applied]]</f>
        <v>1</v>
      </c>
    </row>
    <row r="1547" spans="1:10" x14ac:dyDescent="0.25">
      <c r="A1547" s="386"/>
      <c r="B1547" s="310"/>
      <c r="C1547" s="311"/>
      <c r="D1547" s="518"/>
      <c r="E1547" s="409"/>
      <c r="F1547" s="312"/>
      <c r="G1547" s="522"/>
      <c r="H1547" s="312"/>
      <c r="I1547" s="455"/>
      <c r="J1547" s="271" t="b">
        <f>Age_Sex23[[#This Row],[Total Spending After Applying Truncation at the Member Level]]+Age_Sex23[[#This Row],[Total Dollars Excluded from Spending After Applying Truncation at the Member Level]]=Age_Sex23[[#This Row],[Total Spending before Truncation is Applied]]</f>
        <v>1</v>
      </c>
    </row>
    <row r="1548" spans="1:10" x14ac:dyDescent="0.25">
      <c r="A1548" s="389"/>
      <c r="B1548" s="4"/>
      <c r="C1548" s="16"/>
      <c r="D1548" s="519"/>
      <c r="E1548" s="410"/>
      <c r="F1548" s="313"/>
      <c r="G1548" s="256"/>
      <c r="H1548" s="313"/>
      <c r="I1548" s="456"/>
      <c r="J1548" s="273" t="b">
        <f>Age_Sex23[[#This Row],[Total Spending After Applying Truncation at the Member Level]]+Age_Sex23[[#This Row],[Total Dollars Excluded from Spending After Applying Truncation at the Member Level]]=Age_Sex23[[#This Row],[Total Spending before Truncation is Applied]]</f>
        <v>1</v>
      </c>
    </row>
    <row r="1549" spans="1:10" x14ac:dyDescent="0.25">
      <c r="A1549" s="386"/>
      <c r="B1549" s="310"/>
      <c r="C1549" s="311"/>
      <c r="D1549" s="518"/>
      <c r="E1549" s="409"/>
      <c r="F1549" s="312"/>
      <c r="G1549" s="522"/>
      <c r="H1549" s="312"/>
      <c r="I1549" s="455"/>
      <c r="J1549" s="271" t="b">
        <f>Age_Sex23[[#This Row],[Total Spending After Applying Truncation at the Member Level]]+Age_Sex23[[#This Row],[Total Dollars Excluded from Spending After Applying Truncation at the Member Level]]=Age_Sex23[[#This Row],[Total Spending before Truncation is Applied]]</f>
        <v>1</v>
      </c>
    </row>
    <row r="1550" spans="1:10" x14ac:dyDescent="0.25">
      <c r="A1550" s="389"/>
      <c r="B1550" s="4"/>
      <c r="C1550" s="16"/>
      <c r="D1550" s="519"/>
      <c r="E1550" s="410"/>
      <c r="F1550" s="313"/>
      <c r="G1550" s="256"/>
      <c r="H1550" s="313"/>
      <c r="I1550" s="456"/>
      <c r="J1550" s="273" t="b">
        <f>Age_Sex23[[#This Row],[Total Spending After Applying Truncation at the Member Level]]+Age_Sex23[[#This Row],[Total Dollars Excluded from Spending After Applying Truncation at the Member Level]]=Age_Sex23[[#This Row],[Total Spending before Truncation is Applied]]</f>
        <v>1</v>
      </c>
    </row>
    <row r="1551" spans="1:10" x14ac:dyDescent="0.25">
      <c r="A1551" s="386"/>
      <c r="B1551" s="310"/>
      <c r="C1551" s="311"/>
      <c r="D1551" s="518"/>
      <c r="E1551" s="409"/>
      <c r="F1551" s="312"/>
      <c r="G1551" s="522"/>
      <c r="H1551" s="312"/>
      <c r="I1551" s="455"/>
      <c r="J1551" s="271" t="b">
        <f>Age_Sex23[[#This Row],[Total Spending After Applying Truncation at the Member Level]]+Age_Sex23[[#This Row],[Total Dollars Excluded from Spending After Applying Truncation at the Member Level]]=Age_Sex23[[#This Row],[Total Spending before Truncation is Applied]]</f>
        <v>1</v>
      </c>
    </row>
    <row r="1552" spans="1:10" x14ac:dyDescent="0.25">
      <c r="A1552" s="389"/>
      <c r="B1552" s="4"/>
      <c r="C1552" s="16"/>
      <c r="D1552" s="519"/>
      <c r="E1552" s="410"/>
      <c r="F1552" s="313"/>
      <c r="G1552" s="256"/>
      <c r="H1552" s="313"/>
      <c r="I1552" s="456"/>
      <c r="J1552" s="273" t="b">
        <f>Age_Sex23[[#This Row],[Total Spending After Applying Truncation at the Member Level]]+Age_Sex23[[#This Row],[Total Dollars Excluded from Spending After Applying Truncation at the Member Level]]=Age_Sex23[[#This Row],[Total Spending before Truncation is Applied]]</f>
        <v>1</v>
      </c>
    </row>
    <row r="1553" spans="1:10" x14ac:dyDescent="0.25">
      <c r="A1553" s="386"/>
      <c r="B1553" s="310"/>
      <c r="C1553" s="311"/>
      <c r="D1553" s="518"/>
      <c r="E1553" s="409"/>
      <c r="F1553" s="312"/>
      <c r="G1553" s="522"/>
      <c r="H1553" s="312"/>
      <c r="I1553" s="455"/>
      <c r="J1553" s="271" t="b">
        <f>Age_Sex23[[#This Row],[Total Spending After Applying Truncation at the Member Level]]+Age_Sex23[[#This Row],[Total Dollars Excluded from Spending After Applying Truncation at the Member Level]]=Age_Sex23[[#This Row],[Total Spending before Truncation is Applied]]</f>
        <v>1</v>
      </c>
    </row>
    <row r="1554" spans="1:10" x14ac:dyDescent="0.25">
      <c r="A1554" s="389"/>
      <c r="B1554" s="4"/>
      <c r="C1554" s="16"/>
      <c r="D1554" s="519"/>
      <c r="E1554" s="410"/>
      <c r="F1554" s="313"/>
      <c r="G1554" s="256"/>
      <c r="H1554" s="313"/>
      <c r="I1554" s="456"/>
      <c r="J1554" s="273" t="b">
        <f>Age_Sex23[[#This Row],[Total Spending After Applying Truncation at the Member Level]]+Age_Sex23[[#This Row],[Total Dollars Excluded from Spending After Applying Truncation at the Member Level]]=Age_Sex23[[#This Row],[Total Spending before Truncation is Applied]]</f>
        <v>1</v>
      </c>
    </row>
    <row r="1555" spans="1:10" x14ac:dyDescent="0.25">
      <c r="A1555" s="386"/>
      <c r="B1555" s="310"/>
      <c r="C1555" s="311"/>
      <c r="D1555" s="518"/>
      <c r="E1555" s="409"/>
      <c r="F1555" s="312"/>
      <c r="G1555" s="522"/>
      <c r="H1555" s="312"/>
      <c r="I1555" s="455"/>
      <c r="J1555" s="271" t="b">
        <f>Age_Sex23[[#This Row],[Total Spending After Applying Truncation at the Member Level]]+Age_Sex23[[#This Row],[Total Dollars Excluded from Spending After Applying Truncation at the Member Level]]=Age_Sex23[[#This Row],[Total Spending before Truncation is Applied]]</f>
        <v>1</v>
      </c>
    </row>
    <row r="1556" spans="1:10" x14ac:dyDescent="0.25">
      <c r="A1556" s="389"/>
      <c r="B1556" s="4"/>
      <c r="C1556" s="16"/>
      <c r="D1556" s="519"/>
      <c r="E1556" s="410"/>
      <c r="F1556" s="313"/>
      <c r="G1556" s="256"/>
      <c r="H1556" s="313"/>
      <c r="I1556" s="456"/>
      <c r="J1556" s="273" t="b">
        <f>Age_Sex23[[#This Row],[Total Spending After Applying Truncation at the Member Level]]+Age_Sex23[[#This Row],[Total Dollars Excluded from Spending After Applying Truncation at the Member Level]]=Age_Sex23[[#This Row],[Total Spending before Truncation is Applied]]</f>
        <v>1</v>
      </c>
    </row>
    <row r="1557" spans="1:10" x14ac:dyDescent="0.25">
      <c r="A1557" s="386"/>
      <c r="B1557" s="310"/>
      <c r="C1557" s="311"/>
      <c r="D1557" s="518"/>
      <c r="E1557" s="409"/>
      <c r="F1557" s="312"/>
      <c r="G1557" s="522"/>
      <c r="H1557" s="312"/>
      <c r="I1557" s="455"/>
      <c r="J1557" s="271" t="b">
        <f>Age_Sex23[[#This Row],[Total Spending After Applying Truncation at the Member Level]]+Age_Sex23[[#This Row],[Total Dollars Excluded from Spending After Applying Truncation at the Member Level]]=Age_Sex23[[#This Row],[Total Spending before Truncation is Applied]]</f>
        <v>1</v>
      </c>
    </row>
    <row r="1558" spans="1:10" x14ac:dyDescent="0.25">
      <c r="A1558" s="389"/>
      <c r="B1558" s="4"/>
      <c r="C1558" s="16"/>
      <c r="D1558" s="519"/>
      <c r="E1558" s="410"/>
      <c r="F1558" s="313"/>
      <c r="G1558" s="256"/>
      <c r="H1558" s="313"/>
      <c r="I1558" s="456"/>
      <c r="J1558" s="273" t="b">
        <f>Age_Sex23[[#This Row],[Total Spending After Applying Truncation at the Member Level]]+Age_Sex23[[#This Row],[Total Dollars Excluded from Spending After Applying Truncation at the Member Level]]=Age_Sex23[[#This Row],[Total Spending before Truncation is Applied]]</f>
        <v>1</v>
      </c>
    </row>
    <row r="1559" spans="1:10" x14ac:dyDescent="0.25">
      <c r="A1559" s="386"/>
      <c r="B1559" s="310"/>
      <c r="C1559" s="311"/>
      <c r="D1559" s="518"/>
      <c r="E1559" s="409"/>
      <c r="F1559" s="312"/>
      <c r="G1559" s="522"/>
      <c r="H1559" s="312"/>
      <c r="I1559" s="455"/>
      <c r="J1559" s="271" t="b">
        <f>Age_Sex23[[#This Row],[Total Spending After Applying Truncation at the Member Level]]+Age_Sex23[[#This Row],[Total Dollars Excluded from Spending After Applying Truncation at the Member Level]]=Age_Sex23[[#This Row],[Total Spending before Truncation is Applied]]</f>
        <v>1</v>
      </c>
    </row>
    <row r="1560" spans="1:10" x14ac:dyDescent="0.25">
      <c r="A1560" s="389"/>
      <c r="B1560" s="4"/>
      <c r="C1560" s="16"/>
      <c r="D1560" s="519"/>
      <c r="E1560" s="410"/>
      <c r="F1560" s="313"/>
      <c r="G1560" s="256"/>
      <c r="H1560" s="313"/>
      <c r="I1560" s="456"/>
      <c r="J1560" s="273" t="b">
        <f>Age_Sex23[[#This Row],[Total Spending After Applying Truncation at the Member Level]]+Age_Sex23[[#This Row],[Total Dollars Excluded from Spending After Applying Truncation at the Member Level]]=Age_Sex23[[#This Row],[Total Spending before Truncation is Applied]]</f>
        <v>1</v>
      </c>
    </row>
    <row r="1561" spans="1:10" x14ac:dyDescent="0.25">
      <c r="A1561" s="386"/>
      <c r="B1561" s="310"/>
      <c r="C1561" s="311"/>
      <c r="D1561" s="518"/>
      <c r="E1561" s="409"/>
      <c r="F1561" s="312"/>
      <c r="G1561" s="522"/>
      <c r="H1561" s="312"/>
      <c r="I1561" s="455"/>
      <c r="J1561" s="271" t="b">
        <f>Age_Sex23[[#This Row],[Total Spending After Applying Truncation at the Member Level]]+Age_Sex23[[#This Row],[Total Dollars Excluded from Spending After Applying Truncation at the Member Level]]=Age_Sex23[[#This Row],[Total Spending before Truncation is Applied]]</f>
        <v>1</v>
      </c>
    </row>
    <row r="1562" spans="1:10" x14ac:dyDescent="0.25">
      <c r="A1562" s="389"/>
      <c r="B1562" s="4"/>
      <c r="C1562" s="16"/>
      <c r="D1562" s="519"/>
      <c r="E1562" s="410"/>
      <c r="F1562" s="313"/>
      <c r="G1562" s="256"/>
      <c r="H1562" s="313"/>
      <c r="I1562" s="456"/>
      <c r="J1562" s="273" t="b">
        <f>Age_Sex23[[#This Row],[Total Spending After Applying Truncation at the Member Level]]+Age_Sex23[[#This Row],[Total Dollars Excluded from Spending After Applying Truncation at the Member Level]]=Age_Sex23[[#This Row],[Total Spending before Truncation is Applied]]</f>
        <v>1</v>
      </c>
    </row>
    <row r="1563" spans="1:10" x14ac:dyDescent="0.25">
      <c r="A1563" s="386"/>
      <c r="B1563" s="310"/>
      <c r="C1563" s="311"/>
      <c r="D1563" s="518"/>
      <c r="E1563" s="409"/>
      <c r="F1563" s="312"/>
      <c r="G1563" s="522"/>
      <c r="H1563" s="312"/>
      <c r="I1563" s="455"/>
      <c r="J1563" s="271" t="b">
        <f>Age_Sex23[[#This Row],[Total Spending After Applying Truncation at the Member Level]]+Age_Sex23[[#This Row],[Total Dollars Excluded from Spending After Applying Truncation at the Member Level]]=Age_Sex23[[#This Row],[Total Spending before Truncation is Applied]]</f>
        <v>1</v>
      </c>
    </row>
    <row r="1564" spans="1:10" x14ac:dyDescent="0.25">
      <c r="A1564" s="389"/>
      <c r="B1564" s="4"/>
      <c r="C1564" s="16"/>
      <c r="D1564" s="519"/>
      <c r="E1564" s="410"/>
      <c r="F1564" s="313"/>
      <c r="G1564" s="256"/>
      <c r="H1564" s="313"/>
      <c r="I1564" s="456"/>
      <c r="J1564" s="273" t="b">
        <f>Age_Sex23[[#This Row],[Total Spending After Applying Truncation at the Member Level]]+Age_Sex23[[#This Row],[Total Dollars Excluded from Spending After Applying Truncation at the Member Level]]=Age_Sex23[[#This Row],[Total Spending before Truncation is Applied]]</f>
        <v>1</v>
      </c>
    </row>
    <row r="1565" spans="1:10" x14ac:dyDescent="0.25">
      <c r="A1565" s="386"/>
      <c r="B1565" s="310"/>
      <c r="C1565" s="311"/>
      <c r="D1565" s="518"/>
      <c r="E1565" s="409"/>
      <c r="F1565" s="312"/>
      <c r="G1565" s="522"/>
      <c r="H1565" s="312"/>
      <c r="I1565" s="455"/>
      <c r="J1565" s="271" t="b">
        <f>Age_Sex23[[#This Row],[Total Spending After Applying Truncation at the Member Level]]+Age_Sex23[[#This Row],[Total Dollars Excluded from Spending After Applying Truncation at the Member Level]]=Age_Sex23[[#This Row],[Total Spending before Truncation is Applied]]</f>
        <v>1</v>
      </c>
    </row>
    <row r="1566" spans="1:10" x14ac:dyDescent="0.25">
      <c r="A1566" s="389"/>
      <c r="B1566" s="4"/>
      <c r="C1566" s="16"/>
      <c r="D1566" s="519"/>
      <c r="E1566" s="410"/>
      <c r="F1566" s="313"/>
      <c r="G1566" s="256"/>
      <c r="H1566" s="313"/>
      <c r="I1566" s="456"/>
      <c r="J1566" s="273" t="b">
        <f>Age_Sex23[[#This Row],[Total Spending After Applying Truncation at the Member Level]]+Age_Sex23[[#This Row],[Total Dollars Excluded from Spending After Applying Truncation at the Member Level]]=Age_Sex23[[#This Row],[Total Spending before Truncation is Applied]]</f>
        <v>1</v>
      </c>
    </row>
    <row r="1567" spans="1:10" x14ac:dyDescent="0.25">
      <c r="A1567" s="386"/>
      <c r="B1567" s="310"/>
      <c r="C1567" s="311"/>
      <c r="D1567" s="518"/>
      <c r="E1567" s="409"/>
      <c r="F1567" s="312"/>
      <c r="G1567" s="522"/>
      <c r="H1567" s="312"/>
      <c r="I1567" s="455"/>
      <c r="J1567" s="271" t="b">
        <f>Age_Sex23[[#This Row],[Total Spending After Applying Truncation at the Member Level]]+Age_Sex23[[#This Row],[Total Dollars Excluded from Spending After Applying Truncation at the Member Level]]=Age_Sex23[[#This Row],[Total Spending before Truncation is Applied]]</f>
        <v>1</v>
      </c>
    </row>
    <row r="1568" spans="1:10" x14ac:dyDescent="0.25">
      <c r="A1568" s="389"/>
      <c r="B1568" s="4"/>
      <c r="C1568" s="16"/>
      <c r="D1568" s="519"/>
      <c r="E1568" s="410"/>
      <c r="F1568" s="313"/>
      <c r="G1568" s="256"/>
      <c r="H1568" s="313"/>
      <c r="I1568" s="456"/>
      <c r="J1568" s="273" t="b">
        <f>Age_Sex23[[#This Row],[Total Spending After Applying Truncation at the Member Level]]+Age_Sex23[[#This Row],[Total Dollars Excluded from Spending After Applying Truncation at the Member Level]]=Age_Sex23[[#This Row],[Total Spending before Truncation is Applied]]</f>
        <v>1</v>
      </c>
    </row>
    <row r="1569" spans="1:10" x14ac:dyDescent="0.25">
      <c r="A1569" s="386"/>
      <c r="B1569" s="310"/>
      <c r="C1569" s="311"/>
      <c r="D1569" s="518"/>
      <c r="E1569" s="409"/>
      <c r="F1569" s="312"/>
      <c r="G1569" s="522"/>
      <c r="H1569" s="312"/>
      <c r="I1569" s="455"/>
      <c r="J1569" s="271" t="b">
        <f>Age_Sex23[[#This Row],[Total Spending After Applying Truncation at the Member Level]]+Age_Sex23[[#This Row],[Total Dollars Excluded from Spending After Applying Truncation at the Member Level]]=Age_Sex23[[#This Row],[Total Spending before Truncation is Applied]]</f>
        <v>1</v>
      </c>
    </row>
    <row r="1570" spans="1:10" x14ac:dyDescent="0.25">
      <c r="A1570" s="389"/>
      <c r="B1570" s="4"/>
      <c r="C1570" s="16"/>
      <c r="D1570" s="519"/>
      <c r="E1570" s="410"/>
      <c r="F1570" s="313"/>
      <c r="G1570" s="256"/>
      <c r="H1570" s="313"/>
      <c r="I1570" s="456"/>
      <c r="J1570" s="273" t="b">
        <f>Age_Sex23[[#This Row],[Total Spending After Applying Truncation at the Member Level]]+Age_Sex23[[#This Row],[Total Dollars Excluded from Spending After Applying Truncation at the Member Level]]=Age_Sex23[[#This Row],[Total Spending before Truncation is Applied]]</f>
        <v>1</v>
      </c>
    </row>
    <row r="1571" spans="1:10" x14ac:dyDescent="0.25">
      <c r="A1571" s="386"/>
      <c r="B1571" s="310"/>
      <c r="C1571" s="311"/>
      <c r="D1571" s="518"/>
      <c r="E1571" s="409"/>
      <c r="F1571" s="312"/>
      <c r="G1571" s="522"/>
      <c r="H1571" s="312"/>
      <c r="I1571" s="455"/>
      <c r="J1571" s="271" t="b">
        <f>Age_Sex23[[#This Row],[Total Spending After Applying Truncation at the Member Level]]+Age_Sex23[[#This Row],[Total Dollars Excluded from Spending After Applying Truncation at the Member Level]]=Age_Sex23[[#This Row],[Total Spending before Truncation is Applied]]</f>
        <v>1</v>
      </c>
    </row>
    <row r="1572" spans="1:10" x14ac:dyDescent="0.25">
      <c r="A1572" s="389"/>
      <c r="B1572" s="4"/>
      <c r="C1572" s="16"/>
      <c r="D1572" s="519"/>
      <c r="E1572" s="410"/>
      <c r="F1572" s="313"/>
      <c r="G1572" s="256"/>
      <c r="H1572" s="313"/>
      <c r="I1572" s="456"/>
      <c r="J1572" s="273" t="b">
        <f>Age_Sex23[[#This Row],[Total Spending After Applying Truncation at the Member Level]]+Age_Sex23[[#This Row],[Total Dollars Excluded from Spending After Applying Truncation at the Member Level]]=Age_Sex23[[#This Row],[Total Spending before Truncation is Applied]]</f>
        <v>1</v>
      </c>
    </row>
    <row r="1573" spans="1:10" x14ac:dyDescent="0.25">
      <c r="A1573" s="386"/>
      <c r="B1573" s="310"/>
      <c r="C1573" s="311"/>
      <c r="D1573" s="518"/>
      <c r="E1573" s="409"/>
      <c r="F1573" s="312"/>
      <c r="G1573" s="522"/>
      <c r="H1573" s="312"/>
      <c r="I1573" s="455"/>
      <c r="J1573" s="271" t="b">
        <f>Age_Sex23[[#This Row],[Total Spending After Applying Truncation at the Member Level]]+Age_Sex23[[#This Row],[Total Dollars Excluded from Spending After Applying Truncation at the Member Level]]=Age_Sex23[[#This Row],[Total Spending before Truncation is Applied]]</f>
        <v>1</v>
      </c>
    </row>
    <row r="1574" spans="1:10" x14ac:dyDescent="0.25">
      <c r="A1574" s="389"/>
      <c r="B1574" s="4"/>
      <c r="C1574" s="16"/>
      <c r="D1574" s="519"/>
      <c r="E1574" s="410"/>
      <c r="F1574" s="313"/>
      <c r="G1574" s="256"/>
      <c r="H1574" s="313"/>
      <c r="I1574" s="456"/>
      <c r="J1574" s="273" t="b">
        <f>Age_Sex23[[#This Row],[Total Spending After Applying Truncation at the Member Level]]+Age_Sex23[[#This Row],[Total Dollars Excluded from Spending After Applying Truncation at the Member Level]]=Age_Sex23[[#This Row],[Total Spending before Truncation is Applied]]</f>
        <v>1</v>
      </c>
    </row>
    <row r="1575" spans="1:10" x14ac:dyDescent="0.25">
      <c r="A1575" s="386"/>
      <c r="B1575" s="310"/>
      <c r="C1575" s="311"/>
      <c r="D1575" s="518"/>
      <c r="E1575" s="409"/>
      <c r="F1575" s="312"/>
      <c r="G1575" s="522"/>
      <c r="H1575" s="312"/>
      <c r="I1575" s="455"/>
      <c r="J1575" s="271" t="b">
        <f>Age_Sex23[[#This Row],[Total Spending After Applying Truncation at the Member Level]]+Age_Sex23[[#This Row],[Total Dollars Excluded from Spending After Applying Truncation at the Member Level]]=Age_Sex23[[#This Row],[Total Spending before Truncation is Applied]]</f>
        <v>1</v>
      </c>
    </row>
    <row r="1576" spans="1:10" x14ac:dyDescent="0.25">
      <c r="A1576" s="389"/>
      <c r="B1576" s="4"/>
      <c r="C1576" s="16"/>
      <c r="D1576" s="519"/>
      <c r="E1576" s="410"/>
      <c r="F1576" s="313"/>
      <c r="G1576" s="256"/>
      <c r="H1576" s="313"/>
      <c r="I1576" s="456"/>
      <c r="J1576" s="273" t="b">
        <f>Age_Sex23[[#This Row],[Total Spending After Applying Truncation at the Member Level]]+Age_Sex23[[#This Row],[Total Dollars Excluded from Spending After Applying Truncation at the Member Level]]=Age_Sex23[[#This Row],[Total Spending before Truncation is Applied]]</f>
        <v>1</v>
      </c>
    </row>
    <row r="1577" spans="1:10" x14ac:dyDescent="0.25">
      <c r="A1577" s="386"/>
      <c r="B1577" s="310"/>
      <c r="C1577" s="311"/>
      <c r="D1577" s="518"/>
      <c r="E1577" s="409"/>
      <c r="F1577" s="312"/>
      <c r="G1577" s="522"/>
      <c r="H1577" s="312"/>
      <c r="I1577" s="455"/>
      <c r="J1577" s="271" t="b">
        <f>Age_Sex23[[#This Row],[Total Spending After Applying Truncation at the Member Level]]+Age_Sex23[[#This Row],[Total Dollars Excluded from Spending After Applying Truncation at the Member Level]]=Age_Sex23[[#This Row],[Total Spending before Truncation is Applied]]</f>
        <v>1</v>
      </c>
    </row>
    <row r="1578" spans="1:10" x14ac:dyDescent="0.25">
      <c r="A1578" s="389"/>
      <c r="B1578" s="4"/>
      <c r="C1578" s="16"/>
      <c r="D1578" s="519"/>
      <c r="E1578" s="410"/>
      <c r="F1578" s="313"/>
      <c r="G1578" s="256"/>
      <c r="H1578" s="313"/>
      <c r="I1578" s="456"/>
      <c r="J1578" s="273" t="b">
        <f>Age_Sex23[[#This Row],[Total Spending After Applying Truncation at the Member Level]]+Age_Sex23[[#This Row],[Total Dollars Excluded from Spending After Applying Truncation at the Member Level]]=Age_Sex23[[#This Row],[Total Spending before Truncation is Applied]]</f>
        <v>1</v>
      </c>
    </row>
    <row r="1579" spans="1:10" x14ac:dyDescent="0.25">
      <c r="A1579" s="386"/>
      <c r="B1579" s="310"/>
      <c r="C1579" s="311"/>
      <c r="D1579" s="518"/>
      <c r="E1579" s="409"/>
      <c r="F1579" s="312"/>
      <c r="G1579" s="522"/>
      <c r="H1579" s="312"/>
      <c r="I1579" s="455"/>
      <c r="J1579" s="271" t="b">
        <f>Age_Sex23[[#This Row],[Total Spending After Applying Truncation at the Member Level]]+Age_Sex23[[#This Row],[Total Dollars Excluded from Spending After Applying Truncation at the Member Level]]=Age_Sex23[[#This Row],[Total Spending before Truncation is Applied]]</f>
        <v>1</v>
      </c>
    </row>
    <row r="1580" spans="1:10" x14ac:dyDescent="0.25">
      <c r="A1580" s="389"/>
      <c r="B1580" s="4"/>
      <c r="C1580" s="16"/>
      <c r="D1580" s="519"/>
      <c r="E1580" s="410"/>
      <c r="F1580" s="313"/>
      <c r="G1580" s="256"/>
      <c r="H1580" s="313"/>
      <c r="I1580" s="456"/>
      <c r="J1580" s="273" t="b">
        <f>Age_Sex23[[#This Row],[Total Spending After Applying Truncation at the Member Level]]+Age_Sex23[[#This Row],[Total Dollars Excluded from Spending After Applying Truncation at the Member Level]]=Age_Sex23[[#This Row],[Total Spending before Truncation is Applied]]</f>
        <v>1</v>
      </c>
    </row>
    <row r="1581" spans="1:10" x14ac:dyDescent="0.25">
      <c r="A1581" s="386"/>
      <c r="B1581" s="310"/>
      <c r="C1581" s="311"/>
      <c r="D1581" s="518"/>
      <c r="E1581" s="409"/>
      <c r="F1581" s="312"/>
      <c r="G1581" s="522"/>
      <c r="H1581" s="312"/>
      <c r="I1581" s="455"/>
      <c r="J1581" s="271" t="b">
        <f>Age_Sex23[[#This Row],[Total Spending After Applying Truncation at the Member Level]]+Age_Sex23[[#This Row],[Total Dollars Excluded from Spending After Applying Truncation at the Member Level]]=Age_Sex23[[#This Row],[Total Spending before Truncation is Applied]]</f>
        <v>1</v>
      </c>
    </row>
    <row r="1582" spans="1:10" x14ac:dyDescent="0.25">
      <c r="A1582" s="389"/>
      <c r="B1582" s="4"/>
      <c r="C1582" s="16"/>
      <c r="D1582" s="519"/>
      <c r="E1582" s="410"/>
      <c r="F1582" s="313"/>
      <c r="G1582" s="256"/>
      <c r="H1582" s="313"/>
      <c r="I1582" s="456"/>
      <c r="J1582" s="273" t="b">
        <f>Age_Sex23[[#This Row],[Total Spending After Applying Truncation at the Member Level]]+Age_Sex23[[#This Row],[Total Dollars Excluded from Spending After Applying Truncation at the Member Level]]=Age_Sex23[[#This Row],[Total Spending before Truncation is Applied]]</f>
        <v>1</v>
      </c>
    </row>
    <row r="1583" spans="1:10" x14ac:dyDescent="0.25">
      <c r="A1583" s="386"/>
      <c r="B1583" s="310"/>
      <c r="C1583" s="311"/>
      <c r="D1583" s="518"/>
      <c r="E1583" s="409"/>
      <c r="F1583" s="312"/>
      <c r="G1583" s="522"/>
      <c r="H1583" s="312"/>
      <c r="I1583" s="455"/>
      <c r="J1583" s="271" t="b">
        <f>Age_Sex23[[#This Row],[Total Spending After Applying Truncation at the Member Level]]+Age_Sex23[[#This Row],[Total Dollars Excluded from Spending After Applying Truncation at the Member Level]]=Age_Sex23[[#This Row],[Total Spending before Truncation is Applied]]</f>
        <v>1</v>
      </c>
    </row>
    <row r="1584" spans="1:10" x14ac:dyDescent="0.25">
      <c r="A1584" s="389"/>
      <c r="B1584" s="4"/>
      <c r="C1584" s="16"/>
      <c r="D1584" s="519"/>
      <c r="E1584" s="410"/>
      <c r="F1584" s="313"/>
      <c r="G1584" s="256"/>
      <c r="H1584" s="313"/>
      <c r="I1584" s="456"/>
      <c r="J1584" s="273" t="b">
        <f>Age_Sex23[[#This Row],[Total Spending After Applying Truncation at the Member Level]]+Age_Sex23[[#This Row],[Total Dollars Excluded from Spending After Applying Truncation at the Member Level]]=Age_Sex23[[#This Row],[Total Spending before Truncation is Applied]]</f>
        <v>1</v>
      </c>
    </row>
    <row r="1585" spans="1:10" x14ac:dyDescent="0.25">
      <c r="A1585" s="386"/>
      <c r="B1585" s="310"/>
      <c r="C1585" s="311"/>
      <c r="D1585" s="518"/>
      <c r="E1585" s="409"/>
      <c r="F1585" s="312"/>
      <c r="G1585" s="522"/>
      <c r="H1585" s="312"/>
      <c r="I1585" s="455"/>
      <c r="J1585" s="271" t="b">
        <f>Age_Sex23[[#This Row],[Total Spending After Applying Truncation at the Member Level]]+Age_Sex23[[#This Row],[Total Dollars Excluded from Spending After Applying Truncation at the Member Level]]=Age_Sex23[[#This Row],[Total Spending before Truncation is Applied]]</f>
        <v>1</v>
      </c>
    </row>
    <row r="1586" spans="1:10" x14ac:dyDescent="0.25">
      <c r="A1586" s="389"/>
      <c r="B1586" s="4"/>
      <c r="C1586" s="16"/>
      <c r="D1586" s="519"/>
      <c r="E1586" s="410"/>
      <c r="F1586" s="313"/>
      <c r="G1586" s="256"/>
      <c r="H1586" s="313"/>
      <c r="I1586" s="456"/>
      <c r="J1586" s="273" t="b">
        <f>Age_Sex23[[#This Row],[Total Spending After Applying Truncation at the Member Level]]+Age_Sex23[[#This Row],[Total Dollars Excluded from Spending After Applying Truncation at the Member Level]]=Age_Sex23[[#This Row],[Total Spending before Truncation is Applied]]</f>
        <v>1</v>
      </c>
    </row>
    <row r="1587" spans="1:10" x14ac:dyDescent="0.25">
      <c r="A1587" s="386"/>
      <c r="B1587" s="310"/>
      <c r="C1587" s="311"/>
      <c r="D1587" s="518"/>
      <c r="E1587" s="409"/>
      <c r="F1587" s="312"/>
      <c r="G1587" s="522"/>
      <c r="H1587" s="312"/>
      <c r="I1587" s="455"/>
      <c r="J1587" s="271" t="b">
        <f>Age_Sex23[[#This Row],[Total Spending After Applying Truncation at the Member Level]]+Age_Sex23[[#This Row],[Total Dollars Excluded from Spending After Applying Truncation at the Member Level]]=Age_Sex23[[#This Row],[Total Spending before Truncation is Applied]]</f>
        <v>1</v>
      </c>
    </row>
    <row r="1588" spans="1:10" x14ac:dyDescent="0.25">
      <c r="A1588" s="389"/>
      <c r="B1588" s="4"/>
      <c r="C1588" s="16"/>
      <c r="D1588" s="519"/>
      <c r="E1588" s="410"/>
      <c r="F1588" s="313"/>
      <c r="G1588" s="256"/>
      <c r="H1588" s="313"/>
      <c r="I1588" s="456"/>
      <c r="J1588" s="273" t="b">
        <f>Age_Sex23[[#This Row],[Total Spending After Applying Truncation at the Member Level]]+Age_Sex23[[#This Row],[Total Dollars Excluded from Spending After Applying Truncation at the Member Level]]=Age_Sex23[[#This Row],[Total Spending before Truncation is Applied]]</f>
        <v>1</v>
      </c>
    </row>
    <row r="1589" spans="1:10" x14ac:dyDescent="0.25">
      <c r="A1589" s="386"/>
      <c r="B1589" s="310"/>
      <c r="C1589" s="311"/>
      <c r="D1589" s="518"/>
      <c r="E1589" s="409"/>
      <c r="F1589" s="312"/>
      <c r="G1589" s="522"/>
      <c r="H1589" s="312"/>
      <c r="I1589" s="455"/>
      <c r="J1589" s="271" t="b">
        <f>Age_Sex23[[#This Row],[Total Spending After Applying Truncation at the Member Level]]+Age_Sex23[[#This Row],[Total Dollars Excluded from Spending After Applying Truncation at the Member Level]]=Age_Sex23[[#This Row],[Total Spending before Truncation is Applied]]</f>
        <v>1</v>
      </c>
    </row>
    <row r="1590" spans="1:10" x14ac:dyDescent="0.25">
      <c r="A1590" s="389"/>
      <c r="B1590" s="4"/>
      <c r="C1590" s="16"/>
      <c r="D1590" s="519"/>
      <c r="E1590" s="410"/>
      <c r="F1590" s="313"/>
      <c r="G1590" s="256"/>
      <c r="H1590" s="313"/>
      <c r="I1590" s="456"/>
      <c r="J1590" s="273" t="b">
        <f>Age_Sex23[[#This Row],[Total Spending After Applying Truncation at the Member Level]]+Age_Sex23[[#This Row],[Total Dollars Excluded from Spending After Applying Truncation at the Member Level]]=Age_Sex23[[#This Row],[Total Spending before Truncation is Applied]]</f>
        <v>1</v>
      </c>
    </row>
    <row r="1591" spans="1:10" x14ac:dyDescent="0.25">
      <c r="A1591" s="386"/>
      <c r="B1591" s="310"/>
      <c r="C1591" s="311"/>
      <c r="D1591" s="518"/>
      <c r="E1591" s="409"/>
      <c r="F1591" s="312"/>
      <c r="G1591" s="522"/>
      <c r="H1591" s="312"/>
      <c r="I1591" s="455"/>
      <c r="J1591" s="271" t="b">
        <f>Age_Sex23[[#This Row],[Total Spending After Applying Truncation at the Member Level]]+Age_Sex23[[#This Row],[Total Dollars Excluded from Spending After Applying Truncation at the Member Level]]=Age_Sex23[[#This Row],[Total Spending before Truncation is Applied]]</f>
        <v>1</v>
      </c>
    </row>
    <row r="1592" spans="1:10" x14ac:dyDescent="0.25">
      <c r="A1592" s="389"/>
      <c r="B1592" s="4"/>
      <c r="C1592" s="16"/>
      <c r="D1592" s="519"/>
      <c r="E1592" s="410"/>
      <c r="F1592" s="313"/>
      <c r="G1592" s="256"/>
      <c r="H1592" s="313"/>
      <c r="I1592" s="456"/>
      <c r="J1592" s="273" t="b">
        <f>Age_Sex23[[#This Row],[Total Spending After Applying Truncation at the Member Level]]+Age_Sex23[[#This Row],[Total Dollars Excluded from Spending After Applying Truncation at the Member Level]]=Age_Sex23[[#This Row],[Total Spending before Truncation is Applied]]</f>
        <v>1</v>
      </c>
    </row>
    <row r="1593" spans="1:10" x14ac:dyDescent="0.25">
      <c r="A1593" s="386"/>
      <c r="B1593" s="310"/>
      <c r="C1593" s="311"/>
      <c r="D1593" s="518"/>
      <c r="E1593" s="409"/>
      <c r="F1593" s="312"/>
      <c r="G1593" s="522"/>
      <c r="H1593" s="312"/>
      <c r="I1593" s="455"/>
      <c r="J1593" s="271" t="b">
        <f>Age_Sex23[[#This Row],[Total Spending After Applying Truncation at the Member Level]]+Age_Sex23[[#This Row],[Total Dollars Excluded from Spending After Applying Truncation at the Member Level]]=Age_Sex23[[#This Row],[Total Spending before Truncation is Applied]]</f>
        <v>1</v>
      </c>
    </row>
    <row r="1594" spans="1:10" x14ac:dyDescent="0.25">
      <c r="A1594" s="389"/>
      <c r="B1594" s="4"/>
      <c r="C1594" s="16"/>
      <c r="D1594" s="519"/>
      <c r="E1594" s="410"/>
      <c r="F1594" s="313"/>
      <c r="G1594" s="256"/>
      <c r="H1594" s="313"/>
      <c r="I1594" s="456"/>
      <c r="J1594" s="273" t="b">
        <f>Age_Sex23[[#This Row],[Total Spending After Applying Truncation at the Member Level]]+Age_Sex23[[#This Row],[Total Dollars Excluded from Spending After Applying Truncation at the Member Level]]=Age_Sex23[[#This Row],[Total Spending before Truncation is Applied]]</f>
        <v>1</v>
      </c>
    </row>
    <row r="1595" spans="1:10" x14ac:dyDescent="0.25">
      <c r="A1595" s="386"/>
      <c r="B1595" s="310"/>
      <c r="C1595" s="311"/>
      <c r="D1595" s="518"/>
      <c r="E1595" s="409"/>
      <c r="F1595" s="312"/>
      <c r="G1595" s="522"/>
      <c r="H1595" s="312"/>
      <c r="I1595" s="455"/>
      <c r="J1595" s="271" t="b">
        <f>Age_Sex23[[#This Row],[Total Spending After Applying Truncation at the Member Level]]+Age_Sex23[[#This Row],[Total Dollars Excluded from Spending After Applying Truncation at the Member Level]]=Age_Sex23[[#This Row],[Total Spending before Truncation is Applied]]</f>
        <v>1</v>
      </c>
    </row>
    <row r="1596" spans="1:10" x14ac:dyDescent="0.25">
      <c r="A1596" s="389"/>
      <c r="B1596" s="4"/>
      <c r="C1596" s="16"/>
      <c r="D1596" s="519"/>
      <c r="E1596" s="410"/>
      <c r="F1596" s="313"/>
      <c r="G1596" s="256"/>
      <c r="H1596" s="313"/>
      <c r="I1596" s="456"/>
      <c r="J1596" s="273" t="b">
        <f>Age_Sex23[[#This Row],[Total Spending After Applying Truncation at the Member Level]]+Age_Sex23[[#This Row],[Total Dollars Excluded from Spending After Applying Truncation at the Member Level]]=Age_Sex23[[#This Row],[Total Spending before Truncation is Applied]]</f>
        <v>1</v>
      </c>
    </row>
    <row r="1597" spans="1:10" x14ac:dyDescent="0.25">
      <c r="A1597" s="386"/>
      <c r="B1597" s="310"/>
      <c r="C1597" s="311"/>
      <c r="D1597" s="518"/>
      <c r="E1597" s="409"/>
      <c r="F1597" s="312"/>
      <c r="G1597" s="522"/>
      <c r="H1597" s="312"/>
      <c r="I1597" s="455"/>
      <c r="J1597" s="271" t="b">
        <f>Age_Sex23[[#This Row],[Total Spending After Applying Truncation at the Member Level]]+Age_Sex23[[#This Row],[Total Dollars Excluded from Spending After Applying Truncation at the Member Level]]=Age_Sex23[[#This Row],[Total Spending before Truncation is Applied]]</f>
        <v>1</v>
      </c>
    </row>
    <row r="1598" spans="1:10" x14ac:dyDescent="0.25">
      <c r="A1598" s="389"/>
      <c r="B1598" s="4"/>
      <c r="C1598" s="16"/>
      <c r="D1598" s="519"/>
      <c r="E1598" s="410"/>
      <c r="F1598" s="313"/>
      <c r="G1598" s="256"/>
      <c r="H1598" s="313"/>
      <c r="I1598" s="456"/>
      <c r="J1598" s="273" t="b">
        <f>Age_Sex23[[#This Row],[Total Spending After Applying Truncation at the Member Level]]+Age_Sex23[[#This Row],[Total Dollars Excluded from Spending After Applying Truncation at the Member Level]]=Age_Sex23[[#This Row],[Total Spending before Truncation is Applied]]</f>
        <v>1</v>
      </c>
    </row>
    <row r="1599" spans="1:10" x14ac:dyDescent="0.25">
      <c r="A1599" s="386"/>
      <c r="B1599" s="310"/>
      <c r="C1599" s="311"/>
      <c r="D1599" s="518"/>
      <c r="E1599" s="409"/>
      <c r="F1599" s="312"/>
      <c r="G1599" s="522"/>
      <c r="H1599" s="312"/>
      <c r="I1599" s="455"/>
      <c r="J1599" s="271" t="b">
        <f>Age_Sex23[[#This Row],[Total Spending After Applying Truncation at the Member Level]]+Age_Sex23[[#This Row],[Total Dollars Excluded from Spending After Applying Truncation at the Member Level]]=Age_Sex23[[#This Row],[Total Spending before Truncation is Applied]]</f>
        <v>1</v>
      </c>
    </row>
    <row r="1600" spans="1:10" x14ac:dyDescent="0.25">
      <c r="A1600" s="389"/>
      <c r="B1600" s="4"/>
      <c r="C1600" s="16"/>
      <c r="D1600" s="519"/>
      <c r="E1600" s="410"/>
      <c r="F1600" s="313"/>
      <c r="G1600" s="256"/>
      <c r="H1600" s="313"/>
      <c r="I1600" s="456"/>
      <c r="J1600" s="273" t="b">
        <f>Age_Sex23[[#This Row],[Total Spending After Applying Truncation at the Member Level]]+Age_Sex23[[#This Row],[Total Dollars Excluded from Spending After Applying Truncation at the Member Level]]=Age_Sex23[[#This Row],[Total Spending before Truncation is Applied]]</f>
        <v>1</v>
      </c>
    </row>
    <row r="1601" spans="1:10" x14ac:dyDescent="0.25">
      <c r="A1601" s="386"/>
      <c r="B1601" s="310"/>
      <c r="C1601" s="311"/>
      <c r="D1601" s="518"/>
      <c r="E1601" s="409"/>
      <c r="F1601" s="312"/>
      <c r="G1601" s="522"/>
      <c r="H1601" s="312"/>
      <c r="I1601" s="455"/>
      <c r="J1601" s="271" t="b">
        <f>Age_Sex23[[#This Row],[Total Spending After Applying Truncation at the Member Level]]+Age_Sex23[[#This Row],[Total Dollars Excluded from Spending After Applying Truncation at the Member Level]]=Age_Sex23[[#This Row],[Total Spending before Truncation is Applied]]</f>
        <v>1</v>
      </c>
    </row>
    <row r="1602" spans="1:10" x14ac:dyDescent="0.25">
      <c r="A1602" s="389"/>
      <c r="B1602" s="4"/>
      <c r="C1602" s="16"/>
      <c r="D1602" s="519"/>
      <c r="E1602" s="410"/>
      <c r="F1602" s="313"/>
      <c r="G1602" s="256"/>
      <c r="H1602" s="313"/>
      <c r="I1602" s="456"/>
      <c r="J1602" s="273" t="b">
        <f>Age_Sex23[[#This Row],[Total Spending After Applying Truncation at the Member Level]]+Age_Sex23[[#This Row],[Total Dollars Excluded from Spending After Applying Truncation at the Member Level]]=Age_Sex23[[#This Row],[Total Spending before Truncation is Applied]]</f>
        <v>1</v>
      </c>
    </row>
    <row r="1603" spans="1:10" x14ac:dyDescent="0.25">
      <c r="A1603" s="386"/>
      <c r="B1603" s="310"/>
      <c r="C1603" s="311"/>
      <c r="D1603" s="518"/>
      <c r="E1603" s="409"/>
      <c r="F1603" s="312"/>
      <c r="G1603" s="522"/>
      <c r="H1603" s="312"/>
      <c r="I1603" s="455"/>
      <c r="J1603" s="271" t="b">
        <f>Age_Sex23[[#This Row],[Total Spending After Applying Truncation at the Member Level]]+Age_Sex23[[#This Row],[Total Dollars Excluded from Spending After Applying Truncation at the Member Level]]=Age_Sex23[[#This Row],[Total Spending before Truncation is Applied]]</f>
        <v>1</v>
      </c>
    </row>
    <row r="1604" spans="1:10" x14ac:dyDescent="0.25">
      <c r="A1604" s="389"/>
      <c r="B1604" s="4"/>
      <c r="C1604" s="16"/>
      <c r="D1604" s="519"/>
      <c r="E1604" s="410"/>
      <c r="F1604" s="313"/>
      <c r="G1604" s="256"/>
      <c r="H1604" s="313"/>
      <c r="I1604" s="456"/>
      <c r="J1604" s="273" t="b">
        <f>Age_Sex23[[#This Row],[Total Spending After Applying Truncation at the Member Level]]+Age_Sex23[[#This Row],[Total Dollars Excluded from Spending After Applying Truncation at the Member Level]]=Age_Sex23[[#This Row],[Total Spending before Truncation is Applied]]</f>
        <v>1</v>
      </c>
    </row>
    <row r="1605" spans="1:10" x14ac:dyDescent="0.25">
      <c r="A1605" s="386"/>
      <c r="B1605" s="310"/>
      <c r="C1605" s="311"/>
      <c r="D1605" s="518"/>
      <c r="E1605" s="409"/>
      <c r="F1605" s="312"/>
      <c r="G1605" s="522"/>
      <c r="H1605" s="312"/>
      <c r="I1605" s="455"/>
      <c r="J1605" s="271" t="b">
        <f>Age_Sex23[[#This Row],[Total Spending After Applying Truncation at the Member Level]]+Age_Sex23[[#This Row],[Total Dollars Excluded from Spending After Applying Truncation at the Member Level]]=Age_Sex23[[#This Row],[Total Spending before Truncation is Applied]]</f>
        <v>1</v>
      </c>
    </row>
    <row r="1606" spans="1:10" x14ac:dyDescent="0.25">
      <c r="A1606" s="389"/>
      <c r="B1606" s="4"/>
      <c r="C1606" s="16"/>
      <c r="D1606" s="519"/>
      <c r="E1606" s="410"/>
      <c r="F1606" s="313"/>
      <c r="G1606" s="256"/>
      <c r="H1606" s="313"/>
      <c r="I1606" s="456"/>
      <c r="J1606" s="273" t="b">
        <f>Age_Sex23[[#This Row],[Total Spending After Applying Truncation at the Member Level]]+Age_Sex23[[#This Row],[Total Dollars Excluded from Spending After Applying Truncation at the Member Level]]=Age_Sex23[[#This Row],[Total Spending before Truncation is Applied]]</f>
        <v>1</v>
      </c>
    </row>
    <row r="1607" spans="1:10" x14ac:dyDescent="0.25">
      <c r="A1607" s="386"/>
      <c r="B1607" s="310"/>
      <c r="C1607" s="311"/>
      <c r="D1607" s="518"/>
      <c r="E1607" s="409"/>
      <c r="F1607" s="312"/>
      <c r="G1607" s="522"/>
      <c r="H1607" s="312"/>
      <c r="I1607" s="455"/>
      <c r="J1607" s="271" t="b">
        <f>Age_Sex23[[#This Row],[Total Spending After Applying Truncation at the Member Level]]+Age_Sex23[[#This Row],[Total Dollars Excluded from Spending After Applying Truncation at the Member Level]]=Age_Sex23[[#This Row],[Total Spending before Truncation is Applied]]</f>
        <v>1</v>
      </c>
    </row>
    <row r="1608" spans="1:10" x14ac:dyDescent="0.25">
      <c r="A1608" s="389"/>
      <c r="B1608" s="4"/>
      <c r="C1608" s="16"/>
      <c r="D1608" s="519"/>
      <c r="E1608" s="410"/>
      <c r="F1608" s="313"/>
      <c r="G1608" s="256"/>
      <c r="H1608" s="313"/>
      <c r="I1608" s="456"/>
      <c r="J1608" s="273" t="b">
        <f>Age_Sex23[[#This Row],[Total Spending After Applying Truncation at the Member Level]]+Age_Sex23[[#This Row],[Total Dollars Excluded from Spending After Applying Truncation at the Member Level]]=Age_Sex23[[#This Row],[Total Spending before Truncation is Applied]]</f>
        <v>1</v>
      </c>
    </row>
    <row r="1609" spans="1:10" x14ac:dyDescent="0.25">
      <c r="A1609" s="386"/>
      <c r="B1609" s="310"/>
      <c r="C1609" s="311"/>
      <c r="D1609" s="518"/>
      <c r="E1609" s="409"/>
      <c r="F1609" s="312"/>
      <c r="G1609" s="522"/>
      <c r="H1609" s="312"/>
      <c r="I1609" s="455"/>
      <c r="J1609" s="271" t="b">
        <f>Age_Sex23[[#This Row],[Total Spending After Applying Truncation at the Member Level]]+Age_Sex23[[#This Row],[Total Dollars Excluded from Spending After Applying Truncation at the Member Level]]=Age_Sex23[[#This Row],[Total Spending before Truncation is Applied]]</f>
        <v>1</v>
      </c>
    </row>
    <row r="1610" spans="1:10" x14ac:dyDescent="0.25">
      <c r="A1610" s="389"/>
      <c r="B1610" s="4"/>
      <c r="C1610" s="16"/>
      <c r="D1610" s="519"/>
      <c r="E1610" s="410"/>
      <c r="F1610" s="313"/>
      <c r="G1610" s="256"/>
      <c r="H1610" s="313"/>
      <c r="I1610" s="456"/>
      <c r="J1610" s="273" t="b">
        <f>Age_Sex23[[#This Row],[Total Spending After Applying Truncation at the Member Level]]+Age_Sex23[[#This Row],[Total Dollars Excluded from Spending After Applying Truncation at the Member Level]]=Age_Sex23[[#This Row],[Total Spending before Truncation is Applied]]</f>
        <v>1</v>
      </c>
    </row>
    <row r="1611" spans="1:10" x14ac:dyDescent="0.25">
      <c r="A1611" s="386"/>
      <c r="B1611" s="310"/>
      <c r="C1611" s="311"/>
      <c r="D1611" s="518"/>
      <c r="E1611" s="409"/>
      <c r="F1611" s="312"/>
      <c r="G1611" s="522"/>
      <c r="H1611" s="312"/>
      <c r="I1611" s="455"/>
      <c r="J1611" s="271" t="b">
        <f>Age_Sex23[[#This Row],[Total Spending After Applying Truncation at the Member Level]]+Age_Sex23[[#This Row],[Total Dollars Excluded from Spending After Applying Truncation at the Member Level]]=Age_Sex23[[#This Row],[Total Spending before Truncation is Applied]]</f>
        <v>1</v>
      </c>
    </row>
    <row r="1612" spans="1:10" x14ac:dyDescent="0.25">
      <c r="A1612" s="389"/>
      <c r="B1612" s="4"/>
      <c r="C1612" s="16"/>
      <c r="D1612" s="519"/>
      <c r="E1612" s="410"/>
      <c r="F1612" s="313"/>
      <c r="G1612" s="256"/>
      <c r="H1612" s="313"/>
      <c r="I1612" s="456"/>
      <c r="J1612" s="273" t="b">
        <f>Age_Sex23[[#This Row],[Total Spending After Applying Truncation at the Member Level]]+Age_Sex23[[#This Row],[Total Dollars Excluded from Spending After Applying Truncation at the Member Level]]=Age_Sex23[[#This Row],[Total Spending before Truncation is Applied]]</f>
        <v>1</v>
      </c>
    </row>
    <row r="1613" spans="1:10" x14ac:dyDescent="0.25">
      <c r="A1613" s="386"/>
      <c r="B1613" s="310"/>
      <c r="C1613" s="311"/>
      <c r="D1613" s="518"/>
      <c r="E1613" s="409"/>
      <c r="F1613" s="312"/>
      <c r="G1613" s="522"/>
      <c r="H1613" s="312"/>
      <c r="I1613" s="455"/>
      <c r="J1613" s="271" t="b">
        <f>Age_Sex23[[#This Row],[Total Spending After Applying Truncation at the Member Level]]+Age_Sex23[[#This Row],[Total Dollars Excluded from Spending After Applying Truncation at the Member Level]]=Age_Sex23[[#This Row],[Total Spending before Truncation is Applied]]</f>
        <v>1</v>
      </c>
    </row>
    <row r="1614" spans="1:10" x14ac:dyDescent="0.25">
      <c r="A1614" s="389"/>
      <c r="B1614" s="4"/>
      <c r="C1614" s="16"/>
      <c r="D1614" s="519"/>
      <c r="E1614" s="410"/>
      <c r="F1614" s="313"/>
      <c r="G1614" s="256"/>
      <c r="H1614" s="313"/>
      <c r="I1614" s="456"/>
      <c r="J1614" s="273" t="b">
        <f>Age_Sex23[[#This Row],[Total Spending After Applying Truncation at the Member Level]]+Age_Sex23[[#This Row],[Total Dollars Excluded from Spending After Applying Truncation at the Member Level]]=Age_Sex23[[#This Row],[Total Spending before Truncation is Applied]]</f>
        <v>1</v>
      </c>
    </row>
    <row r="1615" spans="1:10" x14ac:dyDescent="0.25">
      <c r="A1615" s="386"/>
      <c r="B1615" s="310"/>
      <c r="C1615" s="311"/>
      <c r="D1615" s="518"/>
      <c r="E1615" s="409"/>
      <c r="F1615" s="312"/>
      <c r="G1615" s="522"/>
      <c r="H1615" s="312"/>
      <c r="I1615" s="455"/>
      <c r="J1615" s="271" t="b">
        <f>Age_Sex23[[#This Row],[Total Spending After Applying Truncation at the Member Level]]+Age_Sex23[[#This Row],[Total Dollars Excluded from Spending After Applying Truncation at the Member Level]]=Age_Sex23[[#This Row],[Total Spending before Truncation is Applied]]</f>
        <v>1</v>
      </c>
    </row>
    <row r="1616" spans="1:10" x14ac:dyDescent="0.25">
      <c r="A1616" s="389"/>
      <c r="B1616" s="4"/>
      <c r="C1616" s="16"/>
      <c r="D1616" s="519"/>
      <c r="E1616" s="410"/>
      <c r="F1616" s="313"/>
      <c r="G1616" s="256"/>
      <c r="H1616" s="313"/>
      <c r="I1616" s="456"/>
      <c r="J1616" s="273" t="b">
        <f>Age_Sex23[[#This Row],[Total Spending After Applying Truncation at the Member Level]]+Age_Sex23[[#This Row],[Total Dollars Excluded from Spending After Applying Truncation at the Member Level]]=Age_Sex23[[#This Row],[Total Spending before Truncation is Applied]]</f>
        <v>1</v>
      </c>
    </row>
    <row r="1617" spans="1:10" x14ac:dyDescent="0.25">
      <c r="A1617" s="386"/>
      <c r="B1617" s="310"/>
      <c r="C1617" s="311"/>
      <c r="D1617" s="518"/>
      <c r="E1617" s="409"/>
      <c r="F1617" s="312"/>
      <c r="G1617" s="522"/>
      <c r="H1617" s="312"/>
      <c r="I1617" s="455"/>
      <c r="J1617" s="271" t="b">
        <f>Age_Sex23[[#This Row],[Total Spending After Applying Truncation at the Member Level]]+Age_Sex23[[#This Row],[Total Dollars Excluded from Spending After Applying Truncation at the Member Level]]=Age_Sex23[[#This Row],[Total Spending before Truncation is Applied]]</f>
        <v>1</v>
      </c>
    </row>
    <row r="1618" spans="1:10" x14ac:dyDescent="0.25">
      <c r="A1618" s="389"/>
      <c r="B1618" s="4"/>
      <c r="C1618" s="16"/>
      <c r="D1618" s="519"/>
      <c r="E1618" s="410"/>
      <c r="F1618" s="313"/>
      <c r="G1618" s="256"/>
      <c r="H1618" s="313"/>
      <c r="I1618" s="456"/>
      <c r="J1618" s="273" t="b">
        <f>Age_Sex23[[#This Row],[Total Spending After Applying Truncation at the Member Level]]+Age_Sex23[[#This Row],[Total Dollars Excluded from Spending After Applying Truncation at the Member Level]]=Age_Sex23[[#This Row],[Total Spending before Truncation is Applied]]</f>
        <v>1</v>
      </c>
    </row>
    <row r="1619" spans="1:10" x14ac:dyDescent="0.25">
      <c r="A1619" s="386"/>
      <c r="B1619" s="310"/>
      <c r="C1619" s="311"/>
      <c r="D1619" s="518"/>
      <c r="E1619" s="409"/>
      <c r="F1619" s="312"/>
      <c r="G1619" s="522"/>
      <c r="H1619" s="312"/>
      <c r="I1619" s="455"/>
      <c r="J1619" s="271" t="b">
        <f>Age_Sex23[[#This Row],[Total Spending After Applying Truncation at the Member Level]]+Age_Sex23[[#This Row],[Total Dollars Excluded from Spending After Applying Truncation at the Member Level]]=Age_Sex23[[#This Row],[Total Spending before Truncation is Applied]]</f>
        <v>1</v>
      </c>
    </row>
    <row r="1620" spans="1:10" x14ac:dyDescent="0.25">
      <c r="A1620" s="389"/>
      <c r="B1620" s="4"/>
      <c r="C1620" s="16"/>
      <c r="D1620" s="519"/>
      <c r="E1620" s="410"/>
      <c r="F1620" s="313"/>
      <c r="G1620" s="256"/>
      <c r="H1620" s="313"/>
      <c r="I1620" s="456"/>
      <c r="J1620" s="273" t="b">
        <f>Age_Sex23[[#This Row],[Total Spending After Applying Truncation at the Member Level]]+Age_Sex23[[#This Row],[Total Dollars Excluded from Spending After Applying Truncation at the Member Level]]=Age_Sex23[[#This Row],[Total Spending before Truncation is Applied]]</f>
        <v>1</v>
      </c>
    </row>
    <row r="1621" spans="1:10" x14ac:dyDescent="0.25">
      <c r="A1621" s="386"/>
      <c r="B1621" s="310"/>
      <c r="C1621" s="311"/>
      <c r="D1621" s="518"/>
      <c r="E1621" s="409"/>
      <c r="F1621" s="312"/>
      <c r="G1621" s="522"/>
      <c r="H1621" s="312"/>
      <c r="I1621" s="455"/>
      <c r="J1621" s="271" t="b">
        <f>Age_Sex23[[#This Row],[Total Spending After Applying Truncation at the Member Level]]+Age_Sex23[[#This Row],[Total Dollars Excluded from Spending After Applying Truncation at the Member Level]]=Age_Sex23[[#This Row],[Total Spending before Truncation is Applied]]</f>
        <v>1</v>
      </c>
    </row>
    <row r="1622" spans="1:10" x14ac:dyDescent="0.25">
      <c r="A1622" s="389"/>
      <c r="B1622" s="4"/>
      <c r="C1622" s="16"/>
      <c r="D1622" s="519"/>
      <c r="E1622" s="410"/>
      <c r="F1622" s="313"/>
      <c r="G1622" s="256"/>
      <c r="H1622" s="313"/>
      <c r="I1622" s="456"/>
      <c r="J1622" s="273" t="b">
        <f>Age_Sex23[[#This Row],[Total Spending After Applying Truncation at the Member Level]]+Age_Sex23[[#This Row],[Total Dollars Excluded from Spending After Applying Truncation at the Member Level]]=Age_Sex23[[#This Row],[Total Spending before Truncation is Applied]]</f>
        <v>1</v>
      </c>
    </row>
    <row r="1623" spans="1:10" x14ac:dyDescent="0.25">
      <c r="A1623" s="386"/>
      <c r="B1623" s="310"/>
      <c r="C1623" s="311"/>
      <c r="D1623" s="518"/>
      <c r="E1623" s="409"/>
      <c r="F1623" s="312"/>
      <c r="G1623" s="522"/>
      <c r="H1623" s="312"/>
      <c r="I1623" s="455"/>
      <c r="J1623" s="271" t="b">
        <f>Age_Sex23[[#This Row],[Total Spending After Applying Truncation at the Member Level]]+Age_Sex23[[#This Row],[Total Dollars Excluded from Spending After Applying Truncation at the Member Level]]=Age_Sex23[[#This Row],[Total Spending before Truncation is Applied]]</f>
        <v>1</v>
      </c>
    </row>
    <row r="1624" spans="1:10" x14ac:dyDescent="0.25">
      <c r="A1624" s="389"/>
      <c r="B1624" s="4"/>
      <c r="C1624" s="16"/>
      <c r="D1624" s="519"/>
      <c r="E1624" s="410"/>
      <c r="F1624" s="313"/>
      <c r="G1624" s="256"/>
      <c r="H1624" s="313"/>
      <c r="I1624" s="456"/>
      <c r="J1624" s="273" t="b">
        <f>Age_Sex23[[#This Row],[Total Spending After Applying Truncation at the Member Level]]+Age_Sex23[[#This Row],[Total Dollars Excluded from Spending After Applying Truncation at the Member Level]]=Age_Sex23[[#This Row],[Total Spending before Truncation is Applied]]</f>
        <v>1</v>
      </c>
    </row>
    <row r="1625" spans="1:10" x14ac:dyDescent="0.25">
      <c r="A1625" s="386"/>
      <c r="B1625" s="310"/>
      <c r="C1625" s="311"/>
      <c r="D1625" s="518"/>
      <c r="E1625" s="409"/>
      <c r="F1625" s="312"/>
      <c r="G1625" s="522"/>
      <c r="H1625" s="312"/>
      <c r="I1625" s="455"/>
      <c r="J1625" s="271" t="b">
        <f>Age_Sex23[[#This Row],[Total Spending After Applying Truncation at the Member Level]]+Age_Sex23[[#This Row],[Total Dollars Excluded from Spending After Applying Truncation at the Member Level]]=Age_Sex23[[#This Row],[Total Spending before Truncation is Applied]]</f>
        <v>1</v>
      </c>
    </row>
    <row r="1626" spans="1:10" x14ac:dyDescent="0.25">
      <c r="A1626" s="389"/>
      <c r="B1626" s="4"/>
      <c r="C1626" s="16"/>
      <c r="D1626" s="519"/>
      <c r="E1626" s="410"/>
      <c r="F1626" s="313"/>
      <c r="G1626" s="256"/>
      <c r="H1626" s="313"/>
      <c r="I1626" s="456"/>
      <c r="J1626" s="273" t="b">
        <f>Age_Sex23[[#This Row],[Total Spending After Applying Truncation at the Member Level]]+Age_Sex23[[#This Row],[Total Dollars Excluded from Spending After Applying Truncation at the Member Level]]=Age_Sex23[[#This Row],[Total Spending before Truncation is Applied]]</f>
        <v>1</v>
      </c>
    </row>
    <row r="1627" spans="1:10" x14ac:dyDescent="0.25">
      <c r="A1627" s="386"/>
      <c r="B1627" s="310"/>
      <c r="C1627" s="311"/>
      <c r="D1627" s="518"/>
      <c r="E1627" s="409"/>
      <c r="F1627" s="312"/>
      <c r="G1627" s="522"/>
      <c r="H1627" s="312"/>
      <c r="I1627" s="455"/>
      <c r="J1627" s="271" t="b">
        <f>Age_Sex23[[#This Row],[Total Spending After Applying Truncation at the Member Level]]+Age_Sex23[[#This Row],[Total Dollars Excluded from Spending After Applying Truncation at the Member Level]]=Age_Sex23[[#This Row],[Total Spending before Truncation is Applied]]</f>
        <v>1</v>
      </c>
    </row>
    <row r="1628" spans="1:10" x14ac:dyDescent="0.25">
      <c r="A1628" s="389"/>
      <c r="B1628" s="4"/>
      <c r="C1628" s="16"/>
      <c r="D1628" s="519"/>
      <c r="E1628" s="410"/>
      <c r="F1628" s="313"/>
      <c r="G1628" s="256"/>
      <c r="H1628" s="313"/>
      <c r="I1628" s="456"/>
      <c r="J1628" s="273" t="b">
        <f>Age_Sex23[[#This Row],[Total Spending After Applying Truncation at the Member Level]]+Age_Sex23[[#This Row],[Total Dollars Excluded from Spending After Applying Truncation at the Member Level]]=Age_Sex23[[#This Row],[Total Spending before Truncation is Applied]]</f>
        <v>1</v>
      </c>
    </row>
    <row r="1629" spans="1:10" x14ac:dyDescent="0.25">
      <c r="A1629" s="386"/>
      <c r="B1629" s="310"/>
      <c r="C1629" s="311"/>
      <c r="D1629" s="518"/>
      <c r="E1629" s="409"/>
      <c r="F1629" s="312"/>
      <c r="G1629" s="522"/>
      <c r="H1629" s="312"/>
      <c r="I1629" s="455"/>
      <c r="J1629" s="271" t="b">
        <f>Age_Sex23[[#This Row],[Total Spending After Applying Truncation at the Member Level]]+Age_Sex23[[#This Row],[Total Dollars Excluded from Spending After Applying Truncation at the Member Level]]=Age_Sex23[[#This Row],[Total Spending before Truncation is Applied]]</f>
        <v>1</v>
      </c>
    </row>
    <row r="1630" spans="1:10" x14ac:dyDescent="0.25">
      <c r="A1630" s="389"/>
      <c r="B1630" s="4"/>
      <c r="C1630" s="16"/>
      <c r="D1630" s="519"/>
      <c r="E1630" s="410"/>
      <c r="F1630" s="313"/>
      <c r="G1630" s="256"/>
      <c r="H1630" s="313"/>
      <c r="I1630" s="456"/>
      <c r="J1630" s="273" t="b">
        <f>Age_Sex23[[#This Row],[Total Spending After Applying Truncation at the Member Level]]+Age_Sex23[[#This Row],[Total Dollars Excluded from Spending After Applying Truncation at the Member Level]]=Age_Sex23[[#This Row],[Total Spending before Truncation is Applied]]</f>
        <v>1</v>
      </c>
    </row>
    <row r="1631" spans="1:10" x14ac:dyDescent="0.25">
      <c r="A1631" s="386"/>
      <c r="B1631" s="310"/>
      <c r="C1631" s="311"/>
      <c r="D1631" s="518"/>
      <c r="E1631" s="409"/>
      <c r="F1631" s="312"/>
      <c r="G1631" s="522"/>
      <c r="H1631" s="312"/>
      <c r="I1631" s="455"/>
      <c r="J1631" s="271" t="b">
        <f>Age_Sex23[[#This Row],[Total Spending After Applying Truncation at the Member Level]]+Age_Sex23[[#This Row],[Total Dollars Excluded from Spending After Applying Truncation at the Member Level]]=Age_Sex23[[#This Row],[Total Spending before Truncation is Applied]]</f>
        <v>1</v>
      </c>
    </row>
    <row r="1632" spans="1:10" x14ac:dyDescent="0.25">
      <c r="A1632" s="389"/>
      <c r="B1632" s="4"/>
      <c r="C1632" s="16"/>
      <c r="D1632" s="519"/>
      <c r="E1632" s="410"/>
      <c r="F1632" s="313"/>
      <c r="G1632" s="256"/>
      <c r="H1632" s="313"/>
      <c r="I1632" s="456"/>
      <c r="J1632" s="273" t="b">
        <f>Age_Sex23[[#This Row],[Total Spending After Applying Truncation at the Member Level]]+Age_Sex23[[#This Row],[Total Dollars Excluded from Spending After Applying Truncation at the Member Level]]=Age_Sex23[[#This Row],[Total Spending before Truncation is Applied]]</f>
        <v>1</v>
      </c>
    </row>
    <row r="1633" spans="1:10" x14ac:dyDescent="0.25">
      <c r="A1633" s="386"/>
      <c r="B1633" s="310"/>
      <c r="C1633" s="311"/>
      <c r="D1633" s="518"/>
      <c r="E1633" s="409"/>
      <c r="F1633" s="312"/>
      <c r="G1633" s="522"/>
      <c r="H1633" s="312"/>
      <c r="I1633" s="455"/>
      <c r="J1633" s="271" t="b">
        <f>Age_Sex23[[#This Row],[Total Spending After Applying Truncation at the Member Level]]+Age_Sex23[[#This Row],[Total Dollars Excluded from Spending After Applying Truncation at the Member Level]]=Age_Sex23[[#This Row],[Total Spending before Truncation is Applied]]</f>
        <v>1</v>
      </c>
    </row>
    <row r="1634" spans="1:10" x14ac:dyDescent="0.25">
      <c r="A1634" s="389"/>
      <c r="B1634" s="4"/>
      <c r="C1634" s="16"/>
      <c r="D1634" s="519"/>
      <c r="E1634" s="410"/>
      <c r="F1634" s="313"/>
      <c r="G1634" s="256"/>
      <c r="H1634" s="313"/>
      <c r="I1634" s="456"/>
      <c r="J1634" s="273" t="b">
        <f>Age_Sex23[[#This Row],[Total Spending After Applying Truncation at the Member Level]]+Age_Sex23[[#This Row],[Total Dollars Excluded from Spending After Applying Truncation at the Member Level]]=Age_Sex23[[#This Row],[Total Spending before Truncation is Applied]]</f>
        <v>1</v>
      </c>
    </row>
    <row r="1635" spans="1:10" x14ac:dyDescent="0.25">
      <c r="A1635" s="386"/>
      <c r="B1635" s="310"/>
      <c r="C1635" s="311"/>
      <c r="D1635" s="518"/>
      <c r="E1635" s="409"/>
      <c r="F1635" s="312"/>
      <c r="G1635" s="522"/>
      <c r="H1635" s="312"/>
      <c r="I1635" s="455"/>
      <c r="J1635" s="271" t="b">
        <f>Age_Sex23[[#This Row],[Total Spending After Applying Truncation at the Member Level]]+Age_Sex23[[#This Row],[Total Dollars Excluded from Spending After Applying Truncation at the Member Level]]=Age_Sex23[[#This Row],[Total Spending before Truncation is Applied]]</f>
        <v>1</v>
      </c>
    </row>
    <row r="1636" spans="1:10" x14ac:dyDescent="0.25">
      <c r="A1636" s="389"/>
      <c r="B1636" s="4"/>
      <c r="C1636" s="16"/>
      <c r="D1636" s="519"/>
      <c r="E1636" s="410"/>
      <c r="F1636" s="313"/>
      <c r="G1636" s="256"/>
      <c r="H1636" s="313"/>
      <c r="I1636" s="456"/>
      <c r="J1636" s="273" t="b">
        <f>Age_Sex23[[#This Row],[Total Spending After Applying Truncation at the Member Level]]+Age_Sex23[[#This Row],[Total Dollars Excluded from Spending After Applying Truncation at the Member Level]]=Age_Sex23[[#This Row],[Total Spending before Truncation is Applied]]</f>
        <v>1</v>
      </c>
    </row>
    <row r="1637" spans="1:10" x14ac:dyDescent="0.25">
      <c r="A1637" s="386"/>
      <c r="B1637" s="310"/>
      <c r="C1637" s="311"/>
      <c r="D1637" s="518"/>
      <c r="E1637" s="409"/>
      <c r="F1637" s="312"/>
      <c r="G1637" s="522"/>
      <c r="H1637" s="312"/>
      <c r="I1637" s="455"/>
      <c r="J1637" s="271" t="b">
        <f>Age_Sex23[[#This Row],[Total Spending After Applying Truncation at the Member Level]]+Age_Sex23[[#This Row],[Total Dollars Excluded from Spending After Applying Truncation at the Member Level]]=Age_Sex23[[#This Row],[Total Spending before Truncation is Applied]]</f>
        <v>1</v>
      </c>
    </row>
    <row r="1638" spans="1:10" x14ac:dyDescent="0.25">
      <c r="A1638" s="389"/>
      <c r="B1638" s="4"/>
      <c r="C1638" s="16"/>
      <c r="D1638" s="519"/>
      <c r="E1638" s="410"/>
      <c r="F1638" s="313"/>
      <c r="G1638" s="256"/>
      <c r="H1638" s="313"/>
      <c r="I1638" s="456"/>
      <c r="J1638" s="273" t="b">
        <f>Age_Sex23[[#This Row],[Total Spending After Applying Truncation at the Member Level]]+Age_Sex23[[#This Row],[Total Dollars Excluded from Spending After Applying Truncation at the Member Level]]=Age_Sex23[[#This Row],[Total Spending before Truncation is Applied]]</f>
        <v>1</v>
      </c>
    </row>
    <row r="1639" spans="1:10" x14ac:dyDescent="0.25">
      <c r="A1639" s="386"/>
      <c r="B1639" s="310"/>
      <c r="C1639" s="311"/>
      <c r="D1639" s="518"/>
      <c r="E1639" s="409"/>
      <c r="F1639" s="312"/>
      <c r="G1639" s="522"/>
      <c r="H1639" s="312"/>
      <c r="I1639" s="455"/>
      <c r="J1639" s="271" t="b">
        <f>Age_Sex23[[#This Row],[Total Spending After Applying Truncation at the Member Level]]+Age_Sex23[[#This Row],[Total Dollars Excluded from Spending After Applying Truncation at the Member Level]]=Age_Sex23[[#This Row],[Total Spending before Truncation is Applied]]</f>
        <v>1</v>
      </c>
    </row>
    <row r="1640" spans="1:10" x14ac:dyDescent="0.25">
      <c r="A1640" s="389"/>
      <c r="B1640" s="4"/>
      <c r="C1640" s="16"/>
      <c r="D1640" s="519"/>
      <c r="E1640" s="410"/>
      <c r="F1640" s="313"/>
      <c r="G1640" s="256"/>
      <c r="H1640" s="313"/>
      <c r="I1640" s="456"/>
      <c r="J1640" s="273" t="b">
        <f>Age_Sex23[[#This Row],[Total Spending After Applying Truncation at the Member Level]]+Age_Sex23[[#This Row],[Total Dollars Excluded from Spending After Applying Truncation at the Member Level]]=Age_Sex23[[#This Row],[Total Spending before Truncation is Applied]]</f>
        <v>1</v>
      </c>
    </row>
    <row r="1641" spans="1:10" x14ac:dyDescent="0.25">
      <c r="A1641" s="386"/>
      <c r="B1641" s="310"/>
      <c r="C1641" s="311"/>
      <c r="D1641" s="518"/>
      <c r="E1641" s="409"/>
      <c r="F1641" s="312"/>
      <c r="G1641" s="522"/>
      <c r="H1641" s="312"/>
      <c r="I1641" s="455"/>
      <c r="J1641" s="271" t="b">
        <f>Age_Sex23[[#This Row],[Total Spending After Applying Truncation at the Member Level]]+Age_Sex23[[#This Row],[Total Dollars Excluded from Spending After Applying Truncation at the Member Level]]=Age_Sex23[[#This Row],[Total Spending before Truncation is Applied]]</f>
        <v>1</v>
      </c>
    </row>
    <row r="1642" spans="1:10" x14ac:dyDescent="0.25">
      <c r="A1642" s="389"/>
      <c r="B1642" s="4"/>
      <c r="C1642" s="16"/>
      <c r="D1642" s="519"/>
      <c r="E1642" s="410"/>
      <c r="F1642" s="313"/>
      <c r="G1642" s="256"/>
      <c r="H1642" s="313"/>
      <c r="I1642" s="456"/>
      <c r="J1642" s="273" t="b">
        <f>Age_Sex23[[#This Row],[Total Spending After Applying Truncation at the Member Level]]+Age_Sex23[[#This Row],[Total Dollars Excluded from Spending After Applying Truncation at the Member Level]]=Age_Sex23[[#This Row],[Total Spending before Truncation is Applied]]</f>
        <v>1</v>
      </c>
    </row>
    <row r="1643" spans="1:10" x14ac:dyDescent="0.25">
      <c r="A1643" s="386"/>
      <c r="B1643" s="310"/>
      <c r="C1643" s="311"/>
      <c r="D1643" s="518"/>
      <c r="E1643" s="409"/>
      <c r="F1643" s="312"/>
      <c r="G1643" s="522"/>
      <c r="H1643" s="312"/>
      <c r="I1643" s="455"/>
      <c r="J1643" s="271" t="b">
        <f>Age_Sex23[[#This Row],[Total Spending After Applying Truncation at the Member Level]]+Age_Sex23[[#This Row],[Total Dollars Excluded from Spending After Applying Truncation at the Member Level]]=Age_Sex23[[#This Row],[Total Spending before Truncation is Applied]]</f>
        <v>1</v>
      </c>
    </row>
    <row r="1644" spans="1:10" x14ac:dyDescent="0.25">
      <c r="A1644" s="389"/>
      <c r="B1644" s="4"/>
      <c r="C1644" s="16"/>
      <c r="D1644" s="519"/>
      <c r="E1644" s="410"/>
      <c r="F1644" s="313"/>
      <c r="G1644" s="256"/>
      <c r="H1644" s="313"/>
      <c r="I1644" s="456"/>
      <c r="J1644" s="273" t="b">
        <f>Age_Sex23[[#This Row],[Total Spending After Applying Truncation at the Member Level]]+Age_Sex23[[#This Row],[Total Dollars Excluded from Spending After Applying Truncation at the Member Level]]=Age_Sex23[[#This Row],[Total Spending before Truncation is Applied]]</f>
        <v>1</v>
      </c>
    </row>
    <row r="1645" spans="1:10" x14ac:dyDescent="0.25">
      <c r="A1645" s="386"/>
      <c r="B1645" s="310"/>
      <c r="C1645" s="311"/>
      <c r="D1645" s="518"/>
      <c r="E1645" s="409"/>
      <c r="F1645" s="312"/>
      <c r="G1645" s="522"/>
      <c r="H1645" s="312"/>
      <c r="I1645" s="455"/>
      <c r="J1645" s="271" t="b">
        <f>Age_Sex23[[#This Row],[Total Spending After Applying Truncation at the Member Level]]+Age_Sex23[[#This Row],[Total Dollars Excluded from Spending After Applying Truncation at the Member Level]]=Age_Sex23[[#This Row],[Total Spending before Truncation is Applied]]</f>
        <v>1</v>
      </c>
    </row>
    <row r="1646" spans="1:10" x14ac:dyDescent="0.25">
      <c r="A1646" s="389"/>
      <c r="B1646" s="4"/>
      <c r="C1646" s="16"/>
      <c r="D1646" s="519"/>
      <c r="E1646" s="410"/>
      <c r="F1646" s="313"/>
      <c r="G1646" s="256"/>
      <c r="H1646" s="313"/>
      <c r="I1646" s="456"/>
      <c r="J1646" s="273" t="b">
        <f>Age_Sex23[[#This Row],[Total Spending After Applying Truncation at the Member Level]]+Age_Sex23[[#This Row],[Total Dollars Excluded from Spending After Applying Truncation at the Member Level]]=Age_Sex23[[#This Row],[Total Spending before Truncation is Applied]]</f>
        <v>1</v>
      </c>
    </row>
    <row r="1647" spans="1:10" x14ac:dyDescent="0.25">
      <c r="A1647" s="386"/>
      <c r="B1647" s="310"/>
      <c r="C1647" s="311"/>
      <c r="D1647" s="518"/>
      <c r="E1647" s="409"/>
      <c r="F1647" s="312"/>
      <c r="G1647" s="522"/>
      <c r="H1647" s="312"/>
      <c r="I1647" s="455"/>
      <c r="J1647" s="271" t="b">
        <f>Age_Sex23[[#This Row],[Total Spending After Applying Truncation at the Member Level]]+Age_Sex23[[#This Row],[Total Dollars Excluded from Spending After Applying Truncation at the Member Level]]=Age_Sex23[[#This Row],[Total Spending before Truncation is Applied]]</f>
        <v>1</v>
      </c>
    </row>
    <row r="1648" spans="1:10" x14ac:dyDescent="0.25">
      <c r="A1648" s="389"/>
      <c r="B1648" s="4"/>
      <c r="C1648" s="16"/>
      <c r="D1648" s="519"/>
      <c r="E1648" s="410"/>
      <c r="F1648" s="313"/>
      <c r="G1648" s="256"/>
      <c r="H1648" s="313"/>
      <c r="I1648" s="456"/>
      <c r="J1648" s="273" t="b">
        <f>Age_Sex23[[#This Row],[Total Spending After Applying Truncation at the Member Level]]+Age_Sex23[[#This Row],[Total Dollars Excluded from Spending After Applying Truncation at the Member Level]]=Age_Sex23[[#This Row],[Total Spending before Truncation is Applied]]</f>
        <v>1</v>
      </c>
    </row>
    <row r="1649" spans="1:10" x14ac:dyDescent="0.25">
      <c r="A1649" s="386"/>
      <c r="B1649" s="310"/>
      <c r="C1649" s="311"/>
      <c r="D1649" s="518"/>
      <c r="E1649" s="409"/>
      <c r="F1649" s="312"/>
      <c r="G1649" s="522"/>
      <c r="H1649" s="312"/>
      <c r="I1649" s="455"/>
      <c r="J1649" s="271" t="b">
        <f>Age_Sex23[[#This Row],[Total Spending After Applying Truncation at the Member Level]]+Age_Sex23[[#This Row],[Total Dollars Excluded from Spending After Applying Truncation at the Member Level]]=Age_Sex23[[#This Row],[Total Spending before Truncation is Applied]]</f>
        <v>1</v>
      </c>
    </row>
    <row r="1650" spans="1:10" x14ac:dyDescent="0.25">
      <c r="A1650" s="389"/>
      <c r="B1650" s="4"/>
      <c r="C1650" s="16"/>
      <c r="D1650" s="519"/>
      <c r="E1650" s="410"/>
      <c r="F1650" s="313"/>
      <c r="G1650" s="256"/>
      <c r="H1650" s="313"/>
      <c r="I1650" s="456"/>
      <c r="J1650" s="273" t="b">
        <f>Age_Sex23[[#This Row],[Total Spending After Applying Truncation at the Member Level]]+Age_Sex23[[#This Row],[Total Dollars Excluded from Spending After Applying Truncation at the Member Level]]=Age_Sex23[[#This Row],[Total Spending before Truncation is Applied]]</f>
        <v>1</v>
      </c>
    </row>
    <row r="1651" spans="1:10" x14ac:dyDescent="0.25">
      <c r="A1651" s="386"/>
      <c r="B1651" s="310"/>
      <c r="C1651" s="311"/>
      <c r="D1651" s="518"/>
      <c r="E1651" s="409"/>
      <c r="F1651" s="312"/>
      <c r="G1651" s="522"/>
      <c r="H1651" s="312"/>
      <c r="I1651" s="455"/>
      <c r="J1651" s="271" t="b">
        <f>Age_Sex23[[#This Row],[Total Spending After Applying Truncation at the Member Level]]+Age_Sex23[[#This Row],[Total Dollars Excluded from Spending After Applying Truncation at the Member Level]]=Age_Sex23[[#This Row],[Total Spending before Truncation is Applied]]</f>
        <v>1</v>
      </c>
    </row>
    <row r="1652" spans="1:10" x14ac:dyDescent="0.25">
      <c r="A1652" s="389"/>
      <c r="B1652" s="4"/>
      <c r="C1652" s="16"/>
      <c r="D1652" s="519"/>
      <c r="E1652" s="410"/>
      <c r="F1652" s="313"/>
      <c r="G1652" s="256"/>
      <c r="H1652" s="313"/>
      <c r="I1652" s="456"/>
      <c r="J1652" s="273" t="b">
        <f>Age_Sex23[[#This Row],[Total Spending After Applying Truncation at the Member Level]]+Age_Sex23[[#This Row],[Total Dollars Excluded from Spending After Applying Truncation at the Member Level]]=Age_Sex23[[#This Row],[Total Spending before Truncation is Applied]]</f>
        <v>1</v>
      </c>
    </row>
    <row r="1653" spans="1:10" x14ac:dyDescent="0.25">
      <c r="A1653" s="386"/>
      <c r="B1653" s="310"/>
      <c r="C1653" s="311"/>
      <c r="D1653" s="518"/>
      <c r="E1653" s="409"/>
      <c r="F1653" s="312"/>
      <c r="G1653" s="522"/>
      <c r="H1653" s="312"/>
      <c r="I1653" s="455"/>
      <c r="J1653" s="271" t="b">
        <f>Age_Sex23[[#This Row],[Total Spending After Applying Truncation at the Member Level]]+Age_Sex23[[#This Row],[Total Dollars Excluded from Spending After Applying Truncation at the Member Level]]=Age_Sex23[[#This Row],[Total Spending before Truncation is Applied]]</f>
        <v>1</v>
      </c>
    </row>
    <row r="1654" spans="1:10" x14ac:dyDescent="0.25">
      <c r="A1654" s="389"/>
      <c r="B1654" s="4"/>
      <c r="C1654" s="16"/>
      <c r="D1654" s="519"/>
      <c r="E1654" s="410"/>
      <c r="F1654" s="313"/>
      <c r="G1654" s="256"/>
      <c r="H1654" s="313"/>
      <c r="I1654" s="456"/>
      <c r="J1654" s="273" t="b">
        <f>Age_Sex23[[#This Row],[Total Spending After Applying Truncation at the Member Level]]+Age_Sex23[[#This Row],[Total Dollars Excluded from Spending After Applying Truncation at the Member Level]]=Age_Sex23[[#This Row],[Total Spending before Truncation is Applied]]</f>
        <v>1</v>
      </c>
    </row>
    <row r="1655" spans="1:10" x14ac:dyDescent="0.25">
      <c r="A1655" s="386"/>
      <c r="B1655" s="310"/>
      <c r="C1655" s="311"/>
      <c r="D1655" s="518"/>
      <c r="E1655" s="409"/>
      <c r="F1655" s="312"/>
      <c r="G1655" s="522"/>
      <c r="H1655" s="312"/>
      <c r="I1655" s="455"/>
      <c r="J1655" s="271" t="b">
        <f>Age_Sex23[[#This Row],[Total Spending After Applying Truncation at the Member Level]]+Age_Sex23[[#This Row],[Total Dollars Excluded from Spending After Applying Truncation at the Member Level]]=Age_Sex23[[#This Row],[Total Spending before Truncation is Applied]]</f>
        <v>1</v>
      </c>
    </row>
    <row r="1656" spans="1:10" x14ac:dyDescent="0.25">
      <c r="A1656" s="389"/>
      <c r="B1656" s="4"/>
      <c r="C1656" s="16"/>
      <c r="D1656" s="519"/>
      <c r="E1656" s="410"/>
      <c r="F1656" s="313"/>
      <c r="G1656" s="256"/>
      <c r="H1656" s="313"/>
      <c r="I1656" s="456"/>
      <c r="J1656" s="273" t="b">
        <f>Age_Sex23[[#This Row],[Total Spending After Applying Truncation at the Member Level]]+Age_Sex23[[#This Row],[Total Dollars Excluded from Spending After Applying Truncation at the Member Level]]=Age_Sex23[[#This Row],[Total Spending before Truncation is Applied]]</f>
        <v>1</v>
      </c>
    </row>
    <row r="1657" spans="1:10" x14ac:dyDescent="0.25">
      <c r="A1657" s="386"/>
      <c r="B1657" s="310"/>
      <c r="C1657" s="311"/>
      <c r="D1657" s="518"/>
      <c r="E1657" s="409"/>
      <c r="F1657" s="312"/>
      <c r="G1657" s="522"/>
      <c r="H1657" s="312"/>
      <c r="I1657" s="455"/>
      <c r="J1657" s="271" t="b">
        <f>Age_Sex23[[#This Row],[Total Spending After Applying Truncation at the Member Level]]+Age_Sex23[[#This Row],[Total Dollars Excluded from Spending After Applying Truncation at the Member Level]]=Age_Sex23[[#This Row],[Total Spending before Truncation is Applied]]</f>
        <v>1</v>
      </c>
    </row>
    <row r="1658" spans="1:10" x14ac:dyDescent="0.25">
      <c r="A1658" s="389"/>
      <c r="B1658" s="4"/>
      <c r="C1658" s="16"/>
      <c r="D1658" s="519"/>
      <c r="E1658" s="410"/>
      <c r="F1658" s="313"/>
      <c r="G1658" s="256"/>
      <c r="H1658" s="313"/>
      <c r="I1658" s="456"/>
      <c r="J1658" s="273" t="b">
        <f>Age_Sex23[[#This Row],[Total Spending After Applying Truncation at the Member Level]]+Age_Sex23[[#This Row],[Total Dollars Excluded from Spending After Applying Truncation at the Member Level]]=Age_Sex23[[#This Row],[Total Spending before Truncation is Applied]]</f>
        <v>1</v>
      </c>
    </row>
    <row r="1659" spans="1:10" x14ac:dyDescent="0.25">
      <c r="A1659" s="386"/>
      <c r="B1659" s="310"/>
      <c r="C1659" s="311"/>
      <c r="D1659" s="518"/>
      <c r="E1659" s="409"/>
      <c r="F1659" s="312"/>
      <c r="G1659" s="522"/>
      <c r="H1659" s="312"/>
      <c r="I1659" s="455"/>
      <c r="J1659" s="271" t="b">
        <f>Age_Sex23[[#This Row],[Total Spending After Applying Truncation at the Member Level]]+Age_Sex23[[#This Row],[Total Dollars Excluded from Spending After Applying Truncation at the Member Level]]=Age_Sex23[[#This Row],[Total Spending before Truncation is Applied]]</f>
        <v>1</v>
      </c>
    </row>
    <row r="1660" spans="1:10" x14ac:dyDescent="0.25">
      <c r="A1660" s="389"/>
      <c r="B1660" s="4"/>
      <c r="C1660" s="16"/>
      <c r="D1660" s="519"/>
      <c r="E1660" s="410"/>
      <c r="F1660" s="313"/>
      <c r="G1660" s="256"/>
      <c r="H1660" s="313"/>
      <c r="I1660" s="456"/>
      <c r="J1660" s="273" t="b">
        <f>Age_Sex23[[#This Row],[Total Spending After Applying Truncation at the Member Level]]+Age_Sex23[[#This Row],[Total Dollars Excluded from Spending After Applying Truncation at the Member Level]]=Age_Sex23[[#This Row],[Total Spending before Truncation is Applied]]</f>
        <v>1</v>
      </c>
    </row>
    <row r="1661" spans="1:10" x14ac:dyDescent="0.25">
      <c r="A1661" s="386"/>
      <c r="B1661" s="310"/>
      <c r="C1661" s="311"/>
      <c r="D1661" s="518"/>
      <c r="E1661" s="409"/>
      <c r="F1661" s="312"/>
      <c r="G1661" s="522"/>
      <c r="H1661" s="312"/>
      <c r="I1661" s="455"/>
      <c r="J1661" s="271" t="b">
        <f>Age_Sex23[[#This Row],[Total Spending After Applying Truncation at the Member Level]]+Age_Sex23[[#This Row],[Total Dollars Excluded from Spending After Applying Truncation at the Member Level]]=Age_Sex23[[#This Row],[Total Spending before Truncation is Applied]]</f>
        <v>1</v>
      </c>
    </row>
    <row r="1662" spans="1:10" x14ac:dyDescent="0.25">
      <c r="A1662" s="389"/>
      <c r="B1662" s="4"/>
      <c r="C1662" s="16"/>
      <c r="D1662" s="519"/>
      <c r="E1662" s="410"/>
      <c r="F1662" s="313"/>
      <c r="G1662" s="256"/>
      <c r="H1662" s="313"/>
      <c r="I1662" s="456"/>
      <c r="J1662" s="273" t="b">
        <f>Age_Sex23[[#This Row],[Total Spending After Applying Truncation at the Member Level]]+Age_Sex23[[#This Row],[Total Dollars Excluded from Spending After Applying Truncation at the Member Level]]=Age_Sex23[[#This Row],[Total Spending before Truncation is Applied]]</f>
        <v>1</v>
      </c>
    </row>
    <row r="1663" spans="1:10" x14ac:dyDescent="0.25">
      <c r="A1663" s="386"/>
      <c r="B1663" s="310"/>
      <c r="C1663" s="311"/>
      <c r="D1663" s="518"/>
      <c r="E1663" s="409"/>
      <c r="F1663" s="312"/>
      <c r="G1663" s="522"/>
      <c r="H1663" s="312"/>
      <c r="I1663" s="455"/>
      <c r="J1663" s="271" t="b">
        <f>Age_Sex23[[#This Row],[Total Spending After Applying Truncation at the Member Level]]+Age_Sex23[[#This Row],[Total Dollars Excluded from Spending After Applying Truncation at the Member Level]]=Age_Sex23[[#This Row],[Total Spending before Truncation is Applied]]</f>
        <v>1</v>
      </c>
    </row>
    <row r="1664" spans="1:10" x14ac:dyDescent="0.25">
      <c r="A1664" s="389"/>
      <c r="B1664" s="4"/>
      <c r="C1664" s="16"/>
      <c r="D1664" s="519"/>
      <c r="E1664" s="410"/>
      <c r="F1664" s="313"/>
      <c r="G1664" s="256"/>
      <c r="H1664" s="313"/>
      <c r="I1664" s="456"/>
      <c r="J1664" s="273" t="b">
        <f>Age_Sex23[[#This Row],[Total Spending After Applying Truncation at the Member Level]]+Age_Sex23[[#This Row],[Total Dollars Excluded from Spending After Applying Truncation at the Member Level]]=Age_Sex23[[#This Row],[Total Spending before Truncation is Applied]]</f>
        <v>1</v>
      </c>
    </row>
    <row r="1665" spans="1:10" x14ac:dyDescent="0.25">
      <c r="A1665" s="386"/>
      <c r="B1665" s="310"/>
      <c r="C1665" s="311"/>
      <c r="D1665" s="518"/>
      <c r="E1665" s="409"/>
      <c r="F1665" s="312"/>
      <c r="G1665" s="522"/>
      <c r="H1665" s="312"/>
      <c r="I1665" s="455"/>
      <c r="J1665" s="271" t="b">
        <f>Age_Sex23[[#This Row],[Total Spending After Applying Truncation at the Member Level]]+Age_Sex23[[#This Row],[Total Dollars Excluded from Spending After Applying Truncation at the Member Level]]=Age_Sex23[[#This Row],[Total Spending before Truncation is Applied]]</f>
        <v>1</v>
      </c>
    </row>
    <row r="1666" spans="1:10" x14ac:dyDescent="0.25">
      <c r="A1666" s="389"/>
      <c r="B1666" s="4"/>
      <c r="C1666" s="16"/>
      <c r="D1666" s="519"/>
      <c r="E1666" s="410"/>
      <c r="F1666" s="313"/>
      <c r="G1666" s="256"/>
      <c r="H1666" s="313"/>
      <c r="I1666" s="456"/>
      <c r="J1666" s="273" t="b">
        <f>Age_Sex23[[#This Row],[Total Spending After Applying Truncation at the Member Level]]+Age_Sex23[[#This Row],[Total Dollars Excluded from Spending After Applying Truncation at the Member Level]]=Age_Sex23[[#This Row],[Total Spending before Truncation is Applied]]</f>
        <v>1</v>
      </c>
    </row>
    <row r="1667" spans="1:10" x14ac:dyDescent="0.25">
      <c r="A1667" s="386"/>
      <c r="B1667" s="310"/>
      <c r="C1667" s="311"/>
      <c r="D1667" s="518"/>
      <c r="E1667" s="409"/>
      <c r="F1667" s="312"/>
      <c r="G1667" s="522"/>
      <c r="H1667" s="312"/>
      <c r="I1667" s="455"/>
      <c r="J1667" s="271" t="b">
        <f>Age_Sex23[[#This Row],[Total Spending After Applying Truncation at the Member Level]]+Age_Sex23[[#This Row],[Total Dollars Excluded from Spending After Applying Truncation at the Member Level]]=Age_Sex23[[#This Row],[Total Spending before Truncation is Applied]]</f>
        <v>1</v>
      </c>
    </row>
    <row r="1668" spans="1:10" x14ac:dyDescent="0.25">
      <c r="A1668" s="389"/>
      <c r="B1668" s="4"/>
      <c r="C1668" s="16"/>
      <c r="D1668" s="519"/>
      <c r="E1668" s="410"/>
      <c r="F1668" s="313"/>
      <c r="G1668" s="256"/>
      <c r="H1668" s="313"/>
      <c r="I1668" s="456"/>
      <c r="J1668" s="273" t="b">
        <f>Age_Sex23[[#This Row],[Total Spending After Applying Truncation at the Member Level]]+Age_Sex23[[#This Row],[Total Dollars Excluded from Spending After Applying Truncation at the Member Level]]=Age_Sex23[[#This Row],[Total Spending before Truncation is Applied]]</f>
        <v>1</v>
      </c>
    </row>
    <row r="1669" spans="1:10" x14ac:dyDescent="0.25">
      <c r="A1669" s="386"/>
      <c r="B1669" s="310"/>
      <c r="C1669" s="311"/>
      <c r="D1669" s="518"/>
      <c r="E1669" s="409"/>
      <c r="F1669" s="312"/>
      <c r="G1669" s="522"/>
      <c r="H1669" s="312"/>
      <c r="I1669" s="455"/>
      <c r="J1669" s="271" t="b">
        <f>Age_Sex23[[#This Row],[Total Spending After Applying Truncation at the Member Level]]+Age_Sex23[[#This Row],[Total Dollars Excluded from Spending After Applying Truncation at the Member Level]]=Age_Sex23[[#This Row],[Total Spending before Truncation is Applied]]</f>
        <v>1</v>
      </c>
    </row>
    <row r="1670" spans="1:10" x14ac:dyDescent="0.25">
      <c r="A1670" s="389"/>
      <c r="B1670" s="4"/>
      <c r="C1670" s="16"/>
      <c r="D1670" s="519"/>
      <c r="E1670" s="410"/>
      <c r="F1670" s="313"/>
      <c r="G1670" s="256"/>
      <c r="H1670" s="313"/>
      <c r="I1670" s="456"/>
      <c r="J1670" s="273" t="b">
        <f>Age_Sex23[[#This Row],[Total Spending After Applying Truncation at the Member Level]]+Age_Sex23[[#This Row],[Total Dollars Excluded from Spending After Applying Truncation at the Member Level]]=Age_Sex23[[#This Row],[Total Spending before Truncation is Applied]]</f>
        <v>1</v>
      </c>
    </row>
    <row r="1671" spans="1:10" x14ac:dyDescent="0.25">
      <c r="A1671" s="386"/>
      <c r="B1671" s="310"/>
      <c r="C1671" s="311"/>
      <c r="D1671" s="518"/>
      <c r="E1671" s="409"/>
      <c r="F1671" s="312"/>
      <c r="G1671" s="522"/>
      <c r="H1671" s="312"/>
      <c r="I1671" s="455"/>
      <c r="J1671" s="271" t="b">
        <f>Age_Sex23[[#This Row],[Total Spending After Applying Truncation at the Member Level]]+Age_Sex23[[#This Row],[Total Dollars Excluded from Spending After Applying Truncation at the Member Level]]=Age_Sex23[[#This Row],[Total Spending before Truncation is Applied]]</f>
        <v>1</v>
      </c>
    </row>
    <row r="1672" spans="1:10" x14ac:dyDescent="0.25">
      <c r="A1672" s="389"/>
      <c r="B1672" s="4"/>
      <c r="C1672" s="16"/>
      <c r="D1672" s="519"/>
      <c r="E1672" s="410"/>
      <c r="F1672" s="313"/>
      <c r="G1672" s="256"/>
      <c r="H1672" s="313"/>
      <c r="I1672" s="456"/>
      <c r="J1672" s="273" t="b">
        <f>Age_Sex23[[#This Row],[Total Spending After Applying Truncation at the Member Level]]+Age_Sex23[[#This Row],[Total Dollars Excluded from Spending After Applying Truncation at the Member Level]]=Age_Sex23[[#This Row],[Total Spending before Truncation is Applied]]</f>
        <v>1</v>
      </c>
    </row>
    <row r="1673" spans="1:10" x14ac:dyDescent="0.25">
      <c r="A1673" s="386"/>
      <c r="B1673" s="310"/>
      <c r="C1673" s="311"/>
      <c r="D1673" s="518"/>
      <c r="E1673" s="409"/>
      <c r="F1673" s="312"/>
      <c r="G1673" s="522"/>
      <c r="H1673" s="312"/>
      <c r="I1673" s="455"/>
      <c r="J1673" s="271" t="b">
        <f>Age_Sex23[[#This Row],[Total Spending After Applying Truncation at the Member Level]]+Age_Sex23[[#This Row],[Total Dollars Excluded from Spending After Applying Truncation at the Member Level]]=Age_Sex23[[#This Row],[Total Spending before Truncation is Applied]]</f>
        <v>1</v>
      </c>
    </row>
    <row r="1674" spans="1:10" x14ac:dyDescent="0.25">
      <c r="A1674" s="389"/>
      <c r="B1674" s="4"/>
      <c r="C1674" s="16"/>
      <c r="D1674" s="519"/>
      <c r="E1674" s="410"/>
      <c r="F1674" s="313"/>
      <c r="G1674" s="256"/>
      <c r="H1674" s="313"/>
      <c r="I1674" s="456"/>
      <c r="J1674" s="273" t="b">
        <f>Age_Sex23[[#This Row],[Total Spending After Applying Truncation at the Member Level]]+Age_Sex23[[#This Row],[Total Dollars Excluded from Spending After Applying Truncation at the Member Level]]=Age_Sex23[[#This Row],[Total Spending before Truncation is Applied]]</f>
        <v>1</v>
      </c>
    </row>
    <row r="1675" spans="1:10" x14ac:dyDescent="0.25">
      <c r="A1675" s="386"/>
      <c r="B1675" s="310"/>
      <c r="C1675" s="311"/>
      <c r="D1675" s="518"/>
      <c r="E1675" s="409"/>
      <c r="F1675" s="312"/>
      <c r="G1675" s="522"/>
      <c r="H1675" s="312"/>
      <c r="I1675" s="455"/>
      <c r="J1675" s="271" t="b">
        <f>Age_Sex23[[#This Row],[Total Spending After Applying Truncation at the Member Level]]+Age_Sex23[[#This Row],[Total Dollars Excluded from Spending After Applying Truncation at the Member Level]]=Age_Sex23[[#This Row],[Total Spending before Truncation is Applied]]</f>
        <v>1</v>
      </c>
    </row>
    <row r="1676" spans="1:10" x14ac:dyDescent="0.25">
      <c r="A1676" s="389"/>
      <c r="B1676" s="4"/>
      <c r="C1676" s="16"/>
      <c r="D1676" s="519"/>
      <c r="E1676" s="410"/>
      <c r="F1676" s="313"/>
      <c r="G1676" s="256"/>
      <c r="H1676" s="313"/>
      <c r="I1676" s="456"/>
      <c r="J1676" s="273" t="b">
        <f>Age_Sex23[[#This Row],[Total Spending After Applying Truncation at the Member Level]]+Age_Sex23[[#This Row],[Total Dollars Excluded from Spending After Applying Truncation at the Member Level]]=Age_Sex23[[#This Row],[Total Spending before Truncation is Applied]]</f>
        <v>1</v>
      </c>
    </row>
    <row r="1677" spans="1:10" x14ac:dyDescent="0.25">
      <c r="A1677" s="386"/>
      <c r="B1677" s="310"/>
      <c r="C1677" s="311"/>
      <c r="D1677" s="518"/>
      <c r="E1677" s="409"/>
      <c r="F1677" s="312"/>
      <c r="G1677" s="522"/>
      <c r="H1677" s="312"/>
      <c r="I1677" s="455"/>
      <c r="J1677" s="271" t="b">
        <f>Age_Sex23[[#This Row],[Total Spending After Applying Truncation at the Member Level]]+Age_Sex23[[#This Row],[Total Dollars Excluded from Spending After Applying Truncation at the Member Level]]=Age_Sex23[[#This Row],[Total Spending before Truncation is Applied]]</f>
        <v>1</v>
      </c>
    </row>
    <row r="1678" spans="1:10" x14ac:dyDescent="0.25">
      <c r="A1678" s="389"/>
      <c r="B1678" s="4"/>
      <c r="C1678" s="16"/>
      <c r="D1678" s="519"/>
      <c r="E1678" s="410"/>
      <c r="F1678" s="313"/>
      <c r="G1678" s="256"/>
      <c r="H1678" s="313"/>
      <c r="I1678" s="456"/>
      <c r="J1678" s="273" t="b">
        <f>Age_Sex23[[#This Row],[Total Spending After Applying Truncation at the Member Level]]+Age_Sex23[[#This Row],[Total Dollars Excluded from Spending After Applying Truncation at the Member Level]]=Age_Sex23[[#This Row],[Total Spending before Truncation is Applied]]</f>
        <v>1</v>
      </c>
    </row>
    <row r="1679" spans="1:10" x14ac:dyDescent="0.25">
      <c r="A1679" s="386"/>
      <c r="B1679" s="310"/>
      <c r="C1679" s="311"/>
      <c r="D1679" s="518"/>
      <c r="E1679" s="409"/>
      <c r="F1679" s="312"/>
      <c r="G1679" s="522"/>
      <c r="H1679" s="312"/>
      <c r="I1679" s="455"/>
      <c r="J1679" s="271" t="b">
        <f>Age_Sex23[[#This Row],[Total Spending After Applying Truncation at the Member Level]]+Age_Sex23[[#This Row],[Total Dollars Excluded from Spending After Applying Truncation at the Member Level]]=Age_Sex23[[#This Row],[Total Spending before Truncation is Applied]]</f>
        <v>1</v>
      </c>
    </row>
    <row r="1680" spans="1:10" x14ac:dyDescent="0.25">
      <c r="A1680" s="389"/>
      <c r="B1680" s="4"/>
      <c r="C1680" s="16"/>
      <c r="D1680" s="519"/>
      <c r="E1680" s="410"/>
      <c r="F1680" s="313"/>
      <c r="G1680" s="256"/>
      <c r="H1680" s="313"/>
      <c r="I1680" s="456"/>
      <c r="J1680" s="273" t="b">
        <f>Age_Sex23[[#This Row],[Total Spending After Applying Truncation at the Member Level]]+Age_Sex23[[#This Row],[Total Dollars Excluded from Spending After Applying Truncation at the Member Level]]=Age_Sex23[[#This Row],[Total Spending before Truncation is Applied]]</f>
        <v>1</v>
      </c>
    </row>
    <row r="1681" spans="1:10" x14ac:dyDescent="0.25">
      <c r="A1681" s="386"/>
      <c r="B1681" s="310"/>
      <c r="C1681" s="311"/>
      <c r="D1681" s="518"/>
      <c r="E1681" s="409"/>
      <c r="F1681" s="312"/>
      <c r="G1681" s="522"/>
      <c r="H1681" s="312"/>
      <c r="I1681" s="455"/>
      <c r="J1681" s="271" t="b">
        <f>Age_Sex23[[#This Row],[Total Spending After Applying Truncation at the Member Level]]+Age_Sex23[[#This Row],[Total Dollars Excluded from Spending After Applying Truncation at the Member Level]]=Age_Sex23[[#This Row],[Total Spending before Truncation is Applied]]</f>
        <v>1</v>
      </c>
    </row>
    <row r="1682" spans="1:10" x14ac:dyDescent="0.25">
      <c r="A1682" s="389"/>
      <c r="B1682" s="4"/>
      <c r="C1682" s="16"/>
      <c r="D1682" s="519"/>
      <c r="E1682" s="410"/>
      <c r="F1682" s="313"/>
      <c r="G1682" s="256"/>
      <c r="H1682" s="313"/>
      <c r="I1682" s="456"/>
      <c r="J1682" s="273" t="b">
        <f>Age_Sex23[[#This Row],[Total Spending After Applying Truncation at the Member Level]]+Age_Sex23[[#This Row],[Total Dollars Excluded from Spending After Applying Truncation at the Member Level]]=Age_Sex23[[#This Row],[Total Spending before Truncation is Applied]]</f>
        <v>1</v>
      </c>
    </row>
    <row r="1683" spans="1:10" x14ac:dyDescent="0.25">
      <c r="A1683" s="386"/>
      <c r="B1683" s="310"/>
      <c r="C1683" s="311"/>
      <c r="D1683" s="518"/>
      <c r="E1683" s="409"/>
      <c r="F1683" s="312"/>
      <c r="G1683" s="522"/>
      <c r="H1683" s="312"/>
      <c r="I1683" s="455"/>
      <c r="J1683" s="271" t="b">
        <f>Age_Sex23[[#This Row],[Total Spending After Applying Truncation at the Member Level]]+Age_Sex23[[#This Row],[Total Dollars Excluded from Spending After Applying Truncation at the Member Level]]=Age_Sex23[[#This Row],[Total Spending before Truncation is Applied]]</f>
        <v>1</v>
      </c>
    </row>
    <row r="1684" spans="1:10" x14ac:dyDescent="0.25">
      <c r="A1684" s="389"/>
      <c r="B1684" s="4"/>
      <c r="C1684" s="16"/>
      <c r="D1684" s="519"/>
      <c r="E1684" s="410"/>
      <c r="F1684" s="313"/>
      <c r="G1684" s="256"/>
      <c r="H1684" s="313"/>
      <c r="I1684" s="456"/>
      <c r="J1684" s="273" t="b">
        <f>Age_Sex23[[#This Row],[Total Spending After Applying Truncation at the Member Level]]+Age_Sex23[[#This Row],[Total Dollars Excluded from Spending After Applying Truncation at the Member Level]]=Age_Sex23[[#This Row],[Total Spending before Truncation is Applied]]</f>
        <v>1</v>
      </c>
    </row>
    <row r="1685" spans="1:10" x14ac:dyDescent="0.25">
      <c r="A1685" s="386"/>
      <c r="B1685" s="310"/>
      <c r="C1685" s="311"/>
      <c r="D1685" s="518"/>
      <c r="E1685" s="409"/>
      <c r="F1685" s="312"/>
      <c r="G1685" s="522"/>
      <c r="H1685" s="312"/>
      <c r="I1685" s="455"/>
      <c r="J1685" s="271" t="b">
        <f>Age_Sex23[[#This Row],[Total Spending After Applying Truncation at the Member Level]]+Age_Sex23[[#This Row],[Total Dollars Excluded from Spending After Applying Truncation at the Member Level]]=Age_Sex23[[#This Row],[Total Spending before Truncation is Applied]]</f>
        <v>1</v>
      </c>
    </row>
    <row r="1686" spans="1:10" x14ac:dyDescent="0.25">
      <c r="A1686" s="389"/>
      <c r="B1686" s="4"/>
      <c r="C1686" s="16"/>
      <c r="D1686" s="519"/>
      <c r="E1686" s="410"/>
      <c r="F1686" s="313"/>
      <c r="G1686" s="256"/>
      <c r="H1686" s="313"/>
      <c r="I1686" s="456"/>
      <c r="J1686" s="273" t="b">
        <f>Age_Sex23[[#This Row],[Total Spending After Applying Truncation at the Member Level]]+Age_Sex23[[#This Row],[Total Dollars Excluded from Spending After Applying Truncation at the Member Level]]=Age_Sex23[[#This Row],[Total Spending before Truncation is Applied]]</f>
        <v>1</v>
      </c>
    </row>
    <row r="1687" spans="1:10" x14ac:dyDescent="0.25">
      <c r="A1687" s="386"/>
      <c r="B1687" s="310"/>
      <c r="C1687" s="311"/>
      <c r="D1687" s="518"/>
      <c r="E1687" s="409"/>
      <c r="F1687" s="312"/>
      <c r="G1687" s="522"/>
      <c r="H1687" s="312"/>
      <c r="I1687" s="455"/>
      <c r="J1687" s="271" t="b">
        <f>Age_Sex23[[#This Row],[Total Spending After Applying Truncation at the Member Level]]+Age_Sex23[[#This Row],[Total Dollars Excluded from Spending After Applying Truncation at the Member Level]]=Age_Sex23[[#This Row],[Total Spending before Truncation is Applied]]</f>
        <v>1</v>
      </c>
    </row>
    <row r="1688" spans="1:10" x14ac:dyDescent="0.25">
      <c r="A1688" s="389"/>
      <c r="B1688" s="4"/>
      <c r="C1688" s="16"/>
      <c r="D1688" s="519"/>
      <c r="E1688" s="410"/>
      <c r="F1688" s="313"/>
      <c r="G1688" s="256"/>
      <c r="H1688" s="313"/>
      <c r="I1688" s="456"/>
      <c r="J1688" s="273" t="b">
        <f>Age_Sex23[[#This Row],[Total Spending After Applying Truncation at the Member Level]]+Age_Sex23[[#This Row],[Total Dollars Excluded from Spending After Applying Truncation at the Member Level]]=Age_Sex23[[#This Row],[Total Spending before Truncation is Applied]]</f>
        <v>1</v>
      </c>
    </row>
    <row r="1689" spans="1:10" x14ac:dyDescent="0.25">
      <c r="A1689" s="386"/>
      <c r="B1689" s="310"/>
      <c r="C1689" s="311"/>
      <c r="D1689" s="518"/>
      <c r="E1689" s="409"/>
      <c r="F1689" s="312"/>
      <c r="G1689" s="522"/>
      <c r="H1689" s="312"/>
      <c r="I1689" s="455"/>
      <c r="J1689" s="271" t="b">
        <f>Age_Sex23[[#This Row],[Total Spending After Applying Truncation at the Member Level]]+Age_Sex23[[#This Row],[Total Dollars Excluded from Spending After Applying Truncation at the Member Level]]=Age_Sex23[[#This Row],[Total Spending before Truncation is Applied]]</f>
        <v>1</v>
      </c>
    </row>
    <row r="1690" spans="1:10" x14ac:dyDescent="0.25">
      <c r="A1690" s="389"/>
      <c r="B1690" s="4"/>
      <c r="C1690" s="16"/>
      <c r="D1690" s="519"/>
      <c r="E1690" s="410"/>
      <c r="F1690" s="313"/>
      <c r="G1690" s="256"/>
      <c r="H1690" s="313"/>
      <c r="I1690" s="456"/>
      <c r="J1690" s="273" t="b">
        <f>Age_Sex23[[#This Row],[Total Spending After Applying Truncation at the Member Level]]+Age_Sex23[[#This Row],[Total Dollars Excluded from Spending After Applying Truncation at the Member Level]]=Age_Sex23[[#This Row],[Total Spending before Truncation is Applied]]</f>
        <v>1</v>
      </c>
    </row>
    <row r="1691" spans="1:10" x14ac:dyDescent="0.25">
      <c r="A1691" s="386"/>
      <c r="B1691" s="310"/>
      <c r="C1691" s="311"/>
      <c r="D1691" s="518"/>
      <c r="E1691" s="409"/>
      <c r="F1691" s="312"/>
      <c r="G1691" s="522"/>
      <c r="H1691" s="312"/>
      <c r="I1691" s="455"/>
      <c r="J1691" s="271" t="b">
        <f>Age_Sex23[[#This Row],[Total Spending After Applying Truncation at the Member Level]]+Age_Sex23[[#This Row],[Total Dollars Excluded from Spending After Applying Truncation at the Member Level]]=Age_Sex23[[#This Row],[Total Spending before Truncation is Applied]]</f>
        <v>1</v>
      </c>
    </row>
    <row r="1692" spans="1:10" x14ac:dyDescent="0.25">
      <c r="A1692" s="389"/>
      <c r="B1692" s="4"/>
      <c r="C1692" s="16"/>
      <c r="D1692" s="519"/>
      <c r="E1692" s="410"/>
      <c r="F1692" s="313"/>
      <c r="G1692" s="256"/>
      <c r="H1692" s="313"/>
      <c r="I1692" s="456"/>
      <c r="J1692" s="273" t="b">
        <f>Age_Sex23[[#This Row],[Total Spending After Applying Truncation at the Member Level]]+Age_Sex23[[#This Row],[Total Dollars Excluded from Spending After Applying Truncation at the Member Level]]=Age_Sex23[[#This Row],[Total Spending before Truncation is Applied]]</f>
        <v>1</v>
      </c>
    </row>
    <row r="1693" spans="1:10" x14ac:dyDescent="0.25">
      <c r="A1693" s="386"/>
      <c r="B1693" s="310"/>
      <c r="C1693" s="311"/>
      <c r="D1693" s="518"/>
      <c r="E1693" s="409"/>
      <c r="F1693" s="312"/>
      <c r="G1693" s="522"/>
      <c r="H1693" s="312"/>
      <c r="I1693" s="455"/>
      <c r="J1693" s="271" t="b">
        <f>Age_Sex23[[#This Row],[Total Spending After Applying Truncation at the Member Level]]+Age_Sex23[[#This Row],[Total Dollars Excluded from Spending After Applying Truncation at the Member Level]]=Age_Sex23[[#This Row],[Total Spending before Truncation is Applied]]</f>
        <v>1</v>
      </c>
    </row>
    <row r="1694" spans="1:10" x14ac:dyDescent="0.25">
      <c r="A1694" s="389"/>
      <c r="B1694" s="4"/>
      <c r="C1694" s="16"/>
      <c r="D1694" s="519"/>
      <c r="E1694" s="410"/>
      <c r="F1694" s="313"/>
      <c r="G1694" s="256"/>
      <c r="H1694" s="313"/>
      <c r="I1694" s="456"/>
      <c r="J1694" s="273" t="b">
        <f>Age_Sex23[[#This Row],[Total Spending After Applying Truncation at the Member Level]]+Age_Sex23[[#This Row],[Total Dollars Excluded from Spending After Applying Truncation at the Member Level]]=Age_Sex23[[#This Row],[Total Spending before Truncation is Applied]]</f>
        <v>1</v>
      </c>
    </row>
    <row r="1695" spans="1:10" x14ac:dyDescent="0.25">
      <c r="A1695" s="386"/>
      <c r="B1695" s="310"/>
      <c r="C1695" s="311"/>
      <c r="D1695" s="518"/>
      <c r="E1695" s="409"/>
      <c r="F1695" s="312"/>
      <c r="G1695" s="522"/>
      <c r="H1695" s="312"/>
      <c r="I1695" s="455"/>
      <c r="J1695" s="271" t="b">
        <f>Age_Sex23[[#This Row],[Total Spending After Applying Truncation at the Member Level]]+Age_Sex23[[#This Row],[Total Dollars Excluded from Spending After Applying Truncation at the Member Level]]=Age_Sex23[[#This Row],[Total Spending before Truncation is Applied]]</f>
        <v>1</v>
      </c>
    </row>
    <row r="1696" spans="1:10" x14ac:dyDescent="0.25">
      <c r="A1696" s="389"/>
      <c r="B1696" s="4"/>
      <c r="C1696" s="16"/>
      <c r="D1696" s="519"/>
      <c r="E1696" s="410"/>
      <c r="F1696" s="313"/>
      <c r="G1696" s="256"/>
      <c r="H1696" s="313"/>
      <c r="I1696" s="456"/>
      <c r="J1696" s="273" t="b">
        <f>Age_Sex23[[#This Row],[Total Spending After Applying Truncation at the Member Level]]+Age_Sex23[[#This Row],[Total Dollars Excluded from Spending After Applying Truncation at the Member Level]]=Age_Sex23[[#This Row],[Total Spending before Truncation is Applied]]</f>
        <v>1</v>
      </c>
    </row>
    <row r="1697" spans="1:10" x14ac:dyDescent="0.25">
      <c r="A1697" s="386"/>
      <c r="B1697" s="310"/>
      <c r="C1697" s="311"/>
      <c r="D1697" s="518"/>
      <c r="E1697" s="409"/>
      <c r="F1697" s="312"/>
      <c r="G1697" s="522"/>
      <c r="H1697" s="312"/>
      <c r="I1697" s="455"/>
      <c r="J1697" s="271" t="b">
        <f>Age_Sex23[[#This Row],[Total Spending After Applying Truncation at the Member Level]]+Age_Sex23[[#This Row],[Total Dollars Excluded from Spending After Applying Truncation at the Member Level]]=Age_Sex23[[#This Row],[Total Spending before Truncation is Applied]]</f>
        <v>1</v>
      </c>
    </row>
    <row r="1698" spans="1:10" x14ac:dyDescent="0.25">
      <c r="A1698" s="389"/>
      <c r="B1698" s="4"/>
      <c r="C1698" s="16"/>
      <c r="D1698" s="519"/>
      <c r="E1698" s="410"/>
      <c r="F1698" s="313"/>
      <c r="G1698" s="256"/>
      <c r="H1698" s="313"/>
      <c r="I1698" s="456"/>
      <c r="J1698" s="273" t="b">
        <f>Age_Sex23[[#This Row],[Total Spending After Applying Truncation at the Member Level]]+Age_Sex23[[#This Row],[Total Dollars Excluded from Spending After Applying Truncation at the Member Level]]=Age_Sex23[[#This Row],[Total Spending before Truncation is Applied]]</f>
        <v>1</v>
      </c>
    </row>
    <row r="1699" spans="1:10" x14ac:dyDescent="0.25">
      <c r="A1699" s="386"/>
      <c r="B1699" s="310"/>
      <c r="C1699" s="311"/>
      <c r="D1699" s="518"/>
      <c r="E1699" s="409"/>
      <c r="F1699" s="312"/>
      <c r="G1699" s="522"/>
      <c r="H1699" s="312"/>
      <c r="I1699" s="455"/>
      <c r="J1699" s="271" t="b">
        <f>Age_Sex23[[#This Row],[Total Spending After Applying Truncation at the Member Level]]+Age_Sex23[[#This Row],[Total Dollars Excluded from Spending After Applying Truncation at the Member Level]]=Age_Sex23[[#This Row],[Total Spending before Truncation is Applied]]</f>
        <v>1</v>
      </c>
    </row>
    <row r="1700" spans="1:10" x14ac:dyDescent="0.25">
      <c r="A1700" s="389"/>
      <c r="B1700" s="4"/>
      <c r="C1700" s="16"/>
      <c r="D1700" s="519"/>
      <c r="E1700" s="410"/>
      <c r="F1700" s="313"/>
      <c r="G1700" s="256"/>
      <c r="H1700" s="313"/>
      <c r="I1700" s="456"/>
      <c r="J1700" s="273" t="b">
        <f>Age_Sex23[[#This Row],[Total Spending After Applying Truncation at the Member Level]]+Age_Sex23[[#This Row],[Total Dollars Excluded from Spending After Applying Truncation at the Member Level]]=Age_Sex23[[#This Row],[Total Spending before Truncation is Applied]]</f>
        <v>1</v>
      </c>
    </row>
    <row r="1701" spans="1:10" x14ac:dyDescent="0.25">
      <c r="A1701" s="386"/>
      <c r="B1701" s="310"/>
      <c r="C1701" s="311"/>
      <c r="D1701" s="518"/>
      <c r="E1701" s="409"/>
      <c r="F1701" s="312"/>
      <c r="G1701" s="522"/>
      <c r="H1701" s="312"/>
      <c r="I1701" s="455"/>
      <c r="J1701" s="271" t="b">
        <f>Age_Sex23[[#This Row],[Total Spending After Applying Truncation at the Member Level]]+Age_Sex23[[#This Row],[Total Dollars Excluded from Spending After Applying Truncation at the Member Level]]=Age_Sex23[[#This Row],[Total Spending before Truncation is Applied]]</f>
        <v>1</v>
      </c>
    </row>
    <row r="1702" spans="1:10" x14ac:dyDescent="0.25">
      <c r="A1702" s="389"/>
      <c r="B1702" s="4"/>
      <c r="C1702" s="16"/>
      <c r="D1702" s="519"/>
      <c r="E1702" s="410"/>
      <c r="F1702" s="313"/>
      <c r="G1702" s="256"/>
      <c r="H1702" s="313"/>
      <c r="I1702" s="456"/>
      <c r="J1702" s="273" t="b">
        <f>Age_Sex23[[#This Row],[Total Spending After Applying Truncation at the Member Level]]+Age_Sex23[[#This Row],[Total Dollars Excluded from Spending After Applying Truncation at the Member Level]]=Age_Sex23[[#This Row],[Total Spending before Truncation is Applied]]</f>
        <v>1</v>
      </c>
    </row>
    <row r="1703" spans="1:10" x14ac:dyDescent="0.25">
      <c r="A1703" s="386"/>
      <c r="B1703" s="310"/>
      <c r="C1703" s="311"/>
      <c r="D1703" s="518"/>
      <c r="E1703" s="409"/>
      <c r="F1703" s="312"/>
      <c r="G1703" s="522"/>
      <c r="H1703" s="312"/>
      <c r="I1703" s="455"/>
      <c r="J1703" s="271" t="b">
        <f>Age_Sex23[[#This Row],[Total Spending After Applying Truncation at the Member Level]]+Age_Sex23[[#This Row],[Total Dollars Excluded from Spending After Applying Truncation at the Member Level]]=Age_Sex23[[#This Row],[Total Spending before Truncation is Applied]]</f>
        <v>1</v>
      </c>
    </row>
    <row r="1704" spans="1:10" x14ac:dyDescent="0.25">
      <c r="A1704" s="389"/>
      <c r="B1704" s="4"/>
      <c r="C1704" s="16"/>
      <c r="D1704" s="519"/>
      <c r="E1704" s="410"/>
      <c r="F1704" s="313"/>
      <c r="G1704" s="256"/>
      <c r="H1704" s="313"/>
      <c r="I1704" s="456"/>
      <c r="J1704" s="273" t="b">
        <f>Age_Sex23[[#This Row],[Total Spending After Applying Truncation at the Member Level]]+Age_Sex23[[#This Row],[Total Dollars Excluded from Spending After Applying Truncation at the Member Level]]=Age_Sex23[[#This Row],[Total Spending before Truncation is Applied]]</f>
        <v>1</v>
      </c>
    </row>
    <row r="1705" spans="1:10" x14ac:dyDescent="0.25">
      <c r="A1705" s="386"/>
      <c r="B1705" s="310"/>
      <c r="C1705" s="311"/>
      <c r="D1705" s="518"/>
      <c r="E1705" s="409"/>
      <c r="F1705" s="312"/>
      <c r="G1705" s="522"/>
      <c r="H1705" s="312"/>
      <c r="I1705" s="455"/>
      <c r="J1705" s="271" t="b">
        <f>Age_Sex23[[#This Row],[Total Spending After Applying Truncation at the Member Level]]+Age_Sex23[[#This Row],[Total Dollars Excluded from Spending After Applying Truncation at the Member Level]]=Age_Sex23[[#This Row],[Total Spending before Truncation is Applied]]</f>
        <v>1</v>
      </c>
    </row>
    <row r="1706" spans="1:10" x14ac:dyDescent="0.25">
      <c r="A1706" s="389"/>
      <c r="B1706" s="4"/>
      <c r="C1706" s="16"/>
      <c r="D1706" s="519"/>
      <c r="E1706" s="410"/>
      <c r="F1706" s="313"/>
      <c r="G1706" s="256"/>
      <c r="H1706" s="313"/>
      <c r="I1706" s="456"/>
      <c r="J1706" s="273" t="b">
        <f>Age_Sex23[[#This Row],[Total Spending After Applying Truncation at the Member Level]]+Age_Sex23[[#This Row],[Total Dollars Excluded from Spending After Applying Truncation at the Member Level]]=Age_Sex23[[#This Row],[Total Spending before Truncation is Applied]]</f>
        <v>1</v>
      </c>
    </row>
    <row r="1707" spans="1:10" x14ac:dyDescent="0.25">
      <c r="A1707" s="386"/>
      <c r="B1707" s="310"/>
      <c r="C1707" s="311"/>
      <c r="D1707" s="518"/>
      <c r="E1707" s="409"/>
      <c r="F1707" s="312"/>
      <c r="G1707" s="522"/>
      <c r="H1707" s="312"/>
      <c r="I1707" s="455"/>
      <c r="J1707" s="271" t="b">
        <f>Age_Sex23[[#This Row],[Total Spending After Applying Truncation at the Member Level]]+Age_Sex23[[#This Row],[Total Dollars Excluded from Spending After Applying Truncation at the Member Level]]=Age_Sex23[[#This Row],[Total Spending before Truncation is Applied]]</f>
        <v>1</v>
      </c>
    </row>
    <row r="1708" spans="1:10" x14ac:dyDescent="0.25">
      <c r="A1708" s="389"/>
      <c r="B1708" s="4"/>
      <c r="C1708" s="16"/>
      <c r="D1708" s="519"/>
      <c r="E1708" s="410"/>
      <c r="F1708" s="313"/>
      <c r="G1708" s="256"/>
      <c r="H1708" s="313"/>
      <c r="I1708" s="456"/>
      <c r="J1708" s="273" t="b">
        <f>Age_Sex23[[#This Row],[Total Spending After Applying Truncation at the Member Level]]+Age_Sex23[[#This Row],[Total Dollars Excluded from Spending After Applying Truncation at the Member Level]]=Age_Sex23[[#This Row],[Total Spending before Truncation is Applied]]</f>
        <v>1</v>
      </c>
    </row>
    <row r="1709" spans="1:10" x14ac:dyDescent="0.25">
      <c r="A1709" s="386"/>
      <c r="B1709" s="310"/>
      <c r="C1709" s="311"/>
      <c r="D1709" s="518"/>
      <c r="E1709" s="409"/>
      <c r="F1709" s="312"/>
      <c r="G1709" s="522"/>
      <c r="H1709" s="312"/>
      <c r="I1709" s="455"/>
      <c r="J1709" s="271" t="b">
        <f>Age_Sex23[[#This Row],[Total Spending After Applying Truncation at the Member Level]]+Age_Sex23[[#This Row],[Total Dollars Excluded from Spending After Applying Truncation at the Member Level]]=Age_Sex23[[#This Row],[Total Spending before Truncation is Applied]]</f>
        <v>1</v>
      </c>
    </row>
    <row r="1710" spans="1:10" x14ac:dyDescent="0.25">
      <c r="A1710" s="389"/>
      <c r="B1710" s="4"/>
      <c r="C1710" s="16"/>
      <c r="D1710" s="519"/>
      <c r="E1710" s="410"/>
      <c r="F1710" s="313"/>
      <c r="G1710" s="256"/>
      <c r="H1710" s="313"/>
      <c r="I1710" s="456"/>
      <c r="J1710" s="273" t="b">
        <f>Age_Sex23[[#This Row],[Total Spending After Applying Truncation at the Member Level]]+Age_Sex23[[#This Row],[Total Dollars Excluded from Spending After Applying Truncation at the Member Level]]=Age_Sex23[[#This Row],[Total Spending before Truncation is Applied]]</f>
        <v>1</v>
      </c>
    </row>
    <row r="1711" spans="1:10" x14ac:dyDescent="0.25">
      <c r="A1711" s="386"/>
      <c r="B1711" s="310"/>
      <c r="C1711" s="311"/>
      <c r="D1711" s="518"/>
      <c r="E1711" s="409"/>
      <c r="F1711" s="312"/>
      <c r="G1711" s="522"/>
      <c r="H1711" s="312"/>
      <c r="I1711" s="455"/>
      <c r="J1711" s="271" t="b">
        <f>Age_Sex23[[#This Row],[Total Spending After Applying Truncation at the Member Level]]+Age_Sex23[[#This Row],[Total Dollars Excluded from Spending After Applying Truncation at the Member Level]]=Age_Sex23[[#This Row],[Total Spending before Truncation is Applied]]</f>
        <v>1</v>
      </c>
    </row>
    <row r="1712" spans="1:10" x14ac:dyDescent="0.25">
      <c r="A1712" s="389"/>
      <c r="B1712" s="4"/>
      <c r="C1712" s="16"/>
      <c r="D1712" s="519"/>
      <c r="E1712" s="410"/>
      <c r="F1712" s="313"/>
      <c r="G1712" s="256"/>
      <c r="H1712" s="313"/>
      <c r="I1712" s="456"/>
      <c r="J1712" s="273" t="b">
        <f>Age_Sex23[[#This Row],[Total Spending After Applying Truncation at the Member Level]]+Age_Sex23[[#This Row],[Total Dollars Excluded from Spending After Applying Truncation at the Member Level]]=Age_Sex23[[#This Row],[Total Spending before Truncation is Applied]]</f>
        <v>1</v>
      </c>
    </row>
    <row r="1713" spans="1:10" x14ac:dyDescent="0.25">
      <c r="A1713" s="386"/>
      <c r="B1713" s="310"/>
      <c r="C1713" s="311"/>
      <c r="D1713" s="518"/>
      <c r="E1713" s="409"/>
      <c r="F1713" s="312"/>
      <c r="G1713" s="522"/>
      <c r="H1713" s="312"/>
      <c r="I1713" s="455"/>
      <c r="J1713" s="271" t="b">
        <f>Age_Sex23[[#This Row],[Total Spending After Applying Truncation at the Member Level]]+Age_Sex23[[#This Row],[Total Dollars Excluded from Spending After Applying Truncation at the Member Level]]=Age_Sex23[[#This Row],[Total Spending before Truncation is Applied]]</f>
        <v>1</v>
      </c>
    </row>
    <row r="1714" spans="1:10" x14ac:dyDescent="0.25">
      <c r="A1714" s="389"/>
      <c r="B1714" s="4"/>
      <c r="C1714" s="16"/>
      <c r="D1714" s="519"/>
      <c r="E1714" s="410"/>
      <c r="F1714" s="313"/>
      <c r="G1714" s="256"/>
      <c r="H1714" s="313"/>
      <c r="I1714" s="456"/>
      <c r="J1714" s="273" t="b">
        <f>Age_Sex23[[#This Row],[Total Spending After Applying Truncation at the Member Level]]+Age_Sex23[[#This Row],[Total Dollars Excluded from Spending After Applying Truncation at the Member Level]]=Age_Sex23[[#This Row],[Total Spending before Truncation is Applied]]</f>
        <v>1</v>
      </c>
    </row>
    <row r="1715" spans="1:10" x14ac:dyDescent="0.25">
      <c r="A1715" s="386"/>
      <c r="B1715" s="310"/>
      <c r="C1715" s="311"/>
      <c r="D1715" s="518"/>
      <c r="E1715" s="409"/>
      <c r="F1715" s="312"/>
      <c r="G1715" s="522"/>
      <c r="H1715" s="312"/>
      <c r="I1715" s="455"/>
      <c r="J1715" s="271" t="b">
        <f>Age_Sex23[[#This Row],[Total Spending After Applying Truncation at the Member Level]]+Age_Sex23[[#This Row],[Total Dollars Excluded from Spending After Applying Truncation at the Member Level]]=Age_Sex23[[#This Row],[Total Spending before Truncation is Applied]]</f>
        <v>1</v>
      </c>
    </row>
    <row r="1716" spans="1:10" x14ac:dyDescent="0.25">
      <c r="A1716" s="389"/>
      <c r="B1716" s="4"/>
      <c r="C1716" s="16"/>
      <c r="D1716" s="519"/>
      <c r="E1716" s="410"/>
      <c r="F1716" s="313"/>
      <c r="G1716" s="256"/>
      <c r="H1716" s="313"/>
      <c r="I1716" s="456"/>
      <c r="J1716" s="273" t="b">
        <f>Age_Sex23[[#This Row],[Total Spending After Applying Truncation at the Member Level]]+Age_Sex23[[#This Row],[Total Dollars Excluded from Spending After Applying Truncation at the Member Level]]=Age_Sex23[[#This Row],[Total Spending before Truncation is Applied]]</f>
        <v>1</v>
      </c>
    </row>
    <row r="1717" spans="1:10" x14ac:dyDescent="0.25">
      <c r="A1717" s="386"/>
      <c r="B1717" s="310"/>
      <c r="C1717" s="311"/>
      <c r="D1717" s="518"/>
      <c r="E1717" s="409"/>
      <c r="F1717" s="312"/>
      <c r="G1717" s="522"/>
      <c r="H1717" s="312"/>
      <c r="I1717" s="455"/>
      <c r="J1717" s="271" t="b">
        <f>Age_Sex23[[#This Row],[Total Spending After Applying Truncation at the Member Level]]+Age_Sex23[[#This Row],[Total Dollars Excluded from Spending After Applying Truncation at the Member Level]]=Age_Sex23[[#This Row],[Total Spending before Truncation is Applied]]</f>
        <v>1</v>
      </c>
    </row>
    <row r="1718" spans="1:10" x14ac:dyDescent="0.25">
      <c r="A1718" s="389"/>
      <c r="B1718" s="4"/>
      <c r="C1718" s="16"/>
      <c r="D1718" s="519"/>
      <c r="E1718" s="410"/>
      <c r="F1718" s="313"/>
      <c r="G1718" s="256"/>
      <c r="H1718" s="313"/>
      <c r="I1718" s="456"/>
      <c r="J1718" s="273" t="b">
        <f>Age_Sex23[[#This Row],[Total Spending After Applying Truncation at the Member Level]]+Age_Sex23[[#This Row],[Total Dollars Excluded from Spending After Applying Truncation at the Member Level]]=Age_Sex23[[#This Row],[Total Spending before Truncation is Applied]]</f>
        <v>1</v>
      </c>
    </row>
    <row r="1719" spans="1:10" x14ac:dyDescent="0.25">
      <c r="A1719" s="386"/>
      <c r="B1719" s="310"/>
      <c r="C1719" s="311"/>
      <c r="D1719" s="518"/>
      <c r="E1719" s="409"/>
      <c r="F1719" s="312"/>
      <c r="G1719" s="522"/>
      <c r="H1719" s="312"/>
      <c r="I1719" s="455"/>
      <c r="J1719" s="271" t="b">
        <f>Age_Sex23[[#This Row],[Total Spending After Applying Truncation at the Member Level]]+Age_Sex23[[#This Row],[Total Dollars Excluded from Spending After Applying Truncation at the Member Level]]=Age_Sex23[[#This Row],[Total Spending before Truncation is Applied]]</f>
        <v>1</v>
      </c>
    </row>
    <row r="1720" spans="1:10" x14ac:dyDescent="0.25">
      <c r="A1720" s="389"/>
      <c r="B1720" s="4"/>
      <c r="C1720" s="16"/>
      <c r="D1720" s="519"/>
      <c r="E1720" s="410"/>
      <c r="F1720" s="313"/>
      <c r="G1720" s="256"/>
      <c r="H1720" s="313"/>
      <c r="I1720" s="456"/>
      <c r="J1720" s="273" t="b">
        <f>Age_Sex23[[#This Row],[Total Spending After Applying Truncation at the Member Level]]+Age_Sex23[[#This Row],[Total Dollars Excluded from Spending After Applying Truncation at the Member Level]]=Age_Sex23[[#This Row],[Total Spending before Truncation is Applied]]</f>
        <v>1</v>
      </c>
    </row>
    <row r="1721" spans="1:10" x14ac:dyDescent="0.25">
      <c r="A1721" s="386"/>
      <c r="B1721" s="310"/>
      <c r="C1721" s="311"/>
      <c r="D1721" s="518"/>
      <c r="E1721" s="409"/>
      <c r="F1721" s="312"/>
      <c r="G1721" s="522"/>
      <c r="H1721" s="312"/>
      <c r="I1721" s="455"/>
      <c r="J1721" s="271" t="b">
        <f>Age_Sex23[[#This Row],[Total Spending After Applying Truncation at the Member Level]]+Age_Sex23[[#This Row],[Total Dollars Excluded from Spending After Applying Truncation at the Member Level]]=Age_Sex23[[#This Row],[Total Spending before Truncation is Applied]]</f>
        <v>1</v>
      </c>
    </row>
    <row r="1722" spans="1:10" x14ac:dyDescent="0.25">
      <c r="A1722" s="389"/>
      <c r="B1722" s="4"/>
      <c r="C1722" s="16"/>
      <c r="D1722" s="519"/>
      <c r="E1722" s="410"/>
      <c r="F1722" s="313"/>
      <c r="G1722" s="256"/>
      <c r="H1722" s="313"/>
      <c r="I1722" s="456"/>
      <c r="J1722" s="273" t="b">
        <f>Age_Sex23[[#This Row],[Total Spending After Applying Truncation at the Member Level]]+Age_Sex23[[#This Row],[Total Dollars Excluded from Spending After Applying Truncation at the Member Level]]=Age_Sex23[[#This Row],[Total Spending before Truncation is Applied]]</f>
        <v>1</v>
      </c>
    </row>
    <row r="1723" spans="1:10" x14ac:dyDescent="0.25">
      <c r="A1723" s="386"/>
      <c r="B1723" s="310"/>
      <c r="C1723" s="311"/>
      <c r="D1723" s="518"/>
      <c r="E1723" s="409"/>
      <c r="F1723" s="312"/>
      <c r="G1723" s="522"/>
      <c r="H1723" s="312"/>
      <c r="I1723" s="455"/>
      <c r="J1723" s="271" t="b">
        <f>Age_Sex23[[#This Row],[Total Spending After Applying Truncation at the Member Level]]+Age_Sex23[[#This Row],[Total Dollars Excluded from Spending After Applying Truncation at the Member Level]]=Age_Sex23[[#This Row],[Total Spending before Truncation is Applied]]</f>
        <v>1</v>
      </c>
    </row>
    <row r="1724" spans="1:10" x14ac:dyDescent="0.25">
      <c r="A1724" s="389"/>
      <c r="B1724" s="4"/>
      <c r="C1724" s="16"/>
      <c r="D1724" s="519"/>
      <c r="E1724" s="410"/>
      <c r="F1724" s="313"/>
      <c r="G1724" s="256"/>
      <c r="H1724" s="313"/>
      <c r="I1724" s="456"/>
      <c r="J1724" s="273" t="b">
        <f>Age_Sex23[[#This Row],[Total Spending After Applying Truncation at the Member Level]]+Age_Sex23[[#This Row],[Total Dollars Excluded from Spending After Applying Truncation at the Member Level]]=Age_Sex23[[#This Row],[Total Spending before Truncation is Applied]]</f>
        <v>1</v>
      </c>
    </row>
    <row r="1725" spans="1:10" x14ac:dyDescent="0.25">
      <c r="A1725" s="386"/>
      <c r="B1725" s="310"/>
      <c r="C1725" s="311"/>
      <c r="D1725" s="518"/>
      <c r="E1725" s="409"/>
      <c r="F1725" s="312"/>
      <c r="G1725" s="522"/>
      <c r="H1725" s="312"/>
      <c r="I1725" s="455"/>
      <c r="J1725" s="271" t="b">
        <f>Age_Sex23[[#This Row],[Total Spending After Applying Truncation at the Member Level]]+Age_Sex23[[#This Row],[Total Dollars Excluded from Spending After Applying Truncation at the Member Level]]=Age_Sex23[[#This Row],[Total Spending before Truncation is Applied]]</f>
        <v>1</v>
      </c>
    </row>
    <row r="1726" spans="1:10" x14ac:dyDescent="0.25">
      <c r="A1726" s="389"/>
      <c r="B1726" s="4"/>
      <c r="C1726" s="16"/>
      <c r="D1726" s="519"/>
      <c r="E1726" s="410"/>
      <c r="F1726" s="313"/>
      <c r="G1726" s="256"/>
      <c r="H1726" s="313"/>
      <c r="I1726" s="456"/>
      <c r="J1726" s="273" t="b">
        <f>Age_Sex23[[#This Row],[Total Spending After Applying Truncation at the Member Level]]+Age_Sex23[[#This Row],[Total Dollars Excluded from Spending After Applying Truncation at the Member Level]]=Age_Sex23[[#This Row],[Total Spending before Truncation is Applied]]</f>
        <v>1</v>
      </c>
    </row>
    <row r="1727" spans="1:10" x14ac:dyDescent="0.25">
      <c r="A1727" s="386"/>
      <c r="B1727" s="310"/>
      <c r="C1727" s="311"/>
      <c r="D1727" s="518"/>
      <c r="E1727" s="409"/>
      <c r="F1727" s="312"/>
      <c r="G1727" s="522"/>
      <c r="H1727" s="312"/>
      <c r="I1727" s="455"/>
      <c r="J1727" s="271" t="b">
        <f>Age_Sex23[[#This Row],[Total Spending After Applying Truncation at the Member Level]]+Age_Sex23[[#This Row],[Total Dollars Excluded from Spending After Applying Truncation at the Member Level]]=Age_Sex23[[#This Row],[Total Spending before Truncation is Applied]]</f>
        <v>1</v>
      </c>
    </row>
    <row r="1728" spans="1:10" x14ac:dyDescent="0.25">
      <c r="A1728" s="389"/>
      <c r="B1728" s="4"/>
      <c r="C1728" s="16"/>
      <c r="D1728" s="519"/>
      <c r="E1728" s="410"/>
      <c r="F1728" s="313"/>
      <c r="G1728" s="256"/>
      <c r="H1728" s="313"/>
      <c r="I1728" s="456"/>
      <c r="J1728" s="273" t="b">
        <f>Age_Sex23[[#This Row],[Total Spending After Applying Truncation at the Member Level]]+Age_Sex23[[#This Row],[Total Dollars Excluded from Spending After Applying Truncation at the Member Level]]=Age_Sex23[[#This Row],[Total Spending before Truncation is Applied]]</f>
        <v>1</v>
      </c>
    </row>
    <row r="1729" spans="1:10" x14ac:dyDescent="0.25">
      <c r="A1729" s="386"/>
      <c r="B1729" s="310"/>
      <c r="C1729" s="311"/>
      <c r="D1729" s="518"/>
      <c r="E1729" s="409"/>
      <c r="F1729" s="312"/>
      <c r="G1729" s="522"/>
      <c r="H1729" s="312"/>
      <c r="I1729" s="455"/>
      <c r="J1729" s="271" t="b">
        <f>Age_Sex23[[#This Row],[Total Spending After Applying Truncation at the Member Level]]+Age_Sex23[[#This Row],[Total Dollars Excluded from Spending After Applying Truncation at the Member Level]]=Age_Sex23[[#This Row],[Total Spending before Truncation is Applied]]</f>
        <v>1</v>
      </c>
    </row>
    <row r="1730" spans="1:10" x14ac:dyDescent="0.25">
      <c r="A1730" s="389"/>
      <c r="B1730" s="4"/>
      <c r="C1730" s="16"/>
      <c r="D1730" s="519"/>
      <c r="E1730" s="410"/>
      <c r="F1730" s="313"/>
      <c r="G1730" s="256"/>
      <c r="H1730" s="313"/>
      <c r="I1730" s="456"/>
      <c r="J1730" s="273" t="b">
        <f>Age_Sex23[[#This Row],[Total Spending After Applying Truncation at the Member Level]]+Age_Sex23[[#This Row],[Total Dollars Excluded from Spending After Applying Truncation at the Member Level]]=Age_Sex23[[#This Row],[Total Spending before Truncation is Applied]]</f>
        <v>1</v>
      </c>
    </row>
    <row r="1731" spans="1:10" x14ac:dyDescent="0.25">
      <c r="A1731" s="386"/>
      <c r="B1731" s="310"/>
      <c r="C1731" s="311"/>
      <c r="D1731" s="518"/>
      <c r="E1731" s="409"/>
      <c r="F1731" s="312"/>
      <c r="G1731" s="522"/>
      <c r="H1731" s="312"/>
      <c r="I1731" s="455"/>
      <c r="J1731" s="271" t="b">
        <f>Age_Sex23[[#This Row],[Total Spending After Applying Truncation at the Member Level]]+Age_Sex23[[#This Row],[Total Dollars Excluded from Spending After Applying Truncation at the Member Level]]=Age_Sex23[[#This Row],[Total Spending before Truncation is Applied]]</f>
        <v>1</v>
      </c>
    </row>
    <row r="1732" spans="1:10" x14ac:dyDescent="0.25">
      <c r="A1732" s="389"/>
      <c r="B1732" s="4"/>
      <c r="C1732" s="16"/>
      <c r="D1732" s="519"/>
      <c r="E1732" s="410"/>
      <c r="F1732" s="313"/>
      <c r="G1732" s="256"/>
      <c r="H1732" s="313"/>
      <c r="I1732" s="456"/>
      <c r="J1732" s="273" t="b">
        <f>Age_Sex23[[#This Row],[Total Spending After Applying Truncation at the Member Level]]+Age_Sex23[[#This Row],[Total Dollars Excluded from Spending After Applying Truncation at the Member Level]]=Age_Sex23[[#This Row],[Total Spending before Truncation is Applied]]</f>
        <v>1</v>
      </c>
    </row>
    <row r="1733" spans="1:10" x14ac:dyDescent="0.25">
      <c r="A1733" s="386"/>
      <c r="B1733" s="310"/>
      <c r="C1733" s="311"/>
      <c r="D1733" s="518"/>
      <c r="E1733" s="409"/>
      <c r="F1733" s="312"/>
      <c r="G1733" s="522"/>
      <c r="H1733" s="312"/>
      <c r="I1733" s="455"/>
      <c r="J1733" s="271" t="b">
        <f>Age_Sex23[[#This Row],[Total Spending After Applying Truncation at the Member Level]]+Age_Sex23[[#This Row],[Total Dollars Excluded from Spending After Applying Truncation at the Member Level]]=Age_Sex23[[#This Row],[Total Spending before Truncation is Applied]]</f>
        <v>1</v>
      </c>
    </row>
    <row r="1734" spans="1:10" x14ac:dyDescent="0.25">
      <c r="A1734" s="389"/>
      <c r="B1734" s="4"/>
      <c r="C1734" s="16"/>
      <c r="D1734" s="519"/>
      <c r="E1734" s="410"/>
      <c r="F1734" s="313"/>
      <c r="G1734" s="256"/>
      <c r="H1734" s="313"/>
      <c r="I1734" s="456"/>
      <c r="J1734" s="273" t="b">
        <f>Age_Sex23[[#This Row],[Total Spending After Applying Truncation at the Member Level]]+Age_Sex23[[#This Row],[Total Dollars Excluded from Spending After Applying Truncation at the Member Level]]=Age_Sex23[[#This Row],[Total Spending before Truncation is Applied]]</f>
        <v>1</v>
      </c>
    </row>
    <row r="1735" spans="1:10" x14ac:dyDescent="0.25">
      <c r="A1735" s="386"/>
      <c r="B1735" s="310"/>
      <c r="C1735" s="311"/>
      <c r="D1735" s="518"/>
      <c r="E1735" s="409"/>
      <c r="F1735" s="312"/>
      <c r="G1735" s="522"/>
      <c r="H1735" s="312"/>
      <c r="I1735" s="455"/>
      <c r="J1735" s="271" t="b">
        <f>Age_Sex23[[#This Row],[Total Spending After Applying Truncation at the Member Level]]+Age_Sex23[[#This Row],[Total Dollars Excluded from Spending After Applying Truncation at the Member Level]]=Age_Sex23[[#This Row],[Total Spending before Truncation is Applied]]</f>
        <v>1</v>
      </c>
    </row>
    <row r="1736" spans="1:10" x14ac:dyDescent="0.25">
      <c r="A1736" s="389"/>
      <c r="B1736" s="4"/>
      <c r="C1736" s="16"/>
      <c r="D1736" s="519"/>
      <c r="E1736" s="410"/>
      <c r="F1736" s="313"/>
      <c r="G1736" s="256"/>
      <c r="H1736" s="313"/>
      <c r="I1736" s="456"/>
      <c r="J1736" s="273" t="b">
        <f>Age_Sex23[[#This Row],[Total Spending After Applying Truncation at the Member Level]]+Age_Sex23[[#This Row],[Total Dollars Excluded from Spending After Applying Truncation at the Member Level]]=Age_Sex23[[#This Row],[Total Spending before Truncation is Applied]]</f>
        <v>1</v>
      </c>
    </row>
    <row r="1737" spans="1:10" x14ac:dyDescent="0.25">
      <c r="A1737" s="386"/>
      <c r="B1737" s="310"/>
      <c r="C1737" s="311"/>
      <c r="D1737" s="518"/>
      <c r="E1737" s="409"/>
      <c r="F1737" s="312"/>
      <c r="G1737" s="522"/>
      <c r="H1737" s="312"/>
      <c r="I1737" s="455"/>
      <c r="J1737" s="271" t="b">
        <f>Age_Sex23[[#This Row],[Total Spending After Applying Truncation at the Member Level]]+Age_Sex23[[#This Row],[Total Dollars Excluded from Spending After Applying Truncation at the Member Level]]=Age_Sex23[[#This Row],[Total Spending before Truncation is Applied]]</f>
        <v>1</v>
      </c>
    </row>
    <row r="1738" spans="1:10" x14ac:dyDescent="0.25">
      <c r="A1738" s="389"/>
      <c r="B1738" s="4"/>
      <c r="C1738" s="16"/>
      <c r="D1738" s="519"/>
      <c r="E1738" s="410"/>
      <c r="F1738" s="313"/>
      <c r="G1738" s="256"/>
      <c r="H1738" s="313"/>
      <c r="I1738" s="456"/>
      <c r="J1738" s="273" t="b">
        <f>Age_Sex23[[#This Row],[Total Spending After Applying Truncation at the Member Level]]+Age_Sex23[[#This Row],[Total Dollars Excluded from Spending After Applying Truncation at the Member Level]]=Age_Sex23[[#This Row],[Total Spending before Truncation is Applied]]</f>
        <v>1</v>
      </c>
    </row>
    <row r="1739" spans="1:10" x14ac:dyDescent="0.25">
      <c r="A1739" s="386"/>
      <c r="B1739" s="310"/>
      <c r="C1739" s="311"/>
      <c r="D1739" s="518"/>
      <c r="E1739" s="409"/>
      <c r="F1739" s="312"/>
      <c r="G1739" s="522"/>
      <c r="H1739" s="312"/>
      <c r="I1739" s="455"/>
      <c r="J1739" s="271" t="b">
        <f>Age_Sex23[[#This Row],[Total Spending After Applying Truncation at the Member Level]]+Age_Sex23[[#This Row],[Total Dollars Excluded from Spending After Applying Truncation at the Member Level]]=Age_Sex23[[#This Row],[Total Spending before Truncation is Applied]]</f>
        <v>1</v>
      </c>
    </row>
    <row r="1740" spans="1:10" x14ac:dyDescent="0.25">
      <c r="A1740" s="389"/>
      <c r="B1740" s="4"/>
      <c r="C1740" s="16"/>
      <c r="D1740" s="519"/>
      <c r="E1740" s="410"/>
      <c r="F1740" s="313"/>
      <c r="G1740" s="256"/>
      <c r="H1740" s="313"/>
      <c r="I1740" s="456"/>
      <c r="J1740" s="273" t="b">
        <f>Age_Sex23[[#This Row],[Total Spending After Applying Truncation at the Member Level]]+Age_Sex23[[#This Row],[Total Dollars Excluded from Spending After Applying Truncation at the Member Level]]=Age_Sex23[[#This Row],[Total Spending before Truncation is Applied]]</f>
        <v>1</v>
      </c>
    </row>
    <row r="1741" spans="1:10" x14ac:dyDescent="0.25">
      <c r="A1741" s="386"/>
      <c r="B1741" s="310"/>
      <c r="C1741" s="311"/>
      <c r="D1741" s="518"/>
      <c r="E1741" s="409"/>
      <c r="F1741" s="312"/>
      <c r="G1741" s="522"/>
      <c r="H1741" s="312"/>
      <c r="I1741" s="455"/>
      <c r="J1741" s="271" t="b">
        <f>Age_Sex23[[#This Row],[Total Spending After Applying Truncation at the Member Level]]+Age_Sex23[[#This Row],[Total Dollars Excluded from Spending After Applying Truncation at the Member Level]]=Age_Sex23[[#This Row],[Total Spending before Truncation is Applied]]</f>
        <v>1</v>
      </c>
    </row>
    <row r="1742" spans="1:10" x14ac:dyDescent="0.25">
      <c r="A1742" s="389"/>
      <c r="B1742" s="4"/>
      <c r="C1742" s="16"/>
      <c r="D1742" s="519"/>
      <c r="E1742" s="410"/>
      <c r="F1742" s="313"/>
      <c r="G1742" s="256"/>
      <c r="H1742" s="313"/>
      <c r="I1742" s="456"/>
      <c r="J1742" s="273" t="b">
        <f>Age_Sex23[[#This Row],[Total Spending After Applying Truncation at the Member Level]]+Age_Sex23[[#This Row],[Total Dollars Excluded from Spending After Applying Truncation at the Member Level]]=Age_Sex23[[#This Row],[Total Spending before Truncation is Applied]]</f>
        <v>1</v>
      </c>
    </row>
    <row r="1743" spans="1:10" x14ac:dyDescent="0.25">
      <c r="A1743" s="386"/>
      <c r="B1743" s="310"/>
      <c r="C1743" s="311"/>
      <c r="D1743" s="518"/>
      <c r="E1743" s="409"/>
      <c r="F1743" s="312"/>
      <c r="G1743" s="522"/>
      <c r="H1743" s="312"/>
      <c r="I1743" s="455"/>
      <c r="J1743" s="271" t="b">
        <f>Age_Sex23[[#This Row],[Total Spending After Applying Truncation at the Member Level]]+Age_Sex23[[#This Row],[Total Dollars Excluded from Spending After Applying Truncation at the Member Level]]=Age_Sex23[[#This Row],[Total Spending before Truncation is Applied]]</f>
        <v>1</v>
      </c>
    </row>
    <row r="1744" spans="1:10" x14ac:dyDescent="0.25">
      <c r="A1744" s="389"/>
      <c r="B1744" s="4"/>
      <c r="C1744" s="16"/>
      <c r="D1744" s="519"/>
      <c r="E1744" s="410"/>
      <c r="F1744" s="313"/>
      <c r="G1744" s="256"/>
      <c r="H1744" s="313"/>
      <c r="I1744" s="456"/>
      <c r="J1744" s="273" t="b">
        <f>Age_Sex23[[#This Row],[Total Spending After Applying Truncation at the Member Level]]+Age_Sex23[[#This Row],[Total Dollars Excluded from Spending After Applying Truncation at the Member Level]]=Age_Sex23[[#This Row],[Total Spending before Truncation is Applied]]</f>
        <v>1</v>
      </c>
    </row>
    <row r="1745" spans="1:10" x14ac:dyDescent="0.25">
      <c r="A1745" s="386"/>
      <c r="B1745" s="310"/>
      <c r="C1745" s="311"/>
      <c r="D1745" s="518"/>
      <c r="E1745" s="409"/>
      <c r="F1745" s="312"/>
      <c r="G1745" s="522"/>
      <c r="H1745" s="312"/>
      <c r="I1745" s="455"/>
      <c r="J1745" s="271" t="b">
        <f>Age_Sex23[[#This Row],[Total Spending After Applying Truncation at the Member Level]]+Age_Sex23[[#This Row],[Total Dollars Excluded from Spending After Applying Truncation at the Member Level]]=Age_Sex23[[#This Row],[Total Spending before Truncation is Applied]]</f>
        <v>1</v>
      </c>
    </row>
    <row r="1746" spans="1:10" x14ac:dyDescent="0.25">
      <c r="A1746" s="389"/>
      <c r="B1746" s="4"/>
      <c r="C1746" s="16"/>
      <c r="D1746" s="519"/>
      <c r="E1746" s="410"/>
      <c r="F1746" s="313"/>
      <c r="G1746" s="256"/>
      <c r="H1746" s="313"/>
      <c r="I1746" s="456"/>
      <c r="J1746" s="273" t="b">
        <f>Age_Sex23[[#This Row],[Total Spending After Applying Truncation at the Member Level]]+Age_Sex23[[#This Row],[Total Dollars Excluded from Spending After Applying Truncation at the Member Level]]=Age_Sex23[[#This Row],[Total Spending before Truncation is Applied]]</f>
        <v>1</v>
      </c>
    </row>
    <row r="1747" spans="1:10" x14ac:dyDescent="0.25">
      <c r="A1747" s="386"/>
      <c r="B1747" s="310"/>
      <c r="C1747" s="311"/>
      <c r="D1747" s="518"/>
      <c r="E1747" s="409"/>
      <c r="F1747" s="312"/>
      <c r="G1747" s="522"/>
      <c r="H1747" s="312"/>
      <c r="I1747" s="455"/>
      <c r="J1747" s="271" t="b">
        <f>Age_Sex23[[#This Row],[Total Spending After Applying Truncation at the Member Level]]+Age_Sex23[[#This Row],[Total Dollars Excluded from Spending After Applying Truncation at the Member Level]]=Age_Sex23[[#This Row],[Total Spending before Truncation is Applied]]</f>
        <v>1</v>
      </c>
    </row>
    <row r="1748" spans="1:10" x14ac:dyDescent="0.25">
      <c r="A1748" s="389"/>
      <c r="B1748" s="4"/>
      <c r="C1748" s="16"/>
      <c r="D1748" s="519"/>
      <c r="E1748" s="410"/>
      <c r="F1748" s="313"/>
      <c r="G1748" s="256"/>
      <c r="H1748" s="313"/>
      <c r="I1748" s="456"/>
      <c r="J1748" s="273" t="b">
        <f>Age_Sex23[[#This Row],[Total Spending After Applying Truncation at the Member Level]]+Age_Sex23[[#This Row],[Total Dollars Excluded from Spending After Applying Truncation at the Member Level]]=Age_Sex23[[#This Row],[Total Spending before Truncation is Applied]]</f>
        <v>1</v>
      </c>
    </row>
    <row r="1749" spans="1:10" x14ac:dyDescent="0.25">
      <c r="A1749" s="386"/>
      <c r="B1749" s="310"/>
      <c r="C1749" s="311"/>
      <c r="D1749" s="518"/>
      <c r="E1749" s="409"/>
      <c r="F1749" s="312"/>
      <c r="G1749" s="522"/>
      <c r="H1749" s="312"/>
      <c r="I1749" s="455"/>
      <c r="J1749" s="271" t="b">
        <f>Age_Sex23[[#This Row],[Total Spending After Applying Truncation at the Member Level]]+Age_Sex23[[#This Row],[Total Dollars Excluded from Spending After Applying Truncation at the Member Level]]=Age_Sex23[[#This Row],[Total Spending before Truncation is Applied]]</f>
        <v>1</v>
      </c>
    </row>
    <row r="1750" spans="1:10" x14ac:dyDescent="0.25">
      <c r="A1750" s="389"/>
      <c r="B1750" s="4"/>
      <c r="C1750" s="16"/>
      <c r="D1750" s="519"/>
      <c r="E1750" s="410"/>
      <c r="F1750" s="313"/>
      <c r="G1750" s="256"/>
      <c r="H1750" s="313"/>
      <c r="I1750" s="456"/>
      <c r="J1750" s="273" t="b">
        <f>Age_Sex23[[#This Row],[Total Spending After Applying Truncation at the Member Level]]+Age_Sex23[[#This Row],[Total Dollars Excluded from Spending After Applying Truncation at the Member Level]]=Age_Sex23[[#This Row],[Total Spending before Truncation is Applied]]</f>
        <v>1</v>
      </c>
    </row>
    <row r="1751" spans="1:10" x14ac:dyDescent="0.25">
      <c r="A1751" s="386"/>
      <c r="B1751" s="310"/>
      <c r="C1751" s="311"/>
      <c r="D1751" s="518"/>
      <c r="E1751" s="409"/>
      <c r="F1751" s="312"/>
      <c r="G1751" s="522"/>
      <c r="H1751" s="312"/>
      <c r="I1751" s="455"/>
      <c r="J1751" s="271" t="b">
        <f>Age_Sex23[[#This Row],[Total Spending After Applying Truncation at the Member Level]]+Age_Sex23[[#This Row],[Total Dollars Excluded from Spending After Applying Truncation at the Member Level]]=Age_Sex23[[#This Row],[Total Spending before Truncation is Applied]]</f>
        <v>1</v>
      </c>
    </row>
    <row r="1752" spans="1:10" x14ac:dyDescent="0.25">
      <c r="A1752" s="389"/>
      <c r="B1752" s="4"/>
      <c r="C1752" s="16"/>
      <c r="D1752" s="519"/>
      <c r="E1752" s="410"/>
      <c r="F1752" s="313"/>
      <c r="G1752" s="256"/>
      <c r="H1752" s="313"/>
      <c r="I1752" s="456"/>
      <c r="J1752" s="273" t="b">
        <f>Age_Sex23[[#This Row],[Total Spending After Applying Truncation at the Member Level]]+Age_Sex23[[#This Row],[Total Dollars Excluded from Spending After Applying Truncation at the Member Level]]=Age_Sex23[[#This Row],[Total Spending before Truncation is Applied]]</f>
        <v>1</v>
      </c>
    </row>
    <row r="1753" spans="1:10" x14ac:dyDescent="0.25">
      <c r="A1753" s="386"/>
      <c r="B1753" s="310"/>
      <c r="C1753" s="311"/>
      <c r="D1753" s="518"/>
      <c r="E1753" s="409"/>
      <c r="F1753" s="312"/>
      <c r="G1753" s="522"/>
      <c r="H1753" s="312"/>
      <c r="I1753" s="455"/>
      <c r="J1753" s="271" t="b">
        <f>Age_Sex23[[#This Row],[Total Spending After Applying Truncation at the Member Level]]+Age_Sex23[[#This Row],[Total Dollars Excluded from Spending After Applying Truncation at the Member Level]]=Age_Sex23[[#This Row],[Total Spending before Truncation is Applied]]</f>
        <v>1</v>
      </c>
    </row>
    <row r="1754" spans="1:10" x14ac:dyDescent="0.25">
      <c r="A1754" s="389"/>
      <c r="B1754" s="4"/>
      <c r="C1754" s="16"/>
      <c r="D1754" s="519"/>
      <c r="E1754" s="410"/>
      <c r="F1754" s="313"/>
      <c r="G1754" s="256"/>
      <c r="H1754" s="313"/>
      <c r="I1754" s="456"/>
      <c r="J1754" s="273" t="b">
        <f>Age_Sex23[[#This Row],[Total Spending After Applying Truncation at the Member Level]]+Age_Sex23[[#This Row],[Total Dollars Excluded from Spending After Applying Truncation at the Member Level]]=Age_Sex23[[#This Row],[Total Spending before Truncation is Applied]]</f>
        <v>1</v>
      </c>
    </row>
    <row r="1755" spans="1:10" x14ac:dyDescent="0.25">
      <c r="A1755" s="386"/>
      <c r="B1755" s="310"/>
      <c r="C1755" s="311"/>
      <c r="D1755" s="518"/>
      <c r="E1755" s="409"/>
      <c r="F1755" s="312"/>
      <c r="G1755" s="522"/>
      <c r="H1755" s="312"/>
      <c r="I1755" s="455"/>
      <c r="J1755" s="271" t="b">
        <f>Age_Sex23[[#This Row],[Total Spending After Applying Truncation at the Member Level]]+Age_Sex23[[#This Row],[Total Dollars Excluded from Spending After Applying Truncation at the Member Level]]=Age_Sex23[[#This Row],[Total Spending before Truncation is Applied]]</f>
        <v>1</v>
      </c>
    </row>
    <row r="1756" spans="1:10" x14ac:dyDescent="0.25">
      <c r="A1756" s="389"/>
      <c r="B1756" s="4"/>
      <c r="C1756" s="16"/>
      <c r="D1756" s="519"/>
      <c r="E1756" s="410"/>
      <c r="F1756" s="313"/>
      <c r="G1756" s="256"/>
      <c r="H1756" s="313"/>
      <c r="I1756" s="456"/>
      <c r="J1756" s="273" t="b">
        <f>Age_Sex23[[#This Row],[Total Spending After Applying Truncation at the Member Level]]+Age_Sex23[[#This Row],[Total Dollars Excluded from Spending After Applying Truncation at the Member Level]]=Age_Sex23[[#This Row],[Total Spending before Truncation is Applied]]</f>
        <v>1</v>
      </c>
    </row>
    <row r="1757" spans="1:10" x14ac:dyDescent="0.25">
      <c r="A1757" s="386"/>
      <c r="B1757" s="310"/>
      <c r="C1757" s="311"/>
      <c r="D1757" s="518"/>
      <c r="E1757" s="409"/>
      <c r="F1757" s="312"/>
      <c r="G1757" s="522"/>
      <c r="H1757" s="312"/>
      <c r="I1757" s="455"/>
      <c r="J1757" s="271" t="b">
        <f>Age_Sex23[[#This Row],[Total Spending After Applying Truncation at the Member Level]]+Age_Sex23[[#This Row],[Total Dollars Excluded from Spending After Applying Truncation at the Member Level]]=Age_Sex23[[#This Row],[Total Spending before Truncation is Applied]]</f>
        <v>1</v>
      </c>
    </row>
    <row r="1758" spans="1:10" x14ac:dyDescent="0.25">
      <c r="A1758" s="389"/>
      <c r="B1758" s="4"/>
      <c r="C1758" s="16"/>
      <c r="D1758" s="519"/>
      <c r="E1758" s="410"/>
      <c r="F1758" s="313"/>
      <c r="G1758" s="256"/>
      <c r="H1758" s="313"/>
      <c r="I1758" s="456"/>
      <c r="J1758" s="273" t="b">
        <f>Age_Sex23[[#This Row],[Total Spending After Applying Truncation at the Member Level]]+Age_Sex23[[#This Row],[Total Dollars Excluded from Spending After Applying Truncation at the Member Level]]=Age_Sex23[[#This Row],[Total Spending before Truncation is Applied]]</f>
        <v>1</v>
      </c>
    </row>
    <row r="1759" spans="1:10" x14ac:dyDescent="0.25">
      <c r="A1759" s="386"/>
      <c r="B1759" s="310"/>
      <c r="C1759" s="311"/>
      <c r="D1759" s="518"/>
      <c r="E1759" s="409"/>
      <c r="F1759" s="312"/>
      <c r="G1759" s="522"/>
      <c r="H1759" s="312"/>
      <c r="I1759" s="455"/>
      <c r="J1759" s="271" t="b">
        <f>Age_Sex23[[#This Row],[Total Spending After Applying Truncation at the Member Level]]+Age_Sex23[[#This Row],[Total Dollars Excluded from Spending After Applying Truncation at the Member Level]]=Age_Sex23[[#This Row],[Total Spending before Truncation is Applied]]</f>
        <v>1</v>
      </c>
    </row>
    <row r="1760" spans="1:10" x14ac:dyDescent="0.25">
      <c r="A1760" s="389"/>
      <c r="B1760" s="4"/>
      <c r="C1760" s="16"/>
      <c r="D1760" s="519"/>
      <c r="E1760" s="410"/>
      <c r="F1760" s="313"/>
      <c r="G1760" s="256"/>
      <c r="H1760" s="313"/>
      <c r="I1760" s="456"/>
      <c r="J1760" s="273" t="b">
        <f>Age_Sex23[[#This Row],[Total Spending After Applying Truncation at the Member Level]]+Age_Sex23[[#This Row],[Total Dollars Excluded from Spending After Applying Truncation at the Member Level]]=Age_Sex23[[#This Row],[Total Spending before Truncation is Applied]]</f>
        <v>1</v>
      </c>
    </row>
    <row r="1761" spans="1:10" x14ac:dyDescent="0.25">
      <c r="A1761" s="386"/>
      <c r="B1761" s="310"/>
      <c r="C1761" s="311"/>
      <c r="D1761" s="518"/>
      <c r="E1761" s="409"/>
      <c r="F1761" s="312"/>
      <c r="G1761" s="522"/>
      <c r="H1761" s="312"/>
      <c r="I1761" s="455"/>
      <c r="J1761" s="271" t="b">
        <f>Age_Sex23[[#This Row],[Total Spending After Applying Truncation at the Member Level]]+Age_Sex23[[#This Row],[Total Dollars Excluded from Spending After Applying Truncation at the Member Level]]=Age_Sex23[[#This Row],[Total Spending before Truncation is Applied]]</f>
        <v>1</v>
      </c>
    </row>
    <row r="1762" spans="1:10" x14ac:dyDescent="0.25">
      <c r="A1762" s="389"/>
      <c r="B1762" s="4"/>
      <c r="C1762" s="16"/>
      <c r="D1762" s="519"/>
      <c r="E1762" s="410"/>
      <c r="F1762" s="313"/>
      <c r="G1762" s="256"/>
      <c r="H1762" s="313"/>
      <c r="I1762" s="456"/>
      <c r="J1762" s="273" t="b">
        <f>Age_Sex23[[#This Row],[Total Spending After Applying Truncation at the Member Level]]+Age_Sex23[[#This Row],[Total Dollars Excluded from Spending After Applying Truncation at the Member Level]]=Age_Sex23[[#This Row],[Total Spending before Truncation is Applied]]</f>
        <v>1</v>
      </c>
    </row>
    <row r="1763" spans="1:10" x14ac:dyDescent="0.25">
      <c r="A1763" s="386"/>
      <c r="B1763" s="310"/>
      <c r="C1763" s="311"/>
      <c r="D1763" s="518"/>
      <c r="E1763" s="409"/>
      <c r="F1763" s="312"/>
      <c r="G1763" s="522"/>
      <c r="H1763" s="312"/>
      <c r="I1763" s="455"/>
      <c r="J1763" s="271" t="b">
        <f>Age_Sex23[[#This Row],[Total Spending After Applying Truncation at the Member Level]]+Age_Sex23[[#This Row],[Total Dollars Excluded from Spending After Applying Truncation at the Member Level]]=Age_Sex23[[#This Row],[Total Spending before Truncation is Applied]]</f>
        <v>1</v>
      </c>
    </row>
    <row r="1764" spans="1:10" x14ac:dyDescent="0.25">
      <c r="A1764" s="389"/>
      <c r="B1764" s="4"/>
      <c r="C1764" s="16"/>
      <c r="D1764" s="519"/>
      <c r="E1764" s="410"/>
      <c r="F1764" s="313"/>
      <c r="G1764" s="256"/>
      <c r="H1764" s="313"/>
      <c r="I1764" s="456"/>
      <c r="J1764" s="273" t="b">
        <f>Age_Sex23[[#This Row],[Total Spending After Applying Truncation at the Member Level]]+Age_Sex23[[#This Row],[Total Dollars Excluded from Spending After Applying Truncation at the Member Level]]=Age_Sex23[[#This Row],[Total Spending before Truncation is Applied]]</f>
        <v>1</v>
      </c>
    </row>
    <row r="1765" spans="1:10" x14ac:dyDescent="0.25">
      <c r="A1765" s="386"/>
      <c r="B1765" s="310"/>
      <c r="C1765" s="311"/>
      <c r="D1765" s="518"/>
      <c r="E1765" s="409"/>
      <c r="F1765" s="312"/>
      <c r="G1765" s="522"/>
      <c r="H1765" s="312"/>
      <c r="I1765" s="455"/>
      <c r="J1765" s="271" t="b">
        <f>Age_Sex23[[#This Row],[Total Spending After Applying Truncation at the Member Level]]+Age_Sex23[[#This Row],[Total Dollars Excluded from Spending After Applying Truncation at the Member Level]]=Age_Sex23[[#This Row],[Total Spending before Truncation is Applied]]</f>
        <v>1</v>
      </c>
    </row>
    <row r="1766" spans="1:10" x14ac:dyDescent="0.25">
      <c r="A1766" s="389"/>
      <c r="B1766" s="4"/>
      <c r="C1766" s="16"/>
      <c r="D1766" s="519"/>
      <c r="E1766" s="410"/>
      <c r="F1766" s="313"/>
      <c r="G1766" s="256"/>
      <c r="H1766" s="313"/>
      <c r="I1766" s="456"/>
      <c r="J1766" s="273" t="b">
        <f>Age_Sex23[[#This Row],[Total Spending After Applying Truncation at the Member Level]]+Age_Sex23[[#This Row],[Total Dollars Excluded from Spending After Applying Truncation at the Member Level]]=Age_Sex23[[#This Row],[Total Spending before Truncation is Applied]]</f>
        <v>1</v>
      </c>
    </row>
    <row r="1767" spans="1:10" x14ac:dyDescent="0.25">
      <c r="A1767" s="386"/>
      <c r="B1767" s="310"/>
      <c r="C1767" s="311"/>
      <c r="D1767" s="518"/>
      <c r="E1767" s="409"/>
      <c r="F1767" s="312"/>
      <c r="G1767" s="522"/>
      <c r="H1767" s="312"/>
      <c r="I1767" s="455"/>
      <c r="J1767" s="271" t="b">
        <f>Age_Sex23[[#This Row],[Total Spending After Applying Truncation at the Member Level]]+Age_Sex23[[#This Row],[Total Dollars Excluded from Spending After Applying Truncation at the Member Level]]=Age_Sex23[[#This Row],[Total Spending before Truncation is Applied]]</f>
        <v>1</v>
      </c>
    </row>
    <row r="1768" spans="1:10" x14ac:dyDescent="0.25">
      <c r="A1768" s="389"/>
      <c r="B1768" s="4"/>
      <c r="C1768" s="16"/>
      <c r="D1768" s="519"/>
      <c r="E1768" s="410"/>
      <c r="F1768" s="313"/>
      <c r="G1768" s="256"/>
      <c r="H1768" s="313"/>
      <c r="I1768" s="456"/>
      <c r="J1768" s="273" t="b">
        <f>Age_Sex23[[#This Row],[Total Spending After Applying Truncation at the Member Level]]+Age_Sex23[[#This Row],[Total Dollars Excluded from Spending After Applying Truncation at the Member Level]]=Age_Sex23[[#This Row],[Total Spending before Truncation is Applied]]</f>
        <v>1</v>
      </c>
    </row>
    <row r="1769" spans="1:10" x14ac:dyDescent="0.25">
      <c r="A1769" s="386"/>
      <c r="B1769" s="310"/>
      <c r="C1769" s="311"/>
      <c r="D1769" s="518"/>
      <c r="E1769" s="409"/>
      <c r="F1769" s="312"/>
      <c r="G1769" s="522"/>
      <c r="H1769" s="312"/>
      <c r="I1769" s="455"/>
      <c r="J1769" s="271" t="b">
        <f>Age_Sex23[[#This Row],[Total Spending After Applying Truncation at the Member Level]]+Age_Sex23[[#This Row],[Total Dollars Excluded from Spending After Applying Truncation at the Member Level]]=Age_Sex23[[#This Row],[Total Spending before Truncation is Applied]]</f>
        <v>1</v>
      </c>
    </row>
    <row r="1770" spans="1:10" x14ac:dyDescent="0.25">
      <c r="A1770" s="389"/>
      <c r="B1770" s="4"/>
      <c r="C1770" s="16"/>
      <c r="D1770" s="519"/>
      <c r="E1770" s="410"/>
      <c r="F1770" s="313"/>
      <c r="G1770" s="256"/>
      <c r="H1770" s="313"/>
      <c r="I1770" s="456"/>
      <c r="J1770" s="273" t="b">
        <f>Age_Sex23[[#This Row],[Total Spending After Applying Truncation at the Member Level]]+Age_Sex23[[#This Row],[Total Dollars Excluded from Spending After Applying Truncation at the Member Level]]=Age_Sex23[[#This Row],[Total Spending before Truncation is Applied]]</f>
        <v>1</v>
      </c>
    </row>
    <row r="1771" spans="1:10" x14ac:dyDescent="0.25">
      <c r="A1771" s="386"/>
      <c r="B1771" s="310"/>
      <c r="C1771" s="311"/>
      <c r="D1771" s="518"/>
      <c r="E1771" s="409"/>
      <c r="F1771" s="312"/>
      <c r="G1771" s="522"/>
      <c r="H1771" s="312"/>
      <c r="I1771" s="455"/>
      <c r="J1771" s="271" t="b">
        <f>Age_Sex23[[#This Row],[Total Spending After Applying Truncation at the Member Level]]+Age_Sex23[[#This Row],[Total Dollars Excluded from Spending After Applying Truncation at the Member Level]]=Age_Sex23[[#This Row],[Total Spending before Truncation is Applied]]</f>
        <v>1</v>
      </c>
    </row>
    <row r="1772" spans="1:10" x14ac:dyDescent="0.25">
      <c r="A1772" s="389"/>
      <c r="B1772" s="4"/>
      <c r="C1772" s="16"/>
      <c r="D1772" s="519"/>
      <c r="E1772" s="410"/>
      <c r="F1772" s="313"/>
      <c r="G1772" s="256"/>
      <c r="H1772" s="313"/>
      <c r="I1772" s="456"/>
      <c r="J1772" s="273" t="b">
        <f>Age_Sex23[[#This Row],[Total Spending After Applying Truncation at the Member Level]]+Age_Sex23[[#This Row],[Total Dollars Excluded from Spending After Applying Truncation at the Member Level]]=Age_Sex23[[#This Row],[Total Spending before Truncation is Applied]]</f>
        <v>1</v>
      </c>
    </row>
    <row r="1773" spans="1:10" x14ac:dyDescent="0.25">
      <c r="A1773" s="386"/>
      <c r="B1773" s="310"/>
      <c r="C1773" s="311"/>
      <c r="D1773" s="518"/>
      <c r="E1773" s="409"/>
      <c r="F1773" s="312"/>
      <c r="G1773" s="522"/>
      <c r="H1773" s="312"/>
      <c r="I1773" s="455"/>
      <c r="J1773" s="271" t="b">
        <f>Age_Sex23[[#This Row],[Total Spending After Applying Truncation at the Member Level]]+Age_Sex23[[#This Row],[Total Dollars Excluded from Spending After Applying Truncation at the Member Level]]=Age_Sex23[[#This Row],[Total Spending before Truncation is Applied]]</f>
        <v>1</v>
      </c>
    </row>
    <row r="1774" spans="1:10" x14ac:dyDescent="0.25">
      <c r="A1774" s="389"/>
      <c r="B1774" s="4"/>
      <c r="C1774" s="16"/>
      <c r="D1774" s="519"/>
      <c r="E1774" s="410"/>
      <c r="F1774" s="313"/>
      <c r="G1774" s="256"/>
      <c r="H1774" s="313"/>
      <c r="I1774" s="456"/>
      <c r="J1774" s="273" t="b">
        <f>Age_Sex23[[#This Row],[Total Spending After Applying Truncation at the Member Level]]+Age_Sex23[[#This Row],[Total Dollars Excluded from Spending After Applying Truncation at the Member Level]]=Age_Sex23[[#This Row],[Total Spending before Truncation is Applied]]</f>
        <v>1</v>
      </c>
    </row>
    <row r="1775" spans="1:10" x14ac:dyDescent="0.25">
      <c r="A1775" s="386"/>
      <c r="B1775" s="310"/>
      <c r="C1775" s="311"/>
      <c r="D1775" s="518"/>
      <c r="E1775" s="409"/>
      <c r="F1775" s="312"/>
      <c r="G1775" s="522"/>
      <c r="H1775" s="312"/>
      <c r="I1775" s="455"/>
      <c r="J1775" s="271" t="b">
        <f>Age_Sex23[[#This Row],[Total Spending After Applying Truncation at the Member Level]]+Age_Sex23[[#This Row],[Total Dollars Excluded from Spending After Applying Truncation at the Member Level]]=Age_Sex23[[#This Row],[Total Spending before Truncation is Applied]]</f>
        <v>1</v>
      </c>
    </row>
    <row r="1776" spans="1:10" x14ac:dyDescent="0.25">
      <c r="A1776" s="389"/>
      <c r="B1776" s="4"/>
      <c r="C1776" s="16"/>
      <c r="D1776" s="519"/>
      <c r="E1776" s="410"/>
      <c r="F1776" s="313"/>
      <c r="G1776" s="256"/>
      <c r="H1776" s="313"/>
      <c r="I1776" s="456"/>
      <c r="J1776" s="273" t="b">
        <f>Age_Sex23[[#This Row],[Total Spending After Applying Truncation at the Member Level]]+Age_Sex23[[#This Row],[Total Dollars Excluded from Spending After Applying Truncation at the Member Level]]=Age_Sex23[[#This Row],[Total Spending before Truncation is Applied]]</f>
        <v>1</v>
      </c>
    </row>
    <row r="1777" spans="1:10" x14ac:dyDescent="0.25">
      <c r="A1777" s="386"/>
      <c r="B1777" s="310"/>
      <c r="C1777" s="311"/>
      <c r="D1777" s="518"/>
      <c r="E1777" s="409"/>
      <c r="F1777" s="312"/>
      <c r="G1777" s="522"/>
      <c r="H1777" s="312"/>
      <c r="I1777" s="455"/>
      <c r="J1777" s="271" t="b">
        <f>Age_Sex23[[#This Row],[Total Spending After Applying Truncation at the Member Level]]+Age_Sex23[[#This Row],[Total Dollars Excluded from Spending After Applying Truncation at the Member Level]]=Age_Sex23[[#This Row],[Total Spending before Truncation is Applied]]</f>
        <v>1</v>
      </c>
    </row>
    <row r="1778" spans="1:10" x14ac:dyDescent="0.25">
      <c r="A1778" s="389"/>
      <c r="B1778" s="4"/>
      <c r="C1778" s="16"/>
      <c r="D1778" s="519"/>
      <c r="E1778" s="410"/>
      <c r="F1778" s="313"/>
      <c r="G1778" s="256"/>
      <c r="H1778" s="313"/>
      <c r="I1778" s="456"/>
      <c r="J1778" s="273" t="b">
        <f>Age_Sex23[[#This Row],[Total Spending After Applying Truncation at the Member Level]]+Age_Sex23[[#This Row],[Total Dollars Excluded from Spending After Applying Truncation at the Member Level]]=Age_Sex23[[#This Row],[Total Spending before Truncation is Applied]]</f>
        <v>1</v>
      </c>
    </row>
    <row r="1779" spans="1:10" x14ac:dyDescent="0.25">
      <c r="A1779" s="386"/>
      <c r="B1779" s="310"/>
      <c r="C1779" s="311"/>
      <c r="D1779" s="518"/>
      <c r="E1779" s="409"/>
      <c r="F1779" s="312"/>
      <c r="G1779" s="522"/>
      <c r="H1779" s="312"/>
      <c r="I1779" s="455"/>
      <c r="J1779" s="271" t="b">
        <f>Age_Sex23[[#This Row],[Total Spending After Applying Truncation at the Member Level]]+Age_Sex23[[#This Row],[Total Dollars Excluded from Spending After Applying Truncation at the Member Level]]=Age_Sex23[[#This Row],[Total Spending before Truncation is Applied]]</f>
        <v>1</v>
      </c>
    </row>
    <row r="1780" spans="1:10" x14ac:dyDescent="0.25">
      <c r="A1780" s="389"/>
      <c r="B1780" s="4"/>
      <c r="C1780" s="16"/>
      <c r="D1780" s="519"/>
      <c r="E1780" s="410"/>
      <c r="F1780" s="313"/>
      <c r="G1780" s="256"/>
      <c r="H1780" s="313"/>
      <c r="I1780" s="456"/>
      <c r="J1780" s="273" t="b">
        <f>Age_Sex23[[#This Row],[Total Spending After Applying Truncation at the Member Level]]+Age_Sex23[[#This Row],[Total Dollars Excluded from Spending After Applying Truncation at the Member Level]]=Age_Sex23[[#This Row],[Total Spending before Truncation is Applied]]</f>
        <v>1</v>
      </c>
    </row>
    <row r="1781" spans="1:10" x14ac:dyDescent="0.25">
      <c r="A1781" s="386"/>
      <c r="B1781" s="310"/>
      <c r="C1781" s="311"/>
      <c r="D1781" s="518"/>
      <c r="E1781" s="409"/>
      <c r="F1781" s="312"/>
      <c r="G1781" s="522"/>
      <c r="H1781" s="312"/>
      <c r="I1781" s="455"/>
      <c r="J1781" s="271" t="b">
        <f>Age_Sex23[[#This Row],[Total Spending After Applying Truncation at the Member Level]]+Age_Sex23[[#This Row],[Total Dollars Excluded from Spending After Applying Truncation at the Member Level]]=Age_Sex23[[#This Row],[Total Spending before Truncation is Applied]]</f>
        <v>1</v>
      </c>
    </row>
    <row r="1782" spans="1:10" x14ac:dyDescent="0.25">
      <c r="A1782" s="389"/>
      <c r="B1782" s="4"/>
      <c r="C1782" s="16"/>
      <c r="D1782" s="519"/>
      <c r="E1782" s="410"/>
      <c r="F1782" s="313"/>
      <c r="G1782" s="256"/>
      <c r="H1782" s="313"/>
      <c r="I1782" s="456"/>
      <c r="J1782" s="273" t="b">
        <f>Age_Sex23[[#This Row],[Total Spending After Applying Truncation at the Member Level]]+Age_Sex23[[#This Row],[Total Dollars Excluded from Spending After Applying Truncation at the Member Level]]=Age_Sex23[[#This Row],[Total Spending before Truncation is Applied]]</f>
        <v>1</v>
      </c>
    </row>
    <row r="1783" spans="1:10" x14ac:dyDescent="0.25">
      <c r="A1783" s="386"/>
      <c r="B1783" s="310"/>
      <c r="C1783" s="311"/>
      <c r="D1783" s="518"/>
      <c r="E1783" s="409"/>
      <c r="F1783" s="312"/>
      <c r="G1783" s="522"/>
      <c r="H1783" s="312"/>
      <c r="I1783" s="455"/>
      <c r="J1783" s="271" t="b">
        <f>Age_Sex23[[#This Row],[Total Spending After Applying Truncation at the Member Level]]+Age_Sex23[[#This Row],[Total Dollars Excluded from Spending After Applying Truncation at the Member Level]]=Age_Sex23[[#This Row],[Total Spending before Truncation is Applied]]</f>
        <v>1</v>
      </c>
    </row>
    <row r="1784" spans="1:10" x14ac:dyDescent="0.25">
      <c r="A1784" s="389"/>
      <c r="B1784" s="4"/>
      <c r="C1784" s="16"/>
      <c r="D1784" s="519"/>
      <c r="E1784" s="410"/>
      <c r="F1784" s="313"/>
      <c r="G1784" s="256"/>
      <c r="H1784" s="313"/>
      <c r="I1784" s="456"/>
      <c r="J1784" s="273" t="b">
        <f>Age_Sex23[[#This Row],[Total Spending After Applying Truncation at the Member Level]]+Age_Sex23[[#This Row],[Total Dollars Excluded from Spending After Applying Truncation at the Member Level]]=Age_Sex23[[#This Row],[Total Spending before Truncation is Applied]]</f>
        <v>1</v>
      </c>
    </row>
    <row r="1785" spans="1:10" x14ac:dyDescent="0.25">
      <c r="A1785" s="386"/>
      <c r="B1785" s="310"/>
      <c r="C1785" s="311"/>
      <c r="D1785" s="518"/>
      <c r="E1785" s="409"/>
      <c r="F1785" s="312"/>
      <c r="G1785" s="522"/>
      <c r="H1785" s="312"/>
      <c r="I1785" s="455"/>
      <c r="J1785" s="271" t="b">
        <f>Age_Sex23[[#This Row],[Total Spending After Applying Truncation at the Member Level]]+Age_Sex23[[#This Row],[Total Dollars Excluded from Spending After Applying Truncation at the Member Level]]=Age_Sex23[[#This Row],[Total Spending before Truncation is Applied]]</f>
        <v>1</v>
      </c>
    </row>
    <row r="1786" spans="1:10" x14ac:dyDescent="0.25">
      <c r="A1786" s="389"/>
      <c r="B1786" s="4"/>
      <c r="C1786" s="16"/>
      <c r="D1786" s="519"/>
      <c r="E1786" s="410"/>
      <c r="F1786" s="313"/>
      <c r="G1786" s="256"/>
      <c r="H1786" s="313"/>
      <c r="I1786" s="456"/>
      <c r="J1786" s="273" t="b">
        <f>Age_Sex23[[#This Row],[Total Spending After Applying Truncation at the Member Level]]+Age_Sex23[[#This Row],[Total Dollars Excluded from Spending After Applying Truncation at the Member Level]]=Age_Sex23[[#This Row],[Total Spending before Truncation is Applied]]</f>
        <v>1</v>
      </c>
    </row>
    <row r="1787" spans="1:10" x14ac:dyDescent="0.25">
      <c r="A1787" s="386"/>
      <c r="B1787" s="310"/>
      <c r="C1787" s="311"/>
      <c r="D1787" s="518"/>
      <c r="E1787" s="409"/>
      <c r="F1787" s="312"/>
      <c r="G1787" s="522"/>
      <c r="H1787" s="312"/>
      <c r="I1787" s="455"/>
      <c r="J1787" s="271" t="b">
        <f>Age_Sex23[[#This Row],[Total Spending After Applying Truncation at the Member Level]]+Age_Sex23[[#This Row],[Total Dollars Excluded from Spending After Applying Truncation at the Member Level]]=Age_Sex23[[#This Row],[Total Spending before Truncation is Applied]]</f>
        <v>1</v>
      </c>
    </row>
    <row r="1788" spans="1:10" x14ac:dyDescent="0.25">
      <c r="A1788" s="389"/>
      <c r="B1788" s="4"/>
      <c r="C1788" s="16"/>
      <c r="D1788" s="519"/>
      <c r="E1788" s="410"/>
      <c r="F1788" s="313"/>
      <c r="G1788" s="256"/>
      <c r="H1788" s="313"/>
      <c r="I1788" s="456"/>
      <c r="J1788" s="273" t="b">
        <f>Age_Sex23[[#This Row],[Total Spending After Applying Truncation at the Member Level]]+Age_Sex23[[#This Row],[Total Dollars Excluded from Spending After Applying Truncation at the Member Level]]=Age_Sex23[[#This Row],[Total Spending before Truncation is Applied]]</f>
        <v>1</v>
      </c>
    </row>
    <row r="1789" spans="1:10" x14ac:dyDescent="0.25">
      <c r="A1789" s="386"/>
      <c r="B1789" s="310"/>
      <c r="C1789" s="311"/>
      <c r="D1789" s="518"/>
      <c r="E1789" s="409"/>
      <c r="F1789" s="312"/>
      <c r="G1789" s="522"/>
      <c r="H1789" s="312"/>
      <c r="I1789" s="455"/>
      <c r="J1789" s="271" t="b">
        <f>Age_Sex23[[#This Row],[Total Spending After Applying Truncation at the Member Level]]+Age_Sex23[[#This Row],[Total Dollars Excluded from Spending After Applying Truncation at the Member Level]]=Age_Sex23[[#This Row],[Total Spending before Truncation is Applied]]</f>
        <v>1</v>
      </c>
    </row>
    <row r="1790" spans="1:10" x14ac:dyDescent="0.25">
      <c r="A1790" s="389"/>
      <c r="B1790" s="4"/>
      <c r="C1790" s="16"/>
      <c r="D1790" s="519"/>
      <c r="E1790" s="410"/>
      <c r="F1790" s="313"/>
      <c r="G1790" s="256"/>
      <c r="H1790" s="313"/>
      <c r="I1790" s="456"/>
      <c r="J1790" s="273" t="b">
        <f>Age_Sex23[[#This Row],[Total Spending After Applying Truncation at the Member Level]]+Age_Sex23[[#This Row],[Total Dollars Excluded from Spending After Applying Truncation at the Member Level]]=Age_Sex23[[#This Row],[Total Spending before Truncation is Applied]]</f>
        <v>1</v>
      </c>
    </row>
    <row r="1791" spans="1:10" x14ac:dyDescent="0.25">
      <c r="A1791" s="386"/>
      <c r="B1791" s="310"/>
      <c r="C1791" s="311"/>
      <c r="D1791" s="518"/>
      <c r="E1791" s="409"/>
      <c r="F1791" s="312"/>
      <c r="G1791" s="522"/>
      <c r="H1791" s="312"/>
      <c r="I1791" s="455"/>
      <c r="J1791" s="271" t="b">
        <f>Age_Sex23[[#This Row],[Total Spending After Applying Truncation at the Member Level]]+Age_Sex23[[#This Row],[Total Dollars Excluded from Spending After Applying Truncation at the Member Level]]=Age_Sex23[[#This Row],[Total Spending before Truncation is Applied]]</f>
        <v>1</v>
      </c>
    </row>
    <row r="1792" spans="1:10" x14ac:dyDescent="0.25">
      <c r="A1792" s="389"/>
      <c r="B1792" s="4"/>
      <c r="C1792" s="16"/>
      <c r="D1792" s="519"/>
      <c r="E1792" s="410"/>
      <c r="F1792" s="313"/>
      <c r="G1792" s="256"/>
      <c r="H1792" s="313"/>
      <c r="I1792" s="456"/>
      <c r="J1792" s="273" t="b">
        <f>Age_Sex23[[#This Row],[Total Spending After Applying Truncation at the Member Level]]+Age_Sex23[[#This Row],[Total Dollars Excluded from Spending After Applying Truncation at the Member Level]]=Age_Sex23[[#This Row],[Total Spending before Truncation is Applied]]</f>
        <v>1</v>
      </c>
    </row>
    <row r="1793" spans="1:10" x14ac:dyDescent="0.25">
      <c r="A1793" s="386"/>
      <c r="B1793" s="310"/>
      <c r="C1793" s="311"/>
      <c r="D1793" s="518"/>
      <c r="E1793" s="409"/>
      <c r="F1793" s="312"/>
      <c r="G1793" s="522"/>
      <c r="H1793" s="312"/>
      <c r="I1793" s="455"/>
      <c r="J1793" s="271" t="b">
        <f>Age_Sex23[[#This Row],[Total Spending After Applying Truncation at the Member Level]]+Age_Sex23[[#This Row],[Total Dollars Excluded from Spending After Applying Truncation at the Member Level]]=Age_Sex23[[#This Row],[Total Spending before Truncation is Applied]]</f>
        <v>1</v>
      </c>
    </row>
    <row r="1794" spans="1:10" x14ac:dyDescent="0.25">
      <c r="A1794" s="389"/>
      <c r="B1794" s="4"/>
      <c r="C1794" s="16"/>
      <c r="D1794" s="519"/>
      <c r="E1794" s="410"/>
      <c r="F1794" s="313"/>
      <c r="G1794" s="256"/>
      <c r="H1794" s="313"/>
      <c r="I1794" s="456"/>
      <c r="J1794" s="273" t="b">
        <f>Age_Sex23[[#This Row],[Total Spending After Applying Truncation at the Member Level]]+Age_Sex23[[#This Row],[Total Dollars Excluded from Spending After Applying Truncation at the Member Level]]=Age_Sex23[[#This Row],[Total Spending before Truncation is Applied]]</f>
        <v>1</v>
      </c>
    </row>
    <row r="1795" spans="1:10" x14ac:dyDescent="0.25">
      <c r="A1795" s="386"/>
      <c r="B1795" s="310"/>
      <c r="C1795" s="311"/>
      <c r="D1795" s="518"/>
      <c r="E1795" s="409"/>
      <c r="F1795" s="312"/>
      <c r="G1795" s="522"/>
      <c r="H1795" s="312"/>
      <c r="I1795" s="455"/>
      <c r="J1795" s="271" t="b">
        <f>Age_Sex23[[#This Row],[Total Spending After Applying Truncation at the Member Level]]+Age_Sex23[[#This Row],[Total Dollars Excluded from Spending After Applying Truncation at the Member Level]]=Age_Sex23[[#This Row],[Total Spending before Truncation is Applied]]</f>
        <v>1</v>
      </c>
    </row>
    <row r="1796" spans="1:10" x14ac:dyDescent="0.25">
      <c r="A1796" s="389"/>
      <c r="B1796" s="4"/>
      <c r="C1796" s="16"/>
      <c r="D1796" s="519"/>
      <c r="E1796" s="410"/>
      <c r="F1796" s="313"/>
      <c r="G1796" s="256"/>
      <c r="H1796" s="313"/>
      <c r="I1796" s="456"/>
      <c r="J1796" s="273" t="b">
        <f>Age_Sex23[[#This Row],[Total Spending After Applying Truncation at the Member Level]]+Age_Sex23[[#This Row],[Total Dollars Excluded from Spending After Applying Truncation at the Member Level]]=Age_Sex23[[#This Row],[Total Spending before Truncation is Applied]]</f>
        <v>1</v>
      </c>
    </row>
    <row r="1797" spans="1:10" x14ac:dyDescent="0.25">
      <c r="A1797" s="386"/>
      <c r="B1797" s="310"/>
      <c r="C1797" s="311"/>
      <c r="D1797" s="518"/>
      <c r="E1797" s="409"/>
      <c r="F1797" s="312"/>
      <c r="G1797" s="522"/>
      <c r="H1797" s="312"/>
      <c r="I1797" s="455"/>
      <c r="J1797" s="271" t="b">
        <f>Age_Sex23[[#This Row],[Total Spending After Applying Truncation at the Member Level]]+Age_Sex23[[#This Row],[Total Dollars Excluded from Spending After Applying Truncation at the Member Level]]=Age_Sex23[[#This Row],[Total Spending before Truncation is Applied]]</f>
        <v>1</v>
      </c>
    </row>
    <row r="1798" spans="1:10" x14ac:dyDescent="0.25">
      <c r="A1798" s="389"/>
      <c r="B1798" s="4"/>
      <c r="C1798" s="16"/>
      <c r="D1798" s="519"/>
      <c r="E1798" s="410"/>
      <c r="F1798" s="313"/>
      <c r="G1798" s="256"/>
      <c r="H1798" s="313"/>
      <c r="I1798" s="456"/>
      <c r="J1798" s="273" t="b">
        <f>Age_Sex23[[#This Row],[Total Spending After Applying Truncation at the Member Level]]+Age_Sex23[[#This Row],[Total Dollars Excluded from Spending After Applying Truncation at the Member Level]]=Age_Sex23[[#This Row],[Total Spending before Truncation is Applied]]</f>
        <v>1</v>
      </c>
    </row>
    <row r="1799" spans="1:10" x14ac:dyDescent="0.25">
      <c r="A1799" s="386"/>
      <c r="B1799" s="310"/>
      <c r="C1799" s="311"/>
      <c r="D1799" s="518"/>
      <c r="E1799" s="409"/>
      <c r="F1799" s="312"/>
      <c r="G1799" s="522"/>
      <c r="H1799" s="312"/>
      <c r="I1799" s="455"/>
      <c r="J1799" s="271" t="b">
        <f>Age_Sex23[[#This Row],[Total Spending After Applying Truncation at the Member Level]]+Age_Sex23[[#This Row],[Total Dollars Excluded from Spending After Applying Truncation at the Member Level]]=Age_Sex23[[#This Row],[Total Spending before Truncation is Applied]]</f>
        <v>1</v>
      </c>
    </row>
    <row r="1800" spans="1:10" x14ac:dyDescent="0.25">
      <c r="A1800" s="389"/>
      <c r="B1800" s="4"/>
      <c r="C1800" s="16"/>
      <c r="D1800" s="519"/>
      <c r="E1800" s="410"/>
      <c r="F1800" s="313"/>
      <c r="G1800" s="256"/>
      <c r="H1800" s="313"/>
      <c r="I1800" s="456"/>
      <c r="J1800" s="273" t="b">
        <f>Age_Sex23[[#This Row],[Total Spending After Applying Truncation at the Member Level]]+Age_Sex23[[#This Row],[Total Dollars Excluded from Spending After Applying Truncation at the Member Level]]=Age_Sex23[[#This Row],[Total Spending before Truncation is Applied]]</f>
        <v>1</v>
      </c>
    </row>
    <row r="1801" spans="1:10" x14ac:dyDescent="0.25">
      <c r="A1801" s="386"/>
      <c r="B1801" s="310"/>
      <c r="C1801" s="311"/>
      <c r="D1801" s="518"/>
      <c r="E1801" s="409"/>
      <c r="F1801" s="312"/>
      <c r="G1801" s="522"/>
      <c r="H1801" s="312"/>
      <c r="I1801" s="455"/>
      <c r="J1801" s="271" t="b">
        <f>Age_Sex23[[#This Row],[Total Spending After Applying Truncation at the Member Level]]+Age_Sex23[[#This Row],[Total Dollars Excluded from Spending After Applying Truncation at the Member Level]]=Age_Sex23[[#This Row],[Total Spending before Truncation is Applied]]</f>
        <v>1</v>
      </c>
    </row>
    <row r="1802" spans="1:10" x14ac:dyDescent="0.25">
      <c r="A1802" s="389"/>
      <c r="B1802" s="4"/>
      <c r="C1802" s="16"/>
      <c r="D1802" s="519"/>
      <c r="E1802" s="410"/>
      <c r="F1802" s="313"/>
      <c r="G1802" s="256"/>
      <c r="H1802" s="313"/>
      <c r="I1802" s="456"/>
      <c r="J1802" s="273" t="b">
        <f>Age_Sex23[[#This Row],[Total Spending After Applying Truncation at the Member Level]]+Age_Sex23[[#This Row],[Total Dollars Excluded from Spending After Applying Truncation at the Member Level]]=Age_Sex23[[#This Row],[Total Spending before Truncation is Applied]]</f>
        <v>1</v>
      </c>
    </row>
    <row r="1803" spans="1:10" x14ac:dyDescent="0.25">
      <c r="A1803" s="386"/>
      <c r="B1803" s="310"/>
      <c r="C1803" s="311"/>
      <c r="D1803" s="518"/>
      <c r="E1803" s="409"/>
      <c r="F1803" s="312"/>
      <c r="G1803" s="522"/>
      <c r="H1803" s="312"/>
      <c r="I1803" s="455"/>
      <c r="J1803" s="271" t="b">
        <f>Age_Sex23[[#This Row],[Total Spending After Applying Truncation at the Member Level]]+Age_Sex23[[#This Row],[Total Dollars Excluded from Spending After Applying Truncation at the Member Level]]=Age_Sex23[[#This Row],[Total Spending before Truncation is Applied]]</f>
        <v>1</v>
      </c>
    </row>
    <row r="1804" spans="1:10" x14ac:dyDescent="0.25">
      <c r="A1804" s="389"/>
      <c r="B1804" s="4"/>
      <c r="C1804" s="16"/>
      <c r="D1804" s="519"/>
      <c r="E1804" s="410"/>
      <c r="F1804" s="313"/>
      <c r="G1804" s="256"/>
      <c r="H1804" s="313"/>
      <c r="I1804" s="456"/>
      <c r="J1804" s="273" t="b">
        <f>Age_Sex23[[#This Row],[Total Spending After Applying Truncation at the Member Level]]+Age_Sex23[[#This Row],[Total Dollars Excluded from Spending After Applying Truncation at the Member Level]]=Age_Sex23[[#This Row],[Total Spending before Truncation is Applied]]</f>
        <v>1</v>
      </c>
    </row>
    <row r="1805" spans="1:10" x14ac:dyDescent="0.25">
      <c r="A1805" s="386"/>
      <c r="B1805" s="310"/>
      <c r="C1805" s="311"/>
      <c r="D1805" s="518"/>
      <c r="E1805" s="409"/>
      <c r="F1805" s="312"/>
      <c r="G1805" s="522"/>
      <c r="H1805" s="312"/>
      <c r="I1805" s="455"/>
      <c r="J1805" s="271" t="b">
        <f>Age_Sex23[[#This Row],[Total Spending After Applying Truncation at the Member Level]]+Age_Sex23[[#This Row],[Total Dollars Excluded from Spending After Applying Truncation at the Member Level]]=Age_Sex23[[#This Row],[Total Spending before Truncation is Applied]]</f>
        <v>1</v>
      </c>
    </row>
    <row r="1806" spans="1:10" x14ac:dyDescent="0.25">
      <c r="A1806" s="389"/>
      <c r="B1806" s="4"/>
      <c r="C1806" s="16"/>
      <c r="D1806" s="519"/>
      <c r="E1806" s="410"/>
      <c r="F1806" s="313"/>
      <c r="G1806" s="256"/>
      <c r="H1806" s="313"/>
      <c r="I1806" s="456"/>
      <c r="J1806" s="273" t="b">
        <f>Age_Sex23[[#This Row],[Total Spending After Applying Truncation at the Member Level]]+Age_Sex23[[#This Row],[Total Dollars Excluded from Spending After Applying Truncation at the Member Level]]=Age_Sex23[[#This Row],[Total Spending before Truncation is Applied]]</f>
        <v>1</v>
      </c>
    </row>
    <row r="1807" spans="1:10" x14ac:dyDescent="0.25">
      <c r="A1807" s="386"/>
      <c r="B1807" s="310"/>
      <c r="C1807" s="311"/>
      <c r="D1807" s="518"/>
      <c r="E1807" s="409"/>
      <c r="F1807" s="312"/>
      <c r="G1807" s="522"/>
      <c r="H1807" s="312"/>
      <c r="I1807" s="455"/>
      <c r="J1807" s="271" t="b">
        <f>Age_Sex23[[#This Row],[Total Spending After Applying Truncation at the Member Level]]+Age_Sex23[[#This Row],[Total Dollars Excluded from Spending After Applying Truncation at the Member Level]]=Age_Sex23[[#This Row],[Total Spending before Truncation is Applied]]</f>
        <v>1</v>
      </c>
    </row>
    <row r="1808" spans="1:10" x14ac:dyDescent="0.25">
      <c r="A1808" s="389"/>
      <c r="B1808" s="4"/>
      <c r="C1808" s="16"/>
      <c r="D1808" s="519"/>
      <c r="E1808" s="410"/>
      <c r="F1808" s="313"/>
      <c r="G1808" s="256"/>
      <c r="H1808" s="313"/>
      <c r="I1808" s="456"/>
      <c r="J1808" s="273" t="b">
        <f>Age_Sex23[[#This Row],[Total Spending After Applying Truncation at the Member Level]]+Age_Sex23[[#This Row],[Total Dollars Excluded from Spending After Applying Truncation at the Member Level]]=Age_Sex23[[#This Row],[Total Spending before Truncation is Applied]]</f>
        <v>1</v>
      </c>
    </row>
    <row r="1809" spans="1:10" x14ac:dyDescent="0.25">
      <c r="A1809" s="386"/>
      <c r="B1809" s="310"/>
      <c r="C1809" s="311"/>
      <c r="D1809" s="518"/>
      <c r="E1809" s="409"/>
      <c r="F1809" s="312"/>
      <c r="G1809" s="522"/>
      <c r="H1809" s="312"/>
      <c r="I1809" s="455"/>
      <c r="J1809" s="271" t="b">
        <f>Age_Sex23[[#This Row],[Total Spending After Applying Truncation at the Member Level]]+Age_Sex23[[#This Row],[Total Dollars Excluded from Spending After Applying Truncation at the Member Level]]=Age_Sex23[[#This Row],[Total Spending before Truncation is Applied]]</f>
        <v>1</v>
      </c>
    </row>
    <row r="1810" spans="1:10" x14ac:dyDescent="0.25">
      <c r="A1810" s="389"/>
      <c r="B1810" s="4"/>
      <c r="C1810" s="16"/>
      <c r="D1810" s="519"/>
      <c r="E1810" s="410"/>
      <c r="F1810" s="313"/>
      <c r="G1810" s="256"/>
      <c r="H1810" s="313"/>
      <c r="I1810" s="456"/>
      <c r="J1810" s="273" t="b">
        <f>Age_Sex23[[#This Row],[Total Spending After Applying Truncation at the Member Level]]+Age_Sex23[[#This Row],[Total Dollars Excluded from Spending After Applying Truncation at the Member Level]]=Age_Sex23[[#This Row],[Total Spending before Truncation is Applied]]</f>
        <v>1</v>
      </c>
    </row>
    <row r="1811" spans="1:10" x14ac:dyDescent="0.25">
      <c r="A1811" s="386"/>
      <c r="B1811" s="310"/>
      <c r="C1811" s="311"/>
      <c r="D1811" s="518"/>
      <c r="E1811" s="409"/>
      <c r="F1811" s="312"/>
      <c r="G1811" s="522"/>
      <c r="H1811" s="312"/>
      <c r="I1811" s="455"/>
      <c r="J1811" s="271" t="b">
        <f>Age_Sex23[[#This Row],[Total Spending After Applying Truncation at the Member Level]]+Age_Sex23[[#This Row],[Total Dollars Excluded from Spending After Applying Truncation at the Member Level]]=Age_Sex23[[#This Row],[Total Spending before Truncation is Applied]]</f>
        <v>1</v>
      </c>
    </row>
    <row r="1812" spans="1:10" x14ac:dyDescent="0.25">
      <c r="A1812" s="389"/>
      <c r="B1812" s="4"/>
      <c r="C1812" s="16"/>
      <c r="D1812" s="519"/>
      <c r="E1812" s="410"/>
      <c r="F1812" s="313"/>
      <c r="G1812" s="256"/>
      <c r="H1812" s="313"/>
      <c r="I1812" s="456"/>
      <c r="J1812" s="273" t="b">
        <f>Age_Sex23[[#This Row],[Total Spending After Applying Truncation at the Member Level]]+Age_Sex23[[#This Row],[Total Dollars Excluded from Spending After Applying Truncation at the Member Level]]=Age_Sex23[[#This Row],[Total Spending before Truncation is Applied]]</f>
        <v>1</v>
      </c>
    </row>
    <row r="1813" spans="1:10" x14ac:dyDescent="0.25">
      <c r="A1813" s="386"/>
      <c r="B1813" s="310"/>
      <c r="C1813" s="311"/>
      <c r="D1813" s="518"/>
      <c r="E1813" s="409"/>
      <c r="F1813" s="312"/>
      <c r="G1813" s="522"/>
      <c r="H1813" s="312"/>
      <c r="I1813" s="455"/>
      <c r="J1813" s="271" t="b">
        <f>Age_Sex23[[#This Row],[Total Spending After Applying Truncation at the Member Level]]+Age_Sex23[[#This Row],[Total Dollars Excluded from Spending After Applying Truncation at the Member Level]]=Age_Sex23[[#This Row],[Total Spending before Truncation is Applied]]</f>
        <v>1</v>
      </c>
    </row>
    <row r="1814" spans="1:10" x14ac:dyDescent="0.25">
      <c r="A1814" s="389"/>
      <c r="B1814" s="4"/>
      <c r="C1814" s="16"/>
      <c r="D1814" s="519"/>
      <c r="E1814" s="410"/>
      <c r="F1814" s="313"/>
      <c r="G1814" s="256"/>
      <c r="H1814" s="313"/>
      <c r="I1814" s="456"/>
      <c r="J1814" s="273" t="b">
        <f>Age_Sex23[[#This Row],[Total Spending After Applying Truncation at the Member Level]]+Age_Sex23[[#This Row],[Total Dollars Excluded from Spending After Applying Truncation at the Member Level]]=Age_Sex23[[#This Row],[Total Spending before Truncation is Applied]]</f>
        <v>1</v>
      </c>
    </row>
    <row r="1815" spans="1:10" x14ac:dyDescent="0.25">
      <c r="A1815" s="386"/>
      <c r="B1815" s="310"/>
      <c r="C1815" s="311"/>
      <c r="D1815" s="518"/>
      <c r="E1815" s="409"/>
      <c r="F1815" s="312"/>
      <c r="G1815" s="522"/>
      <c r="H1815" s="312"/>
      <c r="I1815" s="455"/>
      <c r="J1815" s="271" t="b">
        <f>Age_Sex23[[#This Row],[Total Spending After Applying Truncation at the Member Level]]+Age_Sex23[[#This Row],[Total Dollars Excluded from Spending After Applying Truncation at the Member Level]]=Age_Sex23[[#This Row],[Total Spending before Truncation is Applied]]</f>
        <v>1</v>
      </c>
    </row>
    <row r="1816" spans="1:10" x14ac:dyDescent="0.25">
      <c r="A1816" s="389"/>
      <c r="B1816" s="4"/>
      <c r="C1816" s="16"/>
      <c r="D1816" s="519"/>
      <c r="E1816" s="410"/>
      <c r="F1816" s="313"/>
      <c r="G1816" s="256"/>
      <c r="H1816" s="313"/>
      <c r="I1816" s="456"/>
      <c r="J1816" s="273" t="b">
        <f>Age_Sex23[[#This Row],[Total Spending After Applying Truncation at the Member Level]]+Age_Sex23[[#This Row],[Total Dollars Excluded from Spending After Applying Truncation at the Member Level]]=Age_Sex23[[#This Row],[Total Spending before Truncation is Applied]]</f>
        <v>1</v>
      </c>
    </row>
    <row r="1817" spans="1:10" x14ac:dyDescent="0.25">
      <c r="A1817" s="386"/>
      <c r="B1817" s="310"/>
      <c r="C1817" s="311"/>
      <c r="D1817" s="518"/>
      <c r="E1817" s="409"/>
      <c r="F1817" s="312"/>
      <c r="G1817" s="522"/>
      <c r="H1817" s="312"/>
      <c r="I1817" s="455"/>
      <c r="J1817" s="271" t="b">
        <f>Age_Sex23[[#This Row],[Total Spending After Applying Truncation at the Member Level]]+Age_Sex23[[#This Row],[Total Dollars Excluded from Spending After Applying Truncation at the Member Level]]=Age_Sex23[[#This Row],[Total Spending before Truncation is Applied]]</f>
        <v>1</v>
      </c>
    </row>
    <row r="1818" spans="1:10" x14ac:dyDescent="0.25">
      <c r="A1818" s="389"/>
      <c r="B1818" s="4"/>
      <c r="C1818" s="16"/>
      <c r="D1818" s="519"/>
      <c r="E1818" s="410"/>
      <c r="F1818" s="313"/>
      <c r="G1818" s="256"/>
      <c r="H1818" s="313"/>
      <c r="I1818" s="456"/>
      <c r="J1818" s="273" t="b">
        <f>Age_Sex23[[#This Row],[Total Spending After Applying Truncation at the Member Level]]+Age_Sex23[[#This Row],[Total Dollars Excluded from Spending After Applying Truncation at the Member Level]]=Age_Sex23[[#This Row],[Total Spending before Truncation is Applied]]</f>
        <v>1</v>
      </c>
    </row>
    <row r="1819" spans="1:10" x14ac:dyDescent="0.25">
      <c r="A1819" s="386"/>
      <c r="B1819" s="310"/>
      <c r="C1819" s="311"/>
      <c r="D1819" s="518"/>
      <c r="E1819" s="409"/>
      <c r="F1819" s="312"/>
      <c r="G1819" s="522"/>
      <c r="H1819" s="312"/>
      <c r="I1819" s="455"/>
      <c r="J1819" s="271" t="b">
        <f>Age_Sex23[[#This Row],[Total Spending After Applying Truncation at the Member Level]]+Age_Sex23[[#This Row],[Total Dollars Excluded from Spending After Applying Truncation at the Member Level]]=Age_Sex23[[#This Row],[Total Spending before Truncation is Applied]]</f>
        <v>1</v>
      </c>
    </row>
    <row r="1820" spans="1:10" x14ac:dyDescent="0.25">
      <c r="A1820" s="389"/>
      <c r="B1820" s="4"/>
      <c r="C1820" s="16"/>
      <c r="D1820" s="519"/>
      <c r="E1820" s="410"/>
      <c r="F1820" s="313"/>
      <c r="G1820" s="256"/>
      <c r="H1820" s="313"/>
      <c r="I1820" s="456"/>
      <c r="J1820" s="273" t="b">
        <f>Age_Sex23[[#This Row],[Total Spending After Applying Truncation at the Member Level]]+Age_Sex23[[#This Row],[Total Dollars Excluded from Spending After Applying Truncation at the Member Level]]=Age_Sex23[[#This Row],[Total Spending before Truncation is Applied]]</f>
        <v>1</v>
      </c>
    </row>
    <row r="1821" spans="1:10" x14ac:dyDescent="0.25">
      <c r="A1821" s="386"/>
      <c r="B1821" s="310"/>
      <c r="C1821" s="311"/>
      <c r="D1821" s="518"/>
      <c r="E1821" s="409"/>
      <c r="F1821" s="312"/>
      <c r="G1821" s="522"/>
      <c r="H1821" s="312"/>
      <c r="I1821" s="455"/>
      <c r="J1821" s="271" t="b">
        <f>Age_Sex23[[#This Row],[Total Spending After Applying Truncation at the Member Level]]+Age_Sex23[[#This Row],[Total Dollars Excluded from Spending After Applying Truncation at the Member Level]]=Age_Sex23[[#This Row],[Total Spending before Truncation is Applied]]</f>
        <v>1</v>
      </c>
    </row>
    <row r="1822" spans="1:10" x14ac:dyDescent="0.25">
      <c r="A1822" s="389"/>
      <c r="B1822" s="4"/>
      <c r="C1822" s="16"/>
      <c r="D1822" s="519"/>
      <c r="E1822" s="410"/>
      <c r="F1822" s="313"/>
      <c r="G1822" s="256"/>
      <c r="H1822" s="313"/>
      <c r="I1822" s="456"/>
      <c r="J1822" s="273" t="b">
        <f>Age_Sex23[[#This Row],[Total Spending After Applying Truncation at the Member Level]]+Age_Sex23[[#This Row],[Total Dollars Excluded from Spending After Applying Truncation at the Member Level]]=Age_Sex23[[#This Row],[Total Spending before Truncation is Applied]]</f>
        <v>1</v>
      </c>
    </row>
    <row r="1823" spans="1:10" x14ac:dyDescent="0.25">
      <c r="A1823" s="386"/>
      <c r="B1823" s="310"/>
      <c r="C1823" s="311"/>
      <c r="D1823" s="518"/>
      <c r="E1823" s="409"/>
      <c r="F1823" s="312"/>
      <c r="G1823" s="522"/>
      <c r="H1823" s="312"/>
      <c r="I1823" s="455"/>
      <c r="J1823" s="271" t="b">
        <f>Age_Sex23[[#This Row],[Total Spending After Applying Truncation at the Member Level]]+Age_Sex23[[#This Row],[Total Dollars Excluded from Spending After Applying Truncation at the Member Level]]=Age_Sex23[[#This Row],[Total Spending before Truncation is Applied]]</f>
        <v>1</v>
      </c>
    </row>
    <row r="1824" spans="1:10" x14ac:dyDescent="0.25">
      <c r="A1824" s="389"/>
      <c r="B1824" s="4"/>
      <c r="C1824" s="16"/>
      <c r="D1824" s="519"/>
      <c r="E1824" s="410"/>
      <c r="F1824" s="313"/>
      <c r="G1824" s="256"/>
      <c r="H1824" s="313"/>
      <c r="I1824" s="456"/>
      <c r="J1824" s="273" t="b">
        <f>Age_Sex23[[#This Row],[Total Spending After Applying Truncation at the Member Level]]+Age_Sex23[[#This Row],[Total Dollars Excluded from Spending After Applying Truncation at the Member Level]]=Age_Sex23[[#This Row],[Total Spending before Truncation is Applied]]</f>
        <v>1</v>
      </c>
    </row>
    <row r="1825" spans="1:10" x14ac:dyDescent="0.25">
      <c r="A1825" s="386"/>
      <c r="B1825" s="310"/>
      <c r="C1825" s="311"/>
      <c r="D1825" s="518"/>
      <c r="E1825" s="409"/>
      <c r="F1825" s="312"/>
      <c r="G1825" s="522"/>
      <c r="H1825" s="312"/>
      <c r="I1825" s="455"/>
      <c r="J1825" s="271" t="b">
        <f>Age_Sex23[[#This Row],[Total Spending After Applying Truncation at the Member Level]]+Age_Sex23[[#This Row],[Total Dollars Excluded from Spending After Applying Truncation at the Member Level]]=Age_Sex23[[#This Row],[Total Spending before Truncation is Applied]]</f>
        <v>1</v>
      </c>
    </row>
    <row r="1826" spans="1:10" x14ac:dyDescent="0.25">
      <c r="A1826" s="389"/>
      <c r="B1826" s="4"/>
      <c r="C1826" s="16"/>
      <c r="D1826" s="519"/>
      <c r="E1826" s="410"/>
      <c r="F1826" s="313"/>
      <c r="G1826" s="256"/>
      <c r="H1826" s="313"/>
      <c r="I1826" s="456"/>
      <c r="J1826" s="273" t="b">
        <f>Age_Sex23[[#This Row],[Total Spending After Applying Truncation at the Member Level]]+Age_Sex23[[#This Row],[Total Dollars Excluded from Spending After Applying Truncation at the Member Level]]=Age_Sex23[[#This Row],[Total Spending before Truncation is Applied]]</f>
        <v>1</v>
      </c>
    </row>
    <row r="1827" spans="1:10" x14ac:dyDescent="0.25">
      <c r="A1827" s="386"/>
      <c r="B1827" s="310"/>
      <c r="C1827" s="311"/>
      <c r="D1827" s="518"/>
      <c r="E1827" s="409"/>
      <c r="F1827" s="312"/>
      <c r="G1827" s="522"/>
      <c r="H1827" s="312"/>
      <c r="I1827" s="455"/>
      <c r="J1827" s="271" t="b">
        <f>Age_Sex23[[#This Row],[Total Spending After Applying Truncation at the Member Level]]+Age_Sex23[[#This Row],[Total Dollars Excluded from Spending After Applying Truncation at the Member Level]]=Age_Sex23[[#This Row],[Total Spending before Truncation is Applied]]</f>
        <v>1</v>
      </c>
    </row>
    <row r="1828" spans="1:10" x14ac:dyDescent="0.25">
      <c r="A1828" s="389"/>
      <c r="B1828" s="4"/>
      <c r="C1828" s="16"/>
      <c r="D1828" s="519"/>
      <c r="E1828" s="410"/>
      <c r="F1828" s="313"/>
      <c r="G1828" s="256"/>
      <c r="H1828" s="313"/>
      <c r="I1828" s="456"/>
      <c r="J1828" s="273" t="b">
        <f>Age_Sex23[[#This Row],[Total Spending After Applying Truncation at the Member Level]]+Age_Sex23[[#This Row],[Total Dollars Excluded from Spending After Applying Truncation at the Member Level]]=Age_Sex23[[#This Row],[Total Spending before Truncation is Applied]]</f>
        <v>1</v>
      </c>
    </row>
    <row r="1829" spans="1:10" x14ac:dyDescent="0.25">
      <c r="A1829" s="386"/>
      <c r="B1829" s="310"/>
      <c r="C1829" s="311"/>
      <c r="D1829" s="518"/>
      <c r="E1829" s="409"/>
      <c r="F1829" s="312"/>
      <c r="G1829" s="522"/>
      <c r="H1829" s="312"/>
      <c r="I1829" s="455"/>
      <c r="J1829" s="271" t="b">
        <f>Age_Sex23[[#This Row],[Total Spending After Applying Truncation at the Member Level]]+Age_Sex23[[#This Row],[Total Dollars Excluded from Spending After Applying Truncation at the Member Level]]=Age_Sex23[[#This Row],[Total Spending before Truncation is Applied]]</f>
        <v>1</v>
      </c>
    </row>
    <row r="1830" spans="1:10" x14ac:dyDescent="0.25">
      <c r="A1830" s="389"/>
      <c r="B1830" s="4"/>
      <c r="C1830" s="16"/>
      <c r="D1830" s="519"/>
      <c r="E1830" s="410"/>
      <c r="F1830" s="313"/>
      <c r="G1830" s="256"/>
      <c r="H1830" s="313"/>
      <c r="I1830" s="456"/>
      <c r="J1830" s="273" t="b">
        <f>Age_Sex23[[#This Row],[Total Spending After Applying Truncation at the Member Level]]+Age_Sex23[[#This Row],[Total Dollars Excluded from Spending After Applying Truncation at the Member Level]]=Age_Sex23[[#This Row],[Total Spending before Truncation is Applied]]</f>
        <v>1</v>
      </c>
    </row>
    <row r="1831" spans="1:10" x14ac:dyDescent="0.25">
      <c r="A1831" s="386"/>
      <c r="B1831" s="310"/>
      <c r="C1831" s="311"/>
      <c r="D1831" s="518"/>
      <c r="E1831" s="409"/>
      <c r="F1831" s="312"/>
      <c r="G1831" s="522"/>
      <c r="H1831" s="312"/>
      <c r="I1831" s="455"/>
      <c r="J1831" s="271" t="b">
        <f>Age_Sex23[[#This Row],[Total Spending After Applying Truncation at the Member Level]]+Age_Sex23[[#This Row],[Total Dollars Excluded from Spending After Applying Truncation at the Member Level]]=Age_Sex23[[#This Row],[Total Spending before Truncation is Applied]]</f>
        <v>1</v>
      </c>
    </row>
    <row r="1832" spans="1:10" x14ac:dyDescent="0.25">
      <c r="A1832" s="389"/>
      <c r="B1832" s="4"/>
      <c r="C1832" s="16"/>
      <c r="D1832" s="519"/>
      <c r="E1832" s="410"/>
      <c r="F1832" s="313"/>
      <c r="G1832" s="256"/>
      <c r="H1832" s="313"/>
      <c r="I1832" s="456"/>
      <c r="J1832" s="273" t="b">
        <f>Age_Sex23[[#This Row],[Total Spending After Applying Truncation at the Member Level]]+Age_Sex23[[#This Row],[Total Dollars Excluded from Spending After Applying Truncation at the Member Level]]=Age_Sex23[[#This Row],[Total Spending before Truncation is Applied]]</f>
        <v>1</v>
      </c>
    </row>
    <row r="1833" spans="1:10" x14ac:dyDescent="0.25">
      <c r="A1833" s="386"/>
      <c r="B1833" s="310"/>
      <c r="C1833" s="311"/>
      <c r="D1833" s="518"/>
      <c r="E1833" s="409"/>
      <c r="F1833" s="312"/>
      <c r="G1833" s="522"/>
      <c r="H1833" s="312"/>
      <c r="I1833" s="455"/>
      <c r="J1833" s="271" t="b">
        <f>Age_Sex23[[#This Row],[Total Spending After Applying Truncation at the Member Level]]+Age_Sex23[[#This Row],[Total Dollars Excluded from Spending After Applying Truncation at the Member Level]]=Age_Sex23[[#This Row],[Total Spending before Truncation is Applied]]</f>
        <v>1</v>
      </c>
    </row>
    <row r="1834" spans="1:10" x14ac:dyDescent="0.25">
      <c r="A1834" s="389"/>
      <c r="B1834" s="4"/>
      <c r="C1834" s="16"/>
      <c r="D1834" s="519"/>
      <c r="E1834" s="410"/>
      <c r="F1834" s="313"/>
      <c r="G1834" s="256"/>
      <c r="H1834" s="313"/>
      <c r="I1834" s="456"/>
      <c r="J1834" s="273" t="b">
        <f>Age_Sex23[[#This Row],[Total Spending After Applying Truncation at the Member Level]]+Age_Sex23[[#This Row],[Total Dollars Excluded from Spending After Applying Truncation at the Member Level]]=Age_Sex23[[#This Row],[Total Spending before Truncation is Applied]]</f>
        <v>1</v>
      </c>
    </row>
    <row r="1835" spans="1:10" x14ac:dyDescent="0.25">
      <c r="A1835" s="386"/>
      <c r="B1835" s="310"/>
      <c r="C1835" s="311"/>
      <c r="D1835" s="518"/>
      <c r="E1835" s="409"/>
      <c r="F1835" s="312"/>
      <c r="G1835" s="522"/>
      <c r="H1835" s="312"/>
      <c r="I1835" s="455"/>
      <c r="J1835" s="271" t="b">
        <f>Age_Sex23[[#This Row],[Total Spending After Applying Truncation at the Member Level]]+Age_Sex23[[#This Row],[Total Dollars Excluded from Spending After Applying Truncation at the Member Level]]=Age_Sex23[[#This Row],[Total Spending before Truncation is Applied]]</f>
        <v>1</v>
      </c>
    </row>
    <row r="1836" spans="1:10" x14ac:dyDescent="0.25">
      <c r="A1836" s="389"/>
      <c r="B1836" s="4"/>
      <c r="C1836" s="16"/>
      <c r="D1836" s="519"/>
      <c r="E1836" s="410"/>
      <c r="F1836" s="313"/>
      <c r="G1836" s="256"/>
      <c r="H1836" s="313"/>
      <c r="I1836" s="456"/>
      <c r="J1836" s="273" t="b">
        <f>Age_Sex23[[#This Row],[Total Spending After Applying Truncation at the Member Level]]+Age_Sex23[[#This Row],[Total Dollars Excluded from Spending After Applying Truncation at the Member Level]]=Age_Sex23[[#This Row],[Total Spending before Truncation is Applied]]</f>
        <v>1</v>
      </c>
    </row>
    <row r="1837" spans="1:10" x14ac:dyDescent="0.25">
      <c r="A1837" s="386"/>
      <c r="B1837" s="310"/>
      <c r="C1837" s="311"/>
      <c r="D1837" s="518"/>
      <c r="E1837" s="409"/>
      <c r="F1837" s="312"/>
      <c r="G1837" s="522"/>
      <c r="H1837" s="312"/>
      <c r="I1837" s="455"/>
      <c r="J1837" s="271" t="b">
        <f>Age_Sex23[[#This Row],[Total Spending After Applying Truncation at the Member Level]]+Age_Sex23[[#This Row],[Total Dollars Excluded from Spending After Applying Truncation at the Member Level]]=Age_Sex23[[#This Row],[Total Spending before Truncation is Applied]]</f>
        <v>1</v>
      </c>
    </row>
    <row r="1838" spans="1:10" x14ac:dyDescent="0.25">
      <c r="A1838" s="389"/>
      <c r="B1838" s="4"/>
      <c r="C1838" s="16"/>
      <c r="D1838" s="519"/>
      <c r="E1838" s="410"/>
      <c r="F1838" s="313"/>
      <c r="G1838" s="256"/>
      <c r="H1838" s="313"/>
      <c r="I1838" s="456"/>
      <c r="J1838" s="273" t="b">
        <f>Age_Sex23[[#This Row],[Total Spending After Applying Truncation at the Member Level]]+Age_Sex23[[#This Row],[Total Dollars Excluded from Spending After Applying Truncation at the Member Level]]=Age_Sex23[[#This Row],[Total Spending before Truncation is Applied]]</f>
        <v>1</v>
      </c>
    </row>
    <row r="1839" spans="1:10" x14ac:dyDescent="0.25">
      <c r="A1839" s="386"/>
      <c r="B1839" s="310"/>
      <c r="C1839" s="311"/>
      <c r="D1839" s="518"/>
      <c r="E1839" s="409"/>
      <c r="F1839" s="312"/>
      <c r="G1839" s="522"/>
      <c r="H1839" s="312"/>
      <c r="I1839" s="455"/>
      <c r="J1839" s="271" t="b">
        <f>Age_Sex23[[#This Row],[Total Spending After Applying Truncation at the Member Level]]+Age_Sex23[[#This Row],[Total Dollars Excluded from Spending After Applying Truncation at the Member Level]]=Age_Sex23[[#This Row],[Total Spending before Truncation is Applied]]</f>
        <v>1</v>
      </c>
    </row>
    <row r="1840" spans="1:10" x14ac:dyDescent="0.25">
      <c r="A1840" s="389"/>
      <c r="B1840" s="4"/>
      <c r="C1840" s="16"/>
      <c r="D1840" s="519"/>
      <c r="E1840" s="410"/>
      <c r="F1840" s="313"/>
      <c r="G1840" s="256"/>
      <c r="H1840" s="313"/>
      <c r="I1840" s="456"/>
      <c r="J1840" s="273" t="b">
        <f>Age_Sex23[[#This Row],[Total Spending After Applying Truncation at the Member Level]]+Age_Sex23[[#This Row],[Total Dollars Excluded from Spending After Applying Truncation at the Member Level]]=Age_Sex23[[#This Row],[Total Spending before Truncation is Applied]]</f>
        <v>1</v>
      </c>
    </row>
    <row r="1841" spans="1:10" x14ac:dyDescent="0.25">
      <c r="A1841" s="386"/>
      <c r="B1841" s="310"/>
      <c r="C1841" s="311"/>
      <c r="D1841" s="518"/>
      <c r="E1841" s="409"/>
      <c r="F1841" s="312"/>
      <c r="G1841" s="522"/>
      <c r="H1841" s="312"/>
      <c r="I1841" s="455"/>
      <c r="J1841" s="271" t="b">
        <f>Age_Sex23[[#This Row],[Total Spending After Applying Truncation at the Member Level]]+Age_Sex23[[#This Row],[Total Dollars Excluded from Spending After Applying Truncation at the Member Level]]=Age_Sex23[[#This Row],[Total Spending before Truncation is Applied]]</f>
        <v>1</v>
      </c>
    </row>
    <row r="1842" spans="1:10" x14ac:dyDescent="0.25">
      <c r="A1842" s="389"/>
      <c r="B1842" s="4"/>
      <c r="C1842" s="16"/>
      <c r="D1842" s="519"/>
      <c r="E1842" s="410"/>
      <c r="F1842" s="313"/>
      <c r="G1842" s="256"/>
      <c r="H1842" s="313"/>
      <c r="I1842" s="456"/>
      <c r="J1842" s="273" t="b">
        <f>Age_Sex23[[#This Row],[Total Spending After Applying Truncation at the Member Level]]+Age_Sex23[[#This Row],[Total Dollars Excluded from Spending After Applying Truncation at the Member Level]]=Age_Sex23[[#This Row],[Total Spending before Truncation is Applied]]</f>
        <v>1</v>
      </c>
    </row>
    <row r="1843" spans="1:10" x14ac:dyDescent="0.25">
      <c r="A1843" s="386"/>
      <c r="B1843" s="310"/>
      <c r="C1843" s="311"/>
      <c r="D1843" s="518"/>
      <c r="E1843" s="409"/>
      <c r="F1843" s="312"/>
      <c r="G1843" s="522"/>
      <c r="H1843" s="312"/>
      <c r="I1843" s="455"/>
      <c r="J1843" s="271" t="b">
        <f>Age_Sex23[[#This Row],[Total Spending After Applying Truncation at the Member Level]]+Age_Sex23[[#This Row],[Total Dollars Excluded from Spending After Applying Truncation at the Member Level]]=Age_Sex23[[#This Row],[Total Spending before Truncation is Applied]]</f>
        <v>1</v>
      </c>
    </row>
    <row r="1844" spans="1:10" x14ac:dyDescent="0.25">
      <c r="A1844" s="389"/>
      <c r="B1844" s="4"/>
      <c r="C1844" s="16"/>
      <c r="D1844" s="519"/>
      <c r="E1844" s="410"/>
      <c r="F1844" s="313"/>
      <c r="G1844" s="256"/>
      <c r="H1844" s="313"/>
      <c r="I1844" s="456"/>
      <c r="J1844" s="273" t="b">
        <f>Age_Sex23[[#This Row],[Total Spending After Applying Truncation at the Member Level]]+Age_Sex23[[#This Row],[Total Dollars Excluded from Spending After Applying Truncation at the Member Level]]=Age_Sex23[[#This Row],[Total Spending before Truncation is Applied]]</f>
        <v>1</v>
      </c>
    </row>
    <row r="1845" spans="1:10" x14ac:dyDescent="0.25">
      <c r="A1845" s="386"/>
      <c r="B1845" s="310"/>
      <c r="C1845" s="311"/>
      <c r="D1845" s="518"/>
      <c r="E1845" s="409"/>
      <c r="F1845" s="312"/>
      <c r="G1845" s="522"/>
      <c r="H1845" s="312"/>
      <c r="I1845" s="455"/>
      <c r="J1845" s="271" t="b">
        <f>Age_Sex23[[#This Row],[Total Spending After Applying Truncation at the Member Level]]+Age_Sex23[[#This Row],[Total Dollars Excluded from Spending After Applying Truncation at the Member Level]]=Age_Sex23[[#This Row],[Total Spending before Truncation is Applied]]</f>
        <v>1</v>
      </c>
    </row>
    <row r="1846" spans="1:10" x14ac:dyDescent="0.25">
      <c r="A1846" s="389"/>
      <c r="B1846" s="4"/>
      <c r="C1846" s="16"/>
      <c r="D1846" s="519"/>
      <c r="E1846" s="410"/>
      <c r="F1846" s="313"/>
      <c r="G1846" s="256"/>
      <c r="H1846" s="313"/>
      <c r="I1846" s="456"/>
      <c r="J1846" s="273" t="b">
        <f>Age_Sex23[[#This Row],[Total Spending After Applying Truncation at the Member Level]]+Age_Sex23[[#This Row],[Total Dollars Excluded from Spending After Applying Truncation at the Member Level]]=Age_Sex23[[#This Row],[Total Spending before Truncation is Applied]]</f>
        <v>1</v>
      </c>
    </row>
    <row r="1847" spans="1:10" x14ac:dyDescent="0.25">
      <c r="A1847" s="386"/>
      <c r="B1847" s="310"/>
      <c r="C1847" s="311"/>
      <c r="D1847" s="518"/>
      <c r="E1847" s="409"/>
      <c r="F1847" s="312"/>
      <c r="G1847" s="522"/>
      <c r="H1847" s="312"/>
      <c r="I1847" s="455"/>
      <c r="J1847" s="271" t="b">
        <f>Age_Sex23[[#This Row],[Total Spending After Applying Truncation at the Member Level]]+Age_Sex23[[#This Row],[Total Dollars Excluded from Spending After Applying Truncation at the Member Level]]=Age_Sex23[[#This Row],[Total Spending before Truncation is Applied]]</f>
        <v>1</v>
      </c>
    </row>
    <row r="1848" spans="1:10" x14ac:dyDescent="0.25">
      <c r="A1848" s="389"/>
      <c r="B1848" s="4"/>
      <c r="C1848" s="16"/>
      <c r="D1848" s="519"/>
      <c r="E1848" s="410"/>
      <c r="F1848" s="313"/>
      <c r="G1848" s="256"/>
      <c r="H1848" s="313"/>
      <c r="I1848" s="456"/>
      <c r="J1848" s="273" t="b">
        <f>Age_Sex23[[#This Row],[Total Spending After Applying Truncation at the Member Level]]+Age_Sex23[[#This Row],[Total Dollars Excluded from Spending After Applying Truncation at the Member Level]]=Age_Sex23[[#This Row],[Total Spending before Truncation is Applied]]</f>
        <v>1</v>
      </c>
    </row>
    <row r="1849" spans="1:10" x14ac:dyDescent="0.25">
      <c r="A1849" s="386"/>
      <c r="B1849" s="310"/>
      <c r="C1849" s="311"/>
      <c r="D1849" s="518"/>
      <c r="E1849" s="409"/>
      <c r="F1849" s="312"/>
      <c r="G1849" s="522"/>
      <c r="H1849" s="312"/>
      <c r="I1849" s="455"/>
      <c r="J1849" s="271" t="b">
        <f>Age_Sex23[[#This Row],[Total Spending After Applying Truncation at the Member Level]]+Age_Sex23[[#This Row],[Total Dollars Excluded from Spending After Applying Truncation at the Member Level]]=Age_Sex23[[#This Row],[Total Spending before Truncation is Applied]]</f>
        <v>1</v>
      </c>
    </row>
    <row r="1850" spans="1:10" x14ac:dyDescent="0.25">
      <c r="A1850" s="389"/>
      <c r="B1850" s="4"/>
      <c r="C1850" s="16"/>
      <c r="D1850" s="519"/>
      <c r="E1850" s="410"/>
      <c r="F1850" s="313"/>
      <c r="G1850" s="256"/>
      <c r="H1850" s="313"/>
      <c r="I1850" s="456"/>
      <c r="J1850" s="273" t="b">
        <f>Age_Sex23[[#This Row],[Total Spending After Applying Truncation at the Member Level]]+Age_Sex23[[#This Row],[Total Dollars Excluded from Spending After Applying Truncation at the Member Level]]=Age_Sex23[[#This Row],[Total Spending before Truncation is Applied]]</f>
        <v>1</v>
      </c>
    </row>
    <row r="1851" spans="1:10" x14ac:dyDescent="0.25">
      <c r="A1851" s="386"/>
      <c r="B1851" s="310"/>
      <c r="C1851" s="311"/>
      <c r="D1851" s="518"/>
      <c r="E1851" s="409"/>
      <c r="F1851" s="312"/>
      <c r="G1851" s="522"/>
      <c r="H1851" s="312"/>
      <c r="I1851" s="455"/>
      <c r="J1851" s="271" t="b">
        <f>Age_Sex23[[#This Row],[Total Spending After Applying Truncation at the Member Level]]+Age_Sex23[[#This Row],[Total Dollars Excluded from Spending After Applying Truncation at the Member Level]]=Age_Sex23[[#This Row],[Total Spending before Truncation is Applied]]</f>
        <v>1</v>
      </c>
    </row>
    <row r="1852" spans="1:10" x14ac:dyDescent="0.25">
      <c r="A1852" s="389"/>
      <c r="B1852" s="4"/>
      <c r="C1852" s="16"/>
      <c r="D1852" s="519"/>
      <c r="E1852" s="410"/>
      <c r="F1852" s="313"/>
      <c r="G1852" s="256"/>
      <c r="H1852" s="313"/>
      <c r="I1852" s="456"/>
      <c r="J1852" s="273" t="b">
        <f>Age_Sex23[[#This Row],[Total Spending After Applying Truncation at the Member Level]]+Age_Sex23[[#This Row],[Total Dollars Excluded from Spending After Applying Truncation at the Member Level]]=Age_Sex23[[#This Row],[Total Spending before Truncation is Applied]]</f>
        <v>1</v>
      </c>
    </row>
    <row r="1853" spans="1:10" x14ac:dyDescent="0.25">
      <c r="A1853" s="386"/>
      <c r="B1853" s="310"/>
      <c r="C1853" s="311"/>
      <c r="D1853" s="518"/>
      <c r="E1853" s="409"/>
      <c r="F1853" s="312"/>
      <c r="G1853" s="522"/>
      <c r="H1853" s="312"/>
      <c r="I1853" s="455"/>
      <c r="J1853" s="271" t="b">
        <f>Age_Sex23[[#This Row],[Total Spending After Applying Truncation at the Member Level]]+Age_Sex23[[#This Row],[Total Dollars Excluded from Spending After Applying Truncation at the Member Level]]=Age_Sex23[[#This Row],[Total Spending before Truncation is Applied]]</f>
        <v>1</v>
      </c>
    </row>
    <row r="1854" spans="1:10" x14ac:dyDescent="0.25">
      <c r="A1854" s="389"/>
      <c r="B1854" s="4"/>
      <c r="C1854" s="16"/>
      <c r="D1854" s="519"/>
      <c r="E1854" s="410"/>
      <c r="F1854" s="313"/>
      <c r="G1854" s="256"/>
      <c r="H1854" s="313"/>
      <c r="I1854" s="456"/>
      <c r="J1854" s="273" t="b">
        <f>Age_Sex23[[#This Row],[Total Spending After Applying Truncation at the Member Level]]+Age_Sex23[[#This Row],[Total Dollars Excluded from Spending After Applying Truncation at the Member Level]]=Age_Sex23[[#This Row],[Total Spending before Truncation is Applied]]</f>
        <v>1</v>
      </c>
    </row>
    <row r="1855" spans="1:10" x14ac:dyDescent="0.25">
      <c r="A1855" s="386"/>
      <c r="B1855" s="310"/>
      <c r="C1855" s="311"/>
      <c r="D1855" s="518"/>
      <c r="E1855" s="409"/>
      <c r="F1855" s="312"/>
      <c r="G1855" s="522"/>
      <c r="H1855" s="312"/>
      <c r="I1855" s="455"/>
      <c r="J1855" s="271" t="b">
        <f>Age_Sex23[[#This Row],[Total Spending After Applying Truncation at the Member Level]]+Age_Sex23[[#This Row],[Total Dollars Excluded from Spending After Applying Truncation at the Member Level]]=Age_Sex23[[#This Row],[Total Spending before Truncation is Applied]]</f>
        <v>1</v>
      </c>
    </row>
    <row r="1856" spans="1:10" x14ac:dyDescent="0.25">
      <c r="A1856" s="389"/>
      <c r="B1856" s="4"/>
      <c r="C1856" s="16"/>
      <c r="D1856" s="519"/>
      <c r="E1856" s="410"/>
      <c r="F1856" s="313"/>
      <c r="G1856" s="256"/>
      <c r="H1856" s="313"/>
      <c r="I1856" s="456"/>
      <c r="J1856" s="273" t="b">
        <f>Age_Sex23[[#This Row],[Total Spending After Applying Truncation at the Member Level]]+Age_Sex23[[#This Row],[Total Dollars Excluded from Spending After Applying Truncation at the Member Level]]=Age_Sex23[[#This Row],[Total Spending before Truncation is Applied]]</f>
        <v>1</v>
      </c>
    </row>
    <row r="1857" spans="1:10" x14ac:dyDescent="0.25">
      <c r="A1857" s="386"/>
      <c r="B1857" s="310"/>
      <c r="C1857" s="311"/>
      <c r="D1857" s="518"/>
      <c r="E1857" s="409"/>
      <c r="F1857" s="312"/>
      <c r="G1857" s="522"/>
      <c r="H1857" s="312"/>
      <c r="I1857" s="455"/>
      <c r="J1857" s="271" t="b">
        <f>Age_Sex23[[#This Row],[Total Spending After Applying Truncation at the Member Level]]+Age_Sex23[[#This Row],[Total Dollars Excluded from Spending After Applying Truncation at the Member Level]]=Age_Sex23[[#This Row],[Total Spending before Truncation is Applied]]</f>
        <v>1</v>
      </c>
    </row>
    <row r="1858" spans="1:10" x14ac:dyDescent="0.25">
      <c r="A1858" s="389"/>
      <c r="B1858" s="4"/>
      <c r="C1858" s="16"/>
      <c r="D1858" s="519"/>
      <c r="E1858" s="410"/>
      <c r="F1858" s="313"/>
      <c r="G1858" s="256"/>
      <c r="H1858" s="313"/>
      <c r="I1858" s="456"/>
      <c r="J1858" s="273" t="b">
        <f>Age_Sex23[[#This Row],[Total Spending After Applying Truncation at the Member Level]]+Age_Sex23[[#This Row],[Total Dollars Excluded from Spending After Applying Truncation at the Member Level]]=Age_Sex23[[#This Row],[Total Spending before Truncation is Applied]]</f>
        <v>1</v>
      </c>
    </row>
    <row r="1859" spans="1:10" x14ac:dyDescent="0.25">
      <c r="A1859" s="386"/>
      <c r="B1859" s="310"/>
      <c r="C1859" s="311"/>
      <c r="D1859" s="518"/>
      <c r="E1859" s="409"/>
      <c r="F1859" s="312"/>
      <c r="G1859" s="522"/>
      <c r="H1859" s="312"/>
      <c r="I1859" s="455"/>
      <c r="J1859" s="271" t="b">
        <f>Age_Sex23[[#This Row],[Total Spending After Applying Truncation at the Member Level]]+Age_Sex23[[#This Row],[Total Dollars Excluded from Spending After Applying Truncation at the Member Level]]=Age_Sex23[[#This Row],[Total Spending before Truncation is Applied]]</f>
        <v>1</v>
      </c>
    </row>
    <row r="1860" spans="1:10" x14ac:dyDescent="0.25">
      <c r="A1860" s="389"/>
      <c r="B1860" s="4"/>
      <c r="C1860" s="16"/>
      <c r="D1860" s="519"/>
      <c r="E1860" s="410"/>
      <c r="F1860" s="313"/>
      <c r="G1860" s="256"/>
      <c r="H1860" s="313"/>
      <c r="I1860" s="456"/>
      <c r="J1860" s="273" t="b">
        <f>Age_Sex23[[#This Row],[Total Spending After Applying Truncation at the Member Level]]+Age_Sex23[[#This Row],[Total Dollars Excluded from Spending After Applying Truncation at the Member Level]]=Age_Sex23[[#This Row],[Total Spending before Truncation is Applied]]</f>
        <v>1</v>
      </c>
    </row>
    <row r="1861" spans="1:10" x14ac:dyDescent="0.25">
      <c r="A1861" s="386"/>
      <c r="B1861" s="310"/>
      <c r="C1861" s="311"/>
      <c r="D1861" s="518"/>
      <c r="E1861" s="409"/>
      <c r="F1861" s="312"/>
      <c r="G1861" s="522"/>
      <c r="H1861" s="312"/>
      <c r="I1861" s="455"/>
      <c r="J1861" s="271" t="b">
        <f>Age_Sex23[[#This Row],[Total Spending After Applying Truncation at the Member Level]]+Age_Sex23[[#This Row],[Total Dollars Excluded from Spending After Applying Truncation at the Member Level]]=Age_Sex23[[#This Row],[Total Spending before Truncation is Applied]]</f>
        <v>1</v>
      </c>
    </row>
    <row r="1862" spans="1:10" x14ac:dyDescent="0.25">
      <c r="A1862" s="389"/>
      <c r="B1862" s="4"/>
      <c r="C1862" s="16"/>
      <c r="D1862" s="519"/>
      <c r="E1862" s="410"/>
      <c r="F1862" s="313"/>
      <c r="G1862" s="256"/>
      <c r="H1862" s="313"/>
      <c r="I1862" s="456"/>
      <c r="J1862" s="273" t="b">
        <f>Age_Sex23[[#This Row],[Total Spending After Applying Truncation at the Member Level]]+Age_Sex23[[#This Row],[Total Dollars Excluded from Spending After Applying Truncation at the Member Level]]=Age_Sex23[[#This Row],[Total Spending before Truncation is Applied]]</f>
        <v>1</v>
      </c>
    </row>
    <row r="1863" spans="1:10" x14ac:dyDescent="0.25">
      <c r="A1863" s="386"/>
      <c r="B1863" s="310"/>
      <c r="C1863" s="311"/>
      <c r="D1863" s="518"/>
      <c r="E1863" s="409"/>
      <c r="F1863" s="312"/>
      <c r="G1863" s="522"/>
      <c r="H1863" s="312"/>
      <c r="I1863" s="455"/>
      <c r="J1863" s="271" t="b">
        <f>Age_Sex23[[#This Row],[Total Spending After Applying Truncation at the Member Level]]+Age_Sex23[[#This Row],[Total Dollars Excluded from Spending After Applying Truncation at the Member Level]]=Age_Sex23[[#This Row],[Total Spending before Truncation is Applied]]</f>
        <v>1</v>
      </c>
    </row>
    <row r="1864" spans="1:10" x14ac:dyDescent="0.25">
      <c r="A1864" s="389"/>
      <c r="B1864" s="4"/>
      <c r="C1864" s="16"/>
      <c r="D1864" s="519"/>
      <c r="E1864" s="410"/>
      <c r="F1864" s="313"/>
      <c r="G1864" s="256"/>
      <c r="H1864" s="313"/>
      <c r="I1864" s="456"/>
      <c r="J1864" s="273" t="b">
        <f>Age_Sex23[[#This Row],[Total Spending After Applying Truncation at the Member Level]]+Age_Sex23[[#This Row],[Total Dollars Excluded from Spending After Applying Truncation at the Member Level]]=Age_Sex23[[#This Row],[Total Spending before Truncation is Applied]]</f>
        <v>1</v>
      </c>
    </row>
    <row r="1865" spans="1:10" x14ac:dyDescent="0.25">
      <c r="A1865" s="386"/>
      <c r="B1865" s="310"/>
      <c r="C1865" s="311"/>
      <c r="D1865" s="518"/>
      <c r="E1865" s="409"/>
      <c r="F1865" s="312"/>
      <c r="G1865" s="522"/>
      <c r="H1865" s="312"/>
      <c r="I1865" s="455"/>
      <c r="J1865" s="271" t="b">
        <f>Age_Sex23[[#This Row],[Total Spending After Applying Truncation at the Member Level]]+Age_Sex23[[#This Row],[Total Dollars Excluded from Spending After Applying Truncation at the Member Level]]=Age_Sex23[[#This Row],[Total Spending before Truncation is Applied]]</f>
        <v>1</v>
      </c>
    </row>
    <row r="1866" spans="1:10" x14ac:dyDescent="0.25">
      <c r="A1866" s="389"/>
      <c r="B1866" s="4"/>
      <c r="C1866" s="16"/>
      <c r="D1866" s="519"/>
      <c r="E1866" s="410"/>
      <c r="F1866" s="313"/>
      <c r="G1866" s="256"/>
      <c r="H1866" s="313"/>
      <c r="I1866" s="456"/>
      <c r="J1866" s="273" t="b">
        <f>Age_Sex23[[#This Row],[Total Spending After Applying Truncation at the Member Level]]+Age_Sex23[[#This Row],[Total Dollars Excluded from Spending After Applying Truncation at the Member Level]]=Age_Sex23[[#This Row],[Total Spending before Truncation is Applied]]</f>
        <v>1</v>
      </c>
    </row>
    <row r="1867" spans="1:10" x14ac:dyDescent="0.25">
      <c r="A1867" s="386"/>
      <c r="B1867" s="310"/>
      <c r="C1867" s="311"/>
      <c r="D1867" s="518"/>
      <c r="E1867" s="409"/>
      <c r="F1867" s="312"/>
      <c r="G1867" s="522"/>
      <c r="H1867" s="312"/>
      <c r="I1867" s="455"/>
      <c r="J1867" s="271" t="b">
        <f>Age_Sex23[[#This Row],[Total Spending After Applying Truncation at the Member Level]]+Age_Sex23[[#This Row],[Total Dollars Excluded from Spending After Applying Truncation at the Member Level]]=Age_Sex23[[#This Row],[Total Spending before Truncation is Applied]]</f>
        <v>1</v>
      </c>
    </row>
    <row r="1868" spans="1:10" x14ac:dyDescent="0.25">
      <c r="A1868" s="389"/>
      <c r="B1868" s="4"/>
      <c r="C1868" s="16"/>
      <c r="D1868" s="519"/>
      <c r="E1868" s="410"/>
      <c r="F1868" s="313"/>
      <c r="G1868" s="256"/>
      <c r="H1868" s="313"/>
      <c r="I1868" s="456"/>
      <c r="J1868" s="273" t="b">
        <f>Age_Sex23[[#This Row],[Total Spending After Applying Truncation at the Member Level]]+Age_Sex23[[#This Row],[Total Dollars Excluded from Spending After Applying Truncation at the Member Level]]=Age_Sex23[[#This Row],[Total Spending before Truncation is Applied]]</f>
        <v>1</v>
      </c>
    </row>
    <row r="1869" spans="1:10" x14ac:dyDescent="0.25">
      <c r="A1869" s="386"/>
      <c r="B1869" s="310"/>
      <c r="C1869" s="311"/>
      <c r="D1869" s="518"/>
      <c r="E1869" s="409"/>
      <c r="F1869" s="312"/>
      <c r="G1869" s="522"/>
      <c r="H1869" s="312"/>
      <c r="I1869" s="455"/>
      <c r="J1869" s="271" t="b">
        <f>Age_Sex23[[#This Row],[Total Spending After Applying Truncation at the Member Level]]+Age_Sex23[[#This Row],[Total Dollars Excluded from Spending After Applying Truncation at the Member Level]]=Age_Sex23[[#This Row],[Total Spending before Truncation is Applied]]</f>
        <v>1</v>
      </c>
    </row>
    <row r="1870" spans="1:10" x14ac:dyDescent="0.25">
      <c r="A1870" s="389"/>
      <c r="B1870" s="4"/>
      <c r="C1870" s="16"/>
      <c r="D1870" s="519"/>
      <c r="E1870" s="410"/>
      <c r="F1870" s="313"/>
      <c r="G1870" s="256"/>
      <c r="H1870" s="313"/>
      <c r="I1870" s="456"/>
      <c r="J1870" s="273" t="b">
        <f>Age_Sex23[[#This Row],[Total Spending After Applying Truncation at the Member Level]]+Age_Sex23[[#This Row],[Total Dollars Excluded from Spending After Applying Truncation at the Member Level]]=Age_Sex23[[#This Row],[Total Spending before Truncation is Applied]]</f>
        <v>1</v>
      </c>
    </row>
    <row r="1871" spans="1:10" x14ac:dyDescent="0.25">
      <c r="A1871" s="386"/>
      <c r="B1871" s="310"/>
      <c r="C1871" s="311"/>
      <c r="D1871" s="518"/>
      <c r="E1871" s="409"/>
      <c r="F1871" s="312"/>
      <c r="G1871" s="522"/>
      <c r="H1871" s="312"/>
      <c r="I1871" s="455"/>
      <c r="J1871" s="271" t="b">
        <f>Age_Sex23[[#This Row],[Total Spending After Applying Truncation at the Member Level]]+Age_Sex23[[#This Row],[Total Dollars Excluded from Spending After Applying Truncation at the Member Level]]=Age_Sex23[[#This Row],[Total Spending before Truncation is Applied]]</f>
        <v>1</v>
      </c>
    </row>
    <row r="1872" spans="1:10" x14ac:dyDescent="0.25">
      <c r="A1872" s="389"/>
      <c r="B1872" s="4"/>
      <c r="C1872" s="16"/>
      <c r="D1872" s="519"/>
      <c r="E1872" s="410"/>
      <c r="F1872" s="313"/>
      <c r="G1872" s="256"/>
      <c r="H1872" s="313"/>
      <c r="I1872" s="456"/>
      <c r="J1872" s="273" t="b">
        <f>Age_Sex23[[#This Row],[Total Spending After Applying Truncation at the Member Level]]+Age_Sex23[[#This Row],[Total Dollars Excluded from Spending After Applying Truncation at the Member Level]]=Age_Sex23[[#This Row],[Total Spending before Truncation is Applied]]</f>
        <v>1</v>
      </c>
    </row>
    <row r="1873" spans="1:10" x14ac:dyDescent="0.25">
      <c r="A1873" s="386"/>
      <c r="B1873" s="310"/>
      <c r="C1873" s="311"/>
      <c r="D1873" s="518"/>
      <c r="E1873" s="409"/>
      <c r="F1873" s="312"/>
      <c r="G1873" s="522"/>
      <c r="H1873" s="312"/>
      <c r="I1873" s="455"/>
      <c r="J1873" s="271" t="b">
        <f>Age_Sex23[[#This Row],[Total Spending After Applying Truncation at the Member Level]]+Age_Sex23[[#This Row],[Total Dollars Excluded from Spending After Applying Truncation at the Member Level]]=Age_Sex23[[#This Row],[Total Spending before Truncation is Applied]]</f>
        <v>1</v>
      </c>
    </row>
    <row r="1874" spans="1:10" x14ac:dyDescent="0.25">
      <c r="A1874" s="389"/>
      <c r="B1874" s="4"/>
      <c r="C1874" s="16"/>
      <c r="D1874" s="519"/>
      <c r="E1874" s="410"/>
      <c r="F1874" s="313"/>
      <c r="G1874" s="256"/>
      <c r="H1874" s="313"/>
      <c r="I1874" s="456"/>
      <c r="J1874" s="273" t="b">
        <f>Age_Sex23[[#This Row],[Total Spending After Applying Truncation at the Member Level]]+Age_Sex23[[#This Row],[Total Dollars Excluded from Spending After Applying Truncation at the Member Level]]=Age_Sex23[[#This Row],[Total Spending before Truncation is Applied]]</f>
        <v>1</v>
      </c>
    </row>
    <row r="1875" spans="1:10" x14ac:dyDescent="0.25">
      <c r="A1875" s="386"/>
      <c r="B1875" s="310"/>
      <c r="C1875" s="311"/>
      <c r="D1875" s="518"/>
      <c r="E1875" s="409"/>
      <c r="F1875" s="312"/>
      <c r="G1875" s="522"/>
      <c r="H1875" s="312"/>
      <c r="I1875" s="455"/>
      <c r="J1875" s="271" t="b">
        <f>Age_Sex23[[#This Row],[Total Spending After Applying Truncation at the Member Level]]+Age_Sex23[[#This Row],[Total Dollars Excluded from Spending After Applying Truncation at the Member Level]]=Age_Sex23[[#This Row],[Total Spending before Truncation is Applied]]</f>
        <v>1</v>
      </c>
    </row>
    <row r="1876" spans="1:10" x14ac:dyDescent="0.25">
      <c r="A1876" s="389"/>
      <c r="B1876" s="4"/>
      <c r="C1876" s="16"/>
      <c r="D1876" s="519"/>
      <c r="E1876" s="410"/>
      <c r="F1876" s="313"/>
      <c r="G1876" s="256"/>
      <c r="H1876" s="313"/>
      <c r="I1876" s="456"/>
      <c r="J1876" s="273" t="b">
        <f>Age_Sex23[[#This Row],[Total Spending After Applying Truncation at the Member Level]]+Age_Sex23[[#This Row],[Total Dollars Excluded from Spending After Applying Truncation at the Member Level]]=Age_Sex23[[#This Row],[Total Spending before Truncation is Applied]]</f>
        <v>1</v>
      </c>
    </row>
    <row r="1877" spans="1:10" x14ac:dyDescent="0.25">
      <c r="A1877" s="386"/>
      <c r="B1877" s="310"/>
      <c r="C1877" s="311"/>
      <c r="D1877" s="518"/>
      <c r="E1877" s="409"/>
      <c r="F1877" s="312"/>
      <c r="G1877" s="522"/>
      <c r="H1877" s="312"/>
      <c r="I1877" s="455"/>
      <c r="J1877" s="271" t="b">
        <f>Age_Sex23[[#This Row],[Total Spending After Applying Truncation at the Member Level]]+Age_Sex23[[#This Row],[Total Dollars Excluded from Spending After Applying Truncation at the Member Level]]=Age_Sex23[[#This Row],[Total Spending before Truncation is Applied]]</f>
        <v>1</v>
      </c>
    </row>
    <row r="1878" spans="1:10" x14ac:dyDescent="0.25">
      <c r="A1878" s="389"/>
      <c r="B1878" s="4"/>
      <c r="C1878" s="16"/>
      <c r="D1878" s="519"/>
      <c r="E1878" s="410"/>
      <c r="F1878" s="313"/>
      <c r="G1878" s="256"/>
      <c r="H1878" s="313"/>
      <c r="I1878" s="456"/>
      <c r="J1878" s="273" t="b">
        <f>Age_Sex23[[#This Row],[Total Spending After Applying Truncation at the Member Level]]+Age_Sex23[[#This Row],[Total Dollars Excluded from Spending After Applying Truncation at the Member Level]]=Age_Sex23[[#This Row],[Total Spending before Truncation is Applied]]</f>
        <v>1</v>
      </c>
    </row>
    <row r="1879" spans="1:10" x14ac:dyDescent="0.25">
      <c r="A1879" s="386"/>
      <c r="B1879" s="310"/>
      <c r="C1879" s="311"/>
      <c r="D1879" s="518"/>
      <c r="E1879" s="409"/>
      <c r="F1879" s="312"/>
      <c r="G1879" s="522"/>
      <c r="H1879" s="312"/>
      <c r="I1879" s="455"/>
      <c r="J1879" s="271" t="b">
        <f>Age_Sex23[[#This Row],[Total Spending After Applying Truncation at the Member Level]]+Age_Sex23[[#This Row],[Total Dollars Excluded from Spending After Applying Truncation at the Member Level]]=Age_Sex23[[#This Row],[Total Spending before Truncation is Applied]]</f>
        <v>1</v>
      </c>
    </row>
    <row r="1880" spans="1:10" x14ac:dyDescent="0.25">
      <c r="A1880" s="389"/>
      <c r="B1880" s="4"/>
      <c r="C1880" s="16"/>
      <c r="D1880" s="519"/>
      <c r="E1880" s="410"/>
      <c r="F1880" s="313"/>
      <c r="G1880" s="256"/>
      <c r="H1880" s="313"/>
      <c r="I1880" s="456"/>
      <c r="J1880" s="273" t="b">
        <f>Age_Sex23[[#This Row],[Total Spending After Applying Truncation at the Member Level]]+Age_Sex23[[#This Row],[Total Dollars Excluded from Spending After Applying Truncation at the Member Level]]=Age_Sex23[[#This Row],[Total Spending before Truncation is Applied]]</f>
        <v>1</v>
      </c>
    </row>
    <row r="1881" spans="1:10" x14ac:dyDescent="0.25">
      <c r="A1881" s="386"/>
      <c r="B1881" s="310"/>
      <c r="C1881" s="311"/>
      <c r="D1881" s="518"/>
      <c r="E1881" s="409"/>
      <c r="F1881" s="312"/>
      <c r="G1881" s="522"/>
      <c r="H1881" s="312"/>
      <c r="I1881" s="455"/>
      <c r="J1881" s="271" t="b">
        <f>Age_Sex23[[#This Row],[Total Spending After Applying Truncation at the Member Level]]+Age_Sex23[[#This Row],[Total Dollars Excluded from Spending After Applying Truncation at the Member Level]]=Age_Sex23[[#This Row],[Total Spending before Truncation is Applied]]</f>
        <v>1</v>
      </c>
    </row>
    <row r="1882" spans="1:10" x14ac:dyDescent="0.25">
      <c r="A1882" s="389"/>
      <c r="B1882" s="4"/>
      <c r="C1882" s="16"/>
      <c r="D1882" s="519"/>
      <c r="E1882" s="410"/>
      <c r="F1882" s="313"/>
      <c r="G1882" s="256"/>
      <c r="H1882" s="313"/>
      <c r="I1882" s="456"/>
      <c r="J1882" s="273" t="b">
        <f>Age_Sex23[[#This Row],[Total Spending After Applying Truncation at the Member Level]]+Age_Sex23[[#This Row],[Total Dollars Excluded from Spending After Applying Truncation at the Member Level]]=Age_Sex23[[#This Row],[Total Spending before Truncation is Applied]]</f>
        <v>1</v>
      </c>
    </row>
    <row r="1883" spans="1:10" x14ac:dyDescent="0.25">
      <c r="A1883" s="386"/>
      <c r="B1883" s="310"/>
      <c r="C1883" s="311"/>
      <c r="D1883" s="518"/>
      <c r="E1883" s="409"/>
      <c r="F1883" s="312"/>
      <c r="G1883" s="522"/>
      <c r="H1883" s="312"/>
      <c r="I1883" s="455"/>
      <c r="J1883" s="271" t="b">
        <f>Age_Sex23[[#This Row],[Total Spending After Applying Truncation at the Member Level]]+Age_Sex23[[#This Row],[Total Dollars Excluded from Spending After Applying Truncation at the Member Level]]=Age_Sex23[[#This Row],[Total Spending before Truncation is Applied]]</f>
        <v>1</v>
      </c>
    </row>
    <row r="1884" spans="1:10" x14ac:dyDescent="0.25">
      <c r="A1884" s="389"/>
      <c r="B1884" s="4"/>
      <c r="C1884" s="16"/>
      <c r="D1884" s="519"/>
      <c r="E1884" s="410"/>
      <c r="F1884" s="313"/>
      <c r="G1884" s="256"/>
      <c r="H1884" s="313"/>
      <c r="I1884" s="456"/>
      <c r="J1884" s="273" t="b">
        <f>Age_Sex23[[#This Row],[Total Spending After Applying Truncation at the Member Level]]+Age_Sex23[[#This Row],[Total Dollars Excluded from Spending After Applying Truncation at the Member Level]]=Age_Sex23[[#This Row],[Total Spending before Truncation is Applied]]</f>
        <v>1</v>
      </c>
    </row>
    <row r="1885" spans="1:10" x14ac:dyDescent="0.25">
      <c r="A1885" s="386"/>
      <c r="B1885" s="310"/>
      <c r="C1885" s="311"/>
      <c r="D1885" s="518"/>
      <c r="E1885" s="409"/>
      <c r="F1885" s="312"/>
      <c r="G1885" s="522"/>
      <c r="H1885" s="312"/>
      <c r="I1885" s="455"/>
      <c r="J1885" s="271" t="b">
        <f>Age_Sex23[[#This Row],[Total Spending After Applying Truncation at the Member Level]]+Age_Sex23[[#This Row],[Total Dollars Excluded from Spending After Applying Truncation at the Member Level]]=Age_Sex23[[#This Row],[Total Spending before Truncation is Applied]]</f>
        <v>1</v>
      </c>
    </row>
    <row r="1886" spans="1:10" x14ac:dyDescent="0.25">
      <c r="A1886" s="389"/>
      <c r="B1886" s="4"/>
      <c r="C1886" s="16"/>
      <c r="D1886" s="519"/>
      <c r="E1886" s="410"/>
      <c r="F1886" s="313"/>
      <c r="G1886" s="256"/>
      <c r="H1886" s="313"/>
      <c r="I1886" s="456"/>
      <c r="J1886" s="273" t="b">
        <f>Age_Sex23[[#This Row],[Total Spending After Applying Truncation at the Member Level]]+Age_Sex23[[#This Row],[Total Dollars Excluded from Spending After Applying Truncation at the Member Level]]=Age_Sex23[[#This Row],[Total Spending before Truncation is Applied]]</f>
        <v>1</v>
      </c>
    </row>
    <row r="1887" spans="1:10" x14ac:dyDescent="0.25">
      <c r="A1887" s="386"/>
      <c r="B1887" s="310"/>
      <c r="C1887" s="311"/>
      <c r="D1887" s="518"/>
      <c r="E1887" s="409"/>
      <c r="F1887" s="312"/>
      <c r="G1887" s="522"/>
      <c r="H1887" s="312"/>
      <c r="I1887" s="455"/>
      <c r="J1887" s="271" t="b">
        <f>Age_Sex23[[#This Row],[Total Spending After Applying Truncation at the Member Level]]+Age_Sex23[[#This Row],[Total Dollars Excluded from Spending After Applying Truncation at the Member Level]]=Age_Sex23[[#This Row],[Total Spending before Truncation is Applied]]</f>
        <v>1</v>
      </c>
    </row>
    <row r="1888" spans="1:10" x14ac:dyDescent="0.25">
      <c r="A1888" s="389"/>
      <c r="B1888" s="4"/>
      <c r="C1888" s="16"/>
      <c r="D1888" s="519"/>
      <c r="E1888" s="410"/>
      <c r="F1888" s="313"/>
      <c r="G1888" s="256"/>
      <c r="H1888" s="313"/>
      <c r="I1888" s="456"/>
      <c r="J1888" s="273" t="b">
        <f>Age_Sex23[[#This Row],[Total Spending After Applying Truncation at the Member Level]]+Age_Sex23[[#This Row],[Total Dollars Excluded from Spending After Applying Truncation at the Member Level]]=Age_Sex23[[#This Row],[Total Spending before Truncation is Applied]]</f>
        <v>1</v>
      </c>
    </row>
    <row r="1889" spans="1:10" x14ac:dyDescent="0.25">
      <c r="A1889" s="386"/>
      <c r="B1889" s="310"/>
      <c r="C1889" s="311"/>
      <c r="D1889" s="518"/>
      <c r="E1889" s="409"/>
      <c r="F1889" s="312"/>
      <c r="G1889" s="522"/>
      <c r="H1889" s="312"/>
      <c r="I1889" s="455"/>
      <c r="J1889" s="271" t="b">
        <f>Age_Sex23[[#This Row],[Total Spending After Applying Truncation at the Member Level]]+Age_Sex23[[#This Row],[Total Dollars Excluded from Spending After Applying Truncation at the Member Level]]=Age_Sex23[[#This Row],[Total Spending before Truncation is Applied]]</f>
        <v>1</v>
      </c>
    </row>
    <row r="1890" spans="1:10" x14ac:dyDescent="0.25">
      <c r="A1890" s="389"/>
      <c r="B1890" s="4"/>
      <c r="C1890" s="16"/>
      <c r="D1890" s="519"/>
      <c r="E1890" s="410"/>
      <c r="F1890" s="313"/>
      <c r="G1890" s="256"/>
      <c r="H1890" s="313"/>
      <c r="I1890" s="456"/>
      <c r="J1890" s="273" t="b">
        <f>Age_Sex23[[#This Row],[Total Spending After Applying Truncation at the Member Level]]+Age_Sex23[[#This Row],[Total Dollars Excluded from Spending After Applying Truncation at the Member Level]]=Age_Sex23[[#This Row],[Total Spending before Truncation is Applied]]</f>
        <v>1</v>
      </c>
    </row>
    <row r="1891" spans="1:10" x14ac:dyDescent="0.25">
      <c r="A1891" s="386"/>
      <c r="B1891" s="310"/>
      <c r="C1891" s="311"/>
      <c r="D1891" s="518"/>
      <c r="E1891" s="409"/>
      <c r="F1891" s="312"/>
      <c r="G1891" s="522"/>
      <c r="H1891" s="312"/>
      <c r="I1891" s="455"/>
      <c r="J1891" s="271" t="b">
        <f>Age_Sex23[[#This Row],[Total Spending After Applying Truncation at the Member Level]]+Age_Sex23[[#This Row],[Total Dollars Excluded from Spending After Applying Truncation at the Member Level]]=Age_Sex23[[#This Row],[Total Spending before Truncation is Applied]]</f>
        <v>1</v>
      </c>
    </row>
    <row r="1892" spans="1:10" x14ac:dyDescent="0.25">
      <c r="A1892" s="389"/>
      <c r="B1892" s="4"/>
      <c r="C1892" s="16"/>
      <c r="D1892" s="519"/>
      <c r="E1892" s="410"/>
      <c r="F1892" s="313"/>
      <c r="G1892" s="256"/>
      <c r="H1892" s="313"/>
      <c r="I1892" s="456"/>
      <c r="J1892" s="273" t="b">
        <f>Age_Sex23[[#This Row],[Total Spending After Applying Truncation at the Member Level]]+Age_Sex23[[#This Row],[Total Dollars Excluded from Spending After Applying Truncation at the Member Level]]=Age_Sex23[[#This Row],[Total Spending before Truncation is Applied]]</f>
        <v>1</v>
      </c>
    </row>
    <row r="1893" spans="1:10" x14ac:dyDescent="0.25">
      <c r="A1893" s="386"/>
      <c r="B1893" s="310"/>
      <c r="C1893" s="311"/>
      <c r="D1893" s="518"/>
      <c r="E1893" s="409"/>
      <c r="F1893" s="312"/>
      <c r="G1893" s="522"/>
      <c r="H1893" s="312"/>
      <c r="I1893" s="455"/>
      <c r="J1893" s="271" t="b">
        <f>Age_Sex23[[#This Row],[Total Spending After Applying Truncation at the Member Level]]+Age_Sex23[[#This Row],[Total Dollars Excluded from Spending After Applying Truncation at the Member Level]]=Age_Sex23[[#This Row],[Total Spending before Truncation is Applied]]</f>
        <v>1</v>
      </c>
    </row>
    <row r="1894" spans="1:10" x14ac:dyDescent="0.25">
      <c r="A1894" s="389"/>
      <c r="B1894" s="4"/>
      <c r="C1894" s="16"/>
      <c r="D1894" s="519"/>
      <c r="E1894" s="410"/>
      <c r="F1894" s="313"/>
      <c r="G1894" s="256"/>
      <c r="H1894" s="313"/>
      <c r="I1894" s="456"/>
      <c r="J1894" s="273" t="b">
        <f>Age_Sex23[[#This Row],[Total Spending After Applying Truncation at the Member Level]]+Age_Sex23[[#This Row],[Total Dollars Excluded from Spending After Applying Truncation at the Member Level]]=Age_Sex23[[#This Row],[Total Spending before Truncation is Applied]]</f>
        <v>1</v>
      </c>
    </row>
    <row r="1895" spans="1:10" x14ac:dyDescent="0.25">
      <c r="A1895" s="386"/>
      <c r="B1895" s="310"/>
      <c r="C1895" s="311"/>
      <c r="D1895" s="518"/>
      <c r="E1895" s="409"/>
      <c r="F1895" s="312"/>
      <c r="G1895" s="522"/>
      <c r="H1895" s="312"/>
      <c r="I1895" s="455"/>
      <c r="J1895" s="271" t="b">
        <f>Age_Sex23[[#This Row],[Total Spending After Applying Truncation at the Member Level]]+Age_Sex23[[#This Row],[Total Dollars Excluded from Spending After Applying Truncation at the Member Level]]=Age_Sex23[[#This Row],[Total Spending before Truncation is Applied]]</f>
        <v>1</v>
      </c>
    </row>
    <row r="1896" spans="1:10" x14ac:dyDescent="0.25">
      <c r="A1896" s="389"/>
      <c r="B1896" s="4"/>
      <c r="C1896" s="16"/>
      <c r="D1896" s="519"/>
      <c r="E1896" s="410"/>
      <c r="F1896" s="313"/>
      <c r="G1896" s="256"/>
      <c r="H1896" s="313"/>
      <c r="I1896" s="456"/>
      <c r="J1896" s="273" t="b">
        <f>Age_Sex23[[#This Row],[Total Spending After Applying Truncation at the Member Level]]+Age_Sex23[[#This Row],[Total Dollars Excluded from Spending After Applying Truncation at the Member Level]]=Age_Sex23[[#This Row],[Total Spending before Truncation is Applied]]</f>
        <v>1</v>
      </c>
    </row>
    <row r="1897" spans="1:10" x14ac:dyDescent="0.25">
      <c r="A1897" s="386"/>
      <c r="B1897" s="310"/>
      <c r="C1897" s="311"/>
      <c r="D1897" s="518"/>
      <c r="E1897" s="409"/>
      <c r="F1897" s="312"/>
      <c r="G1897" s="522"/>
      <c r="H1897" s="312"/>
      <c r="I1897" s="455"/>
      <c r="J1897" s="271" t="b">
        <f>Age_Sex23[[#This Row],[Total Spending After Applying Truncation at the Member Level]]+Age_Sex23[[#This Row],[Total Dollars Excluded from Spending After Applying Truncation at the Member Level]]=Age_Sex23[[#This Row],[Total Spending before Truncation is Applied]]</f>
        <v>1</v>
      </c>
    </row>
    <row r="1898" spans="1:10" x14ac:dyDescent="0.25">
      <c r="A1898" s="389"/>
      <c r="B1898" s="4"/>
      <c r="C1898" s="16"/>
      <c r="D1898" s="519"/>
      <c r="E1898" s="410"/>
      <c r="F1898" s="313"/>
      <c r="G1898" s="256"/>
      <c r="H1898" s="313"/>
      <c r="I1898" s="456"/>
      <c r="J1898" s="273" t="b">
        <f>Age_Sex23[[#This Row],[Total Spending After Applying Truncation at the Member Level]]+Age_Sex23[[#This Row],[Total Dollars Excluded from Spending After Applying Truncation at the Member Level]]=Age_Sex23[[#This Row],[Total Spending before Truncation is Applied]]</f>
        <v>1</v>
      </c>
    </row>
    <row r="1899" spans="1:10" x14ac:dyDescent="0.25">
      <c r="A1899" s="386"/>
      <c r="B1899" s="310"/>
      <c r="C1899" s="311"/>
      <c r="D1899" s="518"/>
      <c r="E1899" s="409"/>
      <c r="F1899" s="312"/>
      <c r="G1899" s="522"/>
      <c r="H1899" s="312"/>
      <c r="I1899" s="455"/>
      <c r="J1899" s="271" t="b">
        <f>Age_Sex23[[#This Row],[Total Spending After Applying Truncation at the Member Level]]+Age_Sex23[[#This Row],[Total Dollars Excluded from Spending After Applying Truncation at the Member Level]]=Age_Sex23[[#This Row],[Total Spending before Truncation is Applied]]</f>
        <v>1</v>
      </c>
    </row>
    <row r="1900" spans="1:10" x14ac:dyDescent="0.25">
      <c r="A1900" s="389"/>
      <c r="B1900" s="4"/>
      <c r="C1900" s="16"/>
      <c r="D1900" s="519"/>
      <c r="E1900" s="410"/>
      <c r="F1900" s="313"/>
      <c r="G1900" s="256"/>
      <c r="H1900" s="313"/>
      <c r="I1900" s="456"/>
      <c r="J1900" s="273" t="b">
        <f>Age_Sex23[[#This Row],[Total Spending After Applying Truncation at the Member Level]]+Age_Sex23[[#This Row],[Total Dollars Excluded from Spending After Applying Truncation at the Member Level]]=Age_Sex23[[#This Row],[Total Spending before Truncation is Applied]]</f>
        <v>1</v>
      </c>
    </row>
    <row r="1901" spans="1:10" x14ac:dyDescent="0.25">
      <c r="A1901" s="386"/>
      <c r="B1901" s="310"/>
      <c r="C1901" s="311"/>
      <c r="D1901" s="518"/>
      <c r="E1901" s="409"/>
      <c r="F1901" s="312"/>
      <c r="G1901" s="522"/>
      <c r="H1901" s="312"/>
      <c r="I1901" s="455"/>
      <c r="J1901" s="271" t="b">
        <f>Age_Sex23[[#This Row],[Total Spending After Applying Truncation at the Member Level]]+Age_Sex23[[#This Row],[Total Dollars Excluded from Spending After Applying Truncation at the Member Level]]=Age_Sex23[[#This Row],[Total Spending before Truncation is Applied]]</f>
        <v>1</v>
      </c>
    </row>
    <row r="1902" spans="1:10" x14ac:dyDescent="0.25">
      <c r="A1902" s="389"/>
      <c r="B1902" s="4"/>
      <c r="C1902" s="16"/>
      <c r="D1902" s="519"/>
      <c r="E1902" s="410"/>
      <c r="F1902" s="313"/>
      <c r="G1902" s="256"/>
      <c r="H1902" s="313"/>
      <c r="I1902" s="456"/>
      <c r="J1902" s="273" t="b">
        <f>Age_Sex23[[#This Row],[Total Spending After Applying Truncation at the Member Level]]+Age_Sex23[[#This Row],[Total Dollars Excluded from Spending After Applying Truncation at the Member Level]]=Age_Sex23[[#This Row],[Total Spending before Truncation is Applied]]</f>
        <v>1</v>
      </c>
    </row>
    <row r="1903" spans="1:10" x14ac:dyDescent="0.25">
      <c r="A1903" s="386"/>
      <c r="B1903" s="310"/>
      <c r="C1903" s="311"/>
      <c r="D1903" s="518"/>
      <c r="E1903" s="409"/>
      <c r="F1903" s="312"/>
      <c r="G1903" s="522"/>
      <c r="H1903" s="312"/>
      <c r="I1903" s="455"/>
      <c r="J1903" s="271" t="b">
        <f>Age_Sex23[[#This Row],[Total Spending After Applying Truncation at the Member Level]]+Age_Sex23[[#This Row],[Total Dollars Excluded from Spending After Applying Truncation at the Member Level]]=Age_Sex23[[#This Row],[Total Spending before Truncation is Applied]]</f>
        <v>1</v>
      </c>
    </row>
    <row r="1904" spans="1:10" x14ac:dyDescent="0.25">
      <c r="A1904" s="389"/>
      <c r="B1904" s="4"/>
      <c r="C1904" s="16"/>
      <c r="D1904" s="519"/>
      <c r="E1904" s="410"/>
      <c r="F1904" s="313"/>
      <c r="G1904" s="256"/>
      <c r="H1904" s="313"/>
      <c r="I1904" s="456"/>
      <c r="J1904" s="273" t="b">
        <f>Age_Sex23[[#This Row],[Total Spending After Applying Truncation at the Member Level]]+Age_Sex23[[#This Row],[Total Dollars Excluded from Spending After Applying Truncation at the Member Level]]=Age_Sex23[[#This Row],[Total Spending before Truncation is Applied]]</f>
        <v>1</v>
      </c>
    </row>
    <row r="1905" spans="1:10" x14ac:dyDescent="0.25">
      <c r="A1905" s="386"/>
      <c r="B1905" s="310"/>
      <c r="C1905" s="311"/>
      <c r="D1905" s="518"/>
      <c r="E1905" s="409"/>
      <c r="F1905" s="312"/>
      <c r="G1905" s="522"/>
      <c r="H1905" s="312"/>
      <c r="I1905" s="455"/>
      <c r="J1905" s="271" t="b">
        <f>Age_Sex23[[#This Row],[Total Spending After Applying Truncation at the Member Level]]+Age_Sex23[[#This Row],[Total Dollars Excluded from Spending After Applying Truncation at the Member Level]]=Age_Sex23[[#This Row],[Total Spending before Truncation is Applied]]</f>
        <v>1</v>
      </c>
    </row>
    <row r="1906" spans="1:10" x14ac:dyDescent="0.25">
      <c r="A1906" s="389"/>
      <c r="B1906" s="4"/>
      <c r="C1906" s="16"/>
      <c r="D1906" s="519"/>
      <c r="E1906" s="410"/>
      <c r="F1906" s="313"/>
      <c r="G1906" s="256"/>
      <c r="H1906" s="313"/>
      <c r="I1906" s="456"/>
      <c r="J1906" s="273" t="b">
        <f>Age_Sex23[[#This Row],[Total Spending After Applying Truncation at the Member Level]]+Age_Sex23[[#This Row],[Total Dollars Excluded from Spending After Applying Truncation at the Member Level]]=Age_Sex23[[#This Row],[Total Spending before Truncation is Applied]]</f>
        <v>1</v>
      </c>
    </row>
    <row r="1907" spans="1:10" x14ac:dyDescent="0.25">
      <c r="A1907" s="386"/>
      <c r="B1907" s="310"/>
      <c r="C1907" s="311"/>
      <c r="D1907" s="518"/>
      <c r="E1907" s="409"/>
      <c r="F1907" s="312"/>
      <c r="G1907" s="522"/>
      <c r="H1907" s="312"/>
      <c r="I1907" s="455"/>
      <c r="J1907" s="271" t="b">
        <f>Age_Sex23[[#This Row],[Total Spending After Applying Truncation at the Member Level]]+Age_Sex23[[#This Row],[Total Dollars Excluded from Spending After Applying Truncation at the Member Level]]=Age_Sex23[[#This Row],[Total Spending before Truncation is Applied]]</f>
        <v>1</v>
      </c>
    </row>
    <row r="1908" spans="1:10" x14ac:dyDescent="0.25">
      <c r="A1908" s="389"/>
      <c r="B1908" s="4"/>
      <c r="C1908" s="16"/>
      <c r="D1908" s="519"/>
      <c r="E1908" s="410"/>
      <c r="F1908" s="313"/>
      <c r="G1908" s="256"/>
      <c r="H1908" s="313"/>
      <c r="I1908" s="456"/>
      <c r="J1908" s="273" t="b">
        <f>Age_Sex23[[#This Row],[Total Spending After Applying Truncation at the Member Level]]+Age_Sex23[[#This Row],[Total Dollars Excluded from Spending After Applying Truncation at the Member Level]]=Age_Sex23[[#This Row],[Total Spending before Truncation is Applied]]</f>
        <v>1</v>
      </c>
    </row>
    <row r="1909" spans="1:10" x14ac:dyDescent="0.25">
      <c r="A1909" s="386"/>
      <c r="B1909" s="310"/>
      <c r="C1909" s="311"/>
      <c r="D1909" s="518"/>
      <c r="E1909" s="409"/>
      <c r="F1909" s="312"/>
      <c r="G1909" s="522"/>
      <c r="H1909" s="312"/>
      <c r="I1909" s="455"/>
      <c r="J1909" s="271" t="b">
        <f>Age_Sex23[[#This Row],[Total Spending After Applying Truncation at the Member Level]]+Age_Sex23[[#This Row],[Total Dollars Excluded from Spending After Applying Truncation at the Member Level]]=Age_Sex23[[#This Row],[Total Spending before Truncation is Applied]]</f>
        <v>1</v>
      </c>
    </row>
    <row r="1910" spans="1:10" x14ac:dyDescent="0.25">
      <c r="A1910" s="389"/>
      <c r="B1910" s="4"/>
      <c r="C1910" s="16"/>
      <c r="D1910" s="519"/>
      <c r="E1910" s="410"/>
      <c r="F1910" s="313"/>
      <c r="G1910" s="256"/>
      <c r="H1910" s="313"/>
      <c r="I1910" s="456"/>
      <c r="J1910" s="273" t="b">
        <f>Age_Sex23[[#This Row],[Total Spending After Applying Truncation at the Member Level]]+Age_Sex23[[#This Row],[Total Dollars Excluded from Spending After Applying Truncation at the Member Level]]=Age_Sex23[[#This Row],[Total Spending before Truncation is Applied]]</f>
        <v>1</v>
      </c>
    </row>
    <row r="1911" spans="1:10" x14ac:dyDescent="0.25">
      <c r="A1911" s="386"/>
      <c r="B1911" s="310"/>
      <c r="C1911" s="311"/>
      <c r="D1911" s="518"/>
      <c r="E1911" s="409"/>
      <c r="F1911" s="312"/>
      <c r="G1911" s="522"/>
      <c r="H1911" s="312"/>
      <c r="I1911" s="455"/>
      <c r="J1911" s="271" t="b">
        <f>Age_Sex23[[#This Row],[Total Spending After Applying Truncation at the Member Level]]+Age_Sex23[[#This Row],[Total Dollars Excluded from Spending After Applying Truncation at the Member Level]]=Age_Sex23[[#This Row],[Total Spending before Truncation is Applied]]</f>
        <v>1</v>
      </c>
    </row>
    <row r="1912" spans="1:10" x14ac:dyDescent="0.25">
      <c r="A1912" s="389"/>
      <c r="B1912" s="4"/>
      <c r="C1912" s="16"/>
      <c r="D1912" s="519"/>
      <c r="E1912" s="410"/>
      <c r="F1912" s="313"/>
      <c r="G1912" s="256"/>
      <c r="H1912" s="313"/>
      <c r="I1912" s="456"/>
      <c r="J1912" s="273" t="b">
        <f>Age_Sex23[[#This Row],[Total Spending After Applying Truncation at the Member Level]]+Age_Sex23[[#This Row],[Total Dollars Excluded from Spending After Applying Truncation at the Member Level]]=Age_Sex23[[#This Row],[Total Spending before Truncation is Applied]]</f>
        <v>1</v>
      </c>
    </row>
    <row r="1913" spans="1:10" x14ac:dyDescent="0.25">
      <c r="A1913" s="386"/>
      <c r="B1913" s="310"/>
      <c r="C1913" s="311"/>
      <c r="D1913" s="518"/>
      <c r="E1913" s="409"/>
      <c r="F1913" s="312"/>
      <c r="G1913" s="522"/>
      <c r="H1913" s="312"/>
      <c r="I1913" s="455"/>
      <c r="J1913" s="271" t="b">
        <f>Age_Sex23[[#This Row],[Total Spending After Applying Truncation at the Member Level]]+Age_Sex23[[#This Row],[Total Dollars Excluded from Spending After Applying Truncation at the Member Level]]=Age_Sex23[[#This Row],[Total Spending before Truncation is Applied]]</f>
        <v>1</v>
      </c>
    </row>
    <row r="1914" spans="1:10" x14ac:dyDescent="0.25">
      <c r="A1914" s="389"/>
      <c r="B1914" s="4"/>
      <c r="C1914" s="16"/>
      <c r="D1914" s="519"/>
      <c r="E1914" s="410"/>
      <c r="F1914" s="313"/>
      <c r="G1914" s="256"/>
      <c r="H1914" s="313"/>
      <c r="I1914" s="456"/>
      <c r="J1914" s="273" t="b">
        <f>Age_Sex23[[#This Row],[Total Spending After Applying Truncation at the Member Level]]+Age_Sex23[[#This Row],[Total Dollars Excluded from Spending After Applying Truncation at the Member Level]]=Age_Sex23[[#This Row],[Total Spending before Truncation is Applied]]</f>
        <v>1</v>
      </c>
    </row>
    <row r="1915" spans="1:10" x14ac:dyDescent="0.25">
      <c r="A1915" s="386"/>
      <c r="B1915" s="310"/>
      <c r="C1915" s="311"/>
      <c r="D1915" s="518"/>
      <c r="E1915" s="409"/>
      <c r="F1915" s="312"/>
      <c r="G1915" s="522"/>
      <c r="H1915" s="312"/>
      <c r="I1915" s="455"/>
      <c r="J1915" s="271" t="b">
        <f>Age_Sex23[[#This Row],[Total Spending After Applying Truncation at the Member Level]]+Age_Sex23[[#This Row],[Total Dollars Excluded from Spending After Applying Truncation at the Member Level]]=Age_Sex23[[#This Row],[Total Spending before Truncation is Applied]]</f>
        <v>1</v>
      </c>
    </row>
    <row r="1916" spans="1:10" x14ac:dyDescent="0.25">
      <c r="A1916" s="389"/>
      <c r="B1916" s="4"/>
      <c r="C1916" s="16"/>
      <c r="D1916" s="519"/>
      <c r="E1916" s="410"/>
      <c r="F1916" s="313"/>
      <c r="G1916" s="256"/>
      <c r="H1916" s="313"/>
      <c r="I1916" s="456"/>
      <c r="J1916" s="273" t="b">
        <f>Age_Sex23[[#This Row],[Total Spending After Applying Truncation at the Member Level]]+Age_Sex23[[#This Row],[Total Dollars Excluded from Spending After Applying Truncation at the Member Level]]=Age_Sex23[[#This Row],[Total Spending before Truncation is Applied]]</f>
        <v>1</v>
      </c>
    </row>
    <row r="1917" spans="1:10" x14ac:dyDescent="0.25">
      <c r="A1917" s="386"/>
      <c r="B1917" s="310"/>
      <c r="C1917" s="311"/>
      <c r="D1917" s="518"/>
      <c r="E1917" s="409"/>
      <c r="F1917" s="312"/>
      <c r="G1917" s="522"/>
      <c r="H1917" s="312"/>
      <c r="I1917" s="455"/>
      <c r="J1917" s="271" t="b">
        <f>Age_Sex23[[#This Row],[Total Spending After Applying Truncation at the Member Level]]+Age_Sex23[[#This Row],[Total Dollars Excluded from Spending After Applying Truncation at the Member Level]]=Age_Sex23[[#This Row],[Total Spending before Truncation is Applied]]</f>
        <v>1</v>
      </c>
    </row>
    <row r="1918" spans="1:10" x14ac:dyDescent="0.25">
      <c r="A1918" s="389"/>
      <c r="B1918" s="4"/>
      <c r="C1918" s="16"/>
      <c r="D1918" s="519"/>
      <c r="E1918" s="410"/>
      <c r="F1918" s="313"/>
      <c r="G1918" s="256"/>
      <c r="H1918" s="313"/>
      <c r="I1918" s="456"/>
      <c r="J1918" s="273" t="b">
        <f>Age_Sex23[[#This Row],[Total Spending After Applying Truncation at the Member Level]]+Age_Sex23[[#This Row],[Total Dollars Excluded from Spending After Applying Truncation at the Member Level]]=Age_Sex23[[#This Row],[Total Spending before Truncation is Applied]]</f>
        <v>1</v>
      </c>
    </row>
    <row r="1919" spans="1:10" x14ac:dyDescent="0.25">
      <c r="A1919" s="386"/>
      <c r="B1919" s="310"/>
      <c r="C1919" s="311"/>
      <c r="D1919" s="518"/>
      <c r="E1919" s="409"/>
      <c r="F1919" s="312"/>
      <c r="G1919" s="522"/>
      <c r="H1919" s="312"/>
      <c r="I1919" s="455"/>
      <c r="J1919" s="271" t="b">
        <f>Age_Sex23[[#This Row],[Total Spending After Applying Truncation at the Member Level]]+Age_Sex23[[#This Row],[Total Dollars Excluded from Spending After Applying Truncation at the Member Level]]=Age_Sex23[[#This Row],[Total Spending before Truncation is Applied]]</f>
        <v>1</v>
      </c>
    </row>
    <row r="1920" spans="1:10" x14ac:dyDescent="0.25">
      <c r="A1920" s="389"/>
      <c r="B1920" s="4"/>
      <c r="C1920" s="16"/>
      <c r="D1920" s="519"/>
      <c r="E1920" s="410"/>
      <c r="F1920" s="313"/>
      <c r="G1920" s="256"/>
      <c r="H1920" s="313"/>
      <c r="I1920" s="456"/>
      <c r="J1920" s="273" t="b">
        <f>Age_Sex23[[#This Row],[Total Spending After Applying Truncation at the Member Level]]+Age_Sex23[[#This Row],[Total Dollars Excluded from Spending After Applying Truncation at the Member Level]]=Age_Sex23[[#This Row],[Total Spending before Truncation is Applied]]</f>
        <v>1</v>
      </c>
    </row>
    <row r="1921" spans="1:10" x14ac:dyDescent="0.25">
      <c r="A1921" s="386"/>
      <c r="B1921" s="310"/>
      <c r="C1921" s="311"/>
      <c r="D1921" s="518"/>
      <c r="E1921" s="409"/>
      <c r="F1921" s="312"/>
      <c r="G1921" s="522"/>
      <c r="H1921" s="312"/>
      <c r="I1921" s="455"/>
      <c r="J1921" s="271" t="b">
        <f>Age_Sex23[[#This Row],[Total Spending After Applying Truncation at the Member Level]]+Age_Sex23[[#This Row],[Total Dollars Excluded from Spending After Applying Truncation at the Member Level]]=Age_Sex23[[#This Row],[Total Spending before Truncation is Applied]]</f>
        <v>1</v>
      </c>
    </row>
    <row r="1922" spans="1:10" x14ac:dyDescent="0.25">
      <c r="A1922" s="389"/>
      <c r="B1922" s="4"/>
      <c r="C1922" s="16"/>
      <c r="D1922" s="519"/>
      <c r="E1922" s="410"/>
      <c r="F1922" s="313"/>
      <c r="G1922" s="256"/>
      <c r="H1922" s="313"/>
      <c r="I1922" s="456"/>
      <c r="J1922" s="273" t="b">
        <f>Age_Sex23[[#This Row],[Total Spending After Applying Truncation at the Member Level]]+Age_Sex23[[#This Row],[Total Dollars Excluded from Spending After Applying Truncation at the Member Level]]=Age_Sex23[[#This Row],[Total Spending before Truncation is Applied]]</f>
        <v>1</v>
      </c>
    </row>
    <row r="1923" spans="1:10" x14ac:dyDescent="0.25">
      <c r="A1923" s="386"/>
      <c r="B1923" s="310"/>
      <c r="C1923" s="311"/>
      <c r="D1923" s="518"/>
      <c r="E1923" s="409"/>
      <c r="F1923" s="312"/>
      <c r="G1923" s="522"/>
      <c r="H1923" s="312"/>
      <c r="I1923" s="455"/>
      <c r="J1923" s="271" t="b">
        <f>Age_Sex23[[#This Row],[Total Spending After Applying Truncation at the Member Level]]+Age_Sex23[[#This Row],[Total Dollars Excluded from Spending After Applying Truncation at the Member Level]]=Age_Sex23[[#This Row],[Total Spending before Truncation is Applied]]</f>
        <v>1</v>
      </c>
    </row>
    <row r="1924" spans="1:10" x14ac:dyDescent="0.25">
      <c r="A1924" s="389"/>
      <c r="B1924" s="4"/>
      <c r="C1924" s="16"/>
      <c r="D1924" s="519"/>
      <c r="E1924" s="410"/>
      <c r="F1924" s="313"/>
      <c r="G1924" s="256"/>
      <c r="H1924" s="313"/>
      <c r="I1924" s="456"/>
      <c r="J1924" s="273" t="b">
        <f>Age_Sex23[[#This Row],[Total Spending After Applying Truncation at the Member Level]]+Age_Sex23[[#This Row],[Total Dollars Excluded from Spending After Applying Truncation at the Member Level]]=Age_Sex23[[#This Row],[Total Spending before Truncation is Applied]]</f>
        <v>1</v>
      </c>
    </row>
    <row r="1925" spans="1:10" x14ac:dyDescent="0.25">
      <c r="A1925" s="386"/>
      <c r="B1925" s="310"/>
      <c r="C1925" s="311"/>
      <c r="D1925" s="518"/>
      <c r="E1925" s="409"/>
      <c r="F1925" s="312"/>
      <c r="G1925" s="522"/>
      <c r="H1925" s="312"/>
      <c r="I1925" s="455"/>
      <c r="J1925" s="271" t="b">
        <f>Age_Sex23[[#This Row],[Total Spending After Applying Truncation at the Member Level]]+Age_Sex23[[#This Row],[Total Dollars Excluded from Spending After Applying Truncation at the Member Level]]=Age_Sex23[[#This Row],[Total Spending before Truncation is Applied]]</f>
        <v>1</v>
      </c>
    </row>
    <row r="1926" spans="1:10" x14ac:dyDescent="0.25">
      <c r="A1926" s="389"/>
      <c r="B1926" s="4"/>
      <c r="C1926" s="16"/>
      <c r="D1926" s="519"/>
      <c r="E1926" s="410"/>
      <c r="F1926" s="313"/>
      <c r="G1926" s="256"/>
      <c r="H1926" s="313"/>
      <c r="I1926" s="456"/>
      <c r="J1926" s="273" t="b">
        <f>Age_Sex23[[#This Row],[Total Spending After Applying Truncation at the Member Level]]+Age_Sex23[[#This Row],[Total Dollars Excluded from Spending After Applying Truncation at the Member Level]]=Age_Sex23[[#This Row],[Total Spending before Truncation is Applied]]</f>
        <v>1</v>
      </c>
    </row>
    <row r="1927" spans="1:10" x14ac:dyDescent="0.25">
      <c r="A1927" s="386"/>
      <c r="B1927" s="310"/>
      <c r="C1927" s="311"/>
      <c r="D1927" s="518"/>
      <c r="E1927" s="409"/>
      <c r="F1927" s="312"/>
      <c r="G1927" s="522"/>
      <c r="H1927" s="312"/>
      <c r="I1927" s="455"/>
      <c r="J1927" s="271" t="b">
        <f>Age_Sex23[[#This Row],[Total Spending After Applying Truncation at the Member Level]]+Age_Sex23[[#This Row],[Total Dollars Excluded from Spending After Applying Truncation at the Member Level]]=Age_Sex23[[#This Row],[Total Spending before Truncation is Applied]]</f>
        <v>1</v>
      </c>
    </row>
    <row r="1928" spans="1:10" x14ac:dyDescent="0.25">
      <c r="A1928" s="389"/>
      <c r="B1928" s="4"/>
      <c r="C1928" s="16"/>
      <c r="D1928" s="519"/>
      <c r="E1928" s="410"/>
      <c r="F1928" s="313"/>
      <c r="G1928" s="256"/>
      <c r="H1928" s="313"/>
      <c r="I1928" s="456"/>
      <c r="J1928" s="273" t="b">
        <f>Age_Sex23[[#This Row],[Total Spending After Applying Truncation at the Member Level]]+Age_Sex23[[#This Row],[Total Dollars Excluded from Spending After Applying Truncation at the Member Level]]=Age_Sex23[[#This Row],[Total Spending before Truncation is Applied]]</f>
        <v>1</v>
      </c>
    </row>
    <row r="1929" spans="1:10" x14ac:dyDescent="0.25">
      <c r="A1929" s="386"/>
      <c r="B1929" s="310"/>
      <c r="C1929" s="311"/>
      <c r="D1929" s="518"/>
      <c r="E1929" s="409"/>
      <c r="F1929" s="312"/>
      <c r="G1929" s="522"/>
      <c r="H1929" s="312"/>
      <c r="I1929" s="455"/>
      <c r="J1929" s="271" t="b">
        <f>Age_Sex23[[#This Row],[Total Spending After Applying Truncation at the Member Level]]+Age_Sex23[[#This Row],[Total Dollars Excluded from Spending After Applying Truncation at the Member Level]]=Age_Sex23[[#This Row],[Total Spending before Truncation is Applied]]</f>
        <v>1</v>
      </c>
    </row>
    <row r="1930" spans="1:10" x14ac:dyDescent="0.25">
      <c r="A1930" s="389"/>
      <c r="B1930" s="4"/>
      <c r="C1930" s="16"/>
      <c r="D1930" s="519"/>
      <c r="E1930" s="410"/>
      <c r="F1930" s="313"/>
      <c r="G1930" s="256"/>
      <c r="H1930" s="313"/>
      <c r="I1930" s="456"/>
      <c r="J1930" s="273" t="b">
        <f>Age_Sex23[[#This Row],[Total Spending After Applying Truncation at the Member Level]]+Age_Sex23[[#This Row],[Total Dollars Excluded from Spending After Applying Truncation at the Member Level]]=Age_Sex23[[#This Row],[Total Spending before Truncation is Applied]]</f>
        <v>1</v>
      </c>
    </row>
    <row r="1931" spans="1:10" x14ac:dyDescent="0.25">
      <c r="A1931" s="386"/>
      <c r="B1931" s="310"/>
      <c r="C1931" s="311"/>
      <c r="D1931" s="518"/>
      <c r="E1931" s="409"/>
      <c r="F1931" s="312"/>
      <c r="G1931" s="522"/>
      <c r="H1931" s="312"/>
      <c r="I1931" s="455"/>
      <c r="J1931" s="271" t="b">
        <f>Age_Sex23[[#This Row],[Total Spending After Applying Truncation at the Member Level]]+Age_Sex23[[#This Row],[Total Dollars Excluded from Spending After Applying Truncation at the Member Level]]=Age_Sex23[[#This Row],[Total Spending before Truncation is Applied]]</f>
        <v>1</v>
      </c>
    </row>
    <row r="1932" spans="1:10" x14ac:dyDescent="0.25">
      <c r="A1932" s="389"/>
      <c r="B1932" s="4"/>
      <c r="C1932" s="16"/>
      <c r="D1932" s="519"/>
      <c r="E1932" s="410"/>
      <c r="F1932" s="313"/>
      <c r="G1932" s="256"/>
      <c r="H1932" s="313"/>
      <c r="I1932" s="456"/>
      <c r="J1932" s="273" t="b">
        <f>Age_Sex23[[#This Row],[Total Spending After Applying Truncation at the Member Level]]+Age_Sex23[[#This Row],[Total Dollars Excluded from Spending After Applying Truncation at the Member Level]]=Age_Sex23[[#This Row],[Total Spending before Truncation is Applied]]</f>
        <v>1</v>
      </c>
    </row>
    <row r="1933" spans="1:10" x14ac:dyDescent="0.25">
      <c r="A1933" s="386"/>
      <c r="B1933" s="310"/>
      <c r="C1933" s="311"/>
      <c r="D1933" s="518"/>
      <c r="E1933" s="409"/>
      <c r="F1933" s="312"/>
      <c r="G1933" s="522"/>
      <c r="H1933" s="312"/>
      <c r="I1933" s="455"/>
      <c r="J1933" s="271" t="b">
        <f>Age_Sex23[[#This Row],[Total Spending After Applying Truncation at the Member Level]]+Age_Sex23[[#This Row],[Total Dollars Excluded from Spending After Applying Truncation at the Member Level]]=Age_Sex23[[#This Row],[Total Spending before Truncation is Applied]]</f>
        <v>1</v>
      </c>
    </row>
    <row r="1934" spans="1:10" x14ac:dyDescent="0.25">
      <c r="A1934" s="389"/>
      <c r="B1934" s="4"/>
      <c r="C1934" s="16"/>
      <c r="D1934" s="519"/>
      <c r="E1934" s="410"/>
      <c r="F1934" s="313"/>
      <c r="G1934" s="256"/>
      <c r="H1934" s="313"/>
      <c r="I1934" s="456"/>
      <c r="J1934" s="273" t="b">
        <f>Age_Sex23[[#This Row],[Total Spending After Applying Truncation at the Member Level]]+Age_Sex23[[#This Row],[Total Dollars Excluded from Spending After Applying Truncation at the Member Level]]=Age_Sex23[[#This Row],[Total Spending before Truncation is Applied]]</f>
        <v>1</v>
      </c>
    </row>
    <row r="1935" spans="1:10" x14ac:dyDescent="0.25">
      <c r="A1935" s="386"/>
      <c r="B1935" s="310"/>
      <c r="C1935" s="311"/>
      <c r="D1935" s="518"/>
      <c r="E1935" s="409"/>
      <c r="F1935" s="312"/>
      <c r="G1935" s="522"/>
      <c r="H1935" s="312"/>
      <c r="I1935" s="455"/>
      <c r="J1935" s="271" t="b">
        <f>Age_Sex23[[#This Row],[Total Spending After Applying Truncation at the Member Level]]+Age_Sex23[[#This Row],[Total Dollars Excluded from Spending After Applying Truncation at the Member Level]]=Age_Sex23[[#This Row],[Total Spending before Truncation is Applied]]</f>
        <v>1</v>
      </c>
    </row>
    <row r="1936" spans="1:10" x14ac:dyDescent="0.25">
      <c r="A1936" s="389"/>
      <c r="B1936" s="4"/>
      <c r="C1936" s="16"/>
      <c r="D1936" s="519"/>
      <c r="E1936" s="410"/>
      <c r="F1936" s="313"/>
      <c r="G1936" s="256"/>
      <c r="H1936" s="313"/>
      <c r="I1936" s="456"/>
      <c r="J1936" s="273" t="b">
        <f>Age_Sex23[[#This Row],[Total Spending After Applying Truncation at the Member Level]]+Age_Sex23[[#This Row],[Total Dollars Excluded from Spending After Applying Truncation at the Member Level]]=Age_Sex23[[#This Row],[Total Spending before Truncation is Applied]]</f>
        <v>1</v>
      </c>
    </row>
    <row r="1937" spans="1:10" x14ac:dyDescent="0.25">
      <c r="A1937" s="386"/>
      <c r="B1937" s="310"/>
      <c r="C1937" s="311"/>
      <c r="D1937" s="518"/>
      <c r="E1937" s="409"/>
      <c r="F1937" s="312"/>
      <c r="G1937" s="522"/>
      <c r="H1937" s="312"/>
      <c r="I1937" s="455"/>
      <c r="J1937" s="271" t="b">
        <f>Age_Sex23[[#This Row],[Total Spending After Applying Truncation at the Member Level]]+Age_Sex23[[#This Row],[Total Dollars Excluded from Spending After Applying Truncation at the Member Level]]=Age_Sex23[[#This Row],[Total Spending before Truncation is Applied]]</f>
        <v>1</v>
      </c>
    </row>
    <row r="1938" spans="1:10" x14ac:dyDescent="0.25">
      <c r="A1938" s="389"/>
      <c r="B1938" s="4"/>
      <c r="C1938" s="16"/>
      <c r="D1938" s="519"/>
      <c r="E1938" s="410"/>
      <c r="F1938" s="313"/>
      <c r="G1938" s="256"/>
      <c r="H1938" s="313"/>
      <c r="I1938" s="456"/>
      <c r="J1938" s="273" t="b">
        <f>Age_Sex23[[#This Row],[Total Spending After Applying Truncation at the Member Level]]+Age_Sex23[[#This Row],[Total Dollars Excluded from Spending After Applying Truncation at the Member Level]]=Age_Sex23[[#This Row],[Total Spending before Truncation is Applied]]</f>
        <v>1</v>
      </c>
    </row>
    <row r="1939" spans="1:10" x14ac:dyDescent="0.25">
      <c r="A1939" s="386"/>
      <c r="B1939" s="310"/>
      <c r="C1939" s="311"/>
      <c r="D1939" s="518"/>
      <c r="E1939" s="409"/>
      <c r="F1939" s="312"/>
      <c r="G1939" s="522"/>
      <c r="H1939" s="312"/>
      <c r="I1939" s="455"/>
      <c r="J1939" s="271" t="b">
        <f>Age_Sex23[[#This Row],[Total Spending After Applying Truncation at the Member Level]]+Age_Sex23[[#This Row],[Total Dollars Excluded from Spending After Applying Truncation at the Member Level]]=Age_Sex23[[#This Row],[Total Spending before Truncation is Applied]]</f>
        <v>1</v>
      </c>
    </row>
    <row r="1940" spans="1:10" x14ac:dyDescent="0.25">
      <c r="A1940" s="389"/>
      <c r="B1940" s="4"/>
      <c r="C1940" s="16"/>
      <c r="D1940" s="519"/>
      <c r="E1940" s="410"/>
      <c r="F1940" s="313"/>
      <c r="G1940" s="256"/>
      <c r="H1940" s="313"/>
      <c r="I1940" s="456"/>
      <c r="J1940" s="273" t="b">
        <f>Age_Sex23[[#This Row],[Total Spending After Applying Truncation at the Member Level]]+Age_Sex23[[#This Row],[Total Dollars Excluded from Spending After Applying Truncation at the Member Level]]=Age_Sex23[[#This Row],[Total Spending before Truncation is Applied]]</f>
        <v>1</v>
      </c>
    </row>
    <row r="1941" spans="1:10" x14ac:dyDescent="0.25">
      <c r="A1941" s="386"/>
      <c r="B1941" s="310"/>
      <c r="C1941" s="311"/>
      <c r="D1941" s="518"/>
      <c r="E1941" s="409"/>
      <c r="F1941" s="312"/>
      <c r="G1941" s="522"/>
      <c r="H1941" s="312"/>
      <c r="I1941" s="455"/>
      <c r="J1941" s="271" t="b">
        <f>Age_Sex23[[#This Row],[Total Spending After Applying Truncation at the Member Level]]+Age_Sex23[[#This Row],[Total Dollars Excluded from Spending After Applying Truncation at the Member Level]]=Age_Sex23[[#This Row],[Total Spending before Truncation is Applied]]</f>
        <v>1</v>
      </c>
    </row>
    <row r="1942" spans="1:10" x14ac:dyDescent="0.25">
      <c r="A1942" s="389"/>
      <c r="B1942" s="4"/>
      <c r="C1942" s="16"/>
      <c r="D1942" s="519"/>
      <c r="E1942" s="410"/>
      <c r="F1942" s="313"/>
      <c r="G1942" s="256"/>
      <c r="H1942" s="313"/>
      <c r="I1942" s="456"/>
      <c r="J1942" s="273" t="b">
        <f>Age_Sex23[[#This Row],[Total Spending After Applying Truncation at the Member Level]]+Age_Sex23[[#This Row],[Total Dollars Excluded from Spending After Applying Truncation at the Member Level]]=Age_Sex23[[#This Row],[Total Spending before Truncation is Applied]]</f>
        <v>1</v>
      </c>
    </row>
    <row r="1943" spans="1:10" x14ac:dyDescent="0.25">
      <c r="A1943" s="386"/>
      <c r="B1943" s="310"/>
      <c r="C1943" s="311"/>
      <c r="D1943" s="518"/>
      <c r="E1943" s="409"/>
      <c r="F1943" s="312"/>
      <c r="G1943" s="522"/>
      <c r="H1943" s="312"/>
      <c r="I1943" s="455"/>
      <c r="J1943" s="271" t="b">
        <f>Age_Sex23[[#This Row],[Total Spending After Applying Truncation at the Member Level]]+Age_Sex23[[#This Row],[Total Dollars Excluded from Spending After Applying Truncation at the Member Level]]=Age_Sex23[[#This Row],[Total Spending before Truncation is Applied]]</f>
        <v>1</v>
      </c>
    </row>
    <row r="1944" spans="1:10" x14ac:dyDescent="0.25">
      <c r="A1944" s="389"/>
      <c r="B1944" s="4"/>
      <c r="C1944" s="16"/>
      <c r="D1944" s="519"/>
      <c r="E1944" s="410"/>
      <c r="F1944" s="313"/>
      <c r="G1944" s="256"/>
      <c r="H1944" s="313"/>
      <c r="I1944" s="456"/>
      <c r="J1944" s="273" t="b">
        <f>Age_Sex23[[#This Row],[Total Spending After Applying Truncation at the Member Level]]+Age_Sex23[[#This Row],[Total Dollars Excluded from Spending After Applying Truncation at the Member Level]]=Age_Sex23[[#This Row],[Total Spending before Truncation is Applied]]</f>
        <v>1</v>
      </c>
    </row>
    <row r="1945" spans="1:10" x14ac:dyDescent="0.25">
      <c r="A1945" s="386"/>
      <c r="B1945" s="310"/>
      <c r="C1945" s="311"/>
      <c r="D1945" s="518"/>
      <c r="E1945" s="409"/>
      <c r="F1945" s="312"/>
      <c r="G1945" s="522"/>
      <c r="H1945" s="312"/>
      <c r="I1945" s="455"/>
      <c r="J1945" s="271" t="b">
        <f>Age_Sex23[[#This Row],[Total Spending After Applying Truncation at the Member Level]]+Age_Sex23[[#This Row],[Total Dollars Excluded from Spending After Applying Truncation at the Member Level]]=Age_Sex23[[#This Row],[Total Spending before Truncation is Applied]]</f>
        <v>1</v>
      </c>
    </row>
    <row r="1946" spans="1:10" x14ac:dyDescent="0.25">
      <c r="A1946" s="389"/>
      <c r="B1946" s="4"/>
      <c r="C1946" s="16"/>
      <c r="D1946" s="519"/>
      <c r="E1946" s="410"/>
      <c r="F1946" s="313"/>
      <c r="G1946" s="256"/>
      <c r="H1946" s="313"/>
      <c r="I1946" s="456"/>
      <c r="J1946" s="273" t="b">
        <f>Age_Sex23[[#This Row],[Total Spending After Applying Truncation at the Member Level]]+Age_Sex23[[#This Row],[Total Dollars Excluded from Spending After Applying Truncation at the Member Level]]=Age_Sex23[[#This Row],[Total Spending before Truncation is Applied]]</f>
        <v>1</v>
      </c>
    </row>
    <row r="1947" spans="1:10" x14ac:dyDescent="0.25">
      <c r="A1947" s="386"/>
      <c r="B1947" s="310"/>
      <c r="C1947" s="311"/>
      <c r="D1947" s="518"/>
      <c r="E1947" s="409"/>
      <c r="F1947" s="312"/>
      <c r="G1947" s="522"/>
      <c r="H1947" s="312"/>
      <c r="I1947" s="455"/>
      <c r="J1947" s="271" t="b">
        <f>Age_Sex23[[#This Row],[Total Spending After Applying Truncation at the Member Level]]+Age_Sex23[[#This Row],[Total Dollars Excluded from Spending After Applying Truncation at the Member Level]]=Age_Sex23[[#This Row],[Total Spending before Truncation is Applied]]</f>
        <v>1</v>
      </c>
    </row>
    <row r="1948" spans="1:10" x14ac:dyDescent="0.25">
      <c r="A1948" s="389"/>
      <c r="B1948" s="4"/>
      <c r="C1948" s="16"/>
      <c r="D1948" s="519"/>
      <c r="E1948" s="410"/>
      <c r="F1948" s="313"/>
      <c r="G1948" s="256"/>
      <c r="H1948" s="313"/>
      <c r="I1948" s="456"/>
      <c r="J1948" s="273" t="b">
        <f>Age_Sex23[[#This Row],[Total Spending After Applying Truncation at the Member Level]]+Age_Sex23[[#This Row],[Total Dollars Excluded from Spending After Applying Truncation at the Member Level]]=Age_Sex23[[#This Row],[Total Spending before Truncation is Applied]]</f>
        <v>1</v>
      </c>
    </row>
    <row r="1949" spans="1:10" x14ac:dyDescent="0.25">
      <c r="A1949" s="386"/>
      <c r="B1949" s="310"/>
      <c r="C1949" s="311"/>
      <c r="D1949" s="518"/>
      <c r="E1949" s="409"/>
      <c r="F1949" s="312"/>
      <c r="G1949" s="522"/>
      <c r="H1949" s="312"/>
      <c r="I1949" s="455"/>
      <c r="J1949" s="271" t="b">
        <f>Age_Sex23[[#This Row],[Total Spending After Applying Truncation at the Member Level]]+Age_Sex23[[#This Row],[Total Dollars Excluded from Spending After Applying Truncation at the Member Level]]=Age_Sex23[[#This Row],[Total Spending before Truncation is Applied]]</f>
        <v>1</v>
      </c>
    </row>
    <row r="1950" spans="1:10" x14ac:dyDescent="0.25">
      <c r="A1950" s="389"/>
      <c r="B1950" s="4"/>
      <c r="C1950" s="16"/>
      <c r="D1950" s="519"/>
      <c r="E1950" s="410"/>
      <c r="F1950" s="313"/>
      <c r="G1950" s="256"/>
      <c r="H1950" s="313"/>
      <c r="I1950" s="456"/>
      <c r="J1950" s="273" t="b">
        <f>Age_Sex23[[#This Row],[Total Spending After Applying Truncation at the Member Level]]+Age_Sex23[[#This Row],[Total Dollars Excluded from Spending After Applying Truncation at the Member Level]]=Age_Sex23[[#This Row],[Total Spending before Truncation is Applied]]</f>
        <v>1</v>
      </c>
    </row>
    <row r="1951" spans="1:10" x14ac:dyDescent="0.25">
      <c r="A1951" s="386"/>
      <c r="B1951" s="310"/>
      <c r="C1951" s="311"/>
      <c r="D1951" s="518"/>
      <c r="E1951" s="409"/>
      <c r="F1951" s="312"/>
      <c r="G1951" s="522"/>
      <c r="H1951" s="312"/>
      <c r="I1951" s="455"/>
      <c r="J1951" s="271" t="b">
        <f>Age_Sex23[[#This Row],[Total Spending After Applying Truncation at the Member Level]]+Age_Sex23[[#This Row],[Total Dollars Excluded from Spending After Applying Truncation at the Member Level]]=Age_Sex23[[#This Row],[Total Spending before Truncation is Applied]]</f>
        <v>1</v>
      </c>
    </row>
    <row r="1952" spans="1:10" x14ac:dyDescent="0.25">
      <c r="A1952" s="389"/>
      <c r="B1952" s="4"/>
      <c r="C1952" s="16"/>
      <c r="D1952" s="519"/>
      <c r="E1952" s="410"/>
      <c r="F1952" s="313"/>
      <c r="G1952" s="256"/>
      <c r="H1952" s="313"/>
      <c r="I1952" s="456"/>
      <c r="J1952" s="273" t="b">
        <f>Age_Sex23[[#This Row],[Total Spending After Applying Truncation at the Member Level]]+Age_Sex23[[#This Row],[Total Dollars Excluded from Spending After Applying Truncation at the Member Level]]=Age_Sex23[[#This Row],[Total Spending before Truncation is Applied]]</f>
        <v>1</v>
      </c>
    </row>
    <row r="1953" spans="1:10" x14ac:dyDescent="0.25">
      <c r="A1953" s="386"/>
      <c r="B1953" s="310"/>
      <c r="C1953" s="311"/>
      <c r="D1953" s="518"/>
      <c r="E1953" s="409"/>
      <c r="F1953" s="312"/>
      <c r="G1953" s="522"/>
      <c r="H1953" s="312"/>
      <c r="I1953" s="455"/>
      <c r="J1953" s="271" t="b">
        <f>Age_Sex23[[#This Row],[Total Spending After Applying Truncation at the Member Level]]+Age_Sex23[[#This Row],[Total Dollars Excluded from Spending After Applying Truncation at the Member Level]]=Age_Sex23[[#This Row],[Total Spending before Truncation is Applied]]</f>
        <v>1</v>
      </c>
    </row>
    <row r="1954" spans="1:10" x14ac:dyDescent="0.25">
      <c r="A1954" s="389"/>
      <c r="B1954" s="4"/>
      <c r="C1954" s="16"/>
      <c r="D1954" s="519"/>
      <c r="E1954" s="410"/>
      <c r="F1954" s="313"/>
      <c r="G1954" s="256"/>
      <c r="H1954" s="313"/>
      <c r="I1954" s="456"/>
      <c r="J1954" s="273" t="b">
        <f>Age_Sex23[[#This Row],[Total Spending After Applying Truncation at the Member Level]]+Age_Sex23[[#This Row],[Total Dollars Excluded from Spending After Applying Truncation at the Member Level]]=Age_Sex23[[#This Row],[Total Spending before Truncation is Applied]]</f>
        <v>1</v>
      </c>
    </row>
    <row r="1955" spans="1:10" x14ac:dyDescent="0.25">
      <c r="A1955" s="386"/>
      <c r="B1955" s="310"/>
      <c r="C1955" s="311"/>
      <c r="D1955" s="518"/>
      <c r="E1955" s="409"/>
      <c r="F1955" s="312"/>
      <c r="G1955" s="522"/>
      <c r="H1955" s="312"/>
      <c r="I1955" s="455"/>
      <c r="J1955" s="271" t="b">
        <f>Age_Sex23[[#This Row],[Total Spending After Applying Truncation at the Member Level]]+Age_Sex23[[#This Row],[Total Dollars Excluded from Spending After Applying Truncation at the Member Level]]=Age_Sex23[[#This Row],[Total Spending before Truncation is Applied]]</f>
        <v>1</v>
      </c>
    </row>
    <row r="1956" spans="1:10" x14ac:dyDescent="0.25">
      <c r="A1956" s="389"/>
      <c r="B1956" s="4"/>
      <c r="C1956" s="16"/>
      <c r="D1956" s="519"/>
      <c r="E1956" s="410"/>
      <c r="F1956" s="313"/>
      <c r="G1956" s="256"/>
      <c r="H1956" s="313"/>
      <c r="I1956" s="456"/>
      <c r="J1956" s="273" t="b">
        <f>Age_Sex23[[#This Row],[Total Spending After Applying Truncation at the Member Level]]+Age_Sex23[[#This Row],[Total Dollars Excluded from Spending After Applying Truncation at the Member Level]]=Age_Sex23[[#This Row],[Total Spending before Truncation is Applied]]</f>
        <v>1</v>
      </c>
    </row>
    <row r="1957" spans="1:10" x14ac:dyDescent="0.25">
      <c r="A1957" s="386"/>
      <c r="B1957" s="310"/>
      <c r="C1957" s="311"/>
      <c r="D1957" s="518"/>
      <c r="E1957" s="409"/>
      <c r="F1957" s="312"/>
      <c r="G1957" s="522"/>
      <c r="H1957" s="312"/>
      <c r="I1957" s="455"/>
      <c r="J1957" s="271" t="b">
        <f>Age_Sex23[[#This Row],[Total Spending After Applying Truncation at the Member Level]]+Age_Sex23[[#This Row],[Total Dollars Excluded from Spending After Applying Truncation at the Member Level]]=Age_Sex23[[#This Row],[Total Spending before Truncation is Applied]]</f>
        <v>1</v>
      </c>
    </row>
    <row r="1958" spans="1:10" x14ac:dyDescent="0.25">
      <c r="A1958" s="389"/>
      <c r="B1958" s="4"/>
      <c r="C1958" s="16"/>
      <c r="D1958" s="519"/>
      <c r="E1958" s="410"/>
      <c r="F1958" s="313"/>
      <c r="G1958" s="256"/>
      <c r="H1958" s="313"/>
      <c r="I1958" s="456"/>
      <c r="J1958" s="273" t="b">
        <f>Age_Sex23[[#This Row],[Total Spending After Applying Truncation at the Member Level]]+Age_Sex23[[#This Row],[Total Dollars Excluded from Spending After Applying Truncation at the Member Level]]=Age_Sex23[[#This Row],[Total Spending before Truncation is Applied]]</f>
        <v>1</v>
      </c>
    </row>
    <row r="1959" spans="1:10" x14ac:dyDescent="0.25">
      <c r="A1959" s="386"/>
      <c r="B1959" s="310"/>
      <c r="C1959" s="311"/>
      <c r="D1959" s="518"/>
      <c r="E1959" s="409"/>
      <c r="F1959" s="312"/>
      <c r="G1959" s="522"/>
      <c r="H1959" s="312"/>
      <c r="I1959" s="455"/>
      <c r="J1959" s="271" t="b">
        <f>Age_Sex23[[#This Row],[Total Spending After Applying Truncation at the Member Level]]+Age_Sex23[[#This Row],[Total Dollars Excluded from Spending After Applying Truncation at the Member Level]]=Age_Sex23[[#This Row],[Total Spending before Truncation is Applied]]</f>
        <v>1</v>
      </c>
    </row>
    <row r="1960" spans="1:10" x14ac:dyDescent="0.25">
      <c r="A1960" s="389"/>
      <c r="B1960" s="4"/>
      <c r="C1960" s="16"/>
      <c r="D1960" s="519"/>
      <c r="E1960" s="410"/>
      <c r="F1960" s="313"/>
      <c r="G1960" s="256"/>
      <c r="H1960" s="313"/>
      <c r="I1960" s="456"/>
      <c r="J1960" s="273" t="b">
        <f>Age_Sex23[[#This Row],[Total Spending After Applying Truncation at the Member Level]]+Age_Sex23[[#This Row],[Total Dollars Excluded from Spending After Applying Truncation at the Member Level]]=Age_Sex23[[#This Row],[Total Spending before Truncation is Applied]]</f>
        <v>1</v>
      </c>
    </row>
    <row r="1961" spans="1:10" x14ac:dyDescent="0.25">
      <c r="A1961" s="386"/>
      <c r="B1961" s="310"/>
      <c r="C1961" s="311"/>
      <c r="D1961" s="518"/>
      <c r="E1961" s="409"/>
      <c r="F1961" s="312"/>
      <c r="G1961" s="522"/>
      <c r="H1961" s="312"/>
      <c r="I1961" s="455"/>
      <c r="J1961" s="271" t="b">
        <f>Age_Sex23[[#This Row],[Total Spending After Applying Truncation at the Member Level]]+Age_Sex23[[#This Row],[Total Dollars Excluded from Spending After Applying Truncation at the Member Level]]=Age_Sex23[[#This Row],[Total Spending before Truncation is Applied]]</f>
        <v>1</v>
      </c>
    </row>
    <row r="1962" spans="1:10" x14ac:dyDescent="0.25">
      <c r="A1962" s="389"/>
      <c r="B1962" s="4"/>
      <c r="C1962" s="16"/>
      <c r="D1962" s="519"/>
      <c r="E1962" s="410"/>
      <c r="F1962" s="313"/>
      <c r="G1962" s="256"/>
      <c r="H1962" s="313"/>
      <c r="I1962" s="456"/>
      <c r="J1962" s="273" t="b">
        <f>Age_Sex23[[#This Row],[Total Spending After Applying Truncation at the Member Level]]+Age_Sex23[[#This Row],[Total Dollars Excluded from Spending After Applying Truncation at the Member Level]]=Age_Sex23[[#This Row],[Total Spending before Truncation is Applied]]</f>
        <v>1</v>
      </c>
    </row>
    <row r="1963" spans="1:10" x14ac:dyDescent="0.25">
      <c r="A1963" s="386"/>
      <c r="B1963" s="310"/>
      <c r="C1963" s="311"/>
      <c r="D1963" s="518"/>
      <c r="E1963" s="409"/>
      <c r="F1963" s="312"/>
      <c r="G1963" s="522"/>
      <c r="H1963" s="312"/>
      <c r="I1963" s="455"/>
      <c r="J1963" s="271" t="b">
        <f>Age_Sex23[[#This Row],[Total Spending After Applying Truncation at the Member Level]]+Age_Sex23[[#This Row],[Total Dollars Excluded from Spending After Applying Truncation at the Member Level]]=Age_Sex23[[#This Row],[Total Spending before Truncation is Applied]]</f>
        <v>1</v>
      </c>
    </row>
    <row r="1964" spans="1:10" x14ac:dyDescent="0.25">
      <c r="A1964" s="389"/>
      <c r="B1964" s="4"/>
      <c r="C1964" s="16"/>
      <c r="D1964" s="519"/>
      <c r="E1964" s="410"/>
      <c r="F1964" s="313"/>
      <c r="G1964" s="256"/>
      <c r="H1964" s="313"/>
      <c r="I1964" s="456"/>
      <c r="J1964" s="273" t="b">
        <f>Age_Sex23[[#This Row],[Total Spending After Applying Truncation at the Member Level]]+Age_Sex23[[#This Row],[Total Dollars Excluded from Spending After Applying Truncation at the Member Level]]=Age_Sex23[[#This Row],[Total Spending before Truncation is Applied]]</f>
        <v>1</v>
      </c>
    </row>
    <row r="1965" spans="1:10" x14ac:dyDescent="0.25">
      <c r="A1965" s="386"/>
      <c r="B1965" s="310"/>
      <c r="C1965" s="311"/>
      <c r="D1965" s="518"/>
      <c r="E1965" s="409"/>
      <c r="F1965" s="312"/>
      <c r="G1965" s="522"/>
      <c r="H1965" s="312"/>
      <c r="I1965" s="455"/>
      <c r="J1965" s="271" t="b">
        <f>Age_Sex23[[#This Row],[Total Spending After Applying Truncation at the Member Level]]+Age_Sex23[[#This Row],[Total Dollars Excluded from Spending After Applying Truncation at the Member Level]]=Age_Sex23[[#This Row],[Total Spending before Truncation is Applied]]</f>
        <v>1</v>
      </c>
    </row>
    <row r="1966" spans="1:10" x14ac:dyDescent="0.25">
      <c r="A1966" s="389"/>
      <c r="B1966" s="4"/>
      <c r="C1966" s="16"/>
      <c r="D1966" s="519"/>
      <c r="E1966" s="410"/>
      <c r="F1966" s="313"/>
      <c r="G1966" s="256"/>
      <c r="H1966" s="313"/>
      <c r="I1966" s="456"/>
      <c r="J1966" s="273" t="b">
        <f>Age_Sex23[[#This Row],[Total Spending After Applying Truncation at the Member Level]]+Age_Sex23[[#This Row],[Total Dollars Excluded from Spending After Applying Truncation at the Member Level]]=Age_Sex23[[#This Row],[Total Spending before Truncation is Applied]]</f>
        <v>1</v>
      </c>
    </row>
    <row r="1967" spans="1:10" x14ac:dyDescent="0.25">
      <c r="A1967" s="386"/>
      <c r="B1967" s="310"/>
      <c r="C1967" s="311"/>
      <c r="D1967" s="518"/>
      <c r="E1967" s="409"/>
      <c r="F1967" s="312"/>
      <c r="G1967" s="522"/>
      <c r="H1967" s="312"/>
      <c r="I1967" s="455"/>
      <c r="J1967" s="271" t="b">
        <f>Age_Sex23[[#This Row],[Total Spending After Applying Truncation at the Member Level]]+Age_Sex23[[#This Row],[Total Dollars Excluded from Spending After Applying Truncation at the Member Level]]=Age_Sex23[[#This Row],[Total Spending before Truncation is Applied]]</f>
        <v>1</v>
      </c>
    </row>
    <row r="1968" spans="1:10" x14ac:dyDescent="0.25">
      <c r="A1968" s="389"/>
      <c r="B1968" s="4"/>
      <c r="C1968" s="16"/>
      <c r="D1968" s="519"/>
      <c r="E1968" s="410"/>
      <c r="F1968" s="313"/>
      <c r="G1968" s="256"/>
      <c r="H1968" s="313"/>
      <c r="I1968" s="456"/>
      <c r="J1968" s="273" t="b">
        <f>Age_Sex23[[#This Row],[Total Spending After Applying Truncation at the Member Level]]+Age_Sex23[[#This Row],[Total Dollars Excluded from Spending After Applying Truncation at the Member Level]]=Age_Sex23[[#This Row],[Total Spending before Truncation is Applied]]</f>
        <v>1</v>
      </c>
    </row>
    <row r="1969" spans="1:10" x14ac:dyDescent="0.25">
      <c r="A1969" s="386"/>
      <c r="B1969" s="310"/>
      <c r="C1969" s="311"/>
      <c r="D1969" s="518"/>
      <c r="E1969" s="409"/>
      <c r="F1969" s="312"/>
      <c r="G1969" s="522"/>
      <c r="H1969" s="312"/>
      <c r="I1969" s="455"/>
      <c r="J1969" s="271" t="b">
        <f>Age_Sex23[[#This Row],[Total Spending After Applying Truncation at the Member Level]]+Age_Sex23[[#This Row],[Total Dollars Excluded from Spending After Applying Truncation at the Member Level]]=Age_Sex23[[#This Row],[Total Spending before Truncation is Applied]]</f>
        <v>1</v>
      </c>
    </row>
    <row r="1970" spans="1:10" x14ac:dyDescent="0.25">
      <c r="A1970" s="389"/>
      <c r="B1970" s="4"/>
      <c r="C1970" s="16"/>
      <c r="D1970" s="519"/>
      <c r="E1970" s="410"/>
      <c r="F1970" s="313"/>
      <c r="G1970" s="256"/>
      <c r="H1970" s="313"/>
      <c r="I1970" s="456"/>
      <c r="J1970" s="273" t="b">
        <f>Age_Sex23[[#This Row],[Total Spending After Applying Truncation at the Member Level]]+Age_Sex23[[#This Row],[Total Dollars Excluded from Spending After Applying Truncation at the Member Level]]=Age_Sex23[[#This Row],[Total Spending before Truncation is Applied]]</f>
        <v>1</v>
      </c>
    </row>
    <row r="1971" spans="1:10" x14ac:dyDescent="0.25">
      <c r="A1971" s="386"/>
      <c r="B1971" s="310"/>
      <c r="C1971" s="311"/>
      <c r="D1971" s="518"/>
      <c r="E1971" s="409"/>
      <c r="F1971" s="312"/>
      <c r="G1971" s="522"/>
      <c r="H1971" s="312"/>
      <c r="I1971" s="455"/>
      <c r="J1971" s="271" t="b">
        <f>Age_Sex23[[#This Row],[Total Spending After Applying Truncation at the Member Level]]+Age_Sex23[[#This Row],[Total Dollars Excluded from Spending After Applying Truncation at the Member Level]]=Age_Sex23[[#This Row],[Total Spending before Truncation is Applied]]</f>
        <v>1</v>
      </c>
    </row>
    <row r="1972" spans="1:10" x14ac:dyDescent="0.25">
      <c r="A1972" s="389"/>
      <c r="B1972" s="4"/>
      <c r="C1972" s="16"/>
      <c r="D1972" s="519"/>
      <c r="E1972" s="410"/>
      <c r="F1972" s="313"/>
      <c r="G1972" s="256"/>
      <c r="H1972" s="313"/>
      <c r="I1972" s="456"/>
      <c r="J1972" s="273" t="b">
        <f>Age_Sex23[[#This Row],[Total Spending After Applying Truncation at the Member Level]]+Age_Sex23[[#This Row],[Total Dollars Excluded from Spending After Applying Truncation at the Member Level]]=Age_Sex23[[#This Row],[Total Spending before Truncation is Applied]]</f>
        <v>1</v>
      </c>
    </row>
    <row r="1973" spans="1:10" x14ac:dyDescent="0.25">
      <c r="A1973" s="386"/>
      <c r="B1973" s="310"/>
      <c r="C1973" s="311"/>
      <c r="D1973" s="518"/>
      <c r="E1973" s="409"/>
      <c r="F1973" s="312"/>
      <c r="G1973" s="522"/>
      <c r="H1973" s="312"/>
      <c r="I1973" s="455"/>
      <c r="J1973" s="271" t="b">
        <f>Age_Sex23[[#This Row],[Total Spending After Applying Truncation at the Member Level]]+Age_Sex23[[#This Row],[Total Dollars Excluded from Spending After Applying Truncation at the Member Level]]=Age_Sex23[[#This Row],[Total Spending before Truncation is Applied]]</f>
        <v>1</v>
      </c>
    </row>
    <row r="1974" spans="1:10" x14ac:dyDescent="0.25">
      <c r="A1974" s="389"/>
      <c r="B1974" s="4"/>
      <c r="C1974" s="16"/>
      <c r="D1974" s="519"/>
      <c r="E1974" s="410"/>
      <c r="F1974" s="313"/>
      <c r="G1974" s="256"/>
      <c r="H1974" s="313"/>
      <c r="I1974" s="456"/>
      <c r="J1974" s="273" t="b">
        <f>Age_Sex23[[#This Row],[Total Spending After Applying Truncation at the Member Level]]+Age_Sex23[[#This Row],[Total Dollars Excluded from Spending After Applying Truncation at the Member Level]]=Age_Sex23[[#This Row],[Total Spending before Truncation is Applied]]</f>
        <v>1</v>
      </c>
    </row>
    <row r="1975" spans="1:10" x14ac:dyDescent="0.25">
      <c r="A1975" s="386"/>
      <c r="B1975" s="310"/>
      <c r="C1975" s="311"/>
      <c r="D1975" s="518"/>
      <c r="E1975" s="409"/>
      <c r="F1975" s="312"/>
      <c r="G1975" s="522"/>
      <c r="H1975" s="312"/>
      <c r="I1975" s="455"/>
      <c r="J1975" s="271" t="b">
        <f>Age_Sex23[[#This Row],[Total Spending After Applying Truncation at the Member Level]]+Age_Sex23[[#This Row],[Total Dollars Excluded from Spending After Applying Truncation at the Member Level]]=Age_Sex23[[#This Row],[Total Spending before Truncation is Applied]]</f>
        <v>1</v>
      </c>
    </row>
    <row r="1976" spans="1:10" x14ac:dyDescent="0.25">
      <c r="A1976" s="389"/>
      <c r="B1976" s="4"/>
      <c r="C1976" s="16"/>
      <c r="D1976" s="519"/>
      <c r="E1976" s="410"/>
      <c r="F1976" s="313"/>
      <c r="G1976" s="256"/>
      <c r="H1976" s="313"/>
      <c r="I1976" s="456"/>
      <c r="J1976" s="273" t="b">
        <f>Age_Sex23[[#This Row],[Total Spending After Applying Truncation at the Member Level]]+Age_Sex23[[#This Row],[Total Dollars Excluded from Spending After Applying Truncation at the Member Level]]=Age_Sex23[[#This Row],[Total Spending before Truncation is Applied]]</f>
        <v>1</v>
      </c>
    </row>
    <row r="1977" spans="1:10" x14ac:dyDescent="0.25">
      <c r="A1977" s="386"/>
      <c r="B1977" s="310"/>
      <c r="C1977" s="311"/>
      <c r="D1977" s="518"/>
      <c r="E1977" s="409"/>
      <c r="F1977" s="312"/>
      <c r="G1977" s="522"/>
      <c r="H1977" s="312"/>
      <c r="I1977" s="455"/>
      <c r="J1977" s="271" t="b">
        <f>Age_Sex23[[#This Row],[Total Spending After Applying Truncation at the Member Level]]+Age_Sex23[[#This Row],[Total Dollars Excluded from Spending After Applying Truncation at the Member Level]]=Age_Sex23[[#This Row],[Total Spending before Truncation is Applied]]</f>
        <v>1</v>
      </c>
    </row>
    <row r="1978" spans="1:10" x14ac:dyDescent="0.25">
      <c r="A1978" s="389"/>
      <c r="B1978" s="4"/>
      <c r="C1978" s="16"/>
      <c r="D1978" s="519"/>
      <c r="E1978" s="410"/>
      <c r="F1978" s="313"/>
      <c r="G1978" s="256"/>
      <c r="H1978" s="313"/>
      <c r="I1978" s="456"/>
      <c r="J1978" s="273" t="b">
        <f>Age_Sex23[[#This Row],[Total Spending After Applying Truncation at the Member Level]]+Age_Sex23[[#This Row],[Total Dollars Excluded from Spending After Applying Truncation at the Member Level]]=Age_Sex23[[#This Row],[Total Spending before Truncation is Applied]]</f>
        <v>1</v>
      </c>
    </row>
    <row r="1979" spans="1:10" x14ac:dyDescent="0.25">
      <c r="A1979" s="386"/>
      <c r="B1979" s="310"/>
      <c r="C1979" s="311"/>
      <c r="D1979" s="518"/>
      <c r="E1979" s="409"/>
      <c r="F1979" s="312"/>
      <c r="G1979" s="522"/>
      <c r="H1979" s="312"/>
      <c r="I1979" s="455"/>
      <c r="J1979" s="271" t="b">
        <f>Age_Sex23[[#This Row],[Total Spending After Applying Truncation at the Member Level]]+Age_Sex23[[#This Row],[Total Dollars Excluded from Spending After Applying Truncation at the Member Level]]=Age_Sex23[[#This Row],[Total Spending before Truncation is Applied]]</f>
        <v>1</v>
      </c>
    </row>
    <row r="1980" spans="1:10" x14ac:dyDescent="0.25">
      <c r="A1980" s="389"/>
      <c r="B1980" s="4"/>
      <c r="C1980" s="16"/>
      <c r="D1980" s="519"/>
      <c r="E1980" s="410"/>
      <c r="F1980" s="313"/>
      <c r="G1980" s="256"/>
      <c r="H1980" s="313"/>
      <c r="I1980" s="456"/>
      <c r="J1980" s="273" t="b">
        <f>Age_Sex23[[#This Row],[Total Spending After Applying Truncation at the Member Level]]+Age_Sex23[[#This Row],[Total Dollars Excluded from Spending After Applying Truncation at the Member Level]]=Age_Sex23[[#This Row],[Total Spending before Truncation is Applied]]</f>
        <v>1</v>
      </c>
    </row>
    <row r="1981" spans="1:10" x14ac:dyDescent="0.25">
      <c r="A1981" s="386"/>
      <c r="B1981" s="310"/>
      <c r="C1981" s="311"/>
      <c r="D1981" s="518"/>
      <c r="E1981" s="409"/>
      <c r="F1981" s="312"/>
      <c r="G1981" s="522"/>
      <c r="H1981" s="312"/>
      <c r="I1981" s="455"/>
      <c r="J1981" s="271" t="b">
        <f>Age_Sex23[[#This Row],[Total Spending After Applying Truncation at the Member Level]]+Age_Sex23[[#This Row],[Total Dollars Excluded from Spending After Applying Truncation at the Member Level]]=Age_Sex23[[#This Row],[Total Spending before Truncation is Applied]]</f>
        <v>1</v>
      </c>
    </row>
    <row r="1982" spans="1:10" x14ac:dyDescent="0.25">
      <c r="A1982" s="389"/>
      <c r="B1982" s="4"/>
      <c r="C1982" s="16"/>
      <c r="D1982" s="519"/>
      <c r="E1982" s="410"/>
      <c r="F1982" s="313"/>
      <c r="G1982" s="256"/>
      <c r="H1982" s="313"/>
      <c r="I1982" s="456"/>
      <c r="J1982" s="273" t="b">
        <f>Age_Sex23[[#This Row],[Total Spending After Applying Truncation at the Member Level]]+Age_Sex23[[#This Row],[Total Dollars Excluded from Spending After Applying Truncation at the Member Level]]=Age_Sex23[[#This Row],[Total Spending before Truncation is Applied]]</f>
        <v>1</v>
      </c>
    </row>
    <row r="1983" spans="1:10" x14ac:dyDescent="0.25">
      <c r="A1983" s="386"/>
      <c r="B1983" s="310"/>
      <c r="C1983" s="311"/>
      <c r="D1983" s="518"/>
      <c r="E1983" s="409"/>
      <c r="F1983" s="312"/>
      <c r="G1983" s="522"/>
      <c r="H1983" s="312"/>
      <c r="I1983" s="455"/>
      <c r="J1983" s="271" t="b">
        <f>Age_Sex23[[#This Row],[Total Spending After Applying Truncation at the Member Level]]+Age_Sex23[[#This Row],[Total Dollars Excluded from Spending After Applying Truncation at the Member Level]]=Age_Sex23[[#This Row],[Total Spending before Truncation is Applied]]</f>
        <v>1</v>
      </c>
    </row>
    <row r="1984" spans="1:10" x14ac:dyDescent="0.25">
      <c r="A1984" s="389"/>
      <c r="B1984" s="4"/>
      <c r="C1984" s="16"/>
      <c r="D1984" s="519"/>
      <c r="E1984" s="410"/>
      <c r="F1984" s="313"/>
      <c r="G1984" s="256"/>
      <c r="H1984" s="313"/>
      <c r="I1984" s="456"/>
      <c r="J1984" s="273" t="b">
        <f>Age_Sex23[[#This Row],[Total Spending After Applying Truncation at the Member Level]]+Age_Sex23[[#This Row],[Total Dollars Excluded from Spending After Applying Truncation at the Member Level]]=Age_Sex23[[#This Row],[Total Spending before Truncation is Applied]]</f>
        <v>1</v>
      </c>
    </row>
    <row r="1985" spans="1:10" x14ac:dyDescent="0.25">
      <c r="A1985" s="386"/>
      <c r="B1985" s="310"/>
      <c r="C1985" s="311"/>
      <c r="D1985" s="518"/>
      <c r="E1985" s="409"/>
      <c r="F1985" s="312"/>
      <c r="G1985" s="522"/>
      <c r="H1985" s="312"/>
      <c r="I1985" s="455"/>
      <c r="J1985" s="271" t="b">
        <f>Age_Sex23[[#This Row],[Total Spending After Applying Truncation at the Member Level]]+Age_Sex23[[#This Row],[Total Dollars Excluded from Spending After Applying Truncation at the Member Level]]=Age_Sex23[[#This Row],[Total Spending before Truncation is Applied]]</f>
        <v>1</v>
      </c>
    </row>
    <row r="1986" spans="1:10" x14ac:dyDescent="0.25">
      <c r="A1986" s="389"/>
      <c r="B1986" s="4"/>
      <c r="C1986" s="16"/>
      <c r="D1986" s="519"/>
      <c r="E1986" s="410"/>
      <c r="F1986" s="313"/>
      <c r="G1986" s="256"/>
      <c r="H1986" s="313"/>
      <c r="I1986" s="456"/>
      <c r="J1986" s="273" t="b">
        <f>Age_Sex23[[#This Row],[Total Spending After Applying Truncation at the Member Level]]+Age_Sex23[[#This Row],[Total Dollars Excluded from Spending After Applying Truncation at the Member Level]]=Age_Sex23[[#This Row],[Total Spending before Truncation is Applied]]</f>
        <v>1</v>
      </c>
    </row>
    <row r="1987" spans="1:10" x14ac:dyDescent="0.25">
      <c r="A1987" s="386"/>
      <c r="B1987" s="310"/>
      <c r="C1987" s="311"/>
      <c r="D1987" s="518"/>
      <c r="E1987" s="409"/>
      <c r="F1987" s="312"/>
      <c r="G1987" s="522"/>
      <c r="H1987" s="312"/>
      <c r="I1987" s="455"/>
      <c r="J1987" s="271" t="b">
        <f>Age_Sex23[[#This Row],[Total Spending After Applying Truncation at the Member Level]]+Age_Sex23[[#This Row],[Total Dollars Excluded from Spending After Applying Truncation at the Member Level]]=Age_Sex23[[#This Row],[Total Spending before Truncation is Applied]]</f>
        <v>1</v>
      </c>
    </row>
    <row r="1988" spans="1:10" x14ac:dyDescent="0.25">
      <c r="A1988" s="389"/>
      <c r="B1988" s="4"/>
      <c r="C1988" s="16"/>
      <c r="D1988" s="519"/>
      <c r="E1988" s="410"/>
      <c r="F1988" s="313"/>
      <c r="G1988" s="256"/>
      <c r="H1988" s="313"/>
      <c r="I1988" s="456"/>
      <c r="J1988" s="273" t="b">
        <f>Age_Sex23[[#This Row],[Total Spending After Applying Truncation at the Member Level]]+Age_Sex23[[#This Row],[Total Dollars Excluded from Spending After Applying Truncation at the Member Level]]=Age_Sex23[[#This Row],[Total Spending before Truncation is Applied]]</f>
        <v>1</v>
      </c>
    </row>
    <row r="1989" spans="1:10" x14ac:dyDescent="0.25">
      <c r="A1989" s="386"/>
      <c r="B1989" s="310"/>
      <c r="C1989" s="311"/>
      <c r="D1989" s="518"/>
      <c r="E1989" s="409"/>
      <c r="F1989" s="312"/>
      <c r="G1989" s="522"/>
      <c r="H1989" s="312"/>
      <c r="I1989" s="455"/>
      <c r="J1989" s="271" t="b">
        <f>Age_Sex23[[#This Row],[Total Spending After Applying Truncation at the Member Level]]+Age_Sex23[[#This Row],[Total Dollars Excluded from Spending After Applying Truncation at the Member Level]]=Age_Sex23[[#This Row],[Total Spending before Truncation is Applied]]</f>
        <v>1</v>
      </c>
    </row>
    <row r="1990" spans="1:10" x14ac:dyDescent="0.25">
      <c r="A1990" s="389"/>
      <c r="B1990" s="4"/>
      <c r="C1990" s="16"/>
      <c r="D1990" s="519"/>
      <c r="E1990" s="410"/>
      <c r="F1990" s="313"/>
      <c r="G1990" s="256"/>
      <c r="H1990" s="313"/>
      <c r="I1990" s="456"/>
      <c r="J1990" s="273" t="b">
        <f>Age_Sex23[[#This Row],[Total Spending After Applying Truncation at the Member Level]]+Age_Sex23[[#This Row],[Total Dollars Excluded from Spending After Applying Truncation at the Member Level]]=Age_Sex23[[#This Row],[Total Spending before Truncation is Applied]]</f>
        <v>1</v>
      </c>
    </row>
    <row r="1991" spans="1:10" x14ac:dyDescent="0.25">
      <c r="A1991" s="386"/>
      <c r="B1991" s="310"/>
      <c r="C1991" s="311"/>
      <c r="D1991" s="518"/>
      <c r="E1991" s="409"/>
      <c r="F1991" s="312"/>
      <c r="G1991" s="522"/>
      <c r="H1991" s="312"/>
      <c r="I1991" s="455"/>
      <c r="J1991" s="271" t="b">
        <f>Age_Sex23[[#This Row],[Total Spending After Applying Truncation at the Member Level]]+Age_Sex23[[#This Row],[Total Dollars Excluded from Spending After Applying Truncation at the Member Level]]=Age_Sex23[[#This Row],[Total Spending before Truncation is Applied]]</f>
        <v>1</v>
      </c>
    </row>
    <row r="1992" spans="1:10" x14ac:dyDescent="0.25">
      <c r="A1992" s="389"/>
      <c r="B1992" s="4"/>
      <c r="C1992" s="16"/>
      <c r="D1992" s="519"/>
      <c r="E1992" s="410"/>
      <c r="F1992" s="313"/>
      <c r="G1992" s="256"/>
      <c r="H1992" s="313"/>
      <c r="I1992" s="456"/>
      <c r="J1992" s="273" t="b">
        <f>Age_Sex23[[#This Row],[Total Spending After Applying Truncation at the Member Level]]+Age_Sex23[[#This Row],[Total Dollars Excluded from Spending After Applying Truncation at the Member Level]]=Age_Sex23[[#This Row],[Total Spending before Truncation is Applied]]</f>
        <v>1</v>
      </c>
    </row>
    <row r="1993" spans="1:10" x14ac:dyDescent="0.25">
      <c r="A1993" s="386"/>
      <c r="B1993" s="310"/>
      <c r="C1993" s="311"/>
      <c r="D1993" s="518"/>
      <c r="E1993" s="409"/>
      <c r="F1993" s="312"/>
      <c r="G1993" s="522"/>
      <c r="H1993" s="312"/>
      <c r="I1993" s="455"/>
      <c r="J1993" s="271" t="b">
        <f>Age_Sex23[[#This Row],[Total Spending After Applying Truncation at the Member Level]]+Age_Sex23[[#This Row],[Total Dollars Excluded from Spending After Applying Truncation at the Member Level]]=Age_Sex23[[#This Row],[Total Spending before Truncation is Applied]]</f>
        <v>1</v>
      </c>
    </row>
    <row r="1994" spans="1:10" x14ac:dyDescent="0.25">
      <c r="A1994" s="389"/>
      <c r="B1994" s="4"/>
      <c r="C1994" s="16"/>
      <c r="D1994" s="519"/>
      <c r="E1994" s="410"/>
      <c r="F1994" s="313"/>
      <c r="G1994" s="256"/>
      <c r="H1994" s="313"/>
      <c r="I1994" s="456"/>
      <c r="J1994" s="273" t="b">
        <f>Age_Sex23[[#This Row],[Total Spending After Applying Truncation at the Member Level]]+Age_Sex23[[#This Row],[Total Dollars Excluded from Spending After Applying Truncation at the Member Level]]=Age_Sex23[[#This Row],[Total Spending before Truncation is Applied]]</f>
        <v>1</v>
      </c>
    </row>
    <row r="1995" spans="1:10" x14ac:dyDescent="0.25">
      <c r="A1995" s="386"/>
      <c r="B1995" s="310"/>
      <c r="C1995" s="311"/>
      <c r="D1995" s="518"/>
      <c r="E1995" s="409"/>
      <c r="F1995" s="312"/>
      <c r="G1995" s="522"/>
      <c r="H1995" s="312"/>
      <c r="I1995" s="455"/>
      <c r="J1995" s="271" t="b">
        <f>Age_Sex23[[#This Row],[Total Spending After Applying Truncation at the Member Level]]+Age_Sex23[[#This Row],[Total Dollars Excluded from Spending After Applying Truncation at the Member Level]]=Age_Sex23[[#This Row],[Total Spending before Truncation is Applied]]</f>
        <v>1</v>
      </c>
    </row>
    <row r="1996" spans="1:10" x14ac:dyDescent="0.25">
      <c r="A1996" s="389"/>
      <c r="B1996" s="4"/>
      <c r="C1996" s="16"/>
      <c r="D1996" s="519"/>
      <c r="E1996" s="410"/>
      <c r="F1996" s="313"/>
      <c r="G1996" s="256"/>
      <c r="H1996" s="313"/>
      <c r="I1996" s="456"/>
      <c r="J1996" s="273" t="b">
        <f>Age_Sex23[[#This Row],[Total Spending After Applying Truncation at the Member Level]]+Age_Sex23[[#This Row],[Total Dollars Excluded from Spending After Applying Truncation at the Member Level]]=Age_Sex23[[#This Row],[Total Spending before Truncation is Applied]]</f>
        <v>1</v>
      </c>
    </row>
    <row r="1997" spans="1:10" x14ac:dyDescent="0.25">
      <c r="A1997" s="386"/>
      <c r="B1997" s="310"/>
      <c r="C1997" s="311"/>
      <c r="D1997" s="518"/>
      <c r="E1997" s="409"/>
      <c r="F1997" s="312"/>
      <c r="G1997" s="522"/>
      <c r="H1997" s="312"/>
      <c r="I1997" s="455"/>
      <c r="J1997" s="271" t="b">
        <f>Age_Sex23[[#This Row],[Total Spending After Applying Truncation at the Member Level]]+Age_Sex23[[#This Row],[Total Dollars Excluded from Spending After Applying Truncation at the Member Level]]=Age_Sex23[[#This Row],[Total Spending before Truncation is Applied]]</f>
        <v>1</v>
      </c>
    </row>
    <row r="1998" spans="1:10" x14ac:dyDescent="0.25">
      <c r="A1998" s="389"/>
      <c r="B1998" s="4"/>
      <c r="C1998" s="16"/>
      <c r="D1998" s="519"/>
      <c r="E1998" s="410"/>
      <c r="F1998" s="313"/>
      <c r="G1998" s="256"/>
      <c r="H1998" s="313"/>
      <c r="I1998" s="456"/>
      <c r="J1998" s="273" t="b">
        <f>Age_Sex23[[#This Row],[Total Spending After Applying Truncation at the Member Level]]+Age_Sex23[[#This Row],[Total Dollars Excluded from Spending After Applying Truncation at the Member Level]]=Age_Sex23[[#This Row],[Total Spending before Truncation is Applied]]</f>
        <v>1</v>
      </c>
    </row>
    <row r="1999" spans="1:10" x14ac:dyDescent="0.25">
      <c r="A1999" s="386"/>
      <c r="B1999" s="310"/>
      <c r="C1999" s="311"/>
      <c r="D1999" s="518"/>
      <c r="E1999" s="409"/>
      <c r="F1999" s="312"/>
      <c r="G1999" s="522"/>
      <c r="H1999" s="312"/>
      <c r="I1999" s="455"/>
      <c r="J1999" s="271" t="b">
        <f>Age_Sex23[[#This Row],[Total Spending After Applying Truncation at the Member Level]]+Age_Sex23[[#This Row],[Total Dollars Excluded from Spending After Applying Truncation at the Member Level]]=Age_Sex23[[#This Row],[Total Spending before Truncation is Applied]]</f>
        <v>1</v>
      </c>
    </row>
    <row r="2000" spans="1:10" x14ac:dyDescent="0.25">
      <c r="A2000" s="389"/>
      <c r="B2000" s="4"/>
      <c r="C2000" s="16"/>
      <c r="D2000" s="519"/>
      <c r="E2000" s="410"/>
      <c r="F2000" s="313"/>
      <c r="G2000" s="256"/>
      <c r="H2000" s="313"/>
      <c r="I2000" s="456"/>
      <c r="J2000" s="273" t="b">
        <f>Age_Sex23[[#This Row],[Total Spending After Applying Truncation at the Member Level]]+Age_Sex23[[#This Row],[Total Dollars Excluded from Spending After Applying Truncation at the Member Level]]=Age_Sex23[[#This Row],[Total Spending before Truncation is Applied]]</f>
        <v>1</v>
      </c>
    </row>
    <row r="2001" spans="1:10" x14ac:dyDescent="0.25">
      <c r="A2001" s="386"/>
      <c r="B2001" s="310"/>
      <c r="C2001" s="311"/>
      <c r="D2001" s="518"/>
      <c r="E2001" s="409"/>
      <c r="F2001" s="312"/>
      <c r="G2001" s="522"/>
      <c r="H2001" s="312"/>
      <c r="I2001" s="455"/>
      <c r="J2001" s="271" t="b">
        <f>Age_Sex23[[#This Row],[Total Spending After Applying Truncation at the Member Level]]+Age_Sex23[[#This Row],[Total Dollars Excluded from Spending After Applying Truncation at the Member Level]]=Age_Sex23[[#This Row],[Total Spending before Truncation is Applied]]</f>
        <v>1</v>
      </c>
    </row>
    <row r="2002" spans="1:10" x14ac:dyDescent="0.25">
      <c r="A2002" s="389"/>
      <c r="B2002" s="4"/>
      <c r="C2002" s="16"/>
      <c r="D2002" s="519"/>
      <c r="E2002" s="410"/>
      <c r="F2002" s="313"/>
      <c r="G2002" s="256"/>
      <c r="H2002" s="313"/>
      <c r="I2002" s="456"/>
      <c r="J2002" s="273" t="b">
        <f>Age_Sex23[[#This Row],[Total Spending After Applying Truncation at the Member Level]]+Age_Sex23[[#This Row],[Total Dollars Excluded from Spending After Applying Truncation at the Member Level]]=Age_Sex23[[#This Row],[Total Spending before Truncation is Applied]]</f>
        <v>1</v>
      </c>
    </row>
    <row r="2003" spans="1:10" x14ac:dyDescent="0.25">
      <c r="A2003" s="386"/>
      <c r="B2003" s="310"/>
      <c r="C2003" s="311"/>
      <c r="D2003" s="518"/>
      <c r="E2003" s="409"/>
      <c r="F2003" s="312"/>
      <c r="G2003" s="522"/>
      <c r="H2003" s="312"/>
      <c r="I2003" s="455"/>
      <c r="J2003" s="271" t="b">
        <f>Age_Sex23[[#This Row],[Total Spending After Applying Truncation at the Member Level]]+Age_Sex23[[#This Row],[Total Dollars Excluded from Spending After Applying Truncation at the Member Level]]=Age_Sex23[[#This Row],[Total Spending before Truncation is Applied]]</f>
        <v>1</v>
      </c>
    </row>
    <row r="2004" spans="1:10" x14ac:dyDescent="0.25">
      <c r="A2004" s="389"/>
      <c r="B2004" s="4"/>
      <c r="C2004" s="16"/>
      <c r="D2004" s="519"/>
      <c r="E2004" s="410"/>
      <c r="F2004" s="313"/>
      <c r="G2004" s="256"/>
      <c r="H2004" s="313"/>
      <c r="I2004" s="456"/>
      <c r="J2004" s="273" t="b">
        <f>Age_Sex23[[#This Row],[Total Spending After Applying Truncation at the Member Level]]+Age_Sex23[[#This Row],[Total Dollars Excluded from Spending After Applying Truncation at the Member Level]]=Age_Sex23[[#This Row],[Total Spending before Truncation is Applied]]</f>
        <v>1</v>
      </c>
    </row>
    <row r="2005" spans="1:10" x14ac:dyDescent="0.25">
      <c r="A2005" s="386"/>
      <c r="B2005" s="310"/>
      <c r="C2005" s="311"/>
      <c r="D2005" s="518"/>
      <c r="E2005" s="409"/>
      <c r="F2005" s="312"/>
      <c r="G2005" s="522"/>
      <c r="H2005" s="312"/>
      <c r="I2005" s="455"/>
      <c r="J2005" s="271" t="b">
        <f>Age_Sex23[[#This Row],[Total Spending After Applying Truncation at the Member Level]]+Age_Sex23[[#This Row],[Total Dollars Excluded from Spending After Applying Truncation at the Member Level]]=Age_Sex23[[#This Row],[Total Spending before Truncation is Applied]]</f>
        <v>1</v>
      </c>
    </row>
    <row r="2006" spans="1:10" x14ac:dyDescent="0.25">
      <c r="A2006" s="389"/>
      <c r="B2006" s="4"/>
      <c r="C2006" s="16"/>
      <c r="D2006" s="519"/>
      <c r="E2006" s="410"/>
      <c r="F2006" s="313"/>
      <c r="G2006" s="256"/>
      <c r="H2006" s="313"/>
      <c r="I2006" s="456"/>
      <c r="J2006" s="273" t="b">
        <f>Age_Sex23[[#This Row],[Total Spending After Applying Truncation at the Member Level]]+Age_Sex23[[#This Row],[Total Dollars Excluded from Spending After Applying Truncation at the Member Level]]=Age_Sex23[[#This Row],[Total Spending before Truncation is Applied]]</f>
        <v>1</v>
      </c>
    </row>
    <row r="2007" spans="1:10" x14ac:dyDescent="0.25">
      <c r="A2007" s="386"/>
      <c r="B2007" s="310"/>
      <c r="C2007" s="311"/>
      <c r="D2007" s="518"/>
      <c r="E2007" s="409"/>
      <c r="F2007" s="312"/>
      <c r="G2007" s="522"/>
      <c r="H2007" s="312"/>
      <c r="I2007" s="455"/>
      <c r="J2007" s="271" t="b">
        <f>Age_Sex23[[#This Row],[Total Spending After Applying Truncation at the Member Level]]+Age_Sex23[[#This Row],[Total Dollars Excluded from Spending After Applying Truncation at the Member Level]]=Age_Sex23[[#This Row],[Total Spending before Truncation is Applied]]</f>
        <v>1</v>
      </c>
    </row>
    <row r="2008" spans="1:10" x14ac:dyDescent="0.25">
      <c r="A2008" s="389"/>
      <c r="B2008" s="4"/>
      <c r="C2008" s="16"/>
      <c r="D2008" s="519"/>
      <c r="E2008" s="410"/>
      <c r="F2008" s="313"/>
      <c r="G2008" s="256"/>
      <c r="H2008" s="313"/>
      <c r="I2008" s="456"/>
      <c r="J2008" s="273" t="b">
        <f>Age_Sex23[[#This Row],[Total Spending After Applying Truncation at the Member Level]]+Age_Sex23[[#This Row],[Total Dollars Excluded from Spending After Applying Truncation at the Member Level]]=Age_Sex23[[#This Row],[Total Spending before Truncation is Applied]]</f>
        <v>1</v>
      </c>
    </row>
    <row r="2009" spans="1:10" x14ac:dyDescent="0.25">
      <c r="A2009" s="386"/>
      <c r="B2009" s="310"/>
      <c r="C2009" s="311"/>
      <c r="D2009" s="518"/>
      <c r="E2009" s="409"/>
      <c r="F2009" s="312"/>
      <c r="G2009" s="522"/>
      <c r="H2009" s="312"/>
      <c r="I2009" s="455"/>
      <c r="J2009" s="271" t="b">
        <f>Age_Sex23[[#This Row],[Total Spending After Applying Truncation at the Member Level]]+Age_Sex23[[#This Row],[Total Dollars Excluded from Spending After Applying Truncation at the Member Level]]=Age_Sex23[[#This Row],[Total Spending before Truncation is Applied]]</f>
        <v>1</v>
      </c>
    </row>
    <row r="2010" spans="1:10" x14ac:dyDescent="0.25">
      <c r="A2010" s="389"/>
      <c r="B2010" s="4"/>
      <c r="C2010" s="16"/>
      <c r="D2010" s="519"/>
      <c r="E2010" s="410"/>
      <c r="F2010" s="313"/>
      <c r="G2010" s="256"/>
      <c r="H2010" s="313"/>
      <c r="I2010" s="456"/>
      <c r="J2010" s="273" t="b">
        <f>Age_Sex23[[#This Row],[Total Spending After Applying Truncation at the Member Level]]+Age_Sex23[[#This Row],[Total Dollars Excluded from Spending After Applying Truncation at the Member Level]]=Age_Sex23[[#This Row],[Total Spending before Truncation is Applied]]</f>
        <v>1</v>
      </c>
    </row>
  </sheetData>
  <sheetProtection algorithmName="SHA-512" hashValue="TGgXsm/FrVNA6m+D3/dr0XP3KOa0+6NmJKO4l956b6HEVA1uRswJltqNtG6ZpiipKwhIFLiWDuf4bBTBtL+pJg==" saltValue="pxjQCasqLdVBUJglxixXWA==" spinCount="100000" sheet="1" insertRows="0"/>
  <protectedRanges>
    <protectedRange sqref="A11:J2010" name="Range1"/>
  </protectedRanges>
  <dataValidations count="7">
    <dataValidation type="decimal" operator="greaterThanOrEqual" allowBlank="1" showInputMessage="1" showErrorMessage="1" error="See Definitions tab._x000a_No negative values." prompt="See Definitions tab._x000a_No negative values._x000a_" sqref="F11:F2010 H11:I2010" xr:uid="{BB28B223-A094-46E0-988A-69289BA08450}">
      <formula1>0</formula1>
    </dataValidation>
    <dataValidation type="whole" allowBlank="1" showInputMessage="1" showErrorMessage="1" error="Please input the OHS-assigned organizational ID of the Advanced Network." prompt="Please input the OHS-assigned organizational ID of the Advanced Network." sqref="A11:A2010" xr:uid="{094830AD-9EE7-4DB0-9D40-3EC54B776A68}">
      <formula1>100</formula1>
      <formula2>999</formula2>
    </dataValidation>
    <dataValidation type="whole" allowBlank="1" showInputMessage="1" showErrorMessage="1" error="Please input the insurance category being reported." prompt="Insurance Category Codes:_x000a_1 = Medicare Managed Care_x000a_2 = Medicaid and Medicaid MCOs_x000a_3 = Commerical: Full-Claims_x000a_4 = Commercial: Partial-Claims_x000a_5 = Medicare Expenditures for Duals_x000a_6 = Medicaid Expenditures for Duals_x000a_7 = Other" sqref="B11:B2010" xr:uid="{7A48D3BA-6D26-404D-BC21-0A8144A0E722}">
      <formula1>1</formula1>
      <formula2>7</formula2>
    </dataValidation>
    <dataValidation type="whole" allowBlank="1" showInputMessage="1" showErrorMessage="1" error="Please input the age band being reported." prompt="1 = 0 to 1 year old_x000a_2 = 2 to 18 years old_x000a_3 = 19 to 39 years old_x000a_4 = 40 to 54 yeras old_x000a_5 = 55 to 64 years old_x000a_6 = 65 to 74 years old_x000a_7 = 75 to 84 years old_x000a_8 = 85+ years old" sqref="C11:C2010" xr:uid="{6B61D2AF-D3FF-4EF9-BA25-C780AACC5B47}">
      <formula1>1</formula1>
      <formula2>8</formula2>
    </dataValidation>
    <dataValidation type="decimal" allowBlank="1" showInputMessage="1" showErrorMessage="1" error="Please input the sex band being reported." prompt="1 = Female_x000a_2 = Male" sqref="D11:D2010" xr:uid="{BD126CD9-09E7-4D3B-99A7-F28F7F1BFB75}">
      <formula1>1</formula1>
      <formula2>2</formula2>
    </dataValidation>
    <dataValidation type="whole" operator="greaterThanOrEqual" allowBlank="1" showInputMessage="1" showErrorMessage="1" error="See Definitions tab._x000a_No negative values." prompt="See Definitions tab._x000a_No negative values._x000a_" sqref="G11:G2010" xr:uid="{DB50BFCA-F0BE-4B14-97EB-6B1062FF1E53}">
      <formula1>0</formula1>
    </dataValidation>
    <dataValidation type="decimal" operator="greaterThan" allowBlank="1" showInputMessage="1" showErrorMessage="1" error="The number of unique members participating in a plan each month with a medical benefit, regardless of whether the member has any paid claims." prompt="The number of unique members participating in a plan each month with a medical benefit, regardless of whether the member has any paid claims." sqref="E11:E2010" xr:uid="{E385BFE4-2389-4602-AD01-4BD8DEE3287A}">
      <formula1>0</formula1>
    </dataValidation>
  </dataValidations>
  <pageMargins left="0.7" right="0.7" top="0.75" bottom="0.75" header="0.3" footer="0.3"/>
  <drawing r:id="rId1"/>
  <tableParts count="1">
    <tablePart r:id="rId2"/>
  </tablePart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5EBADF-DBFC-45E9-B2A5-1852BF621259}">
  <sheetPr codeName="Sheet17">
    <tabColor theme="6"/>
  </sheetPr>
  <dimension ref="A1:G42"/>
  <sheetViews>
    <sheetView topLeftCell="A4" zoomScaleNormal="100" workbookViewId="0">
      <selection activeCell="D8" sqref="D8"/>
    </sheetView>
  </sheetViews>
  <sheetFormatPr defaultColWidth="9.140625" defaultRowHeight="15" x14ac:dyDescent="0.25"/>
  <cols>
    <col min="1" max="1" width="15.42578125" customWidth="1"/>
    <col min="2" max="2" width="97.5703125" customWidth="1"/>
    <col min="3" max="5" width="32.5703125" customWidth="1"/>
    <col min="6" max="6" width="31.42578125" customWidth="1"/>
  </cols>
  <sheetData>
    <row r="1" spans="1:7" x14ac:dyDescent="0.25">
      <c r="A1" s="534" t="s">
        <v>239</v>
      </c>
      <c r="B1" s="535"/>
      <c r="C1" s="535"/>
      <c r="D1" s="535"/>
      <c r="E1" s="535"/>
      <c r="F1" s="535"/>
      <c r="G1" s="536"/>
    </row>
    <row r="2" spans="1:7" x14ac:dyDescent="0.25">
      <c r="A2" s="537"/>
      <c r="B2" s="538"/>
      <c r="C2" s="538"/>
      <c r="D2" s="538"/>
      <c r="E2" s="538"/>
      <c r="F2" s="538"/>
      <c r="G2" s="539"/>
    </row>
    <row r="5" spans="1:7" x14ac:dyDescent="0.25">
      <c r="A5" s="1"/>
      <c r="B5" s="116" t="s">
        <v>240</v>
      </c>
      <c r="C5" s="115"/>
    </row>
    <row r="6" spans="1:7" x14ac:dyDescent="0.25">
      <c r="A6" s="28" t="s">
        <v>241</v>
      </c>
      <c r="B6" s="6"/>
      <c r="C6" s="7" t="s">
        <v>242</v>
      </c>
    </row>
    <row r="7" spans="1:7" x14ac:dyDescent="0.25">
      <c r="A7" s="28" t="s">
        <v>243</v>
      </c>
      <c r="B7" s="6"/>
      <c r="C7" s="7" t="s">
        <v>242</v>
      </c>
    </row>
    <row r="9" spans="1:7" x14ac:dyDescent="0.25">
      <c r="A9" s="7"/>
      <c r="B9" s="7" t="s">
        <v>244</v>
      </c>
    </row>
    <row r="10" spans="1:7" x14ac:dyDescent="0.25">
      <c r="B10" s="540" t="s">
        <v>9</v>
      </c>
      <c r="C10" s="541"/>
      <c r="D10" s="541"/>
      <c r="E10" s="542"/>
    </row>
    <row r="11" spans="1:7" x14ac:dyDescent="0.25">
      <c r="B11" s="209" t="s">
        <v>245</v>
      </c>
      <c r="C11" s="209" t="s">
        <v>246</v>
      </c>
      <c r="D11" s="209" t="s">
        <v>430</v>
      </c>
      <c r="E11" s="209" t="s">
        <v>247</v>
      </c>
    </row>
    <row r="12" spans="1:7" x14ac:dyDescent="0.25">
      <c r="B12" s="211" t="s">
        <v>248</v>
      </c>
      <c r="C12" s="11"/>
      <c r="D12" s="11"/>
      <c r="E12" s="9"/>
    </row>
    <row r="13" spans="1:7" x14ac:dyDescent="0.25">
      <c r="B13" s="211" t="s">
        <v>249</v>
      </c>
      <c r="C13" s="11"/>
      <c r="D13" s="11"/>
      <c r="E13" s="9"/>
    </row>
    <row r="14" spans="1:7" x14ac:dyDescent="0.25">
      <c r="B14" s="211" t="s">
        <v>250</v>
      </c>
      <c r="C14" s="11"/>
      <c r="D14" s="11"/>
      <c r="E14" s="9"/>
    </row>
    <row r="15" spans="1:7" x14ac:dyDescent="0.25">
      <c r="B15" s="211" t="s">
        <v>251</v>
      </c>
      <c r="C15" s="11"/>
      <c r="D15" s="11"/>
      <c r="E15" s="9"/>
    </row>
    <row r="16" spans="1:7" x14ac:dyDescent="0.25">
      <c r="B16" s="211" t="s">
        <v>252</v>
      </c>
      <c r="C16" s="11"/>
      <c r="D16" s="11"/>
      <c r="E16" s="9"/>
    </row>
    <row r="17" spans="2:5" x14ac:dyDescent="0.25">
      <c r="B17" s="212" t="s">
        <v>501</v>
      </c>
      <c r="C17" s="11"/>
      <c r="D17" s="11"/>
      <c r="E17" s="9"/>
    </row>
    <row r="18" spans="2:5" ht="30" x14ac:dyDescent="0.25">
      <c r="B18" s="212" t="s">
        <v>502</v>
      </c>
      <c r="C18" s="11"/>
      <c r="D18" s="11"/>
      <c r="E18" s="9"/>
    </row>
    <row r="19" spans="2:5" x14ac:dyDescent="0.25">
      <c r="B19" s="211" t="s">
        <v>254</v>
      </c>
      <c r="C19" s="11"/>
      <c r="D19" s="11"/>
      <c r="E19" s="9"/>
    </row>
    <row r="20" spans="2:5" x14ac:dyDescent="0.25">
      <c r="B20" s="211" t="s">
        <v>255</v>
      </c>
      <c r="C20" s="11"/>
      <c r="D20" s="11"/>
      <c r="E20" s="9"/>
    </row>
    <row r="21" spans="2:5" x14ac:dyDescent="0.25">
      <c r="B21" s="211" t="s">
        <v>256</v>
      </c>
      <c r="C21" s="11"/>
      <c r="D21" s="11"/>
      <c r="E21" s="9"/>
    </row>
    <row r="22" spans="2:5" x14ac:dyDescent="0.25">
      <c r="B22" s="211" t="s">
        <v>257</v>
      </c>
      <c r="C22" s="11"/>
      <c r="D22" s="11"/>
      <c r="E22" s="9"/>
    </row>
    <row r="23" spans="2:5" x14ac:dyDescent="0.25">
      <c r="B23" s="211" t="s">
        <v>258</v>
      </c>
      <c r="C23" s="11"/>
      <c r="D23" s="11"/>
      <c r="E23" s="9"/>
    </row>
    <row r="24" spans="2:5" x14ac:dyDescent="0.25">
      <c r="B24" s="211" t="s">
        <v>259</v>
      </c>
      <c r="C24" s="11"/>
      <c r="D24" s="11"/>
      <c r="E24" s="9"/>
    </row>
    <row r="25" spans="2:5" x14ac:dyDescent="0.25">
      <c r="B25" s="211" t="s">
        <v>260</v>
      </c>
      <c r="C25" s="11"/>
      <c r="D25" s="11"/>
      <c r="E25" s="9"/>
    </row>
    <row r="26" spans="2:5" x14ac:dyDescent="0.25">
      <c r="B26" s="211" t="s">
        <v>261</v>
      </c>
      <c r="C26" s="11"/>
      <c r="D26" s="11"/>
      <c r="E26" s="9"/>
    </row>
    <row r="27" spans="2:5" x14ac:dyDescent="0.25">
      <c r="B27" s="211" t="s">
        <v>262</v>
      </c>
      <c r="C27" s="11"/>
      <c r="D27" s="11"/>
      <c r="E27" s="9"/>
    </row>
    <row r="28" spans="2:5" x14ac:dyDescent="0.25">
      <c r="B28" s="212" t="s">
        <v>263</v>
      </c>
      <c r="C28" s="11"/>
      <c r="D28" s="11"/>
      <c r="E28" s="9"/>
    </row>
    <row r="29" spans="2:5" x14ac:dyDescent="0.25">
      <c r="B29" s="213" t="s">
        <v>264</v>
      </c>
      <c r="C29" s="11"/>
      <c r="D29" s="11"/>
      <c r="E29" s="9"/>
    </row>
    <row r="30" spans="2:5" x14ac:dyDescent="0.25">
      <c r="B30" s="211" t="s">
        <v>265</v>
      </c>
      <c r="C30" s="11"/>
      <c r="D30" s="11"/>
      <c r="E30" s="9"/>
    </row>
    <row r="31" spans="2:5" x14ac:dyDescent="0.25">
      <c r="B31" s="211" t="s">
        <v>491</v>
      </c>
      <c r="C31" s="11"/>
      <c r="D31" s="11"/>
      <c r="E31" s="9"/>
    </row>
    <row r="32" spans="2:5" x14ac:dyDescent="0.25">
      <c r="B32" s="211" t="s">
        <v>492</v>
      </c>
      <c r="C32" s="11"/>
      <c r="D32" s="11"/>
      <c r="E32" s="9"/>
    </row>
    <row r="33" spans="2:5" ht="48.75" customHeight="1" x14ac:dyDescent="0.25">
      <c r="B33" s="213" t="s">
        <v>493</v>
      </c>
      <c r="C33" s="11"/>
      <c r="D33" s="11"/>
      <c r="E33" s="9"/>
    </row>
    <row r="34" spans="2:5" x14ac:dyDescent="0.25">
      <c r="B34" s="211" t="s">
        <v>269</v>
      </c>
      <c r="C34" s="11"/>
      <c r="D34" s="11"/>
      <c r="E34" s="9"/>
    </row>
    <row r="35" spans="2:5" x14ac:dyDescent="0.25">
      <c r="B35" s="211" t="s">
        <v>494</v>
      </c>
      <c r="C35" s="11"/>
      <c r="D35" s="11"/>
      <c r="E35" s="9"/>
    </row>
    <row r="36" spans="2:5" ht="30" x14ac:dyDescent="0.25">
      <c r="B36" s="212" t="s">
        <v>495</v>
      </c>
      <c r="C36" s="11"/>
      <c r="D36" s="11"/>
      <c r="E36" s="9"/>
    </row>
    <row r="37" spans="2:5" x14ac:dyDescent="0.25">
      <c r="B37" s="214" t="s">
        <v>272</v>
      </c>
      <c r="C37" s="11"/>
      <c r="D37" s="11"/>
      <c r="E37" s="9"/>
    </row>
    <row r="38" spans="2:5" ht="30" x14ac:dyDescent="0.25">
      <c r="B38" s="214" t="s">
        <v>273</v>
      </c>
      <c r="C38" s="11"/>
      <c r="D38" s="11"/>
      <c r="E38" s="9"/>
    </row>
    <row r="39" spans="2:5" x14ac:dyDescent="0.25">
      <c r="B39" s="214" t="s">
        <v>274</v>
      </c>
      <c r="C39" s="11"/>
      <c r="D39" s="11"/>
      <c r="E39" s="9"/>
    </row>
    <row r="40" spans="2:5" x14ac:dyDescent="0.25">
      <c r="B40" s="214" t="s">
        <v>275</v>
      </c>
      <c r="C40" s="11"/>
      <c r="D40" s="11"/>
      <c r="E40" s="9"/>
    </row>
    <row r="41" spans="2:5" ht="30" x14ac:dyDescent="0.25">
      <c r="B41" s="214" t="s">
        <v>276</v>
      </c>
      <c r="C41" s="11"/>
      <c r="D41" s="11"/>
      <c r="E41" s="9"/>
    </row>
    <row r="42" spans="2:5" x14ac:dyDescent="0.25">
      <c r="B42" s="211" t="s">
        <v>277</v>
      </c>
      <c r="C42" s="11"/>
      <c r="D42" s="11"/>
      <c r="E42" s="9"/>
    </row>
  </sheetData>
  <sheetProtection algorithmName="SHA-512" hashValue="aN4YothI952ROgE7ZlToRZgDXfPExhPyvdhtgtMPY92+VY4Qk1MQCpzKA7lh9YlozgMvoDxA90SYuXAkiGhsyQ==" saltValue="B4eU+msj3OXB6lVszJHX/A==" spinCount="100000" sheet="1" objects="1" scenarios="1"/>
  <protectedRanges>
    <protectedRange sqref="B6:B7" name="Range1"/>
    <protectedRange sqref="C12:E42" name="Range2"/>
  </protectedRanges>
  <mergeCells count="2">
    <mergeCell ref="A1:G2"/>
    <mergeCell ref="B10:E10"/>
  </mergeCells>
  <dataValidations count="1">
    <dataValidation type="list" allowBlank="1" showInputMessage="1" showErrorMessage="1" error="Please select an option from the drop down list." prompt="Please select an option from the drop down list." sqref="C30:D42 C12:D27" xr:uid="{A035E8E1-A50D-4851-95F2-AC32043A8C5B}">
      <formula1>"Yes, No"</formula1>
    </dataValidation>
  </dataValidations>
  <pageMargins left="0.7" right="0.7" top="0.75" bottom="0.75" header="0.3" footer="0.3"/>
  <pageSetup orientation="portrait" r:id="rId1"/>
  <extLst>
    <ext xmlns:x14="http://schemas.microsoft.com/office/spreadsheetml/2009/9/main" uri="{78C0D931-6437-407d-A8EE-F0AAD7539E65}">
      <x14:conditionalFormattings>
        <x14:conditionalFormatting xmlns:xm="http://schemas.microsoft.com/office/excel/2006/main">
          <x14:cfRule type="expression" priority="2" stopIfTrue="1" id="{940B5EC9-27D1-4F7D-A52B-2D280C1DD791}">
            <xm:f>'https://bailit.sharepoint.com/Megan/RI Governor/[MA TME APM 2019 Template with calculations.xlsm]System Data'!#REF!</xm:f>
            <x14:dxf>
              <font>
                <b val="0"/>
                <i val="0"/>
                <color theme="0"/>
              </font>
            </x14:dxf>
          </x14:cfRule>
          <xm:sqref>C6</xm:sqref>
        </x14:conditionalFormatting>
        <x14:conditionalFormatting xmlns:xm="http://schemas.microsoft.com/office/excel/2006/main">
          <x14:cfRule type="expression" priority="1" stopIfTrue="1" id="{D159B1BD-A166-42CC-A0B3-B83A52533FFB}">
            <xm:f>'https://bailit.sharepoint.com/Megan/RI Governor/[MA TME APM 2019 Template with calculations.xlsm]System Data'!#REF!</xm:f>
            <x14:dxf>
              <font>
                <color theme="0"/>
              </font>
            </x14:dxf>
          </x14:cfRule>
          <xm:sqref>C7</xm:sqref>
        </x14:conditionalFormatting>
      </x14:conditionalFormattings>
    </ext>
  </extLs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42DBDB-19CE-40E3-A354-1700A62F6300}">
  <sheetPr codeName="Sheet18">
    <tabColor theme="9"/>
  </sheetPr>
  <dimension ref="B2:O126"/>
  <sheetViews>
    <sheetView zoomScale="80" zoomScaleNormal="80" workbookViewId="0">
      <selection activeCell="G7" sqref="G7"/>
    </sheetView>
  </sheetViews>
  <sheetFormatPr defaultRowHeight="15" x14ac:dyDescent="0.25"/>
  <cols>
    <col min="1" max="1" width="3.85546875" customWidth="1"/>
    <col min="2" max="2" width="61.5703125" customWidth="1"/>
    <col min="3" max="5" width="32.85546875" customWidth="1"/>
    <col min="6" max="6" width="14.85546875" customWidth="1"/>
    <col min="7" max="10" width="32.85546875" customWidth="1"/>
    <col min="11" max="11" width="15" customWidth="1"/>
    <col min="12" max="15" width="32.85546875" customWidth="1"/>
    <col min="16" max="16" width="105.85546875" customWidth="1"/>
    <col min="17" max="21" width="69.5703125" customWidth="1"/>
  </cols>
  <sheetData>
    <row r="2" spans="2:10" ht="18.75" x14ac:dyDescent="0.3">
      <c r="B2" s="174" t="s">
        <v>11</v>
      </c>
    </row>
    <row r="3" spans="2:10" ht="37.5" customHeight="1" x14ac:dyDescent="0.25">
      <c r="B3" s="543" t="s">
        <v>496</v>
      </c>
      <c r="C3" s="543"/>
      <c r="D3" s="543"/>
      <c r="E3" s="543"/>
      <c r="F3" s="543"/>
      <c r="G3" s="543"/>
      <c r="H3" s="543"/>
      <c r="I3" s="543"/>
      <c r="J3" s="543"/>
    </row>
    <row r="5" spans="2:10" ht="15.75" x14ac:dyDescent="0.25">
      <c r="B5" s="54" t="s">
        <v>278</v>
      </c>
    </row>
    <row r="6" spans="2:10" x14ac:dyDescent="0.25">
      <c r="B6" s="84" t="s">
        <v>279</v>
      </c>
      <c r="C6" s="85" t="s">
        <v>280</v>
      </c>
      <c r="D6" s="86" t="s">
        <v>431</v>
      </c>
      <c r="E6" s="86" t="s">
        <v>454</v>
      </c>
      <c r="G6" s="117"/>
    </row>
    <row r="7" spans="2:10" x14ac:dyDescent="0.25">
      <c r="B7" s="80" t="s">
        <v>281</v>
      </c>
      <c r="C7" s="240">
        <f>SUM(C8:C9)</f>
        <v>0</v>
      </c>
      <c r="D7" s="240">
        <f>SUM(D8:D9)</f>
        <v>0</v>
      </c>
      <c r="E7" s="111" t="e">
        <f>MMbyMkt[[#This Row],[2023]]/MMbyMkt[[#This Row],[2022]]-1</f>
        <v>#DIV/0!</v>
      </c>
    </row>
    <row r="8" spans="2:10" x14ac:dyDescent="0.25">
      <c r="B8" s="81" t="s">
        <v>65</v>
      </c>
      <c r="C8" s="240">
        <f>SUMIF(AN_TME22[[#All],[Insurance Category Code]],3,AN_TME22[[#All],[Member Months]])-SUMIFS(AN_TME22[[#All],[Member Months]],AN_TME22[[#All],[Insurance Category Code]],3,AN_TME22[[#All],[Advanced Network/Insurance Carrier Org ID]],100)</f>
        <v>0</v>
      </c>
      <c r="D8" s="240">
        <f>SUMIF(AN_TME23[[#All],[Insurance Category Code]],3,AN_TME23[[#All],[Member Months]])-SUMIFS(AN_TME23[[#All],[Member Months]],AN_TME23[[#All],[Insurance Category Code]],3,AN_TME23[[#All],[Advanced Network/Insurance Carrier Org ID]],100)</f>
        <v>0</v>
      </c>
      <c r="E8" s="111" t="e">
        <f>MMbyMkt[[#This Row],[2023]]/MMbyMkt[[#This Row],[2022]]-1</f>
        <v>#DIV/0!</v>
      </c>
    </row>
    <row r="9" spans="2:10" x14ac:dyDescent="0.25">
      <c r="B9" s="81" t="s">
        <v>66</v>
      </c>
      <c r="C9" s="240">
        <f>SUMIF(AN_TME22[[#All],[Insurance Category Code]],4,AN_TME22[[#All],[Member Months]])-SUMIFS(AN_TME22[[#All],[Member Months]],AN_TME22[[#All],[Insurance Category Code]],4,AN_TME22[[#All],[Advanced Network/Insurance Carrier Org ID]],100)</f>
        <v>0</v>
      </c>
      <c r="D9" s="240">
        <f>SUMIF(AN_TME23[[#All],[Insurance Category Code]],4,AN_TME23[[#All],[Member Months]])-SUMIFS(AN_TME23[[#All],[Member Months]],AN_TME23[[#All],[Insurance Category Code]],4,AN_TME23[[#All],[Advanced Network/Insurance Carrier Org ID]],100)</f>
        <v>0</v>
      </c>
      <c r="E9" s="111" t="e">
        <f>MMbyMkt[[#This Row],[2023]]/MMbyMkt[[#This Row],[2022]]-1</f>
        <v>#DIV/0!</v>
      </c>
      <c r="F9" s="117"/>
    </row>
    <row r="10" spans="2:10" x14ac:dyDescent="0.25">
      <c r="B10" s="82" t="s">
        <v>282</v>
      </c>
      <c r="C10" s="240">
        <f>SUM(C11:C12)</f>
        <v>0</v>
      </c>
      <c r="D10" s="240">
        <f>SUM(D11:D12)</f>
        <v>0</v>
      </c>
      <c r="E10" s="111" t="e">
        <f>MMbyMkt[[#This Row],[2023]]/MMbyMkt[[#This Row],[2022]]-1</f>
        <v>#DIV/0!</v>
      </c>
    </row>
    <row r="11" spans="2:10" x14ac:dyDescent="0.25">
      <c r="B11" s="81" t="s">
        <v>76</v>
      </c>
      <c r="C11" s="240">
        <f>SUMIF(AN_TME22[[#All],[Insurance Category Code]],1,AN_TME22[[#All],[Member Months]])-SUMIFS(AN_TME22[[#All],[Member Months]],AN_TME22[[#All],[Insurance Category Code]],1,AN_TME22[[#All],[Advanced Network/Insurance Carrier Org ID]],100)</f>
        <v>0</v>
      </c>
      <c r="D11" s="240">
        <f>SUMIF(AN_TME23[[#All],[Insurance Category Code]],1,AN_TME23[[#All],[Member Months]])-SUMIFS(AN_TME23[[#All],[Member Months]],AN_TME23[[#All],[Insurance Category Code]],1,AN_TME23[[#All],[Advanced Network/Insurance Carrier Org ID]],100)</f>
        <v>0</v>
      </c>
      <c r="E11" s="111" t="e">
        <f>MMbyMkt[[#This Row],[2023]]/MMbyMkt[[#This Row],[2022]]-1</f>
        <v>#DIV/0!</v>
      </c>
      <c r="F11" s="117"/>
    </row>
    <row r="12" spans="2:10" x14ac:dyDescent="0.25">
      <c r="B12" s="81" t="s">
        <v>67</v>
      </c>
      <c r="C12" s="240">
        <f>SUMIF(AN_TME22[[#All],[Insurance Category Code]],5,AN_TME22[[#All],[Member Months]])-SUMIFS(AN_TME22[[#All],[Member Months]],AN_TME22[[#All],[Insurance Category Code]],5,AN_TME22[[#All],[Advanced Network/Insurance Carrier Org ID]],100)</f>
        <v>0</v>
      </c>
      <c r="D12" s="240">
        <f>SUMIF(AN_TME23[[#All],[Insurance Category Code]],5,AN_TME23[[#All],[Member Months]])-SUMIFS(AN_TME23[[#All],[Member Months]],AN_TME23[[#All],[Insurance Category Code]],5,AN_TME23[[#All],[Advanced Network/Insurance Carrier Org ID]],100)</f>
        <v>0</v>
      </c>
      <c r="E12" s="111" t="e">
        <f>MMbyMkt[[#This Row],[2023]]/MMbyMkt[[#This Row],[2022]]-1</f>
        <v>#DIV/0!</v>
      </c>
    </row>
    <row r="13" spans="2:10" x14ac:dyDescent="0.25">
      <c r="B13" s="80" t="s">
        <v>69</v>
      </c>
      <c r="C13" s="240">
        <f>SUMIF(AN_TME22[[#All],[Insurance Category Code]],7,AN_TME22[[#All],[Member Months]])-SUMIFS(AN_TME22[[#All],[Member Months]],AN_TME22[[#All],[Insurance Category Code]],7,AN_TME22[[#All],[Advanced Network/Insurance Carrier Org ID]],100)</f>
        <v>0</v>
      </c>
      <c r="D13" s="240">
        <f>SUMIF(AN_TME23[[#All],[Insurance Category Code]],7,AN_TME23[[#All],[Member Months]])-SUMIFS(AN_TME23[[#All],[Member Months]],AN_TME23[[#All],[Insurance Category Code]],7,AN_TME23[[#All],[Advanced Network/Insurance Carrier Org ID]],100)</f>
        <v>0</v>
      </c>
      <c r="E13" s="111" t="e">
        <f>MMbyMkt[[#This Row],[2023]]/MMbyMkt[[#This Row],[2022]]-1</f>
        <v>#DIV/0!</v>
      </c>
    </row>
    <row r="14" spans="2:10" x14ac:dyDescent="0.25">
      <c r="B14" s="87" t="s">
        <v>283</v>
      </c>
      <c r="C14" s="243">
        <f>SUM(C7,C10,C13)</f>
        <v>0</v>
      </c>
      <c r="D14" s="243">
        <f>SUM(D7,D10,D13)</f>
        <v>0</v>
      </c>
      <c r="E14" s="113" t="e">
        <f>MMbyMkt[[#This Row],[2023]]/MMbyMkt[[#This Row],[2022]]-1</f>
        <v>#DIV/0!</v>
      </c>
    </row>
    <row r="16" spans="2:10" ht="15.75" x14ac:dyDescent="0.25">
      <c r="B16" s="54" t="s">
        <v>284</v>
      </c>
      <c r="G16" s="54" t="s">
        <v>285</v>
      </c>
    </row>
    <row r="17" spans="2:10" x14ac:dyDescent="0.25">
      <c r="B17" s="84" t="s">
        <v>279</v>
      </c>
      <c r="C17" s="85" t="s">
        <v>280</v>
      </c>
      <c r="D17" s="86" t="s">
        <v>431</v>
      </c>
      <c r="E17" s="86" t="s">
        <v>454</v>
      </c>
      <c r="G17" s="84" t="s">
        <v>279</v>
      </c>
      <c r="H17" s="85" t="s">
        <v>280</v>
      </c>
      <c r="I17" s="86" t="s">
        <v>431</v>
      </c>
      <c r="J17" s="86" t="s">
        <v>454</v>
      </c>
    </row>
    <row r="18" spans="2:10" x14ac:dyDescent="0.25">
      <c r="B18" s="80" t="s">
        <v>281</v>
      </c>
      <c r="C18" s="241">
        <f>SUM(C19:C20)</f>
        <v>0</v>
      </c>
      <c r="D18" s="241">
        <f>SUM(D19:D20)</f>
        <v>0</v>
      </c>
      <c r="E18" s="111" t="e">
        <f>TMEbyMkt[[#This Row],[2023]]/TMEbyMkt[[#This Row],[2022]]-1</f>
        <v>#DIV/0!</v>
      </c>
      <c r="G18" s="80" t="s">
        <v>281</v>
      </c>
      <c r="H18" s="109" t="e">
        <f>TMEbyMkt[[#This Row],[2022]]/C7</f>
        <v>#DIV/0!</v>
      </c>
      <c r="I18" s="109" t="e">
        <f>TMEbyMkt[[#This Row],[2023]]/D7</f>
        <v>#DIV/0!</v>
      </c>
      <c r="J18" s="111" t="e">
        <f>TMEPMPMbyMkt[[#This Row],[2023]]/TMEPMPMbyMkt[[#This Row],[2022]]-1</f>
        <v>#DIV/0!</v>
      </c>
    </row>
    <row r="19" spans="2:10" x14ac:dyDescent="0.25">
      <c r="B19" s="81" t="s">
        <v>65</v>
      </c>
      <c r="C19" s="241">
        <f>SUMIFS(AN_TME22[[#All],[TOTAL Non-Truncated Unadjusted Expenses (A21 + A23)]],AN_TME22[[#All],[Insurance Category Code]],3,AN_TME22[[#All],[Advanced Network/Insurance Carrier Org ID]],100)-ABS(SUMIF(RX_REBATES22[[#All],[Insurance Category Code]],3,RX_REBATES22[[#All],[Total Pharmacy Rebates]]))</f>
        <v>0</v>
      </c>
      <c r="D19" s="241">
        <f>SUMIFS(AN_TME23[[#All],[TOTAL Non-Truncated Unadjusted Expenses (A21 + A23)]],AN_TME23[[#All],[Insurance Category Code]],3,AN_TME23[[#All],[Advanced Network/Insurance Carrier Org ID]],100)-ABS(SUMIF(RX_REBATES23[[#All],[Insurance Category Code]],3,RX_REBATES23[[#All],[Total Pharmacy Rebates]]))</f>
        <v>0</v>
      </c>
      <c r="E19" s="111" t="e">
        <f>TMEbyMkt[[#This Row],[2023]]/TMEbyMkt[[#This Row],[2022]]-1</f>
        <v>#DIV/0!</v>
      </c>
      <c r="G19" s="81" t="s">
        <v>65</v>
      </c>
      <c r="H19" s="109" t="e">
        <f>TMEbyMkt[[#This Row],[2022]]/C8</f>
        <v>#DIV/0!</v>
      </c>
      <c r="I19" s="109" t="e">
        <f>TMEbyMkt[[#This Row],[2023]]/D8</f>
        <v>#DIV/0!</v>
      </c>
      <c r="J19" s="111" t="e">
        <f>TMEPMPMbyMkt[[#This Row],[2023]]/TMEPMPMbyMkt[[#This Row],[2022]]-1</f>
        <v>#DIV/0!</v>
      </c>
    </row>
    <row r="20" spans="2:10" x14ac:dyDescent="0.25">
      <c r="B20" s="81" t="s">
        <v>66</v>
      </c>
      <c r="C20" s="241">
        <f>SUMIFS(AN_TME22[[#All],[TOTAL Non-Truncated Unadjusted Expenses (A21 + A23)]],AN_TME22[[#All],[Insurance Category Code]],4,AN_TME22[[#All],[Advanced Network/Insurance Carrier Org ID]],100)-ABS(SUMIF(RX_REBATES22[[#All],[Insurance Category Code]],4,RX_REBATES22[[#All],[Total Pharmacy Rebates]]))</f>
        <v>0</v>
      </c>
      <c r="D20" s="241">
        <f>SUMIFS(AN_TME23[[#All],[TOTAL Non-Truncated Unadjusted Expenses (A21 + A23)]],AN_TME23[[#All],[Insurance Category Code]],4,AN_TME23[[#All],[Advanced Network/Insurance Carrier Org ID]],100)-ABS(SUMIF(RX_REBATES23[[#All],[Insurance Category Code]],4,RX_REBATES23[[#All],[Total Pharmacy Rebates]]))</f>
        <v>0</v>
      </c>
      <c r="E20" s="111" t="e">
        <f>TMEbyMkt[[#This Row],[2023]]/TMEbyMkt[[#This Row],[2022]]-1</f>
        <v>#DIV/0!</v>
      </c>
      <c r="G20" s="81" t="s">
        <v>66</v>
      </c>
      <c r="H20" s="109" t="e">
        <f>TMEbyMkt[[#This Row],[2022]]/C9</f>
        <v>#DIV/0!</v>
      </c>
      <c r="I20" s="109" t="e">
        <f>TMEbyMkt[[#This Row],[2023]]/D9</f>
        <v>#DIV/0!</v>
      </c>
      <c r="J20" s="111" t="e">
        <f>TMEPMPMbyMkt[[#This Row],[2023]]/TMEPMPMbyMkt[[#This Row],[2022]]-1</f>
        <v>#DIV/0!</v>
      </c>
    </row>
    <row r="21" spans="2:10" x14ac:dyDescent="0.25">
      <c r="B21" s="82" t="s">
        <v>282</v>
      </c>
      <c r="C21" s="241">
        <f>SUM(C22:C23)</f>
        <v>0</v>
      </c>
      <c r="D21" s="241">
        <f>SUM(D22:D23)</f>
        <v>0</v>
      </c>
      <c r="E21" s="111" t="e">
        <f>TMEbyMkt[[#This Row],[2023]]/TMEbyMkt[[#This Row],[2022]]-1</f>
        <v>#DIV/0!</v>
      </c>
      <c r="G21" s="82" t="s">
        <v>282</v>
      </c>
      <c r="H21" s="109" t="e">
        <f>TMEbyMkt[[#This Row],[2022]]/C10</f>
        <v>#DIV/0!</v>
      </c>
      <c r="I21" s="109" t="e">
        <f>TMEbyMkt[[#This Row],[2023]]/D10</f>
        <v>#DIV/0!</v>
      </c>
      <c r="J21" s="111" t="e">
        <f>TMEPMPMbyMkt[[#This Row],[2023]]/TMEPMPMbyMkt[[#This Row],[2022]]-1</f>
        <v>#DIV/0!</v>
      </c>
    </row>
    <row r="22" spans="2:10" x14ac:dyDescent="0.25">
      <c r="B22" s="81" t="s">
        <v>76</v>
      </c>
      <c r="C22" s="241">
        <f>SUMIFS(AN_TME22[[#All],[TOTAL Non-Truncated Unadjusted Expenses (A21 + A23)]],AN_TME22[[#All],[Insurance Category Code]],1,AN_TME22[[#All],[Advanced Network/Insurance Carrier Org ID]],100)-ABS(SUMIF(RX_REBATES22[[#All],[Insurance Category Code]],1,RX_REBATES22[[#All],[Total Pharmacy Rebates]]))</f>
        <v>0</v>
      </c>
      <c r="D22" s="241">
        <f>SUMIFS(AN_TME23[[#All],[TOTAL Non-Truncated Unadjusted Expenses (A21 + A23)]],AN_TME23[[#All],[Insurance Category Code]],1,AN_TME23[[#All],[Advanced Network/Insurance Carrier Org ID]],100)-ABS(SUMIF(RX_REBATES23[[#All],[Insurance Category Code]],1,RX_REBATES23[[#All],[Total Pharmacy Rebates]]))</f>
        <v>0</v>
      </c>
      <c r="E22" s="111" t="e">
        <f>TMEbyMkt[[#This Row],[2023]]/TMEbyMkt[[#This Row],[2022]]-1</f>
        <v>#DIV/0!</v>
      </c>
      <c r="G22" s="81" t="s">
        <v>76</v>
      </c>
      <c r="H22" s="109" t="e">
        <f>TMEbyMkt[[#This Row],[2022]]/C11</f>
        <v>#DIV/0!</v>
      </c>
      <c r="I22" s="109" t="e">
        <f>TMEbyMkt[[#This Row],[2023]]/D11</f>
        <v>#DIV/0!</v>
      </c>
      <c r="J22" s="111" t="e">
        <f>TMEPMPMbyMkt[[#This Row],[2023]]/TMEPMPMbyMkt[[#This Row],[2022]]-1</f>
        <v>#DIV/0!</v>
      </c>
    </row>
    <row r="23" spans="2:10" ht="30" x14ac:dyDescent="0.25">
      <c r="B23" s="81" t="s">
        <v>67</v>
      </c>
      <c r="C23" s="241">
        <f>SUMIFS(AN_TME22[[#All],[TOTAL Non-Truncated Unadjusted Expenses (A21 + A23)]],AN_TME22[[#All],[Insurance Category Code]],5,AN_TME22[[#All],[Advanced Network/Insurance Carrier Org ID]],100)-ABS(SUMIF(RX_REBATES22[[#All],[Insurance Category Code]],5,RX_REBATES22[[#All],[Total Pharmacy Rebates]]))</f>
        <v>0</v>
      </c>
      <c r="D23" s="241">
        <f>SUMIFS(AN_TME23[[#All],[TOTAL Non-Truncated Unadjusted Expenses (A21 + A23)]],AN_TME23[[#All],[Insurance Category Code]],5,AN_TME23[[#All],[Advanced Network/Insurance Carrier Org ID]],100)-ABS(SUMIF(RX_REBATES23[[#All],[Insurance Category Code]],5,RX_REBATES23[[#All],[Total Pharmacy Rebates]]))</f>
        <v>0</v>
      </c>
      <c r="E23" s="111" t="e">
        <f>TMEbyMkt[[#This Row],[2023]]/TMEbyMkt[[#This Row],[2022]]-1</f>
        <v>#DIV/0!</v>
      </c>
      <c r="G23" s="81" t="s">
        <v>67</v>
      </c>
      <c r="H23" s="109" t="e">
        <f>TMEbyMkt[[#This Row],[2022]]/C12</f>
        <v>#DIV/0!</v>
      </c>
      <c r="I23" s="109" t="e">
        <f>TMEbyMkt[[#This Row],[2023]]/D12</f>
        <v>#DIV/0!</v>
      </c>
      <c r="J23" s="111" t="e">
        <f>TMEPMPMbyMkt[[#This Row],[2023]]/TMEPMPMbyMkt[[#This Row],[2022]]-1</f>
        <v>#DIV/0!</v>
      </c>
    </row>
    <row r="24" spans="2:10" x14ac:dyDescent="0.25">
      <c r="B24" s="80" t="s">
        <v>69</v>
      </c>
      <c r="C24" s="241">
        <f>SUMIFS(AN_TME22[[#All],[TOTAL Non-Truncated Unadjusted Expenses (A21 + A23)]],AN_TME22[[#All],[Insurance Category Code]],7,AN_TME22[[#All],[Advanced Network/Insurance Carrier Org ID]],100)-ABS(SUMIF(RX_REBATES22[[#All],[Insurance Category Code]],7,RX_REBATES22[[#All],[Total Pharmacy Rebates]]))</f>
        <v>0</v>
      </c>
      <c r="D24" s="241">
        <f>SUMIFS(AN_TME23[[#All],[TOTAL Non-Truncated Unadjusted Expenses (A21 + A23)]],AN_TME23[[#All],[Insurance Category Code]],7,AN_TME23[[#All],[Advanced Network/Insurance Carrier Org ID]],100)-ABS(SUMIF(RX_REBATES23[[#All],[Insurance Category Code]],7,RX_REBATES23[[#All],[Total Pharmacy Rebates]]))</f>
        <v>0</v>
      </c>
      <c r="E24" s="111" t="e">
        <f>TMEbyMkt[[#This Row],[2023]]/TMEbyMkt[[#This Row],[2022]]-1</f>
        <v>#DIV/0!</v>
      </c>
      <c r="G24" s="80" t="s">
        <v>69</v>
      </c>
      <c r="H24" s="109" t="e">
        <f>TMEbyMkt[[#This Row],[2022]]/C13</f>
        <v>#DIV/0!</v>
      </c>
      <c r="I24" s="109" t="e">
        <f>TMEbyMkt[[#This Row],[2023]]/D13</f>
        <v>#DIV/0!</v>
      </c>
      <c r="J24" s="111" t="e">
        <f>TMEPMPMbyMkt[[#This Row],[2023]]/TMEPMPMbyMkt[[#This Row],[2022]]-1</f>
        <v>#DIV/0!</v>
      </c>
    </row>
    <row r="25" spans="2:10" ht="30" x14ac:dyDescent="0.25">
      <c r="B25" s="83" t="s">
        <v>286</v>
      </c>
      <c r="C25" s="244">
        <f>SUM(C18,C21,C24)</f>
        <v>0</v>
      </c>
      <c r="D25" s="244">
        <f>SUM(D18,D21,D24)</f>
        <v>0</v>
      </c>
      <c r="E25" s="113" t="e">
        <f>TMEbyMkt[[#This Row],[2023]]/TMEbyMkt[[#This Row],[2022]]-1</f>
        <v>#DIV/0!</v>
      </c>
      <c r="G25" s="83" t="s">
        <v>286</v>
      </c>
      <c r="H25" s="110" t="e">
        <f>TMEbyMkt[[#This Row],[2022]]/C14</f>
        <v>#DIV/0!</v>
      </c>
      <c r="I25" s="110" t="e">
        <f>TMEbyMkt[[#This Row],[2023]]/D14</f>
        <v>#DIV/0!</v>
      </c>
      <c r="J25" s="113" t="e">
        <f>TMEPMPMbyMkt[[#This Row],[2023]]/TMEPMPMbyMkt[[#This Row],[2022]]-1</f>
        <v>#DIV/0!</v>
      </c>
    </row>
    <row r="27" spans="2:10" ht="15.75" x14ac:dyDescent="0.25">
      <c r="B27" s="54" t="s">
        <v>287</v>
      </c>
      <c r="G27" s="54" t="s">
        <v>288</v>
      </c>
    </row>
    <row r="28" spans="2:10" x14ac:dyDescent="0.25">
      <c r="B28" s="84" t="s">
        <v>279</v>
      </c>
      <c r="C28" s="85" t="s">
        <v>280</v>
      </c>
      <c r="D28" s="86" t="s">
        <v>431</v>
      </c>
      <c r="E28" s="86" t="s">
        <v>454</v>
      </c>
      <c r="G28" s="84" t="s">
        <v>279</v>
      </c>
      <c r="H28" s="85" t="s">
        <v>280</v>
      </c>
      <c r="I28" s="86" t="s">
        <v>431</v>
      </c>
      <c r="J28" s="86" t="s">
        <v>454</v>
      </c>
    </row>
    <row r="29" spans="2:10" x14ac:dyDescent="0.25">
      <c r="B29" s="80" t="s">
        <v>281</v>
      </c>
      <c r="C29" s="109">
        <f>SUM(C30:C31)</f>
        <v>0</v>
      </c>
      <c r="D29" s="109">
        <f>SUM(D30:D31)</f>
        <v>0</v>
      </c>
      <c r="E29" s="111" t="e">
        <f>RATMEbyMkt[[#This Row],[2023]]/RATMEbyMkt[[#This Row],[2022]]-1</f>
        <v>#DIV/0!</v>
      </c>
      <c r="G29" s="80" t="s">
        <v>281</v>
      </c>
      <c r="H29" s="109" t="e">
        <f>RATMEbyMkt[[#This Row],[2022]]/C7</f>
        <v>#DIV/0!</v>
      </c>
      <c r="I29" s="109" t="e">
        <f>RATMEbyMkt[[#This Row],[2023]]/D7</f>
        <v>#DIV/0!</v>
      </c>
      <c r="J29" s="111" t="e">
        <f>RATMEPMPMbyMkt[[#This Row],[2023]]/RATMEPMPMbyMkt[[#This Row],[2022]]-1</f>
        <v>#DIV/0!</v>
      </c>
    </row>
    <row r="30" spans="2:10" x14ac:dyDescent="0.25">
      <c r="B30" s="81" t="s">
        <v>65</v>
      </c>
      <c r="C30" s="241">
        <f>SUMIFS(AN_TME22[[#All],[TOTAL Truncated Unadjusted Expenses (A22 + A23)]],AN_TME22[[#All],[Insurance Category Code]],3,AN_TME22[[#All],[Advanced Network/Insurance Carrier Org ID]],100)-ABS(SUMIF(RX_REBATES22[[#All],[Insurance Category Code]],3,RX_REBATES22[[#All],[Total Pharmacy Rebates]]))</f>
        <v>0</v>
      </c>
      <c r="D30" s="241">
        <f>SUMIFS(AN_TME23[[#All],[TOTAL Truncated Unadjusted Expenses (A22 + A23)]],AN_TME23[[#All],[Insurance Category Code]],3,AN_TME23[[#All],[Advanced Network/Insurance Carrier Org ID]],100)-ABS(SUMIF(RX_REBATES23[[#All],[Insurance Category Code]],3,RX_REBATES23[[#All],[Total Pharmacy Rebates]]))</f>
        <v>0</v>
      </c>
      <c r="E30" s="111" t="e">
        <f>RATMEbyMkt[[#This Row],[2023]]/RATMEbyMkt[[#This Row],[2022]]-1</f>
        <v>#DIV/0!</v>
      </c>
      <c r="G30" s="81" t="s">
        <v>65</v>
      </c>
      <c r="H30" s="109" t="e">
        <f>RATMEbyMkt[[#This Row],[2022]]/C8</f>
        <v>#DIV/0!</v>
      </c>
      <c r="I30" s="109" t="e">
        <f>RATMEbyMkt[[#This Row],[2023]]/D8</f>
        <v>#DIV/0!</v>
      </c>
      <c r="J30" s="111" t="e">
        <f>RATMEPMPMbyMkt[[#This Row],[2023]]/RATMEPMPMbyMkt[[#This Row],[2022]]-1</f>
        <v>#DIV/0!</v>
      </c>
    </row>
    <row r="31" spans="2:10" x14ac:dyDescent="0.25">
      <c r="B31" s="81" t="s">
        <v>66</v>
      </c>
      <c r="C31" s="241">
        <f>SUMIFS(AN_TME22[[#All],[TOTAL Truncated Unadjusted Expenses (A22 + A23)]],AN_TME22[[#All],[Insurance Category Code]],4,AN_TME22[[#All],[Advanced Network/Insurance Carrier Org ID]],100)-ABS(SUMIF(RX_REBATES22[[#All],[Insurance Category Code]],4,RX_REBATES22[[#All],[Total Pharmacy Rebates]]))</f>
        <v>0</v>
      </c>
      <c r="D31" s="241">
        <f>SUMIFS(AN_TME23[[#All],[TOTAL Truncated Unadjusted Expenses (A22 + A23)]],AN_TME23[[#All],[Insurance Category Code]],4,AN_TME23[[#All],[Advanced Network/Insurance Carrier Org ID]],100)-ABS(SUMIF(RX_REBATES23[[#All],[Insurance Category Code]],4,RX_REBATES23[[#All],[Total Pharmacy Rebates]]))</f>
        <v>0</v>
      </c>
      <c r="E31" s="111" t="e">
        <f>RATMEbyMkt[[#This Row],[2023]]/RATMEbyMkt[[#This Row],[2022]]-1</f>
        <v>#DIV/0!</v>
      </c>
      <c r="G31" s="81" t="s">
        <v>66</v>
      </c>
      <c r="H31" s="109" t="e">
        <f>RATMEbyMkt[[#This Row],[2022]]/C9</f>
        <v>#DIV/0!</v>
      </c>
      <c r="I31" s="109" t="e">
        <f>RATMEbyMkt[[#This Row],[2023]]/D9</f>
        <v>#DIV/0!</v>
      </c>
      <c r="J31" s="111" t="e">
        <f>RATMEPMPMbyMkt[[#This Row],[2023]]/RATMEPMPMbyMkt[[#This Row],[2022]]-1</f>
        <v>#DIV/0!</v>
      </c>
    </row>
    <row r="32" spans="2:10" x14ac:dyDescent="0.25">
      <c r="B32" s="82" t="s">
        <v>282</v>
      </c>
      <c r="C32" s="241">
        <f>SUM(C33:C34)</f>
        <v>0</v>
      </c>
      <c r="D32" s="241">
        <f>SUM(D33:D34)</f>
        <v>0</v>
      </c>
      <c r="E32" s="111" t="e">
        <f>RATMEbyMkt[[#This Row],[2023]]/RATMEbyMkt[[#This Row],[2022]]-1</f>
        <v>#DIV/0!</v>
      </c>
      <c r="G32" s="82" t="s">
        <v>282</v>
      </c>
      <c r="H32" s="109" t="e">
        <f>RATMEbyMkt[[#This Row],[2022]]/C10</f>
        <v>#DIV/0!</v>
      </c>
      <c r="I32" s="109" t="e">
        <f>RATMEbyMkt[[#This Row],[2023]]/D10</f>
        <v>#DIV/0!</v>
      </c>
      <c r="J32" s="111" t="e">
        <f>RATMEPMPMbyMkt[[#This Row],[2023]]/RATMEPMPMbyMkt[[#This Row],[2022]]-1</f>
        <v>#DIV/0!</v>
      </c>
    </row>
    <row r="33" spans="2:15" x14ac:dyDescent="0.25">
      <c r="B33" s="81" t="s">
        <v>76</v>
      </c>
      <c r="C33" s="241">
        <f>SUMIFS(AN_TME22[[#All],[TOTAL Truncated Unadjusted Expenses (A22 + A23)]],AN_TME22[[#All],[Insurance Category Code]],1,AN_TME22[[#All],[Advanced Network/Insurance Carrier Org ID]],100)-ABS(SUMIF(RX_REBATES22[[#All],[Insurance Category Code]],1,RX_REBATES22[[#All],[Total Pharmacy Rebates]]))</f>
        <v>0</v>
      </c>
      <c r="D33" s="241">
        <f>SUMIFS(AN_TME23[[#All],[TOTAL Truncated Unadjusted Expenses (A22 + A23)]],AN_TME23[[#All],[Insurance Category Code]],1,AN_TME23[[#All],[Advanced Network/Insurance Carrier Org ID]],100)-ABS(SUMIF(RX_REBATES23[[#All],[Insurance Category Code]],1,RX_REBATES23[[#All],[Total Pharmacy Rebates]]))</f>
        <v>0</v>
      </c>
      <c r="E33" s="111" t="e">
        <f>RATMEbyMkt[[#This Row],[2023]]/RATMEbyMkt[[#This Row],[2022]]-1</f>
        <v>#DIV/0!</v>
      </c>
      <c r="G33" s="81" t="s">
        <v>76</v>
      </c>
      <c r="H33" s="109" t="e">
        <f>RATMEbyMkt[[#This Row],[2022]]/C11</f>
        <v>#DIV/0!</v>
      </c>
      <c r="I33" s="109" t="e">
        <f>RATMEbyMkt[[#This Row],[2023]]/D11</f>
        <v>#DIV/0!</v>
      </c>
      <c r="J33" s="111" t="e">
        <f>RATMEPMPMbyMkt[[#This Row],[2023]]/RATMEPMPMbyMkt[[#This Row],[2022]]-1</f>
        <v>#DIV/0!</v>
      </c>
    </row>
    <row r="34" spans="2:15" ht="30" x14ac:dyDescent="0.25">
      <c r="B34" s="81" t="s">
        <v>67</v>
      </c>
      <c r="C34" s="241">
        <f>SUMIFS(AN_TME22[[#All],[TOTAL Truncated Unadjusted Expenses (A22 + A23)]],AN_TME22[[#All],[Insurance Category Code]],5,AN_TME22[[#All],[Advanced Network/Insurance Carrier Org ID]],100)-ABS(SUMIF(RX_REBATES22[[#All],[Insurance Category Code]],5,RX_REBATES22[[#All],[Total Pharmacy Rebates]]))</f>
        <v>0</v>
      </c>
      <c r="D34" s="241">
        <f>SUMIFS(AN_TME23[[#All],[TOTAL Truncated Unadjusted Expenses (A22 + A23)]],AN_TME23[[#All],[Insurance Category Code]],5,AN_TME23[[#All],[Advanced Network/Insurance Carrier Org ID]],100)-ABS(SUMIF(RX_REBATES23[[#All],[Insurance Category Code]],5,RX_REBATES23[[#All],[Total Pharmacy Rebates]]))</f>
        <v>0</v>
      </c>
      <c r="E34" s="111" t="e">
        <f>RATMEbyMkt[[#This Row],[2023]]/RATMEbyMkt[[#This Row],[2022]]-1</f>
        <v>#DIV/0!</v>
      </c>
      <c r="G34" s="81" t="s">
        <v>67</v>
      </c>
      <c r="H34" s="109" t="e">
        <f>RATMEbyMkt[[#This Row],[2022]]/C12</f>
        <v>#DIV/0!</v>
      </c>
      <c r="I34" s="109" t="e">
        <f>RATMEbyMkt[[#This Row],[2023]]/D12</f>
        <v>#DIV/0!</v>
      </c>
      <c r="J34" s="111" t="e">
        <f>RATMEPMPMbyMkt[[#This Row],[2023]]/RATMEPMPMbyMkt[[#This Row],[2022]]-1</f>
        <v>#DIV/0!</v>
      </c>
    </row>
    <row r="35" spans="2:15" x14ac:dyDescent="0.25">
      <c r="B35" s="80" t="s">
        <v>69</v>
      </c>
      <c r="C35" s="241">
        <f>SUMIFS(AN_TME22[[#All],[TOTAL Truncated Unadjusted Expenses (A22 + A23)]],AN_TME22[[#All],[Insurance Category Code]],7,AN_TME22[[#All],[Advanced Network/Insurance Carrier Org ID]],100)-ABS(SUMIF(RX_REBATES22[[#All],[Insurance Category Code]],7,RX_REBATES22[[#All],[Total Pharmacy Rebates]]))</f>
        <v>0</v>
      </c>
      <c r="D35" s="241">
        <f>SUMIFS(AN_TME23[[#All],[TOTAL Truncated Unadjusted Expenses (A22 + A23)]],AN_TME23[[#All],[Insurance Category Code]],7,AN_TME23[[#All],[Advanced Network/Insurance Carrier Org ID]],100)-ABS(SUMIF(RX_REBATES23[[#All],[Insurance Category Code]],7,RX_REBATES23[[#All],[Total Pharmacy Rebates]]))</f>
        <v>0</v>
      </c>
      <c r="E35" s="111" t="e">
        <f>RATMEbyMkt[[#This Row],[2023]]/RATMEbyMkt[[#This Row],[2022]]-1</f>
        <v>#DIV/0!</v>
      </c>
      <c r="G35" s="80" t="s">
        <v>69</v>
      </c>
      <c r="H35" s="109" t="e">
        <f>RATMEbyMkt[[#This Row],[2022]]/C13</f>
        <v>#DIV/0!</v>
      </c>
      <c r="I35" s="109" t="e">
        <f>RATMEbyMkt[[#This Row],[2023]]/D13</f>
        <v>#DIV/0!</v>
      </c>
      <c r="J35" s="111" t="e">
        <f>RATMEPMPMbyMkt[[#This Row],[2023]]/RATMEPMPMbyMkt[[#This Row],[2022]]-1</f>
        <v>#DIV/0!</v>
      </c>
    </row>
    <row r="36" spans="2:15" ht="30" x14ac:dyDescent="0.25">
      <c r="B36" s="83" t="s">
        <v>286</v>
      </c>
      <c r="C36" s="244">
        <f>SUM(C29,C32,C35)</f>
        <v>0</v>
      </c>
      <c r="D36" s="244">
        <f>SUM(D29,D32,D35)</f>
        <v>0</v>
      </c>
      <c r="E36" s="112" t="e">
        <f>RATMEbyMkt[[#This Row],[2023]]/RATMEbyMkt[[#This Row],[2022]]-1</f>
        <v>#DIV/0!</v>
      </c>
      <c r="G36" s="83" t="s">
        <v>286</v>
      </c>
      <c r="H36" s="110" t="e">
        <f>RATMEbyMkt[[#This Row],[2022]]/C14</f>
        <v>#DIV/0!</v>
      </c>
      <c r="I36" s="110" t="e">
        <f>RATMEbyMkt[[#This Row],[2023]]/D14</f>
        <v>#DIV/0!</v>
      </c>
      <c r="J36" s="113" t="e">
        <f>RATMEPMPMbyMkt[[#This Row],[2023]]/RATMEPMPMbyMkt[[#This Row],[2022]]-1</f>
        <v>#DIV/0!</v>
      </c>
    </row>
    <row r="37" spans="2:15" x14ac:dyDescent="0.25">
      <c r="C37" s="245"/>
      <c r="D37" s="245"/>
    </row>
    <row r="38" spans="2:15" ht="15.75" x14ac:dyDescent="0.25">
      <c r="B38" s="54" t="s">
        <v>289</v>
      </c>
      <c r="G38" s="54" t="s">
        <v>290</v>
      </c>
      <c r="L38" s="54" t="s">
        <v>291</v>
      </c>
    </row>
    <row r="39" spans="2:15" x14ac:dyDescent="0.25">
      <c r="B39" s="61" t="s">
        <v>292</v>
      </c>
      <c r="G39" s="61" t="s">
        <v>292</v>
      </c>
      <c r="L39" s="61" t="s">
        <v>292</v>
      </c>
    </row>
    <row r="40" spans="2:15" x14ac:dyDescent="0.25">
      <c r="B40" s="88" t="s">
        <v>293</v>
      </c>
      <c r="C40" s="89" t="s">
        <v>280</v>
      </c>
      <c r="D40" s="90" t="s">
        <v>431</v>
      </c>
      <c r="E40" s="90" t="s">
        <v>454</v>
      </c>
      <c r="G40" s="91" t="s">
        <v>293</v>
      </c>
      <c r="H40" s="92" t="s">
        <v>280</v>
      </c>
      <c r="I40" s="93" t="s">
        <v>431</v>
      </c>
      <c r="J40" s="93" t="s">
        <v>454</v>
      </c>
      <c r="L40" s="94" t="s">
        <v>293</v>
      </c>
      <c r="M40" s="95" t="s">
        <v>280</v>
      </c>
      <c r="N40" s="96" t="s">
        <v>431</v>
      </c>
      <c r="O40" s="96" t="s">
        <v>454</v>
      </c>
    </row>
    <row r="41" spans="2:15" x14ac:dyDescent="0.25">
      <c r="B41" s="80" t="s">
        <v>211</v>
      </c>
      <c r="C41" s="246">
        <f>SUM(H41,M41)</f>
        <v>0</v>
      </c>
      <c r="D41" s="246">
        <f>SUM(I41,N41)</f>
        <v>0</v>
      </c>
      <c r="E41" s="247" t="e">
        <f>ComTotTME[[#This Row],[2023]]/ComTotTME[[#This Row],[2022]]-1</f>
        <v>#DIV/0!</v>
      </c>
      <c r="G41" s="80" t="s">
        <v>211</v>
      </c>
      <c r="H41" s="114">
        <f>SUMIFS(AN_TME22[[#All],[Member Months]],AN_TME22[[#All],[Insurance Category Code]],3,AN_TME22[[#All],[Advanced Network/Insurance Carrier Org ID]],100)</f>
        <v>0</v>
      </c>
      <c r="I41" s="114">
        <f>SUMIFS(AN_TME23[[#All],[Member Months]],AN_TME23[[#All],[Insurance Category Code]],3,AN_TME23[[#All],[Advanced Network/Insurance Carrier Org ID]],100)</f>
        <v>0</v>
      </c>
      <c r="J41" s="111" t="e">
        <f>ICC3TME[[#This Row],[2023]]/ICC3TME[[#This Row],[2022]]-1</f>
        <v>#DIV/0!</v>
      </c>
      <c r="L41" s="80" t="s">
        <v>211</v>
      </c>
      <c r="M41" s="114">
        <f>SUMIFS(AN_TME22[[#All],[Member Months]],AN_TME22[[#All],[Insurance Category Code]],4,AN_TME22[[#All],[Advanced Network/Insurance Carrier Org ID]],100)</f>
        <v>0</v>
      </c>
      <c r="N41" s="114">
        <f>SUMIFS(AN_TME23[[#All],[Member Months]],AN_TME23[[#All],[Insurance Category Code]],4,AN_TME23[[#All],[Advanced Network/Insurance Carrier Org ID]],100)</f>
        <v>0</v>
      </c>
      <c r="O41" s="122" t="e">
        <f>ICC4TME[[#This Row],[2023]]/ICC4TME[[#This Row],[2022]]-1</f>
        <v>#DIV/0!</v>
      </c>
    </row>
    <row r="42" spans="2:15" x14ac:dyDescent="0.25">
      <c r="B42" s="80" t="s">
        <v>102</v>
      </c>
      <c r="C42" s="121" t="e">
        <f>(SUMPRODUCT(H42,H41)+SUMPRODUCT(M42,M41))/C41</f>
        <v>#DIV/0!</v>
      </c>
      <c r="D42" s="121" t="e">
        <f>(SUMPRODUCT(I42,I41)+SUMPRODUCT(N42,N41))/D41</f>
        <v>#DIV/0!</v>
      </c>
      <c r="E42" s="247" t="e">
        <f>ComTotTME[[#This Row],[2023]]/ComTotTME[[#This Row],[2022]]-1</f>
        <v>#DIV/0!</v>
      </c>
      <c r="G42" s="80" t="s">
        <v>102</v>
      </c>
      <c r="H42" s="121" t="e">
        <f>(SUMIFS(AN_TME22[[#All],[Claims: Hospital Inpatient]],AN_TME22[[#All],[Insurance Category Code]],3,AN_TME22[[#All],[Advanced Network/Insurance Carrier Org ID]],100))/H41</f>
        <v>#DIV/0!</v>
      </c>
      <c r="I42" s="121" t="e">
        <f>(SUMIFS(AN_TME23[[#All],[Claims: Hospital Inpatient]],AN_TME23[[#All],[Insurance Category Code]],3,AN_TME23[[#All],[Advanced Network/Insurance Carrier Org ID]],100))/I41</f>
        <v>#DIV/0!</v>
      </c>
      <c r="J42" s="253" t="e">
        <f>ICC3TME[[#This Row],[2023]]/ICC3TME[[#This Row],[2022]]-1</f>
        <v>#DIV/0!</v>
      </c>
      <c r="L42" s="80" t="s">
        <v>102</v>
      </c>
      <c r="M42" s="121" t="e">
        <f>(SUMIFS(AN_TME22[[#All],[Claims: Hospital Inpatient]],AN_TME22[[#All],[Insurance Category Code]],4,AN_TME22[[#All],[Advanced Network/Insurance Carrier Org ID]],100))/M41</f>
        <v>#DIV/0!</v>
      </c>
      <c r="N42" s="121" t="e">
        <f>(SUMIFS(AN_TME23[[#All],[Claims: Hospital Inpatient]],AN_TME23[[#All],[Insurance Category Code]],4,AN_TME23[[#All],[Advanced Network/Insurance Carrier Org ID]],100))/N41</f>
        <v>#DIV/0!</v>
      </c>
      <c r="O42" s="247" t="e">
        <f>ICC4TME[[#This Row],[2023]]/ICC4TME[[#This Row],[2022]]-1</f>
        <v>#DIV/0!</v>
      </c>
    </row>
    <row r="43" spans="2:15" x14ac:dyDescent="0.25">
      <c r="B43" s="80" t="s">
        <v>104</v>
      </c>
      <c r="C43" s="121" t="e">
        <f>(SUMPRODUCT(H43,H41)+SUMPRODUCT(M43,M41))/C41</f>
        <v>#DIV/0!</v>
      </c>
      <c r="D43" s="121" t="e">
        <f>(SUMPRODUCT(I43,I41)+SUMPRODUCT(N43,N41))/D41</f>
        <v>#DIV/0!</v>
      </c>
      <c r="E43" s="247" t="e">
        <f>ComTotTME[[#This Row],[2023]]/ComTotTME[[#This Row],[2022]]-1</f>
        <v>#DIV/0!</v>
      </c>
      <c r="G43" s="80" t="s">
        <v>104</v>
      </c>
      <c r="H43" s="121" t="e">
        <f>(SUMIFS(AN_TME22[[#All],[Claims: Hospital Outpatient]],AN_TME22[[#All],[Insurance Category Code]],3,AN_TME22[[#All],[Advanced Network/Insurance Carrier Org ID]],100))/H41</f>
        <v>#DIV/0!</v>
      </c>
      <c r="I43" s="121" t="e">
        <f>(SUMIFS(AN_TME23[[#All],[Claims: Hospital Outpatient]],AN_TME23[[#All],[Insurance Category Code]],3,AN_TME23[[#All],[Advanced Network/Insurance Carrier Org ID]],100))/I41</f>
        <v>#DIV/0!</v>
      </c>
      <c r="J43" s="253" t="e">
        <f>ICC3TME[[#This Row],[2023]]/ICC3TME[[#This Row],[2022]]-1</f>
        <v>#DIV/0!</v>
      </c>
      <c r="L43" s="80" t="s">
        <v>104</v>
      </c>
      <c r="M43" s="121" t="e">
        <f>(SUMIFS(AN_TME22[[#All],[Claims: Hospital Outpatient]],AN_TME22[[#All],[Insurance Category Code]],4,AN_TME22[[#All],[Advanced Network/Insurance Carrier Org ID]],100))/M41</f>
        <v>#DIV/0!</v>
      </c>
      <c r="N43" s="121" t="e">
        <f>(SUMIFS(AN_TME23[[#All],[Claims: Hospital Outpatient]],AN_TME23[[#All],[Insurance Category Code]],4,AN_TME23[[#All],[Advanced Network/Insurance Carrier Org ID]],100))/N41</f>
        <v>#DIV/0!</v>
      </c>
      <c r="O43" s="247" t="e">
        <f>ICC4TME[[#This Row],[2023]]/ICC4TME[[#This Row],[2022]]-1</f>
        <v>#DIV/0!</v>
      </c>
    </row>
    <row r="44" spans="2:15" x14ac:dyDescent="0.25">
      <c r="B44" s="80" t="s">
        <v>106</v>
      </c>
      <c r="C44" s="121" t="e">
        <f>(SUMPRODUCT(H44,H41)+SUMPRODUCT(M44,M41))/C41</f>
        <v>#DIV/0!</v>
      </c>
      <c r="D44" s="121" t="e">
        <f>(SUMPRODUCT(I44,I41)+SUMPRODUCT(N44,N41))/D41</f>
        <v>#DIV/0!</v>
      </c>
      <c r="E44" s="247" t="e">
        <f>ComTotTME[[#This Row],[2023]]/ComTotTME[[#This Row],[2022]]-1</f>
        <v>#DIV/0!</v>
      </c>
      <c r="G44" s="80" t="s">
        <v>106</v>
      </c>
      <c r="H44" s="121" t="e">
        <f>(SUMIFS(AN_TME22[[#All],[Claims: Professional, Primary Care]],AN_TME22[[#All],[Insurance Category Code]],3,AN_TME22[[#All],[Advanced Network/Insurance Carrier Org ID]],100))/H41</f>
        <v>#DIV/0!</v>
      </c>
      <c r="I44" s="121" t="e">
        <f>(SUMIFS(AN_TME23[[#All],[Claims: Professional, Primary Care]],AN_TME23[[#All],[Insurance Category Code]],3,AN_TME23[[#All],[Advanced Network/Insurance Carrier Org ID]],100))/I41</f>
        <v>#DIV/0!</v>
      </c>
      <c r="J44" s="253" t="e">
        <f>ICC3TME[[#This Row],[2023]]/ICC3TME[[#This Row],[2022]]-1</f>
        <v>#DIV/0!</v>
      </c>
      <c r="L44" s="80" t="s">
        <v>106</v>
      </c>
      <c r="M44" s="121" t="e">
        <f>(SUMIFS(AN_TME22[[#All],[Claims: Professional, Primary Care]],AN_TME22[[#All],[Insurance Category Code]],4,AN_TME22[[#All],[Advanced Network/Insurance Carrier Org ID]],100))/M41</f>
        <v>#DIV/0!</v>
      </c>
      <c r="N44" s="121" t="e">
        <f>(SUMIFS(AN_TME23[[#All],[Claims: Professional, Primary Care]],AN_TME23[[#All],[Insurance Category Code]],4,AN_TME23[[#All],[Advanced Network/Insurance Carrier Org ID]],100))/N41</f>
        <v>#DIV/0!</v>
      </c>
      <c r="O44" s="247" t="e">
        <f>ICC4TME[[#This Row],[2023]]/ICC4TME[[#This Row],[2022]]-1</f>
        <v>#DIV/0!</v>
      </c>
    </row>
    <row r="45" spans="2:15" ht="30" x14ac:dyDescent="0.25">
      <c r="B45" s="80" t="s">
        <v>107</v>
      </c>
      <c r="C45" s="121" t="e">
        <f>(SUMPRODUCT(H45,H41)+SUMPRODUCT(M45,M41))/C41</f>
        <v>#DIV/0!</v>
      </c>
      <c r="D45" s="121" t="e">
        <f>(SUMPRODUCT(I45,I41)+SUMPRODUCT(N45,N41))/D41</f>
        <v>#DIV/0!</v>
      </c>
      <c r="E45" s="247" t="e">
        <f>ComTotTME[[#This Row],[2023]]/ComTotTME[[#This Row],[2022]]-1</f>
        <v>#DIV/0!</v>
      </c>
      <c r="G45" s="80" t="s">
        <v>107</v>
      </c>
      <c r="H45" s="121" t="e">
        <f>(SUMIFS(AN_TME22[[#All],[Claims: Professional, Primary Care (for Monitoring Purposes)]],AN_TME22[[#All],[Insurance Category Code]],3,AN_TME22[[#All],[Advanced Network/Insurance Carrier Org ID]],100))/H41</f>
        <v>#DIV/0!</v>
      </c>
      <c r="I45" s="121" t="e">
        <f>(SUMIFS(AN_TME23[[#All],[Claims: Professional, Primary Care (for Monitoring Purposes)]],AN_TME23[[#All],[Insurance Category Code]],3,AN_TME23[[#All],[Advanced Network/Insurance Carrier Org ID]],100))/I41</f>
        <v>#DIV/0!</v>
      </c>
      <c r="J45" s="253" t="e">
        <f>ICC3TME[[#This Row],[2023]]/ICC3TME[[#This Row],[2022]]-1</f>
        <v>#DIV/0!</v>
      </c>
      <c r="L45" s="80" t="s">
        <v>107</v>
      </c>
      <c r="M45" s="121" t="e">
        <f>(SUMIFS(AN_TME22[[#All],[Claims: Professional, Primary Care (for Monitoring Purposes)]],AN_TME22[[#All],[Insurance Category Code]],4,AN_TME22[[#All],[Advanced Network/Insurance Carrier Org ID]],100))/M41</f>
        <v>#DIV/0!</v>
      </c>
      <c r="N45" s="121" t="e">
        <f>(SUMIFS(AN_TME23[[#All],[Claims: Professional, Primary Care (for Monitoring Purposes)]],AN_TME23[[#All],[Insurance Category Code]],4,AN_TME23[[#All],[Advanced Network/Insurance Carrier Org ID]],100))/N41</f>
        <v>#DIV/0!</v>
      </c>
      <c r="O45" s="247" t="e">
        <f>ICC4TME[[#This Row],[2023]]/ICC4TME[[#This Row],[2022]]-1</f>
        <v>#DIV/0!</v>
      </c>
    </row>
    <row r="46" spans="2:15" x14ac:dyDescent="0.25">
      <c r="B46" s="80" t="s">
        <v>108</v>
      </c>
      <c r="C46" s="121" t="e">
        <f>(SUMPRODUCT(H46,H41)+SUMPRODUCT(M46,M41))/C41</f>
        <v>#DIV/0!</v>
      </c>
      <c r="D46" s="121" t="e">
        <f>(SUMPRODUCT(I46,I41)+SUMPRODUCT(N46,N41))/D41</f>
        <v>#DIV/0!</v>
      </c>
      <c r="E46" s="247" t="e">
        <f>ComTotTME[[#This Row],[2023]]/ComTotTME[[#This Row],[2022]]-1</f>
        <v>#DIV/0!</v>
      </c>
      <c r="G46" s="80" t="s">
        <v>108</v>
      </c>
      <c r="H46" s="121" t="e">
        <f>(SUMIFS(AN_TME22[[#All],[Claims: Professional, Specialty]],AN_TME22[[#All],[Insurance Category Code]],3,AN_TME22[[#All],[Advanced Network/Insurance Carrier Org ID]],100))/H41</f>
        <v>#DIV/0!</v>
      </c>
      <c r="I46" s="121" t="e">
        <f>(SUMIFS(AN_TME23[[#All],[Claims: Professional, Specialty]],AN_TME23[[#All],[Insurance Category Code]],3,AN_TME23[[#All],[Advanced Network/Insurance Carrier Org ID]],100))/I41</f>
        <v>#DIV/0!</v>
      </c>
      <c r="J46" s="253" t="e">
        <f>ICC3TME[[#This Row],[2023]]/ICC3TME[[#This Row],[2022]]-1</f>
        <v>#DIV/0!</v>
      </c>
      <c r="L46" s="80" t="s">
        <v>108</v>
      </c>
      <c r="M46" s="121" t="e">
        <f>(SUMIFS(AN_TME22[[#All],[Claims: Professional, Specialty]],AN_TME22[[#All],[Insurance Category Code]],4,AN_TME22[[#All],[Advanced Network/Insurance Carrier Org ID]],100))/M41</f>
        <v>#DIV/0!</v>
      </c>
      <c r="N46" s="121" t="e">
        <f>(SUMIFS(AN_TME23[[#All],[Claims: Professional, Specialty]],AN_TME23[[#All],[Insurance Category Code]],4,AN_TME23[[#All],[Advanced Network/Insurance Carrier Org ID]],100))/N41</f>
        <v>#DIV/0!</v>
      </c>
      <c r="O46" s="247" t="e">
        <f>ICC4TME[[#This Row],[2023]]/ICC4TME[[#This Row],[2022]]-1</f>
        <v>#DIV/0!</v>
      </c>
    </row>
    <row r="47" spans="2:15" x14ac:dyDescent="0.25">
      <c r="B47" s="80" t="s">
        <v>109</v>
      </c>
      <c r="C47" s="121" t="e">
        <f>(SUMPRODUCT(H47,H41)+SUMPRODUCT(M47,M41))/C41</f>
        <v>#DIV/0!</v>
      </c>
      <c r="D47" s="121" t="e">
        <f>(SUMPRODUCT(I47,I41)+SUMPRODUCT(N47,N41))/D41</f>
        <v>#DIV/0!</v>
      </c>
      <c r="E47" s="247" t="e">
        <f>ComTotTME[[#This Row],[2023]]/ComTotTME[[#This Row],[2022]]-1</f>
        <v>#DIV/0!</v>
      </c>
      <c r="G47" s="80" t="s">
        <v>109</v>
      </c>
      <c r="H47" s="121" t="e">
        <f>(SUMIFS(AN_TME22[[#All],[Claims: Professional Other]],AN_TME22[[#All],[Insurance Category Code]],3,AN_TME22[[#All],[Advanced Network/Insurance Carrier Org ID]],100))/H41</f>
        <v>#DIV/0!</v>
      </c>
      <c r="I47" s="121" t="e">
        <f>(SUMIFS(AN_TME23[[#All],[Claims: Professional Other]],AN_TME23[[#All],[Insurance Category Code]],3,AN_TME23[[#All],[Advanced Network/Insurance Carrier Org ID]],100))/I41</f>
        <v>#DIV/0!</v>
      </c>
      <c r="J47" s="253" t="e">
        <f>ICC3TME[[#This Row],[2023]]/ICC3TME[[#This Row],[2022]]-1</f>
        <v>#DIV/0!</v>
      </c>
      <c r="L47" s="80" t="s">
        <v>109</v>
      </c>
      <c r="M47" s="121" t="e">
        <f>(SUMIFS(AN_TME22[[#All],[Claims: Professional Other]],AN_TME22[[#All],[Insurance Category Code]],4,AN_TME22[[#All],[Advanced Network/Insurance Carrier Org ID]],100))/M41</f>
        <v>#DIV/0!</v>
      </c>
      <c r="N47" s="121" t="e">
        <f>(SUMIFS(AN_TME23[[#All],[Claims: Professional Other]],AN_TME23[[#All],[Insurance Category Code]],4,AN_TME23[[#All],[Advanced Network/Insurance Carrier Org ID]],100))/N41</f>
        <v>#DIV/0!</v>
      </c>
      <c r="O47" s="247" t="e">
        <f>ICC4TME[[#This Row],[2023]]/ICC4TME[[#This Row],[2022]]-1</f>
        <v>#DIV/0!</v>
      </c>
    </row>
    <row r="48" spans="2:15" ht="30" x14ac:dyDescent="0.25">
      <c r="B48" s="80" t="s">
        <v>294</v>
      </c>
      <c r="C48" s="121" t="e">
        <f>(SUMPRODUCT(H48,H41)+SUMPRODUCT(M48,M41))/C41</f>
        <v>#DIV/0!</v>
      </c>
      <c r="D48" s="121" t="e">
        <f>(SUMPRODUCT(I48,I41)+SUMPRODUCT(N48,N41))/D41</f>
        <v>#DIV/0!</v>
      </c>
      <c r="E48" s="247" t="e">
        <f>ComTotTME[[#This Row],[2023]]/ComTotTME[[#This Row],[2022]]-1</f>
        <v>#DIV/0!</v>
      </c>
      <c r="G48" s="80" t="s">
        <v>294</v>
      </c>
      <c r="H48" s="121" t="e">
        <f>(SUMIFS(AN_TME22[[#All],[Claims: Pharmacy]],AN_TME22[[#All],[Insurance Category Code]],3,AN_TME22[[#All],[Advanced Network/Insurance Carrier Org ID]],100))/H41</f>
        <v>#DIV/0!</v>
      </c>
      <c r="I48" s="121" t="e">
        <f>(SUMIFS(AN_TME23[[#All],[Claims: Pharmacy]],AN_TME23[[#All],[Insurance Category Code]],3,AN_TME23[[#All],[Advanced Network/Insurance Carrier Org ID]],100))/I41</f>
        <v>#DIV/0!</v>
      </c>
      <c r="J48" s="253" t="e">
        <f>ICC3TME[[#This Row],[2023]]/ICC3TME[[#This Row],[2022]]-1</f>
        <v>#DIV/0!</v>
      </c>
      <c r="L48" s="80" t="s">
        <v>294</v>
      </c>
      <c r="M48" s="121" t="e">
        <f>(SUMIFS(AN_TME22[[#All],[Claims: Pharmacy]],AN_TME22[[#All],[Insurance Category Code]],4,AN_TME22[[#All],[Advanced Network/Insurance Carrier Org ID]],100))/M41</f>
        <v>#DIV/0!</v>
      </c>
      <c r="N48" s="121" t="e">
        <f>(SUMIFS(AN_TME23[[#All],[Claims: Pharmacy]],AN_TME23[[#All],[Insurance Category Code]],4,AN_TME23[[#All],[Advanced Network/Insurance Carrier Org ID]],100))/N41</f>
        <v>#DIV/0!</v>
      </c>
      <c r="O48" s="247" t="e">
        <f>ICC4TME[[#This Row],[2023]]/ICC4TME[[#This Row],[2022]]-1</f>
        <v>#DIV/0!</v>
      </c>
    </row>
    <row r="49" spans="2:15" ht="30" x14ac:dyDescent="0.25">
      <c r="B49" s="127" t="s">
        <v>295</v>
      </c>
      <c r="C49" s="121" t="e">
        <f>(SUMPRODUCT(H49,H41)+SUMPRODUCT(M49,M41))/C41</f>
        <v>#DIV/0!</v>
      </c>
      <c r="D49" s="121" t="e">
        <f>(SUMPRODUCT(I49,I41)+SUMPRODUCT(N49,N41))/D41</f>
        <v>#DIV/0!</v>
      </c>
      <c r="E49" s="247" t="e">
        <f>ComTotTME[[#This Row],[2023]]/ComTotTME[[#This Row],[2022]]-1</f>
        <v>#DIV/0!</v>
      </c>
      <c r="G49" s="127" t="s">
        <v>295</v>
      </c>
      <c r="H49" s="121" t="e">
        <f>(SUMIFS(AN_TME22[[#All],[Claims: Pharmacy]],AN_TME22[[#All],[Insurance Category Code]],3,AN_TME22[[#All],[Advanced Network/Insurance Carrier Org ID]],100)-ABS(SUMIF(RX_REBATES22[[#All],[Insurance Category Code]],3,RX_REBATES22[[#All],[Retail Pharmacy Rebates]])))/H41</f>
        <v>#DIV/0!</v>
      </c>
      <c r="I49" s="121" t="e">
        <f>(SUMIFS(AN_TME23[[#All],[Claims: Pharmacy]],AN_TME23[[#All],[Insurance Category Code]],3,AN_TME23[[#All],[Advanced Network/Insurance Carrier Org ID]],100)-ABS(SUMIF(RX_REBATES23[[#All],[Insurance Category Code]],3,RX_REBATES23[[#All],[Retail Pharmacy Rebates]])))/I41</f>
        <v>#DIV/0!</v>
      </c>
      <c r="J49" s="253" t="e">
        <f>ICC3TME[[#This Row],[2023]]/ICC3TME[[#This Row],[2022]]-1</f>
        <v>#DIV/0!</v>
      </c>
      <c r="L49" s="127" t="s">
        <v>295</v>
      </c>
      <c r="M49" s="121" t="e">
        <f>(SUMIFS(AN_TME22[[#All],[Claims: Pharmacy]],AN_TME22[[#All],[Insurance Category Code]],4,AN_TME22[[#All],[Advanced Network/Insurance Carrier Org ID]],100)-ABS(SUMIF(RX_REBATES22[[#All],[Insurance Category Code]],4,RX_REBATES22[[#All],[Retail Pharmacy Rebates]])))/M41</f>
        <v>#DIV/0!</v>
      </c>
      <c r="N49" s="121" t="e">
        <f>(SUMIFS(AN_TME23[[#All],[Claims: Pharmacy]],AN_TME23[[#All],[Insurance Category Code]],4,AN_TME23[[#All],[Advanced Network/Insurance Carrier Org ID]],100)-ABS(SUMIF(RX_REBATES23[[#All],[Insurance Category Code]],4,RX_REBATES23[[#All],[Retail Pharmacy Rebates]])))/N41</f>
        <v>#DIV/0!</v>
      </c>
      <c r="O49" s="247" t="e">
        <f>ICC4TME[[#This Row],[2023]]/ICC4TME[[#This Row],[2022]]-1</f>
        <v>#DIV/0!</v>
      </c>
    </row>
    <row r="50" spans="2:15" x14ac:dyDescent="0.25">
      <c r="B50" s="127" t="s">
        <v>136</v>
      </c>
      <c r="C50" s="121" t="e">
        <f>(SUMPRODUCT(H50,H41)+SUMPRODUCT(M50,M41))/C41</f>
        <v>#DIV/0!</v>
      </c>
      <c r="D50" s="121" t="e">
        <f>(SUMPRODUCT(I50,I41)+SUMPRODUCT(N50,N41))/D41</f>
        <v>#DIV/0!</v>
      </c>
      <c r="E50" s="247" t="e">
        <f>ComTotTME[[#This Row],[2023]]/ComTotTME[[#This Row],[2022]]-1</f>
        <v>#DIV/0!</v>
      </c>
      <c r="G50" s="127" t="s">
        <v>136</v>
      </c>
      <c r="H50" s="121" t="e">
        <f>(-ABS(SUMIF(RX_REBATES22[[#All],[Insurance Category Code]],3,RX_REBATES22[[#All],[Retail Pharmacy Rebates]])))/H41</f>
        <v>#DIV/0!</v>
      </c>
      <c r="I50" s="121" t="e">
        <f>(-ABS(SUMIF(RX_REBATES23[[#All],[Insurance Category Code]],3,RX_REBATES23[[#All],[Retail Pharmacy Rebates]])))/I41</f>
        <v>#DIV/0!</v>
      </c>
      <c r="J50" s="253" t="e">
        <f>ICC3TME[[#This Row],[2023]]/ICC3TME[[#This Row],[2022]]-1</f>
        <v>#DIV/0!</v>
      </c>
      <c r="L50" s="127" t="s">
        <v>136</v>
      </c>
      <c r="M50" s="121" t="e">
        <f>(-ABS(SUMIF(RX_REBATES22[[#All],[Insurance Category Code]],4,RX_REBATES22[[#All],[Retail Pharmacy Rebates]])))/M41</f>
        <v>#DIV/0!</v>
      </c>
      <c r="N50" s="121" t="e">
        <f>(-ABS(SUMIF(RX_REBATES23[[#All],[Insurance Category Code]],4,RX_REBATES23[[#All],[Retail Pharmacy Rebates]])))/N41</f>
        <v>#DIV/0!</v>
      </c>
      <c r="O50" s="247" t="e">
        <f>ICC4TME[[#This Row],[2023]]/ICC4TME[[#This Row],[2022]]-1</f>
        <v>#DIV/0!</v>
      </c>
    </row>
    <row r="51" spans="2:15" x14ac:dyDescent="0.25">
      <c r="B51" s="80" t="s">
        <v>113</v>
      </c>
      <c r="C51" s="121" t="e">
        <f>(SUMPRODUCT(H51,H41)+SUMPRODUCT(M51,M41))/C41</f>
        <v>#DIV/0!</v>
      </c>
      <c r="D51" s="121" t="e">
        <f>(SUMPRODUCT(I51,I41)+SUMPRODUCT(N51,N41))/D41</f>
        <v>#DIV/0!</v>
      </c>
      <c r="E51" s="247" t="e">
        <f>ComTotTME[[#This Row],[2023]]/ComTotTME[[#This Row],[2022]]-1</f>
        <v>#DIV/0!</v>
      </c>
      <c r="G51" s="80" t="s">
        <v>113</v>
      </c>
      <c r="H51" s="121" t="e">
        <f>(SUMIFS(AN_TME22[[#All],[Claims: Long-Term Care]],AN_TME22[[#All],[Insurance Category Code]],3,AN_TME22[[#All],[Advanced Network/Insurance Carrier Org ID]],100))/H41</f>
        <v>#DIV/0!</v>
      </c>
      <c r="I51" s="121" t="e">
        <f>(SUMIFS(AN_TME23[[#All],[Claims: Long-Term Care]],AN_TME23[[#All],[Insurance Category Code]],3,AN_TME23[[#All],[Advanced Network/Insurance Carrier Org ID]],100))/I41</f>
        <v>#DIV/0!</v>
      </c>
      <c r="J51" s="253" t="e">
        <f>ICC3TME[[#This Row],[2023]]/ICC3TME[[#This Row],[2022]]-1</f>
        <v>#DIV/0!</v>
      </c>
      <c r="L51" s="80" t="s">
        <v>113</v>
      </c>
      <c r="M51" s="121" t="e">
        <f>(SUMIFS(AN_TME22[[#All],[Claims: Long-Term Care]],AN_TME22[[#All],[Insurance Category Code]],4,AN_TME22[[#All],[Advanced Network/Insurance Carrier Org ID]],100))/M41</f>
        <v>#DIV/0!</v>
      </c>
      <c r="N51" s="121" t="e">
        <f>(SUMIFS(AN_TME23[[#All],[Claims: Long-Term Care]],AN_TME23[[#All],[Insurance Category Code]],4,AN_TME23[[#All],[Advanced Network/Insurance Carrier Org ID]],100))/N41</f>
        <v>#DIV/0!</v>
      </c>
      <c r="O51" s="247" t="e">
        <f>ICC4TME[[#This Row],[2023]]/ICC4TME[[#This Row],[2022]]-1</f>
        <v>#DIV/0!</v>
      </c>
    </row>
    <row r="52" spans="2:15" x14ac:dyDescent="0.25">
      <c r="B52" s="80" t="s">
        <v>115</v>
      </c>
      <c r="C52" s="121" t="e">
        <f>(SUMPRODUCT(H52,H41)+SUMPRODUCT(M52,M41))/C41</f>
        <v>#DIV/0!</v>
      </c>
      <c r="D52" s="121" t="e">
        <f>(SUMPRODUCT(I52,I41)+SUMPRODUCT(N52,N41))/D41</f>
        <v>#DIV/0!</v>
      </c>
      <c r="E52" s="247" t="e">
        <f>ComTotTME[[#This Row],[2023]]/ComTotTME[[#This Row],[2022]]-1</f>
        <v>#DIV/0!</v>
      </c>
      <c r="G52" s="80" t="s">
        <v>115</v>
      </c>
      <c r="H52" s="121" t="e">
        <f>(SUMIFS(AN_TME22[[#All],[Claims: Other]],AN_TME22[[#All],[Insurance Category Code]],3,AN_TME22[[#All],[Advanced Network/Insurance Carrier Org ID]],100))/H41</f>
        <v>#DIV/0!</v>
      </c>
      <c r="I52" s="121" t="e">
        <f>(SUMIFS(AN_TME23[[#All],[Claims: Other]],AN_TME23[[#All],[Insurance Category Code]],3,AN_TME23[[#All],[Advanced Network/Insurance Carrier Org ID]],100))/I41</f>
        <v>#DIV/0!</v>
      </c>
      <c r="J52" s="253" t="e">
        <f>ICC3TME[[#This Row],[2023]]/ICC3TME[[#This Row],[2022]]-1</f>
        <v>#DIV/0!</v>
      </c>
      <c r="L52" s="80" t="s">
        <v>115</v>
      </c>
      <c r="M52" s="121" t="e">
        <f>(SUMIFS(AN_TME22[[#All],[Claims: Other]],AN_TME22[[#All],[Insurance Category Code]],4,AN_TME22[[#All],[Advanced Network/Insurance Carrier Org ID]],100))/M41</f>
        <v>#DIV/0!</v>
      </c>
      <c r="N52" s="121" t="e">
        <f>(SUMIFS(AN_TME23[[#All],[Claims: Other]],AN_TME23[[#All],[Insurance Category Code]],4,AN_TME23[[#All],[Advanced Network/Insurance Carrier Org ID]],100))/N41</f>
        <v>#DIV/0!</v>
      </c>
      <c r="O52" s="247" t="e">
        <f>ICC4TME[[#This Row],[2023]]/ICC4TME[[#This Row],[2022]]-1</f>
        <v>#DIV/0!</v>
      </c>
    </row>
    <row r="53" spans="2:15" ht="30" x14ac:dyDescent="0.25">
      <c r="B53" s="123" t="s">
        <v>296</v>
      </c>
      <c r="C53" s="124" t="e">
        <f>(SUMPRODUCT(H53,H41)+SUMPRODUCT(M53,M41))/C41</f>
        <v>#DIV/0!</v>
      </c>
      <c r="D53" s="124" t="e">
        <f>(SUMPRODUCT(I53,I41)+SUMPRODUCT(N53,N41))/D41</f>
        <v>#DIV/0!</v>
      </c>
      <c r="E53" s="248" t="e">
        <f>ComTotTME[[#This Row],[2023]]/ComTotTME[[#This Row],[2022]]-1</f>
        <v>#DIV/0!</v>
      </c>
      <c r="G53" s="123" t="s">
        <v>296</v>
      </c>
      <c r="H53" s="124" t="e">
        <f>(SUMIFS(AN_TME22[[#All],[TOTAL Non-Truncated Unadjusted Claims Expenses]],AN_TME22[[#All],[Insurance Category Code]],3,AN_TME22[[#All],[Advanced Network/Insurance Carrier Org ID]],100))/H41</f>
        <v>#DIV/0!</v>
      </c>
      <c r="I53" s="124" t="e">
        <f>(SUMIFS(AN_TME23[[#All],[TOTAL Non-Truncated Unadjusted Claims Expenses]],AN_TME23[[#All],[Insurance Category Code]],3,AN_TME23[[#All],[Advanced Network/Insurance Carrier Org ID]],100))/I41</f>
        <v>#DIV/0!</v>
      </c>
      <c r="J53" s="248" t="e">
        <f>ICC3TME[[#This Row],[2023]]/ICC3TME[[#This Row],[2022]]-1</f>
        <v>#DIV/0!</v>
      </c>
      <c r="L53" s="123" t="s">
        <v>296</v>
      </c>
      <c r="M53" s="124" t="e">
        <f>(SUMIFS(AN_TME22[[#All],[TOTAL Non-Truncated Unadjusted Claims Expenses]],AN_TME22[[#All],[Insurance Category Code]],4,AN_TME22[[#All],[Advanced Network/Insurance Carrier Org ID]],100))/M41</f>
        <v>#DIV/0!</v>
      </c>
      <c r="N53" s="124" t="e">
        <f>(SUMIFS(AN_TME23[[#All],[TOTAL Non-Truncated Unadjusted Claims Expenses]],AN_TME23[[#All],[Insurance Category Code]],4,AN_TME23[[#All],[Advanced Network/Insurance Carrier Org ID]],100))/N41</f>
        <v>#DIV/0!</v>
      </c>
      <c r="O53" s="248" t="e">
        <f>ICC4TME[[#This Row],[2023]]/ICC4TME[[#This Row],[2022]]-1</f>
        <v>#DIV/0!</v>
      </c>
    </row>
    <row r="54" spans="2:15" x14ac:dyDescent="0.25">
      <c r="B54" s="123" t="s">
        <v>297</v>
      </c>
      <c r="C54" s="124" t="e">
        <f>(SUMPRODUCT(H54,H41)+SUMPRODUCT(M54,M41))/C41</f>
        <v>#DIV/0!</v>
      </c>
      <c r="D54" s="124" t="e">
        <f>(SUMPRODUCT(I54,I41)+SUMPRODUCT(N54,N41))/D41</f>
        <v>#DIV/0!</v>
      </c>
      <c r="E54" s="248" t="e">
        <f>ComTotTME[[#This Row],[2023]]/ComTotTME[[#This Row],[2022]]-1</f>
        <v>#DIV/0!</v>
      </c>
      <c r="G54" s="123" t="s">
        <v>297</v>
      </c>
      <c r="H54" s="124" t="e">
        <f>(SUMIFS(AN_TME22[[#All],[TOTAL Truncated Unadjusted Claims Expenses (A21 -A19)]],AN_TME22[[#All],[Insurance Category Code]],3,AN_TME22[[#All],[Advanced Network/Insurance Carrier Org ID]],100))/H41</f>
        <v>#DIV/0!</v>
      </c>
      <c r="I54" s="124" t="e">
        <f>(SUMIFS(AN_TME23[[#All],[TOTAL Truncated Unadjusted Claims Expenses (A21 -A19)]],AN_TME23[[#All],[Insurance Category Code]],3,AN_TME23[[#All],[Advanced Network/Insurance Carrier Org ID]],100))/I41</f>
        <v>#DIV/0!</v>
      </c>
      <c r="J54" s="248" t="e">
        <f>ICC3TME[[#This Row],[2023]]/ICC3TME[[#This Row],[2022]]-1</f>
        <v>#DIV/0!</v>
      </c>
      <c r="L54" s="123" t="s">
        <v>297</v>
      </c>
      <c r="M54" s="124" t="e">
        <f>(SUMIFS(AN_TME22[[#All],[TOTAL Truncated Unadjusted Claims Expenses (A21 -A19)]],AN_TME22[[#All],[Insurance Category Code]],4,AN_TME22[[#All],[Advanced Network/Insurance Carrier Org ID]],100))/M41</f>
        <v>#DIV/0!</v>
      </c>
      <c r="N54" s="124" t="e">
        <f>(SUMIFS(AN_TME23[[#All],[TOTAL Truncated Unadjusted Claims Expenses (A21 -A19)]],AN_TME23[[#All],[Insurance Category Code]],4,AN_TME23[[#All],[Advanced Network/Insurance Carrier Org ID]],100))/N41</f>
        <v>#DIV/0!</v>
      </c>
      <c r="O54" s="248" t="e">
        <f>ICC4TME[[#This Row],[2023]]/ICC4TME[[#This Row],[2022]]-1</f>
        <v>#DIV/0!</v>
      </c>
    </row>
    <row r="55" spans="2:15" ht="75" x14ac:dyDescent="0.25">
      <c r="B55" s="80" t="s">
        <v>116</v>
      </c>
      <c r="C55" s="121" t="e">
        <f>(SUMPRODUCT(H55,H41)+SUMPRODUCT(M55,M41))/C41</f>
        <v>#DIV/0!</v>
      </c>
      <c r="D55" s="121" t="e">
        <f>(SUMPRODUCT(I55,I41)+SUMPRODUCT(N55,N41))/D41</f>
        <v>#DIV/0!</v>
      </c>
      <c r="E55" s="247" t="e">
        <f>ComTotTME[[#This Row],[2023]]/ComTotTME[[#This Row],[2022]]-1</f>
        <v>#DIV/0!</v>
      </c>
      <c r="G55" s="80" t="s">
        <v>116</v>
      </c>
      <c r="H55" s="121" t="e">
        <f>(SUMIFS(AN_TME22[[#All],[Non-Claims: Prospective Capitated, Prospective Global Budget, Prospective Case Rate, or Prospective Episode-Based Payments]],AN_TME22[[#All],[Insurance Category Code]],3,AN_TME22[[#All],[Advanced Network/Insurance Carrier Org ID]],100))/H41</f>
        <v>#DIV/0!</v>
      </c>
      <c r="I55" s="121" t="e">
        <f>(SUMIFS(AN_TME23[[#All],[Non-Claims: Prospective Capitated, Prospective Global Budget, Prospective Case Rate, or Prospective Episode-Based Payments]],AN_TME23[[#All],[Insurance Category Code]],3,AN_TME23[[#All],[Advanced Network/Insurance Carrier Org ID]],100))/I41</f>
        <v>#DIV/0!</v>
      </c>
      <c r="J55" s="253" t="e">
        <f>ICC3TME[[#This Row],[2023]]/ICC3TME[[#This Row],[2022]]-1</f>
        <v>#DIV/0!</v>
      </c>
      <c r="L55" s="80" t="s">
        <v>116</v>
      </c>
      <c r="M55" s="121" t="e">
        <f>(SUMIFS(AN_TME22[[#All],[Non-Claims: Prospective Capitated, Prospective Global Budget, Prospective Case Rate, or Prospective Episode-Based Payments]],AN_TME22[[#All],[Insurance Category Code]],4,AN_TME22[[#All],[Advanced Network/Insurance Carrier Org ID]],100))/M41</f>
        <v>#DIV/0!</v>
      </c>
      <c r="N55" s="121" t="e">
        <f>(SUMIFS(AN_TME23[[#All],[Non-Claims: Prospective Capitated, Prospective Global Budget, Prospective Case Rate, or Prospective Episode-Based Payments]],AN_TME23[[#All],[Insurance Category Code]],4,AN_TME23[[#All],[Advanced Network/Insurance Carrier Org ID]],100))/N41</f>
        <v>#DIV/0!</v>
      </c>
      <c r="O55" s="247" t="e">
        <f>ICC4TME[[#This Row],[2023]]/ICC4TME[[#This Row],[2022]]-1</f>
        <v>#DIV/0!</v>
      </c>
    </row>
    <row r="56" spans="2:15" ht="30" x14ac:dyDescent="0.25">
      <c r="B56" s="80" t="s">
        <v>118</v>
      </c>
      <c r="C56" s="121" t="e">
        <f>(SUMPRODUCT(H56,H41)+SUMPRODUCT(M56,M41))/C41</f>
        <v>#DIV/0!</v>
      </c>
      <c r="D56" s="121" t="e">
        <f>(SUMPRODUCT(I56,I41)+SUMPRODUCT(N56,N41))/D41</f>
        <v>#DIV/0!</v>
      </c>
      <c r="E56" s="247" t="e">
        <f>ComTotTME[[#This Row],[2023]]/ComTotTME[[#This Row],[2022]]-1</f>
        <v>#DIV/0!</v>
      </c>
      <c r="G56" s="80" t="s">
        <v>118</v>
      </c>
      <c r="H56" s="121" t="e">
        <f>(SUMIFS(AN_TME22[[#All],[Non-Claims: Performance Incentive Payments]],AN_TME22[[#All],[Insurance Category Code]],3,AN_TME22[[#All],[Advanced Network/Insurance Carrier Org ID]],100))/H41</f>
        <v>#DIV/0!</v>
      </c>
      <c r="I56" s="121" t="e">
        <f>(SUMIFS(AN_TME23[[#All],[Non-Claims: Performance Incentive Payments]],AN_TME23[[#All],[Insurance Category Code]],3,AN_TME23[[#All],[Advanced Network/Insurance Carrier Org ID]],100))/I41</f>
        <v>#DIV/0!</v>
      </c>
      <c r="J56" s="253" t="e">
        <f>ICC3TME[[#This Row],[2023]]/ICC3TME[[#This Row],[2022]]-1</f>
        <v>#DIV/0!</v>
      </c>
      <c r="L56" s="80" t="s">
        <v>118</v>
      </c>
      <c r="M56" s="121" t="e">
        <f>(SUMIFS(AN_TME22[[#All],[Non-Claims: Performance Incentive Payments]],AN_TME22[[#All],[Insurance Category Code]],4,AN_TME22[[#All],[Advanced Network/Insurance Carrier Org ID]],100))/M41</f>
        <v>#DIV/0!</v>
      </c>
      <c r="N56" s="121" t="e">
        <f>(SUMIFS(AN_TME23[[#All],[Non-Claims: Performance Incentive Payments]],AN_TME23[[#All],[Insurance Category Code]],4,AN_TME23[[#All],[Advanced Network/Insurance Carrier Org ID]],100))/N41</f>
        <v>#DIV/0!</v>
      </c>
      <c r="O56" s="247" t="e">
        <f>ICC4TME[[#This Row],[2023]]/ICC4TME[[#This Row],[2022]]-1</f>
        <v>#DIV/0!</v>
      </c>
    </row>
    <row r="57" spans="2:15" ht="45" x14ac:dyDescent="0.25">
      <c r="B57" s="80" t="s">
        <v>120</v>
      </c>
      <c r="C57" s="121" t="e">
        <f>(SUMPRODUCT(H57,H41)+SUMPRODUCT(M57,M41))/C41</f>
        <v>#DIV/0!</v>
      </c>
      <c r="D57" s="121" t="e">
        <f>(SUMPRODUCT(I57,I41)+SUMPRODUCT(N57,N41))/D41</f>
        <v>#DIV/0!</v>
      </c>
      <c r="E57" s="247" t="e">
        <f>ComTotTME[[#This Row],[2023]]/ComTotTME[[#This Row],[2022]]-1</f>
        <v>#DIV/0!</v>
      </c>
      <c r="G57" s="80" t="s">
        <v>120</v>
      </c>
      <c r="H57" s="121" t="e">
        <f>(SUMIFS(AN_TME22[[#All],[Non-Claims: Payments to Support Population Health and Practice Infrastructure]],AN_TME22[[#All],[Insurance Category Code]],3,AN_TME22[[#All],[Advanced Network/Insurance Carrier Org ID]],100))/H41</f>
        <v>#DIV/0!</v>
      </c>
      <c r="I57" s="121" t="e">
        <f>(SUMIFS(AN_TME23[[#All],[Non-Claims: Payments to Support Population Health and Practice Infrastructure]],AN_TME23[[#All],[Insurance Category Code]],3,AN_TME23[[#All],[Advanced Network/Insurance Carrier Org ID]],100))/I41</f>
        <v>#DIV/0!</v>
      </c>
      <c r="J57" s="253" t="e">
        <f>ICC3TME[[#This Row],[2023]]/ICC3TME[[#This Row],[2022]]-1</f>
        <v>#DIV/0!</v>
      </c>
      <c r="L57" s="80" t="s">
        <v>120</v>
      </c>
      <c r="M57" s="121" t="e">
        <f>(SUMIFS(AN_TME22[[#All],[Non-Claims: Payments to Support Population Health and Practice Infrastructure]],AN_TME22[[#All],[Insurance Category Code]],4,AN_TME22[[#All],[Advanced Network/Insurance Carrier Org ID]],100))/M41</f>
        <v>#DIV/0!</v>
      </c>
      <c r="N57" s="121" t="e">
        <f>(SUMIFS(AN_TME23[[#All],[Non-Claims: Payments to Support Population Health and Practice Infrastructure]],AN_TME23[[#All],[Insurance Category Code]],4,AN_TME23[[#All],[Advanced Network/Insurance Carrier Org ID]],100))/N41</f>
        <v>#DIV/0!</v>
      </c>
      <c r="O57" s="247" t="e">
        <f>ICC4TME[[#This Row],[2023]]/ICC4TME[[#This Row],[2022]]-1</f>
        <v>#DIV/0!</v>
      </c>
    </row>
    <row r="58" spans="2:15" x14ac:dyDescent="0.25">
      <c r="B58" s="80" t="s">
        <v>122</v>
      </c>
      <c r="C58" s="121" t="e">
        <f>(SUMPRODUCT(H58,H41)+SUMPRODUCT(M58,M41))/C41</f>
        <v>#DIV/0!</v>
      </c>
      <c r="D58" s="121" t="e">
        <f>(SUMPRODUCT(I58,I41)+SUMPRODUCT(N58,N41))/D41</f>
        <v>#DIV/0!</v>
      </c>
      <c r="E58" s="247" t="e">
        <f>ComTotTME[[#This Row],[2023]]/ComTotTME[[#This Row],[2022]]-1</f>
        <v>#DIV/0!</v>
      </c>
      <c r="G58" s="80" t="s">
        <v>122</v>
      </c>
      <c r="H58" s="121" t="e">
        <f>(SUMIFS(AN_TME22[[#All],[Non-Claims: Provider Salaries]],AN_TME22[[#All],[Insurance Category Code]],3,AN_TME22[[#All],[Advanced Network/Insurance Carrier Org ID]],100))/H41</f>
        <v>#DIV/0!</v>
      </c>
      <c r="I58" s="121" t="e">
        <f>(SUMIFS(AN_TME23[[#All],[Non-Claims: Provider Salaries]],AN_TME23[[#All],[Insurance Category Code]],3,AN_TME23[[#All],[Advanced Network/Insurance Carrier Org ID]],100))/I41</f>
        <v>#DIV/0!</v>
      </c>
      <c r="J58" s="253" t="e">
        <f>ICC3TME[[#This Row],[2023]]/ICC3TME[[#This Row],[2022]]-1</f>
        <v>#DIV/0!</v>
      </c>
      <c r="L58" s="80" t="s">
        <v>122</v>
      </c>
      <c r="M58" s="121" t="e">
        <f>(SUMIFS(AN_TME22[[#All],[Non-Claims: Provider Salaries]],AN_TME22[[#All],[Insurance Category Code]],4,AN_TME22[[#All],[Advanced Network/Insurance Carrier Org ID]],100))/M41</f>
        <v>#DIV/0!</v>
      </c>
      <c r="N58" s="121" t="e">
        <f>(SUMIFS(AN_TME23[[#All],[Non-Claims: Provider Salaries]],AN_TME23[[#All],[Insurance Category Code]],4,AN_TME23[[#All],[Advanced Network/Insurance Carrier Org ID]],100))/N41</f>
        <v>#DIV/0!</v>
      </c>
      <c r="O58" s="247" t="e">
        <f>ICC4TME[[#This Row],[2023]]/ICC4TME[[#This Row],[2022]]-1</f>
        <v>#DIV/0!</v>
      </c>
    </row>
    <row r="59" spans="2:15" x14ac:dyDescent="0.25">
      <c r="B59" s="80" t="s">
        <v>124</v>
      </c>
      <c r="C59" s="121" t="e">
        <f>(SUMPRODUCT(H59,H41)+SUMPRODUCT(M59,M41))/C41</f>
        <v>#DIV/0!</v>
      </c>
      <c r="D59" s="121" t="e">
        <f>(SUMPRODUCT(I59,I41)+SUMPRODUCT(N59,N41))/D41</f>
        <v>#DIV/0!</v>
      </c>
      <c r="E59" s="247" t="e">
        <f>ComTotTME[[#This Row],[2023]]/ComTotTME[[#This Row],[2022]]-1</f>
        <v>#DIV/0!</v>
      </c>
      <c r="G59" s="80" t="s">
        <v>124</v>
      </c>
      <c r="H59" s="121" t="e">
        <f>(SUMIFS(AN_TME22[[#All],[Non-Claims: Recovery]],AN_TME22[[#All],[Insurance Category Code]],3,AN_TME22[[#All],[Advanced Network/Insurance Carrier Org ID]],100))/H41</f>
        <v>#DIV/0!</v>
      </c>
      <c r="I59" s="121" t="e">
        <f>(SUMIFS(AN_TME23[[#All],[Non-Claims: Recovery]],AN_TME23[[#All],[Insurance Category Code]],3,AN_TME23[[#All],[Advanced Network/Insurance Carrier Org ID]],100))/I41</f>
        <v>#DIV/0!</v>
      </c>
      <c r="J59" s="253" t="e">
        <f>ICC3TME[[#This Row],[2023]]/ICC3TME[[#This Row],[2022]]-1</f>
        <v>#DIV/0!</v>
      </c>
      <c r="L59" s="80" t="s">
        <v>124</v>
      </c>
      <c r="M59" s="121" t="e">
        <f>(SUMIFS(AN_TME22[[#All],[Non-Claims: Recovery]],AN_TME22[[#All],[Insurance Category Code]],4,AN_TME22[[#All],[Advanced Network/Insurance Carrier Org ID]],100))/M41</f>
        <v>#DIV/0!</v>
      </c>
      <c r="N59" s="121" t="e">
        <f>(SUMIFS(AN_TME23[[#All],[Non-Claims: Recovery]],AN_TME23[[#All],[Insurance Category Code]],4,AN_TME23[[#All],[Advanced Network/Insurance Carrier Org ID]],100))/N41</f>
        <v>#DIV/0!</v>
      </c>
      <c r="O59" s="247" t="e">
        <f>ICC4TME[[#This Row],[2023]]/ICC4TME[[#This Row],[2022]]-1</f>
        <v>#DIV/0!</v>
      </c>
    </row>
    <row r="60" spans="2:15" x14ac:dyDescent="0.25">
      <c r="B60" s="80" t="s">
        <v>126</v>
      </c>
      <c r="C60" s="121" t="e">
        <f>(SUMPRODUCT(H60,H41)+SUMPRODUCT(M60,M41))/C41</f>
        <v>#DIV/0!</v>
      </c>
      <c r="D60" s="121" t="e">
        <f>(SUMPRODUCT(I60,I41)+SUMPRODUCT(N60,N41))/D41</f>
        <v>#DIV/0!</v>
      </c>
      <c r="E60" s="247" t="e">
        <f>ComTotTME[[#This Row],[2023]]/ComTotTME[[#This Row],[2022]]-1</f>
        <v>#DIV/0!</v>
      </c>
      <c r="G60" s="80" t="s">
        <v>126</v>
      </c>
      <c r="H60" s="121" t="e">
        <f>(SUMIFS(AN_TME22[[#All],[Non-Claims: Other]],AN_TME22[[#All],[Insurance Category Code]],3,AN_TME22[[#All],[Advanced Network/Insurance Carrier Org ID]],100))/H41</f>
        <v>#DIV/0!</v>
      </c>
      <c r="I60" s="121" t="e">
        <f>(SUMIFS(AN_TME23[[#All],[Non-Claims: Other]],AN_TME23[[#All],[Insurance Category Code]],3,AN_TME23[[#All],[Advanced Network/Insurance Carrier Org ID]],100))/I41</f>
        <v>#DIV/0!</v>
      </c>
      <c r="J60" s="247" t="e">
        <f>ICC3TME[[#This Row],[2023]]/ICC3TME[[#This Row],[2022]]-1</f>
        <v>#DIV/0!</v>
      </c>
      <c r="L60" s="80" t="s">
        <v>126</v>
      </c>
      <c r="M60" s="121" t="e">
        <f>(SUMIFS(AN_TME22[[#All],[Non-Claims: Other]],AN_TME22[[#All],[Insurance Category Code]],4,AN_TME22[[#All],[Advanced Network/Insurance Carrier Org ID]],100))/M41</f>
        <v>#DIV/0!</v>
      </c>
      <c r="N60" s="121" t="e">
        <f>(SUMIFS(AN_TME23[[#All],[Non-Claims: Other]],AN_TME23[[#All],[Insurance Category Code]],4,AN_TME23[[#All],[Advanced Network/Insurance Carrier Org ID]],100))/N41</f>
        <v>#DIV/0!</v>
      </c>
      <c r="O60" s="247" t="e">
        <f>ICC4TME[[#This Row],[2023]]/ICC4TME[[#This Row],[2022]]-1</f>
        <v>#DIV/0!</v>
      </c>
    </row>
    <row r="61" spans="2:15" ht="30" x14ac:dyDescent="0.25">
      <c r="B61" s="80" t="s">
        <v>128</v>
      </c>
      <c r="C61" s="121" t="e">
        <f>(SUMPRODUCT(H61,H41)+SUMPRODUCT(M61,M41))/C41</f>
        <v>#DIV/0!</v>
      </c>
      <c r="D61" s="121" t="e">
        <f>(SUMPRODUCT(I61,I41)+SUMPRODUCT(N61,N41))/D41</f>
        <v>#DIV/0!</v>
      </c>
      <c r="E61" s="247" t="e">
        <f>ComTotTME[[#This Row],[2023]]/ComTotTME[[#This Row],[2022]]-1</f>
        <v>#DIV/0!</v>
      </c>
      <c r="G61" s="80" t="s">
        <v>128</v>
      </c>
      <c r="H61" s="121" t="e">
        <f>(SUMIFS(AN_TME22[[#All],[Non-Claims: Total Primary Care Non-Claims-Based Payments]],AN_TME22[[#All],[Insurance Category Code]],3,AN_TME22[[#All],[Advanced Network/Insurance Carrier Org ID]],100))/H41</f>
        <v>#DIV/0!</v>
      </c>
      <c r="I61" s="121" t="e">
        <f>(SUMIFS(AN_TME23[[#All],[Non-Claims: Total Primary Care Non-Claims-Based Payments]],AN_TME23[[#All],[Insurance Category Code]],3,AN_TME23[[#All],[Advanced Network/Insurance Carrier Org ID]],100))/I41</f>
        <v>#DIV/0!</v>
      </c>
      <c r="J61" s="253" t="e">
        <f>ICC3TME[[#This Row],[2023]]/ICC3TME[[#This Row],[2022]]-1</f>
        <v>#DIV/0!</v>
      </c>
      <c r="L61" s="80" t="s">
        <v>128</v>
      </c>
      <c r="M61" s="121" t="e">
        <f>(SUMIFS(AN_TME22[[#All],[Non-Claims: Total Primary Care Non-Claims-Based Payments]],AN_TME22[[#All],[Insurance Category Code]],4,AN_TME22[[#All],[Advanced Network/Insurance Carrier Org ID]],100))/M41</f>
        <v>#DIV/0!</v>
      </c>
      <c r="N61" s="121" t="e">
        <f>(SUMIFS(AN_TME23[[#All],[Non-Claims: Total Primary Care Non-Claims-Based Payments]],AN_TME23[[#All],[Insurance Category Code]],4,AN_TME23[[#All],[Advanced Network/Insurance Carrier Org ID]],100))/N41</f>
        <v>#DIV/0!</v>
      </c>
      <c r="O61" s="247" t="e">
        <f>ICC4TME[[#This Row],[2023]]/ICC4TME[[#This Row],[2022]]-1</f>
        <v>#DIV/0!</v>
      </c>
    </row>
    <row r="62" spans="2:15" x14ac:dyDescent="0.25">
      <c r="B62" s="123" t="s">
        <v>298</v>
      </c>
      <c r="C62" s="124" t="e">
        <f>(SUMPRODUCT(H62,H41)+SUMPRODUCT(M62,M41))/C41</f>
        <v>#DIV/0!</v>
      </c>
      <c r="D62" s="124" t="e">
        <f>(SUMPRODUCT(I62,I41)+SUMPRODUCT(N62,N41))/D41</f>
        <v>#DIV/0!</v>
      </c>
      <c r="E62" s="248" t="e">
        <f>ComTotTME[[#This Row],[2023]]/ComTotTME[[#This Row],[2022]]-1</f>
        <v>#DIV/0!</v>
      </c>
      <c r="F62" s="118"/>
      <c r="G62" s="123" t="s">
        <v>298</v>
      </c>
      <c r="H62" s="124" t="e">
        <f>(SUMIFS(AN_TME22[[#All],[TOTAL Non-Claims Expenses]],AN_TME22[[#All],[Insurance Category Code]],3,AN_TME22[[#All],[Advanced Network/Insurance Carrier Org ID]],100))/H41</f>
        <v>#DIV/0!</v>
      </c>
      <c r="I62" s="124" t="e">
        <f>(SUMIFS(AN_TME23[[#All],[TOTAL Non-Claims Expenses]],AN_TME23[[#All],[Insurance Category Code]],3,AN_TME23[[#All],[Advanced Network/Insurance Carrier Org ID]],100))/I41</f>
        <v>#DIV/0!</v>
      </c>
      <c r="J62" s="248" t="e">
        <f>ICC3TME[[#This Row],[2023]]/ICC3TME[[#This Row],[2022]]-1</f>
        <v>#DIV/0!</v>
      </c>
      <c r="L62" s="123" t="s">
        <v>298</v>
      </c>
      <c r="M62" s="124" t="e">
        <f>(SUMIFS(AN_TME22[[#All],[TOTAL Non-Claims Expenses]],AN_TME22[[#All],[Insurance Category Code]],4,AN_TME22[[#All],[Advanced Network/Insurance Carrier Org ID]],100))/M41</f>
        <v>#DIV/0!</v>
      </c>
      <c r="N62" s="124" t="e">
        <f>(SUMIFS(AN_TME23[[#All],[TOTAL Non-Claims Expenses]],AN_TME23[[#All],[Insurance Category Code]],4,AN_TME23[[#All],[Advanced Network/Insurance Carrier Org ID]],100))/N41</f>
        <v>#DIV/0!</v>
      </c>
      <c r="O62" s="248" t="e">
        <f>ICC4TME[[#This Row],[2023]]/ICC4TME[[#This Row],[2022]]-1</f>
        <v>#DIV/0!</v>
      </c>
    </row>
    <row r="63" spans="2:15" ht="30" x14ac:dyDescent="0.25">
      <c r="B63" s="129" t="s">
        <v>299</v>
      </c>
      <c r="C63" s="130" t="e">
        <f>(SUMPRODUCT(H63,H41)+SUMPRODUCT(M63,M41))/C41</f>
        <v>#DIV/0!</v>
      </c>
      <c r="D63" s="130" t="e">
        <f>(SUMPRODUCT(I63,I41)+SUMPRODUCT(N63,N41))/D41</f>
        <v>#DIV/0!</v>
      </c>
      <c r="E63" s="249" t="e">
        <f>ComTotTME[[#This Row],[2023]]/ComTotTME[[#This Row],[2022]]-1</f>
        <v>#DIV/0!</v>
      </c>
      <c r="G63" s="129" t="s">
        <v>299</v>
      </c>
      <c r="H63" s="251" t="e">
        <f>(SUMIFS(AN_TME22[[#All],[TOTAL Non-Truncated Unadjusted Expenses (A21 + A23)]],AN_TME22[[#All],[Insurance Category Code]],3,AN_TME22[[#All],[Advanced Network/Insurance Carrier Org ID]],100))/H41</f>
        <v>#DIV/0!</v>
      </c>
      <c r="I63" s="251" t="e">
        <f>(SUMIFS(AN_TME23[[#All],[TOTAL Non-Truncated Unadjusted Expenses (A21 + A23)]],AN_TME23[[#All],[Insurance Category Code]],3,AN_TME23[[#All],[Advanced Network/Insurance Carrier Org ID]],100))/I41</f>
        <v>#DIV/0!</v>
      </c>
      <c r="J63" s="254" t="e">
        <f>ICC3TME[[#This Row],[2023]]/ICC3TME[[#This Row],[2022]]-1</f>
        <v>#DIV/0!</v>
      </c>
      <c r="L63" s="129" t="s">
        <v>299</v>
      </c>
      <c r="M63" s="251" t="e">
        <f>(SUMIFS(AN_TME22[[#All],[TOTAL Non-Truncated Unadjusted Expenses (A21 + A23)]],AN_TME22[[#All],[Insurance Category Code]],4,AN_TME22[[#All],[Advanced Network/Insurance Carrier Org ID]],100))/M41</f>
        <v>#DIV/0!</v>
      </c>
      <c r="N63" s="251" t="e">
        <f>(SUMIFS(AN_TME23[[#All],[TOTAL Non-Truncated Unadjusted Expenses (A21 + A23)]],AN_TME23[[#All],[Insurance Category Code]],4,AN_TME23[[#All],[Advanced Network/Insurance Carrier Org ID]],100))/N41</f>
        <v>#DIV/0!</v>
      </c>
      <c r="O63" s="249" t="e">
        <f>ICC4TME[[#This Row],[2023]]/ICC4TME[[#This Row],[2022]]-1</f>
        <v>#DIV/0!</v>
      </c>
    </row>
    <row r="64" spans="2:15" ht="30" x14ac:dyDescent="0.25">
      <c r="B64" s="129" t="s">
        <v>300</v>
      </c>
      <c r="C64" s="130" t="e">
        <f>(SUMPRODUCT(H64,H41)+SUMPRODUCT(M64,M41))/C41</f>
        <v>#DIV/0!</v>
      </c>
      <c r="D64" s="130" t="e">
        <f>(SUMPRODUCT(I64,I41)+SUMPRODUCT(N64,N41))/D41</f>
        <v>#DIV/0!</v>
      </c>
      <c r="E64" s="249" t="e">
        <f>ComTotTME[[#This Row],[2023]]/ComTotTME[[#This Row],[2022]]-1</f>
        <v>#DIV/0!</v>
      </c>
      <c r="G64" s="129" t="s">
        <v>300</v>
      </c>
      <c r="H64" s="251" t="e">
        <f>(SUMIFS(AN_TME22[[#All],[TOTAL Non-Truncated Unadjusted Expenses (A21 + A23)]],AN_TME22[[#All],[Insurance Category Code]],3,AN_TME22[[#All],[Advanced Network/Insurance Carrier Org ID]],100)-ABS(SUMIF(RX_REBATES22[[#All],[Insurance Category Code]],3,RX_REBATES22[[#All],[Total Pharmacy Rebates]])))/H41</f>
        <v>#DIV/0!</v>
      </c>
      <c r="I64" s="251" t="e">
        <f>(SUMIFS(AN_TME23[[#All],[TOTAL Non-Truncated Unadjusted Expenses (A21 + A23)]],AN_TME23[[#All],[Insurance Category Code]],3,AN_TME23[[#All],[Advanced Network/Insurance Carrier Org ID]],100)-ABS(SUMIF(RX_REBATES23[[#All],[Insurance Category Code]],3,RX_REBATES23[[#All],[Total Pharmacy Rebates]])))/I41</f>
        <v>#DIV/0!</v>
      </c>
      <c r="J64" s="254" t="e">
        <f>ICC3TME[[#This Row],[2023]]/ICC3TME[[#This Row],[2022]]-1</f>
        <v>#DIV/0!</v>
      </c>
      <c r="L64" s="129" t="s">
        <v>300</v>
      </c>
      <c r="M64" s="251" t="e">
        <f>(SUMIFS(AN_TME22[[#All],[TOTAL Non-Truncated Unadjusted Expenses (A21 + A23)]],AN_TME22[[#All],[Insurance Category Code]],4,AN_TME22[[#All],[Advanced Network/Insurance Carrier Org ID]],100)-ABS(SUMIF(RX_REBATES22[[#All],[Insurance Category Code]],4,RX_REBATES22[[#All],[Total Pharmacy Rebates]])))/M41</f>
        <v>#DIV/0!</v>
      </c>
      <c r="N64" s="251" t="e">
        <f>(SUMIFS(AN_TME23[[#All],[TOTAL Non-Truncated Unadjusted Expenses (A21 + A23)]],AN_TME23[[#All],[Insurance Category Code]],4,AN_TME23[[#All],[Advanced Network/Insurance Carrier Org ID]],100)-ABS(SUMIF(RX_REBATES23[[#All],[Insurance Category Code]],4,RX_REBATES23[[#All],[Total Pharmacy Rebates]])))/N41</f>
        <v>#DIV/0!</v>
      </c>
      <c r="O64" s="249" t="e">
        <f>ICC4TME[[#This Row],[2023]]/ICC4TME[[#This Row],[2022]]-1</f>
        <v>#DIV/0!</v>
      </c>
    </row>
    <row r="65" spans="2:15" ht="30" x14ac:dyDescent="0.25">
      <c r="B65" s="129" t="s">
        <v>301</v>
      </c>
      <c r="C65" s="130" t="e">
        <f>(SUMPRODUCT(H65,H41)+SUMPRODUCT(M65,M41))/C41</f>
        <v>#DIV/0!</v>
      </c>
      <c r="D65" s="130" t="e">
        <f>(SUMPRODUCT(I65,I41)+SUMPRODUCT(N65,N41))/D41</f>
        <v>#DIV/0!</v>
      </c>
      <c r="E65" s="249" t="e">
        <f>ComTotTME[[#This Row],[2023]]/ComTotTME[[#This Row],[2022]]-1</f>
        <v>#DIV/0!</v>
      </c>
      <c r="G65" s="129" t="s">
        <v>301</v>
      </c>
      <c r="H65" s="251" t="e">
        <f>(SUMIFS(AN_TME22[[#All],[TOTAL Truncated Unadjusted Expenses (A22 + A23)]],AN_TME22[[#All],[Insurance Category Code]],3,AN_TME22[[#All],[Advanced Network/Insurance Carrier Org ID]],100))/H41</f>
        <v>#DIV/0!</v>
      </c>
      <c r="I65" s="251" t="e">
        <f>(SUMIFS(AN_TME23[[#All],[TOTAL Truncated Unadjusted Expenses (A22 + A23)]],AN_TME23[[#All],[Insurance Category Code]],3,AN_TME23[[#All],[Advanced Network/Insurance Carrier Org ID]],100))/I41</f>
        <v>#DIV/0!</v>
      </c>
      <c r="J65" s="254" t="e">
        <f>ICC3TME[[#This Row],[2023]]/ICC3TME[[#This Row],[2022]]-1</f>
        <v>#DIV/0!</v>
      </c>
      <c r="L65" s="129" t="s">
        <v>301</v>
      </c>
      <c r="M65" s="251" t="e">
        <f>(SUMIFS(AN_TME22[[#All],[TOTAL Truncated Unadjusted Expenses (A22 + A23)]],AN_TME22[[#All],[Insurance Category Code]],4,AN_TME22[[#All],[Advanced Network/Insurance Carrier Org ID]],100))/M41</f>
        <v>#DIV/0!</v>
      </c>
      <c r="N65" s="251" t="e">
        <f>(SUMIFS(AN_TME23[[#All],[TOTAL Truncated Unadjusted Expenses (A22 + A23)]],AN_TME23[[#All],[Insurance Category Code]],4,AN_TME23[[#All],[Advanced Network/Insurance Carrier Org ID]],100))/N41</f>
        <v>#DIV/0!</v>
      </c>
      <c r="O65" s="249" t="e">
        <f>ICC4TME[[#This Row],[2023]]/ICC4TME[[#This Row],[2022]]-1</f>
        <v>#DIV/0!</v>
      </c>
    </row>
    <row r="66" spans="2:15" ht="30" x14ac:dyDescent="0.25">
      <c r="B66" s="132" t="s">
        <v>302</v>
      </c>
      <c r="C66" s="133" t="e">
        <f>(SUMPRODUCT(H66,H41)+SUMPRODUCT(M66,M41))/C41</f>
        <v>#DIV/0!</v>
      </c>
      <c r="D66" s="133" t="e">
        <f>(SUMPRODUCT(I66,I41)+SUMPRODUCT(N66,N41))/D41</f>
        <v>#DIV/0!</v>
      </c>
      <c r="E66" s="250" t="e">
        <f>ComTotTME[[#This Row],[2023]]/ComTotTME[[#This Row],[2022]]-1</f>
        <v>#DIV/0!</v>
      </c>
      <c r="G66" s="132" t="s">
        <v>302</v>
      </c>
      <c r="H66" s="252" t="e">
        <f>(SUMIFS(AN_TME22[[#All],[TOTAL Truncated Unadjusted Expenses (A22 + A23)]],AN_TME22[[#All],[Insurance Category Code]],3,AN_TME22[[#All],[Advanced Network/Insurance Carrier Org ID]],100)-ABS(SUMIF(RX_REBATES22[[#All],[Insurance Category Code]],3,RX_REBATES22[[#All],[Total Pharmacy Rebates]])))/H41</f>
        <v>#DIV/0!</v>
      </c>
      <c r="I66" s="252" t="e">
        <f>(SUMIFS(AN_TME23[[#All],[TOTAL Truncated Unadjusted Expenses (A22 + A23)]],AN_TME23[[#All],[Insurance Category Code]],3,AN_TME23[[#All],[Advanced Network/Insurance Carrier Org ID]],100)-ABS(SUMIF(RX_REBATES23[[#All],[Insurance Category Code]],3,RX_REBATES23[[#All],[Total Pharmacy Rebates]])))/I41</f>
        <v>#DIV/0!</v>
      </c>
      <c r="J66" s="254" t="e">
        <f>ICC3TME[[#This Row],[2023]]/ICC3TME[[#This Row],[2022]]-1</f>
        <v>#DIV/0!</v>
      </c>
      <c r="L66" s="132" t="s">
        <v>302</v>
      </c>
      <c r="M66" s="252" t="e">
        <f>(SUMIFS(AN_TME22[[#All],[TOTAL Truncated Unadjusted Expenses (A22 + A23)]],AN_TME22[[#All],[Insurance Category Code]],4,AN_TME22[[#All],[Advanced Network/Insurance Carrier Org ID]],100)-ABS(SUMIF(RX_REBATES22[[#All],[Insurance Category Code]],4,RX_REBATES22[[#All],[Total Pharmacy Rebates]])))/M41</f>
        <v>#DIV/0!</v>
      </c>
      <c r="N66" s="252" t="e">
        <f>(SUMIFS(AN_TME23[[#All],[TOTAL Truncated Unadjusted Expenses (A22 + A23)]],AN_TME23[[#All],[Insurance Category Code]],4,AN_TME23[[#All],[Advanced Network/Insurance Carrier Org ID]],100)-ABS(SUMIF(RX_REBATES23[[#All],[Insurance Category Code]],4,RX_REBATES23[[#All],[Total Pharmacy Rebates]])))/N41</f>
        <v>#DIV/0!</v>
      </c>
      <c r="O66" s="250" t="e">
        <f>ICC4TME[[#This Row],[2023]]/ICC4TME[[#This Row],[2022]]-1</f>
        <v>#DIV/0!</v>
      </c>
    </row>
    <row r="68" spans="2:15" ht="15.75" x14ac:dyDescent="0.25">
      <c r="B68" s="54" t="s">
        <v>303</v>
      </c>
      <c r="G68" s="54" t="s">
        <v>304</v>
      </c>
      <c r="L68" s="54" t="s">
        <v>305</v>
      </c>
    </row>
    <row r="69" spans="2:15" x14ac:dyDescent="0.25">
      <c r="B69" s="61" t="s">
        <v>292</v>
      </c>
      <c r="G69" s="61" t="s">
        <v>292</v>
      </c>
      <c r="L69" s="61" t="s">
        <v>292</v>
      </c>
    </row>
    <row r="70" spans="2:15" x14ac:dyDescent="0.25">
      <c r="B70" s="97" t="s">
        <v>293</v>
      </c>
      <c r="C70" s="98" t="s">
        <v>280</v>
      </c>
      <c r="D70" s="99" t="s">
        <v>431</v>
      </c>
      <c r="E70" s="99" t="s">
        <v>454</v>
      </c>
      <c r="G70" s="100" t="s">
        <v>293</v>
      </c>
      <c r="H70" s="101" t="s">
        <v>280</v>
      </c>
      <c r="I70" s="102" t="s">
        <v>431</v>
      </c>
      <c r="J70" s="102" t="s">
        <v>454</v>
      </c>
      <c r="L70" s="103" t="s">
        <v>293</v>
      </c>
      <c r="M70" s="104" t="s">
        <v>280</v>
      </c>
      <c r="N70" s="105" t="s">
        <v>431</v>
      </c>
      <c r="O70" s="105" t="s">
        <v>454</v>
      </c>
    </row>
    <row r="71" spans="2:15" x14ac:dyDescent="0.25">
      <c r="B71" s="80" t="s">
        <v>211</v>
      </c>
      <c r="C71" s="246">
        <f>SUM(H71,M71)</f>
        <v>0</v>
      </c>
      <c r="D71" s="246">
        <f>SUM(I71,N71)</f>
        <v>0</v>
      </c>
      <c r="E71" s="111" t="e">
        <f>MCareTotTME[[#This Row],[2023]]/MCareTotTME[[#This Row],[2022]]-1</f>
        <v>#DIV/0!</v>
      </c>
      <c r="G71" s="80" t="s">
        <v>211</v>
      </c>
      <c r="H71" s="114">
        <f>SUMIFS(AN_TME22[[#All],[Member Months]],AN_TME22[[#All],[Insurance Category Code]],1,AN_TME22[[#All],[Advanced Network/Insurance Carrier Org ID]],100)</f>
        <v>0</v>
      </c>
      <c r="I71" s="114">
        <f>SUMIFS(AN_TME23[[#All],[Member Months]],AN_TME23[[#All],[Insurance Category Code]],1,AN_TME23[[#All],[Advanced Network/Insurance Carrier Org ID]],100)</f>
        <v>0</v>
      </c>
      <c r="J71" s="411" t="e">
        <f>ICC1TME[[#This Row],[2023]]/ICC1TME[[#This Row],[2022]]-1</f>
        <v>#DIV/0!</v>
      </c>
      <c r="L71" s="80" t="s">
        <v>211</v>
      </c>
      <c r="M71" s="114">
        <f>SUMIFS(AN_TME22[[#All],[Member Months]],AN_TME22[[#All],[Insurance Category Code]],5,AN_TME22[[#All],[Advanced Network/Insurance Carrier Org ID]],100)</f>
        <v>0</v>
      </c>
      <c r="N71" s="114">
        <f>SUMIFS(AN_TME23[[#All],[Member Months]],AN_TME23[[#All],[Insurance Category Code]],5,AN_TME23[[#All],[Advanced Network/Insurance Carrier Org ID]],100)</f>
        <v>0</v>
      </c>
      <c r="O71" s="111" t="e">
        <f>ICC5TME[[#This Row],[2023]]/ICC5TME[[#This Row],[2022]]-1</f>
        <v>#DIV/0!</v>
      </c>
    </row>
    <row r="72" spans="2:15" x14ac:dyDescent="0.25">
      <c r="B72" s="80" t="s">
        <v>102</v>
      </c>
      <c r="C72" s="121" t="e">
        <f>(SUMPRODUCT(H72,H71)+SUMPRODUCT(M72,M71))/C71</f>
        <v>#DIV/0!</v>
      </c>
      <c r="D72" s="121" t="e">
        <f>(SUMPRODUCT(I72,I71)+SUMPRODUCT(N72,N71))/D71</f>
        <v>#DIV/0!</v>
      </c>
      <c r="E72" s="111" t="e">
        <f>MCareTotTME[[#This Row],[2023]]/MCareTotTME[[#This Row],[2022]]-1</f>
        <v>#DIV/0!</v>
      </c>
      <c r="G72" s="80" t="s">
        <v>102</v>
      </c>
      <c r="H72" s="121" t="e">
        <f>(SUMIFS(AN_TME22[[#All],[Claims: Hospital Inpatient]],AN_TME22[[#All],[Insurance Category Code]],1,AN_TME22[[#All],[Advanced Network/Insurance Carrier Org ID]],100))/H71</f>
        <v>#DIV/0!</v>
      </c>
      <c r="I72" s="121" t="e">
        <f>(SUMIFS(AN_TME23[[#All],[Claims: Hospital Inpatient]],AN_TME23[[#All],[Insurance Category Code]],1,AN_TME23[[#All],[Advanced Network/Insurance Carrier Org ID]],100))/I71</f>
        <v>#DIV/0!</v>
      </c>
      <c r="J72" s="412" t="e">
        <f>ICC1TME[[#This Row],[2023]]/ICC1TME[[#This Row],[2022]]-1</f>
        <v>#DIV/0!</v>
      </c>
      <c r="L72" s="80" t="s">
        <v>102</v>
      </c>
      <c r="M72" s="121" t="e">
        <f>(SUMIFS(AN_TME22[[#All],[Claims: Hospital Inpatient]],AN_TME22[[#All],[Insurance Category Code]],5,AN_TME22[[#All],[Advanced Network/Insurance Carrier Org ID]],100))/M71</f>
        <v>#DIV/0!</v>
      </c>
      <c r="N72" s="121" t="e">
        <f>(SUMIFS(AN_TME23[[#All],[Claims: Hospital Inpatient]],AN_TME23[[#All],[Insurance Category Code]],5,AN_TME23[[#All],[Advanced Network/Insurance Carrier Org ID]],100))/N71</f>
        <v>#DIV/0!</v>
      </c>
      <c r="O72" s="122" t="e">
        <f>ICC5TME[[#This Row],[2023]]/ICC5TME[[#This Row],[2022]]-1</f>
        <v>#DIV/0!</v>
      </c>
    </row>
    <row r="73" spans="2:15" x14ac:dyDescent="0.25">
      <c r="B73" s="80" t="s">
        <v>104</v>
      </c>
      <c r="C73" s="121" t="e">
        <f>(SUMPRODUCT(H73,H71)+SUMPRODUCT(M73,M71))/C71</f>
        <v>#DIV/0!</v>
      </c>
      <c r="D73" s="121" t="e">
        <f>(SUMPRODUCT(I73,I71)+SUMPRODUCT(N73,N71))/D71</f>
        <v>#DIV/0!</v>
      </c>
      <c r="E73" s="111" t="e">
        <f>MCareTotTME[[#This Row],[2023]]/MCareTotTME[[#This Row],[2022]]-1</f>
        <v>#DIV/0!</v>
      </c>
      <c r="G73" s="80" t="s">
        <v>104</v>
      </c>
      <c r="H73" s="121" t="e">
        <f>(SUMIFS(AN_TME22[[#All],[Claims: Hospital Outpatient]],AN_TME22[[#All],[Insurance Category Code]],1,AN_TME22[[#All],[Advanced Network/Insurance Carrier Org ID]],100))/H71</f>
        <v>#DIV/0!</v>
      </c>
      <c r="I73" s="121" t="e">
        <f>(SUMIFS(AN_TME23[[#All],[Claims: Hospital Outpatient]],AN_TME23[[#All],[Insurance Category Code]],1,AN_TME23[[#All],[Advanced Network/Insurance Carrier Org ID]],100))/I71</f>
        <v>#DIV/0!</v>
      </c>
      <c r="J73" s="412" t="e">
        <f>ICC1TME[[#This Row],[2023]]/ICC1TME[[#This Row],[2022]]-1</f>
        <v>#DIV/0!</v>
      </c>
      <c r="L73" s="80" t="s">
        <v>104</v>
      </c>
      <c r="M73" s="121" t="e">
        <f>(SUMIFS(AN_TME22[[#All],[Claims: Hospital Outpatient]],AN_TME22[[#All],[Insurance Category Code]],5,AN_TME22[[#All],[Advanced Network/Insurance Carrier Org ID]],100))/M71</f>
        <v>#DIV/0!</v>
      </c>
      <c r="N73" s="121" t="e">
        <f>(SUMIFS(AN_TME23[[#All],[Claims: Hospital Outpatient]],AN_TME23[[#All],[Insurance Category Code]],5,AN_TME23[[#All],[Advanced Network/Insurance Carrier Org ID]],100))/N71</f>
        <v>#DIV/0!</v>
      </c>
      <c r="O73" s="122" t="e">
        <f>ICC5TME[[#This Row],[2023]]/ICC5TME[[#This Row],[2022]]-1</f>
        <v>#DIV/0!</v>
      </c>
    </row>
    <row r="74" spans="2:15" x14ac:dyDescent="0.25">
      <c r="B74" s="80" t="s">
        <v>106</v>
      </c>
      <c r="C74" s="121" t="e">
        <f>(SUMPRODUCT(H74,H71)+SUMPRODUCT(M74,M71))/C71</f>
        <v>#DIV/0!</v>
      </c>
      <c r="D74" s="121" t="e">
        <f>(SUMPRODUCT(I74,I71)+SUMPRODUCT(N74,N71))/D71</f>
        <v>#DIV/0!</v>
      </c>
      <c r="E74" s="111" t="e">
        <f>MCareTotTME[[#This Row],[2023]]/MCareTotTME[[#This Row],[2022]]-1</f>
        <v>#DIV/0!</v>
      </c>
      <c r="G74" s="80" t="s">
        <v>106</v>
      </c>
      <c r="H74" s="121" t="e">
        <f>(SUMIFS(AN_TME22[[#All],[Claims: Professional, Primary Care]],AN_TME22[[#All],[Insurance Category Code]],1,AN_TME22[[#All],[Advanced Network/Insurance Carrier Org ID]],100))/H71</f>
        <v>#DIV/0!</v>
      </c>
      <c r="I74" s="121" t="e">
        <f>(SUMIFS(AN_TME23[[#All],[Claims: Professional, Primary Care]],AN_TME23[[#All],[Insurance Category Code]],1,AN_TME23[[#All],[Advanced Network/Insurance Carrier Org ID]],100))/I71</f>
        <v>#DIV/0!</v>
      </c>
      <c r="J74" s="412" t="e">
        <f>ICC1TME[[#This Row],[2023]]/ICC1TME[[#This Row],[2022]]-1</f>
        <v>#DIV/0!</v>
      </c>
      <c r="L74" s="80" t="s">
        <v>106</v>
      </c>
      <c r="M74" s="121" t="e">
        <f>(SUMIFS(AN_TME22[[#All],[Claims: Professional, Primary Care]],AN_TME22[[#All],[Insurance Category Code]],5,AN_TME22[[#All],[Advanced Network/Insurance Carrier Org ID]],100))/M71</f>
        <v>#DIV/0!</v>
      </c>
      <c r="N74" s="121" t="e">
        <f>(SUMIFS(AN_TME23[[#All],[Claims: Professional, Primary Care]],AN_TME23[[#All],[Insurance Category Code]],5,AN_TME23[[#All],[Advanced Network/Insurance Carrier Org ID]],100))/N71</f>
        <v>#DIV/0!</v>
      </c>
      <c r="O74" s="122" t="e">
        <f>ICC5TME[[#This Row],[2023]]/ICC5TME[[#This Row],[2022]]-1</f>
        <v>#DIV/0!</v>
      </c>
    </row>
    <row r="75" spans="2:15" ht="30" x14ac:dyDescent="0.25">
      <c r="B75" s="80" t="s">
        <v>107</v>
      </c>
      <c r="C75" s="121" t="e">
        <f>(SUMPRODUCT(H75,H71)+SUMPRODUCT(M75,M71))/C71</f>
        <v>#DIV/0!</v>
      </c>
      <c r="D75" s="121" t="e">
        <f>(SUMPRODUCT(I75,I71)+SUMPRODUCT(N75,N71))/D71</f>
        <v>#DIV/0!</v>
      </c>
      <c r="E75" s="111" t="e">
        <f>MCareTotTME[[#This Row],[2023]]/MCareTotTME[[#This Row],[2022]]-1</f>
        <v>#DIV/0!</v>
      </c>
      <c r="G75" s="80" t="s">
        <v>107</v>
      </c>
      <c r="H75" s="121" t="e">
        <f>(SUMIFS(AN_TME22[[#All],[Claims: Professional, Primary Care (for Monitoring Purposes)]],AN_TME22[[#All],[Insurance Category Code]],1,AN_TME22[[#All],[Advanced Network/Insurance Carrier Org ID]],100))/H71</f>
        <v>#DIV/0!</v>
      </c>
      <c r="I75" s="121" t="e">
        <f>(SUMIFS(AN_TME23[[#All],[Claims: Professional, Primary Care (for Monitoring Purposes)]],AN_TME23[[#All],[Insurance Category Code]],1,AN_TME23[[#All],[Advanced Network/Insurance Carrier Org ID]],100))/I71</f>
        <v>#DIV/0!</v>
      </c>
      <c r="J75" s="412" t="e">
        <f>ICC1TME[[#This Row],[2023]]/ICC1TME[[#This Row],[2022]]-1</f>
        <v>#DIV/0!</v>
      </c>
      <c r="L75" s="80" t="s">
        <v>107</v>
      </c>
      <c r="M75" s="121" t="e">
        <f>(SUMIFS(AN_TME22[[#All],[Claims: Professional, Primary Care (for Monitoring Purposes)]],AN_TME22[[#All],[Insurance Category Code]],5,AN_TME22[[#All],[Advanced Network/Insurance Carrier Org ID]],100))/M71</f>
        <v>#DIV/0!</v>
      </c>
      <c r="N75" s="121" t="e">
        <f>(SUMIFS(AN_TME23[[#All],[Claims: Professional, Primary Care (for Monitoring Purposes)]],AN_TME23[[#All],[Insurance Category Code]],5,AN_TME23[[#All],[Advanced Network/Insurance Carrier Org ID]],100))/N71</f>
        <v>#DIV/0!</v>
      </c>
      <c r="O75" s="122" t="e">
        <f>ICC5TME[[#This Row],[2023]]/ICC5TME[[#This Row],[2022]]-1</f>
        <v>#DIV/0!</v>
      </c>
    </row>
    <row r="76" spans="2:15" x14ac:dyDescent="0.25">
      <c r="B76" s="80" t="s">
        <v>108</v>
      </c>
      <c r="C76" s="121" t="e">
        <f>(SUMPRODUCT(H76,H71)+SUMPRODUCT(M76,M71))/C71</f>
        <v>#DIV/0!</v>
      </c>
      <c r="D76" s="121" t="e">
        <f>(SUMPRODUCT(I76,I71)+SUMPRODUCT(N76,N71))/D71</f>
        <v>#DIV/0!</v>
      </c>
      <c r="E76" s="111" t="e">
        <f>MCareTotTME[[#This Row],[2023]]/MCareTotTME[[#This Row],[2022]]-1</f>
        <v>#DIV/0!</v>
      </c>
      <c r="G76" s="80" t="s">
        <v>108</v>
      </c>
      <c r="H76" s="121" t="e">
        <f>(SUMIFS(AN_TME22[[#All],[Claims: Professional, Specialty]],AN_TME22[[#All],[Insurance Category Code]],1,AN_TME22[[#All],[Advanced Network/Insurance Carrier Org ID]],100))/H71</f>
        <v>#DIV/0!</v>
      </c>
      <c r="I76" s="121" t="e">
        <f>(SUMIFS(AN_TME23[[#All],[Claims: Professional, Specialty]],AN_TME23[[#All],[Insurance Category Code]],1,AN_TME23[[#All],[Advanced Network/Insurance Carrier Org ID]],100))/I71</f>
        <v>#DIV/0!</v>
      </c>
      <c r="J76" s="412" t="e">
        <f>ICC1TME[[#This Row],[2023]]/ICC1TME[[#This Row],[2022]]-1</f>
        <v>#DIV/0!</v>
      </c>
      <c r="L76" s="80" t="s">
        <v>108</v>
      </c>
      <c r="M76" s="121" t="e">
        <f>(SUMIFS(AN_TME22[[#All],[Claims: Professional, Specialty]],AN_TME22[[#All],[Insurance Category Code]],5,AN_TME22[[#All],[Advanced Network/Insurance Carrier Org ID]],100))/M71</f>
        <v>#DIV/0!</v>
      </c>
      <c r="N76" s="121" t="e">
        <f>(SUMIFS(AN_TME23[[#All],[Claims: Professional, Specialty]],AN_TME23[[#All],[Insurance Category Code]],5,AN_TME23[[#All],[Advanced Network/Insurance Carrier Org ID]],100))/N71</f>
        <v>#DIV/0!</v>
      </c>
      <c r="O76" s="122" t="e">
        <f>ICC5TME[[#This Row],[2023]]/ICC5TME[[#This Row],[2022]]-1</f>
        <v>#DIV/0!</v>
      </c>
    </row>
    <row r="77" spans="2:15" x14ac:dyDescent="0.25">
      <c r="B77" s="80" t="s">
        <v>109</v>
      </c>
      <c r="C77" s="121" t="e">
        <f>(SUMPRODUCT(H77,H71)+SUMPRODUCT(M77,M71))/C71</f>
        <v>#DIV/0!</v>
      </c>
      <c r="D77" s="121" t="e">
        <f>(SUMPRODUCT(I77,I71)+SUMPRODUCT(N77,N71))/D71</f>
        <v>#DIV/0!</v>
      </c>
      <c r="E77" s="111" t="e">
        <f>MCareTotTME[[#This Row],[2023]]/MCareTotTME[[#This Row],[2022]]-1</f>
        <v>#DIV/0!</v>
      </c>
      <c r="G77" s="80" t="s">
        <v>109</v>
      </c>
      <c r="H77" s="121" t="e">
        <f>(SUMIFS(AN_TME22[[#All],[Claims: Professional Other]],AN_TME22[[#All],[Insurance Category Code]],1,AN_TME22[[#All],[Advanced Network/Insurance Carrier Org ID]],100))/H71</f>
        <v>#DIV/0!</v>
      </c>
      <c r="I77" s="121" t="e">
        <f>(SUMIFS(AN_TME23[[#All],[Claims: Professional Other]],AN_TME23[[#All],[Insurance Category Code]],1,AN_TME23[[#All],[Advanced Network/Insurance Carrier Org ID]],100))/I71</f>
        <v>#DIV/0!</v>
      </c>
      <c r="J77" s="412" t="e">
        <f>ICC1TME[[#This Row],[2023]]/ICC1TME[[#This Row],[2022]]-1</f>
        <v>#DIV/0!</v>
      </c>
      <c r="L77" s="80" t="s">
        <v>109</v>
      </c>
      <c r="M77" s="121" t="e">
        <f>(SUMIFS(AN_TME22[[#All],[Claims: Professional Other]],AN_TME22[[#All],[Insurance Category Code]],5,AN_TME22[[#All],[Advanced Network/Insurance Carrier Org ID]],100))/M71</f>
        <v>#DIV/0!</v>
      </c>
      <c r="N77" s="121" t="e">
        <f>(SUMIFS(AN_TME23[[#All],[Claims: Professional Other]],AN_TME23[[#All],[Insurance Category Code]],5,AN_TME23[[#All],[Advanced Network/Insurance Carrier Org ID]],100))/N71</f>
        <v>#DIV/0!</v>
      </c>
      <c r="O77" s="122" t="e">
        <f>ICC5TME[[#This Row],[2023]]/ICC5TME[[#This Row],[2022]]-1</f>
        <v>#DIV/0!</v>
      </c>
    </row>
    <row r="78" spans="2:15" ht="30" x14ac:dyDescent="0.25">
      <c r="B78" s="80" t="s">
        <v>294</v>
      </c>
      <c r="C78" s="121" t="e">
        <f>(SUMPRODUCT(H78,H71)+SUMPRODUCT(M78,M71))/C71</f>
        <v>#DIV/0!</v>
      </c>
      <c r="D78" s="121" t="e">
        <f>(SUMPRODUCT(I78,I71)+SUMPRODUCT(N78,N71))/D71</f>
        <v>#DIV/0!</v>
      </c>
      <c r="E78" s="111" t="e">
        <f>MCareTotTME[[#This Row],[2023]]/MCareTotTME[[#This Row],[2022]]-1</f>
        <v>#DIV/0!</v>
      </c>
      <c r="G78" s="80" t="s">
        <v>294</v>
      </c>
      <c r="H78" s="121" t="e">
        <f>(SUMIFS(AN_TME22[[#All],[Claims: Pharmacy]],AN_TME22[[#All],[Insurance Category Code]],1,AN_TME22[[#All],[Advanced Network/Insurance Carrier Org ID]],100))/H71</f>
        <v>#DIV/0!</v>
      </c>
      <c r="I78" s="121" t="e">
        <f>(SUMIFS(AN_TME23[[#All],[Claims: Pharmacy]],AN_TME23[[#All],[Insurance Category Code]],1,AN_TME23[[#All],[Advanced Network/Insurance Carrier Org ID]],100))/I71</f>
        <v>#DIV/0!</v>
      </c>
      <c r="J78" s="412" t="e">
        <f>ICC1TME[[#This Row],[2023]]/ICC1TME[[#This Row],[2022]]-1</f>
        <v>#DIV/0!</v>
      </c>
      <c r="L78" s="80" t="s">
        <v>294</v>
      </c>
      <c r="M78" s="121" t="e">
        <f>(SUMIFS(AN_TME22[[#All],[Claims: Pharmacy]],AN_TME22[[#All],[Insurance Category Code]],5,AN_TME22[[#All],[Advanced Network/Insurance Carrier Org ID]],100))/M71</f>
        <v>#DIV/0!</v>
      </c>
      <c r="N78" s="121" t="e">
        <f>(SUMIFS(AN_TME23[[#All],[Claims: Pharmacy]],AN_TME23[[#All],[Insurance Category Code]],5,AN_TME23[[#All],[Advanced Network/Insurance Carrier Org ID]],100))/N71</f>
        <v>#DIV/0!</v>
      </c>
      <c r="O78" s="122" t="e">
        <f>ICC5TME[[#This Row],[2023]]/ICC5TME[[#This Row],[2022]]-1</f>
        <v>#DIV/0!</v>
      </c>
    </row>
    <row r="79" spans="2:15" ht="30" x14ac:dyDescent="0.25">
      <c r="B79" s="127" t="s">
        <v>295</v>
      </c>
      <c r="C79" s="121" t="e">
        <f>(SUMPRODUCT(H79,H71)+SUMPRODUCT(M79,M71))/C71</f>
        <v>#DIV/0!</v>
      </c>
      <c r="D79" s="121" t="e">
        <f>(SUMPRODUCT(I79,I71)+SUMPRODUCT(N79,N71))/D71</f>
        <v>#DIV/0!</v>
      </c>
      <c r="E79" s="111" t="e">
        <f>MCareTotTME[[#This Row],[2023]]/MCareTotTME[[#This Row],[2022]]-1</f>
        <v>#DIV/0!</v>
      </c>
      <c r="G79" s="127" t="s">
        <v>295</v>
      </c>
      <c r="H79" s="121" t="e">
        <f>(SUMIFS(AN_TME22[[#All],[Claims: Pharmacy]],AN_TME22[[#All],[Insurance Category Code]],1,AN_TME22[[#All],[Advanced Network/Insurance Carrier Org ID]],100)-ABS(SUMIF(RX_REBATES22[[#All],[Insurance Category Code]],1,RX_REBATES22[[#All],[Retail Pharmacy Rebates]])))/H71</f>
        <v>#DIV/0!</v>
      </c>
      <c r="I79" s="121" t="e">
        <f>(SUMIFS(AN_TME23[[#All],[Claims: Pharmacy]],AN_TME23[[#All],[Insurance Category Code]],1,AN_TME23[[#All],[Advanced Network/Insurance Carrier Org ID]],100)-ABS(SUMIF(RX_REBATES23[[#All],[Insurance Category Code]],1,RX_REBATES23[[#All],[Retail Pharmacy Rebates]])))/I71</f>
        <v>#DIV/0!</v>
      </c>
      <c r="J79" s="412" t="e">
        <f>ICC1TME[[#This Row],[2023]]/ICC1TME[[#This Row],[2022]]-1</f>
        <v>#DIV/0!</v>
      </c>
      <c r="L79" s="127" t="s">
        <v>295</v>
      </c>
      <c r="M79" s="121" t="e">
        <f>(SUMIFS(AN_TME22[[#All],[Claims: Pharmacy]],AN_TME22[[#All],[Insurance Category Code]],5,AN_TME22[[#All],[Advanced Network/Insurance Carrier Org ID]],100)-ABS(SUMIF(RX_REBATES22[[#All],[Insurance Category Code]],5,RX_REBATES22[[#All],[Retail Pharmacy Rebates]])))/M71</f>
        <v>#DIV/0!</v>
      </c>
      <c r="N79" s="121" t="e">
        <f>(SUMIFS(AN_TME23[[#All],[Claims: Pharmacy]],AN_TME23[[#All],[Insurance Category Code]],5,AN_TME23[[#All],[Advanced Network/Insurance Carrier Org ID]],100)-ABS(SUMIF(RX_REBATES23[[#All],[Insurance Category Code]],5,RX_REBATES23[[#All],[Retail Pharmacy Rebates]])))/N71</f>
        <v>#DIV/0!</v>
      </c>
      <c r="O79" s="122" t="e">
        <f>ICC5TME[[#This Row],[2023]]/ICC5TME[[#This Row],[2022]]-1</f>
        <v>#DIV/0!</v>
      </c>
    </row>
    <row r="80" spans="2:15" x14ac:dyDescent="0.25">
      <c r="B80" s="127" t="s">
        <v>136</v>
      </c>
      <c r="C80" s="121" t="e">
        <f>(SUMPRODUCT(H80,H71)+SUMPRODUCT(M80,M71))/C71</f>
        <v>#DIV/0!</v>
      </c>
      <c r="D80" s="121" t="e">
        <f>(SUMPRODUCT(I80,I71)+SUMPRODUCT(N80,N71))/D71</f>
        <v>#DIV/0!</v>
      </c>
      <c r="E80" s="111" t="e">
        <f>MCareTotTME[[#This Row],[2023]]/MCareTotTME[[#This Row],[2022]]-1</f>
        <v>#DIV/0!</v>
      </c>
      <c r="G80" s="127" t="s">
        <v>136</v>
      </c>
      <c r="H80" s="121" t="e">
        <f>(-ABS(SUMIF(RX_REBATES22[[#All],[Insurance Category Code]],1,RX_REBATES22[[#All],[Retail Pharmacy Rebates]])))/H71</f>
        <v>#DIV/0!</v>
      </c>
      <c r="I80" s="121" t="e">
        <f>(-ABS(SUMIF(RX_REBATES23[[#All],[Insurance Category Code]],1,RX_REBATES23[[#All],[Retail Pharmacy Rebates]])))/I71</f>
        <v>#DIV/0!</v>
      </c>
      <c r="J80" s="412" t="e">
        <f>ICC1TME[[#This Row],[2023]]/ICC1TME[[#This Row],[2022]]-1</f>
        <v>#DIV/0!</v>
      </c>
      <c r="L80" s="127" t="s">
        <v>136</v>
      </c>
      <c r="M80" s="121" t="e">
        <f>(-ABS(SUMIF(RX_REBATES22[[#All],[Insurance Category Code]],5,RX_REBATES22[[#All],[Retail Pharmacy Rebates]])))/M71</f>
        <v>#DIV/0!</v>
      </c>
      <c r="N80" s="121" t="e">
        <f>(-ABS(SUMIF(RX_REBATES23[[#All],[Insurance Category Code]],5,RX_REBATES23[[#All],[Retail Pharmacy Rebates]])))/N71</f>
        <v>#DIV/0!</v>
      </c>
      <c r="O80" s="111" t="e">
        <f>ICC5TME[[#This Row],[2023]]/ICC5TME[[#This Row],[2022]]-1</f>
        <v>#DIV/0!</v>
      </c>
    </row>
    <row r="81" spans="2:15" x14ac:dyDescent="0.25">
      <c r="B81" s="80" t="s">
        <v>113</v>
      </c>
      <c r="C81" s="121" t="e">
        <f>(SUMPRODUCT(H81,H71)+SUMPRODUCT(M81,M71))/C71</f>
        <v>#DIV/0!</v>
      </c>
      <c r="D81" s="121" t="e">
        <f>(SUMPRODUCT(I81,I71)+SUMPRODUCT(N81,N71))/D71</f>
        <v>#DIV/0!</v>
      </c>
      <c r="E81" s="111" t="e">
        <f>MCareTotTME[[#This Row],[2023]]/MCareTotTME[[#This Row],[2022]]-1</f>
        <v>#DIV/0!</v>
      </c>
      <c r="G81" s="80" t="s">
        <v>113</v>
      </c>
      <c r="H81" s="121" t="e">
        <f>(SUMIFS(AN_TME22[[#All],[Claims: Long-Term Care]],AN_TME22[[#All],[Insurance Category Code]],1,AN_TME22[[#All],[Advanced Network/Insurance Carrier Org ID]],100))/H71</f>
        <v>#DIV/0!</v>
      </c>
      <c r="I81" s="121" t="e">
        <f>(SUMIFS(AN_TME23[[#All],[Claims: Long-Term Care]],AN_TME23[[#All],[Insurance Category Code]],1,AN_TME23[[#All],[Advanced Network/Insurance Carrier Org ID]],100))/I71</f>
        <v>#DIV/0!</v>
      </c>
      <c r="J81" s="412" t="e">
        <f>ICC1TME[[#This Row],[2023]]/ICC1TME[[#This Row],[2022]]-1</f>
        <v>#DIV/0!</v>
      </c>
      <c r="L81" s="80" t="s">
        <v>113</v>
      </c>
      <c r="M81" s="121" t="e">
        <f>(SUMIFS(AN_TME22[[#All],[Claims: Long-Term Care]],AN_TME22[[#All],[Insurance Category Code]],5,AN_TME22[[#All],[Advanced Network/Insurance Carrier Org ID]],100))/M71</f>
        <v>#DIV/0!</v>
      </c>
      <c r="N81" s="121" t="e">
        <f>(SUMIFS(AN_TME23[[#All],[Claims: Long-Term Care]],AN_TME23[[#All],[Insurance Category Code]],5,AN_TME23[[#All],[Advanced Network/Insurance Carrier Org ID]],100))/N71</f>
        <v>#DIV/0!</v>
      </c>
      <c r="O81" s="122" t="e">
        <f>ICC5TME[[#This Row],[2023]]/ICC5TME[[#This Row],[2022]]-1</f>
        <v>#DIV/0!</v>
      </c>
    </row>
    <row r="82" spans="2:15" x14ac:dyDescent="0.25">
      <c r="B82" s="80" t="s">
        <v>115</v>
      </c>
      <c r="C82" s="121" t="e">
        <f>(SUMPRODUCT(H82,H71)+SUMPRODUCT(M82,M71))/C71</f>
        <v>#DIV/0!</v>
      </c>
      <c r="D82" s="121" t="e">
        <f>(SUMPRODUCT(I82,I71)+SUMPRODUCT(N82,N71))/D71</f>
        <v>#DIV/0!</v>
      </c>
      <c r="E82" s="111" t="e">
        <f>MCareTotTME[[#This Row],[2023]]/MCareTotTME[[#This Row],[2022]]-1</f>
        <v>#DIV/0!</v>
      </c>
      <c r="G82" s="80" t="s">
        <v>115</v>
      </c>
      <c r="H82" s="121" t="e">
        <f>(SUMIFS(AN_TME22[[#All],[Claims: Other]],AN_TME22[[#All],[Insurance Category Code]],1,AN_TME22[[#All],[Advanced Network/Insurance Carrier Org ID]],100))/H71</f>
        <v>#DIV/0!</v>
      </c>
      <c r="I82" s="121" t="e">
        <f>(SUMIFS(AN_TME23[[#All],[Claims: Other]],AN_TME23[[#All],[Insurance Category Code]],1,AN_TME23[[#All],[Advanced Network/Insurance Carrier Org ID]],100))/I71</f>
        <v>#DIV/0!</v>
      </c>
      <c r="J82" s="412" t="e">
        <f>ICC1TME[[#This Row],[2023]]/ICC1TME[[#This Row],[2022]]-1</f>
        <v>#DIV/0!</v>
      </c>
      <c r="L82" s="80" t="s">
        <v>115</v>
      </c>
      <c r="M82" s="121" t="e">
        <f>(SUMIFS(AN_TME22[[#All],[Claims: Other]],AN_TME22[[#All],[Insurance Category Code]],5,AN_TME22[[#All],[Advanced Network/Insurance Carrier Org ID]],100))/M71</f>
        <v>#DIV/0!</v>
      </c>
      <c r="N82" s="121" t="e">
        <f>(SUMIFS(AN_TME23[[#All],[Claims: Other]],AN_TME23[[#All],[Insurance Category Code]],5,AN_TME23[[#All],[Advanced Network/Insurance Carrier Org ID]],100))/N71</f>
        <v>#DIV/0!</v>
      </c>
      <c r="O82" s="122" t="e">
        <f>ICC5TME[[#This Row],[2023]]/ICC5TME[[#This Row],[2022]]-1</f>
        <v>#DIV/0!</v>
      </c>
    </row>
    <row r="83" spans="2:15" ht="30" x14ac:dyDescent="0.25">
      <c r="B83" s="123" t="s">
        <v>296</v>
      </c>
      <c r="C83" s="124" t="e">
        <f>(SUMPRODUCT(H83,H71)+SUMPRODUCT(M83,M71))/C71</f>
        <v>#DIV/0!</v>
      </c>
      <c r="D83" s="124" t="e">
        <f>(SUMPRODUCT(I83,I71)+SUMPRODUCT(N83,N71))/D71</f>
        <v>#DIV/0!</v>
      </c>
      <c r="E83" s="125" t="e">
        <f>MCareTotTME[[#This Row],[2023]]/MCareTotTME[[#This Row],[2022]]-1</f>
        <v>#DIV/0!</v>
      </c>
      <c r="G83" s="123" t="s">
        <v>296</v>
      </c>
      <c r="H83" s="124" t="e">
        <f>(SUMIFS(AN_TME22[[#All],[TOTAL Non-Truncated Unadjusted Claims Expenses]],AN_TME22[[#All],[Insurance Category Code]],1,AN_TME22[[#All],[Advanced Network/Insurance Carrier Org ID]],100))/H71</f>
        <v>#DIV/0!</v>
      </c>
      <c r="I83" s="124" t="e">
        <f>(SUMIFS(AN_TME23[[#All],[TOTAL Non-Truncated Unadjusted Claims Expenses]],AN_TME23[[#All],[Insurance Category Code]],1,AN_TME23[[#All],[Advanced Network/Insurance Carrier Org ID]],100))/I71</f>
        <v>#DIV/0!</v>
      </c>
      <c r="J83" s="413" t="e">
        <f>ICC1TME[[#This Row],[2023]]/ICC1TME[[#This Row],[2022]]-1</f>
        <v>#DIV/0!</v>
      </c>
      <c r="L83" s="123" t="s">
        <v>296</v>
      </c>
      <c r="M83" s="124" t="e">
        <f>(SUMIFS(AN_TME22[[#All],[TOTAL Non-Truncated Unadjusted Claims Expenses]],AN_TME22[[#All],[Insurance Category Code]],5,AN_TME22[[#All],[Advanced Network/Insurance Carrier Org ID]],100))/M71</f>
        <v>#DIV/0!</v>
      </c>
      <c r="N83" s="124" t="e">
        <f>(SUMIFS(AN_TME23[[#All],[TOTAL Non-Truncated Unadjusted Claims Expenses]],AN_TME23[[#All],[Insurance Category Code]],5,AN_TME23[[#All],[Advanced Network/Insurance Carrier Org ID]],100))/N71</f>
        <v>#DIV/0!</v>
      </c>
      <c r="O83" s="125" t="e">
        <f>ICC5TME[[#This Row],[2023]]/ICC5TME[[#This Row],[2022]]-1</f>
        <v>#DIV/0!</v>
      </c>
    </row>
    <row r="84" spans="2:15" x14ac:dyDescent="0.25">
      <c r="B84" s="123" t="s">
        <v>297</v>
      </c>
      <c r="C84" s="124" t="e">
        <f>(SUMPRODUCT(H84,H71)+SUMPRODUCT(M84,M71))/C71</f>
        <v>#DIV/0!</v>
      </c>
      <c r="D84" s="124" t="e">
        <f>(SUMPRODUCT(I84,I71)+SUMPRODUCT(N84,N71))/D71</f>
        <v>#DIV/0!</v>
      </c>
      <c r="E84" s="125" t="e">
        <f>MCareTotTME[[#This Row],[2023]]/MCareTotTME[[#This Row],[2022]]-1</f>
        <v>#DIV/0!</v>
      </c>
      <c r="G84" s="123" t="s">
        <v>297</v>
      </c>
      <c r="H84" s="124" t="e">
        <f>(SUMIFS(AN_TME22[[#All],[TOTAL Truncated Unadjusted Claims Expenses (A21 -A19)]],AN_TME22[[#All],[Insurance Category Code]],1,AN_TME22[[#All],[Advanced Network/Insurance Carrier Org ID]],100))/H71</f>
        <v>#DIV/0!</v>
      </c>
      <c r="I84" s="124" t="e">
        <f>(SUMIFS(AN_TME23[[#All],[TOTAL Truncated Unadjusted Claims Expenses (A21 -A19)]],AN_TME23[[#All],[Insurance Category Code]],1,AN_TME23[[#All],[Advanced Network/Insurance Carrier Org ID]],100))/I71</f>
        <v>#DIV/0!</v>
      </c>
      <c r="J84" s="413" t="e">
        <f>ICC1TME[[#This Row],[2023]]/ICC1TME[[#This Row],[2022]]-1</f>
        <v>#DIV/0!</v>
      </c>
      <c r="L84" s="123" t="s">
        <v>297</v>
      </c>
      <c r="M84" s="124" t="e">
        <f>(SUMIFS(AN_TME22[[#All],[TOTAL Truncated Unadjusted Claims Expenses (A21 -A19)]],AN_TME22[[#All],[Insurance Category Code]],5,AN_TME22[[#All],[Advanced Network/Insurance Carrier Org ID]],100))/M71</f>
        <v>#DIV/0!</v>
      </c>
      <c r="N84" s="124" t="e">
        <f>(SUMIFS(AN_TME23[[#All],[TOTAL Truncated Unadjusted Claims Expenses (A21 -A19)]],AN_TME23[[#All],[Insurance Category Code]],5,AN_TME23[[#All],[Advanced Network/Insurance Carrier Org ID]],100))/N71</f>
        <v>#DIV/0!</v>
      </c>
      <c r="O84" s="125" t="e">
        <f>ICC5TME[[#This Row],[2023]]/ICC5TME[[#This Row],[2022]]-1</f>
        <v>#DIV/0!</v>
      </c>
    </row>
    <row r="85" spans="2:15" ht="75" x14ac:dyDescent="0.25">
      <c r="B85" s="80" t="s">
        <v>116</v>
      </c>
      <c r="C85" s="121" t="e">
        <f>(SUMPRODUCT(H85,H71)+SUMPRODUCT(M85,M71))/C71</f>
        <v>#DIV/0!</v>
      </c>
      <c r="D85" s="121" t="e">
        <f>(SUMPRODUCT(I85,I71)+SUMPRODUCT(N85,N71))/D71</f>
        <v>#DIV/0!</v>
      </c>
      <c r="E85" s="111" t="e">
        <f>MCareTotTME[[#This Row],[2023]]/MCareTotTME[[#This Row],[2022]]-1</f>
        <v>#DIV/0!</v>
      </c>
      <c r="G85" s="80" t="s">
        <v>116</v>
      </c>
      <c r="H85" s="121" t="e">
        <f>(SUMIFS(AN_TME22[[#All],[Non-Claims: Prospective Capitated, Prospective Global Budget, Prospective Case Rate, or Prospective Episode-Based Payments]],AN_TME22[[#All],[Insurance Category Code]],1,AN_TME22[[#All],[Advanced Network/Insurance Carrier Org ID]],100))/H71</f>
        <v>#DIV/0!</v>
      </c>
      <c r="I85" s="121" t="e">
        <f>(SUMIFS(AN_TME23[[#All],[Non-Claims: Prospective Capitated, Prospective Global Budget, Prospective Case Rate, or Prospective Episode-Based Payments]],AN_TME23[[#All],[Insurance Category Code]],1,AN_TME23[[#All],[Advanced Network/Insurance Carrier Org ID]],100))/I71</f>
        <v>#DIV/0!</v>
      </c>
      <c r="J85" s="412" t="e">
        <f>ICC1TME[[#This Row],[2023]]/ICC1TME[[#This Row],[2022]]-1</f>
        <v>#DIV/0!</v>
      </c>
      <c r="L85" s="80" t="s">
        <v>116</v>
      </c>
      <c r="M85" s="121" t="e">
        <f>(SUMIFS(AN_TME22[[#All],[Non-Claims: Prospective Capitated, Prospective Global Budget, Prospective Case Rate, or Prospective Episode-Based Payments]],AN_TME22[[#All],[Insurance Category Code]],5,AN_TME22[[#All],[Advanced Network/Insurance Carrier Org ID]],100))/M71</f>
        <v>#DIV/0!</v>
      </c>
      <c r="N85" s="121" t="e">
        <f>(SUMIFS(AN_TME23[[#All],[Non-Claims: Prospective Capitated, Prospective Global Budget, Prospective Case Rate, or Prospective Episode-Based Payments]],AN_TME23[[#All],[Insurance Category Code]],5,AN_TME23[[#All],[Advanced Network/Insurance Carrier Org ID]],100))/N71</f>
        <v>#DIV/0!</v>
      </c>
      <c r="O85" s="122" t="e">
        <f>ICC5TME[[#This Row],[2023]]/ICC5TME[[#This Row],[2022]]-1</f>
        <v>#DIV/0!</v>
      </c>
    </row>
    <row r="86" spans="2:15" ht="30" x14ac:dyDescent="0.25">
      <c r="B86" s="80" t="s">
        <v>118</v>
      </c>
      <c r="C86" s="121" t="e">
        <f>(SUMPRODUCT(H86,H71)+SUMPRODUCT(M86,M71))/C71</f>
        <v>#DIV/0!</v>
      </c>
      <c r="D86" s="121" t="e">
        <f>(SUMPRODUCT(I86,I71)+SUMPRODUCT(N86,N71))/D71</f>
        <v>#DIV/0!</v>
      </c>
      <c r="E86" s="111" t="e">
        <f>MCareTotTME[[#This Row],[2023]]/MCareTotTME[[#This Row],[2022]]-1</f>
        <v>#DIV/0!</v>
      </c>
      <c r="G86" s="80" t="s">
        <v>118</v>
      </c>
      <c r="H86" s="121" t="e">
        <f>(SUMIFS(AN_TME22[[#All],[Non-Claims: Performance Incentive Payments]],AN_TME22[[#All],[Insurance Category Code]],1,AN_TME22[[#All],[Advanced Network/Insurance Carrier Org ID]],100))/H71</f>
        <v>#DIV/0!</v>
      </c>
      <c r="I86" s="121" t="e">
        <f>(SUMIFS(AN_TME23[[#All],[Non-Claims: Performance Incentive Payments]],AN_TME23[[#All],[Insurance Category Code]],1,AN_TME23[[#All],[Advanced Network/Insurance Carrier Org ID]],100))/I71</f>
        <v>#DIV/0!</v>
      </c>
      <c r="J86" s="412" t="e">
        <f>ICC1TME[[#This Row],[2023]]/ICC1TME[[#This Row],[2022]]-1</f>
        <v>#DIV/0!</v>
      </c>
      <c r="L86" s="80" t="s">
        <v>118</v>
      </c>
      <c r="M86" s="121" t="e">
        <f>(SUMIFS(AN_TME22[[#All],[Non-Claims: Performance Incentive Payments]],AN_TME22[[#All],[Insurance Category Code]],5,AN_TME22[[#All],[Advanced Network/Insurance Carrier Org ID]],100))/M71</f>
        <v>#DIV/0!</v>
      </c>
      <c r="N86" s="121" t="e">
        <f>(SUMIFS(AN_TME23[[#All],[Non-Claims: Performance Incentive Payments]],AN_TME23[[#All],[Insurance Category Code]],5,AN_TME23[[#All],[Advanced Network/Insurance Carrier Org ID]],100))/N71</f>
        <v>#DIV/0!</v>
      </c>
      <c r="O86" s="122" t="e">
        <f>ICC5TME[[#This Row],[2023]]/ICC5TME[[#This Row],[2022]]-1</f>
        <v>#DIV/0!</v>
      </c>
    </row>
    <row r="87" spans="2:15" ht="45" x14ac:dyDescent="0.25">
      <c r="B87" s="80" t="s">
        <v>120</v>
      </c>
      <c r="C87" s="121" t="e">
        <f>(SUMPRODUCT(H87,H71)+SUMPRODUCT(M87,M71))/C71</f>
        <v>#DIV/0!</v>
      </c>
      <c r="D87" s="121" t="e">
        <f>(SUMPRODUCT(I87,I71)+SUMPRODUCT(N87,N71))/D71</f>
        <v>#DIV/0!</v>
      </c>
      <c r="E87" s="111" t="e">
        <f>MCareTotTME[[#This Row],[2023]]/MCareTotTME[[#This Row],[2022]]-1</f>
        <v>#DIV/0!</v>
      </c>
      <c r="G87" s="80" t="s">
        <v>120</v>
      </c>
      <c r="H87" s="121" t="e">
        <f>(SUMIFS(AN_TME22[[#All],[Non-Claims: Payments to Support Population Health and Practice Infrastructure]],AN_TME22[[#All],[Insurance Category Code]],1,AN_TME22[[#All],[Advanced Network/Insurance Carrier Org ID]],100))/H71</f>
        <v>#DIV/0!</v>
      </c>
      <c r="I87" s="121" t="e">
        <f>(SUMIFS(AN_TME23[[#All],[Non-Claims: Payments to Support Population Health and Practice Infrastructure]],AN_TME23[[#All],[Insurance Category Code]],1,AN_TME23[[#All],[Advanced Network/Insurance Carrier Org ID]],100))/I71</f>
        <v>#DIV/0!</v>
      </c>
      <c r="J87" s="412" t="e">
        <f>ICC1TME[[#This Row],[2023]]/ICC1TME[[#This Row],[2022]]-1</f>
        <v>#DIV/0!</v>
      </c>
      <c r="L87" s="80" t="s">
        <v>120</v>
      </c>
      <c r="M87" s="121" t="e">
        <f>(SUMIFS(AN_TME22[[#All],[Non-Claims: Payments to Support Population Health and Practice Infrastructure]],AN_TME22[[#All],[Insurance Category Code]],5,AN_TME22[[#All],[Advanced Network/Insurance Carrier Org ID]],100))/M71</f>
        <v>#DIV/0!</v>
      </c>
      <c r="N87" s="121" t="e">
        <f>(SUMIFS(AN_TME23[[#All],[Non-Claims: Payments to Support Population Health and Practice Infrastructure]],AN_TME23[[#All],[Insurance Category Code]],5,AN_TME23[[#All],[Advanced Network/Insurance Carrier Org ID]],100))/N71</f>
        <v>#DIV/0!</v>
      </c>
      <c r="O87" s="122" t="e">
        <f>ICC5TME[[#This Row],[2023]]/ICC5TME[[#This Row],[2022]]-1</f>
        <v>#DIV/0!</v>
      </c>
    </row>
    <row r="88" spans="2:15" x14ac:dyDescent="0.25">
      <c r="B88" s="80" t="s">
        <v>122</v>
      </c>
      <c r="C88" s="121" t="e">
        <f>(SUMPRODUCT(H88,H71)+SUMPRODUCT(M88,M71))/C71</f>
        <v>#DIV/0!</v>
      </c>
      <c r="D88" s="121" t="e">
        <f>(SUMPRODUCT(I88,I71)+SUMPRODUCT(N88,N71))/D71</f>
        <v>#DIV/0!</v>
      </c>
      <c r="E88" s="111" t="e">
        <f>MCareTotTME[[#This Row],[2023]]/MCareTotTME[[#This Row],[2022]]-1</f>
        <v>#DIV/0!</v>
      </c>
      <c r="G88" s="80" t="s">
        <v>122</v>
      </c>
      <c r="H88" s="121" t="e">
        <f>(SUMIFS(AN_TME22[[#All],[Non-Claims: Provider Salaries]],AN_TME22[[#All],[Insurance Category Code]],1,AN_TME22[[#All],[Advanced Network/Insurance Carrier Org ID]],100))/H71</f>
        <v>#DIV/0!</v>
      </c>
      <c r="I88" s="121" t="e">
        <f>(SUMIFS(AN_TME23[[#All],[Non-Claims: Provider Salaries]],AN_TME23[[#All],[Insurance Category Code]],1,AN_TME23[[#All],[Advanced Network/Insurance Carrier Org ID]],100))/I71</f>
        <v>#DIV/0!</v>
      </c>
      <c r="J88" s="412" t="e">
        <f>ICC1TME[[#This Row],[2023]]/ICC1TME[[#This Row],[2022]]-1</f>
        <v>#DIV/0!</v>
      </c>
      <c r="L88" s="80" t="s">
        <v>122</v>
      </c>
      <c r="M88" s="121" t="e">
        <f>(SUMIFS(AN_TME22[[#All],[Non-Claims: Provider Salaries]],AN_TME22[[#All],[Insurance Category Code]],5,AN_TME22[[#All],[Advanced Network/Insurance Carrier Org ID]],100))/M71</f>
        <v>#DIV/0!</v>
      </c>
      <c r="N88" s="121" t="e">
        <f>(SUMIFS(AN_TME23[[#All],[Non-Claims: Provider Salaries]],AN_TME23[[#All],[Insurance Category Code]],5,AN_TME23[[#All],[Advanced Network/Insurance Carrier Org ID]],100))/N71</f>
        <v>#DIV/0!</v>
      </c>
      <c r="O88" s="122" t="e">
        <f>ICC5TME[[#This Row],[2023]]/ICC5TME[[#This Row],[2022]]-1</f>
        <v>#DIV/0!</v>
      </c>
    </row>
    <row r="89" spans="2:15" x14ac:dyDescent="0.25">
      <c r="B89" s="80" t="s">
        <v>124</v>
      </c>
      <c r="C89" s="121" t="e">
        <f>(SUMPRODUCT(H89,H71)+SUMPRODUCT(M89,M71))/C71</f>
        <v>#DIV/0!</v>
      </c>
      <c r="D89" s="121" t="e">
        <f>(SUMPRODUCT(I89,I71)+SUMPRODUCT(N89,N71))/D71</f>
        <v>#DIV/0!</v>
      </c>
      <c r="E89" s="111" t="e">
        <f>MCareTotTME[[#This Row],[2023]]/MCareTotTME[[#This Row],[2022]]-1</f>
        <v>#DIV/0!</v>
      </c>
      <c r="G89" s="80" t="s">
        <v>124</v>
      </c>
      <c r="H89" s="121" t="e">
        <f>(SUMIFS(AN_TME22[[#All],[Non-Claims: Recovery]],AN_TME22[[#All],[Insurance Category Code]],1,AN_TME22[[#All],[Advanced Network/Insurance Carrier Org ID]],100))/H71</f>
        <v>#DIV/0!</v>
      </c>
      <c r="I89" s="121" t="e">
        <f>(SUMIFS(AN_TME23[[#All],[Non-Claims: Recovery]],AN_TME23[[#All],[Insurance Category Code]],1,AN_TME23[[#All],[Advanced Network/Insurance Carrier Org ID]],100))/I71</f>
        <v>#DIV/0!</v>
      </c>
      <c r="J89" s="412" t="e">
        <f>ICC1TME[[#This Row],[2023]]/ICC1TME[[#This Row],[2022]]-1</f>
        <v>#DIV/0!</v>
      </c>
      <c r="L89" s="80" t="s">
        <v>124</v>
      </c>
      <c r="M89" s="121" t="e">
        <f>(SUMIFS(AN_TME22[[#All],[Non-Claims: Recovery]],AN_TME22[[#All],[Insurance Category Code]],5,AN_TME22[[#All],[Advanced Network/Insurance Carrier Org ID]],100))/M71</f>
        <v>#DIV/0!</v>
      </c>
      <c r="N89" s="121" t="e">
        <f>(SUMIFS(AN_TME23[[#All],[Non-Claims: Recovery]],AN_TME23[[#All],[Insurance Category Code]],5,AN_TME23[[#All],[Advanced Network/Insurance Carrier Org ID]],100))/N71</f>
        <v>#DIV/0!</v>
      </c>
      <c r="O89" s="122" t="e">
        <f>ICC5TME[[#This Row],[2023]]/ICC5TME[[#This Row],[2022]]-1</f>
        <v>#DIV/0!</v>
      </c>
    </row>
    <row r="90" spans="2:15" x14ac:dyDescent="0.25">
      <c r="B90" s="80" t="s">
        <v>126</v>
      </c>
      <c r="C90" s="121" t="e">
        <f>(SUMPRODUCT(H90,H71)+SUMPRODUCT(M90,M71))/C71</f>
        <v>#DIV/0!</v>
      </c>
      <c r="D90" s="121" t="e">
        <f>(SUMPRODUCT(I90,I71)+SUMPRODUCT(N90,N71))/D71</f>
        <v>#DIV/0!</v>
      </c>
      <c r="E90" s="111" t="e">
        <f>MCareTotTME[[#This Row],[2023]]/MCareTotTME[[#This Row],[2022]]-1</f>
        <v>#DIV/0!</v>
      </c>
      <c r="G90" s="80" t="s">
        <v>126</v>
      </c>
      <c r="H90" s="121" t="e">
        <f>(SUMIFS(AN_TME22[[#All],[Non-Claims: Other]],AN_TME22[[#All],[Insurance Category Code]],1,AN_TME22[[#All],[Advanced Network/Insurance Carrier Org ID]],100))/H71</f>
        <v>#DIV/0!</v>
      </c>
      <c r="I90" s="121" t="e">
        <f>(SUMIFS(AN_TME23[[#All],[Non-Claims: Other]],AN_TME23[[#All],[Insurance Category Code]],1,AN_TME23[[#All],[Advanced Network/Insurance Carrier Org ID]],100))/I71</f>
        <v>#DIV/0!</v>
      </c>
      <c r="J90" s="412" t="e">
        <f>ICC1TME[[#This Row],[2023]]/ICC1TME[[#This Row],[2022]]-1</f>
        <v>#DIV/0!</v>
      </c>
      <c r="L90" s="80" t="s">
        <v>126</v>
      </c>
      <c r="M90" s="121" t="e">
        <f>(SUMIFS(AN_TME22[[#All],[Non-Claims: Other]],AN_TME22[[#All],[Insurance Category Code]],5,AN_TME22[[#All],[Advanced Network/Insurance Carrier Org ID]],100))/M71</f>
        <v>#DIV/0!</v>
      </c>
      <c r="N90" s="121" t="e">
        <f>(SUMIFS(AN_TME23[[#All],[Non-Claims: Other]],AN_TME23[[#All],[Insurance Category Code]],5,AN_TME23[[#All],[Advanced Network/Insurance Carrier Org ID]],100))/N71</f>
        <v>#DIV/0!</v>
      </c>
      <c r="O90" s="122" t="e">
        <f>ICC5TME[[#This Row],[2023]]/ICC5TME[[#This Row],[2022]]-1</f>
        <v>#DIV/0!</v>
      </c>
    </row>
    <row r="91" spans="2:15" ht="30" x14ac:dyDescent="0.25">
      <c r="B91" s="80" t="s">
        <v>128</v>
      </c>
      <c r="C91" s="121" t="e">
        <f>(SUMPRODUCT(H91,H71)+SUMPRODUCT(M91,M71))/C71</f>
        <v>#DIV/0!</v>
      </c>
      <c r="D91" s="121" t="e">
        <f>(SUMPRODUCT(I91,I71)+SUMPRODUCT(N91,N71))/D71</f>
        <v>#DIV/0!</v>
      </c>
      <c r="E91" s="111" t="e">
        <f>MCareTotTME[[#This Row],[2023]]/MCareTotTME[[#This Row],[2022]]-1</f>
        <v>#DIV/0!</v>
      </c>
      <c r="G91" s="80" t="s">
        <v>128</v>
      </c>
      <c r="H91" s="121" t="e">
        <f>(SUMIFS(AN_TME22[[#All],[Non-Claims: Total Primary Care Non-Claims-Based Payments]],AN_TME22[[#All],[Insurance Category Code]],1,AN_TME22[[#All],[Advanced Network/Insurance Carrier Org ID]],100))/H71</f>
        <v>#DIV/0!</v>
      </c>
      <c r="I91" s="121" t="e">
        <f>(SUMIFS(AN_TME23[[#All],[Non-Claims: Total Primary Care Non-Claims-Based Payments]],AN_TME23[[#All],[Insurance Category Code]],1,AN_TME23[[#All],[Advanced Network/Insurance Carrier Org ID]],100))/I71</f>
        <v>#DIV/0!</v>
      </c>
      <c r="J91" s="412" t="e">
        <f>ICC1TME[[#This Row],[2023]]/ICC1TME[[#This Row],[2022]]-1</f>
        <v>#DIV/0!</v>
      </c>
      <c r="L91" s="80" t="s">
        <v>128</v>
      </c>
      <c r="M91" s="121" t="e">
        <f>(SUMIFS(AN_TME22[[#All],[Non-Claims: Total Primary Care Non-Claims-Based Payments]],AN_TME22[[#All],[Insurance Category Code]],5,AN_TME22[[#All],[Advanced Network/Insurance Carrier Org ID]],100))/M71</f>
        <v>#DIV/0!</v>
      </c>
      <c r="N91" s="121" t="e">
        <f>(SUMIFS(AN_TME23[[#All],[Non-Claims: Total Primary Care Non-Claims-Based Payments]],AN_TME23[[#All],[Insurance Category Code]],5,AN_TME23[[#All],[Advanced Network/Insurance Carrier Org ID]],100))/N71</f>
        <v>#DIV/0!</v>
      </c>
      <c r="O91" s="122" t="e">
        <f>ICC5TME[[#This Row],[2023]]/ICC5TME[[#This Row],[2022]]-1</f>
        <v>#DIV/0!</v>
      </c>
    </row>
    <row r="92" spans="2:15" x14ac:dyDescent="0.25">
      <c r="B92" s="123" t="s">
        <v>298</v>
      </c>
      <c r="C92" s="124" t="e">
        <f>(SUMPRODUCT(H92,H71)+SUMPRODUCT(M92,M71))/C71</f>
        <v>#DIV/0!</v>
      </c>
      <c r="D92" s="124" t="e">
        <f>(SUMPRODUCT(I92,I71)+SUMPRODUCT(N92,N71))/D71</f>
        <v>#DIV/0!</v>
      </c>
      <c r="E92" s="125" t="e">
        <f>MCareTotTME[[#This Row],[2023]]/MCareTotTME[[#This Row],[2022]]-1</f>
        <v>#DIV/0!</v>
      </c>
      <c r="G92" s="123" t="s">
        <v>298</v>
      </c>
      <c r="H92" s="124" t="e">
        <f>(SUMIFS(AN_TME22[[#All],[TOTAL Non-Claims Expenses]],AN_TME22[[#All],[Insurance Category Code]],1,AN_TME22[[#All],[Advanced Network/Insurance Carrier Org ID]],100))/H71</f>
        <v>#DIV/0!</v>
      </c>
      <c r="I92" s="124" t="e">
        <f>(SUMIFS(AN_TME23[[#All],[TOTAL Non-Claims Expenses]],AN_TME23[[#All],[Insurance Category Code]],1,AN_TME23[[#All],[Advanced Network/Insurance Carrier Org ID]],100))/I71</f>
        <v>#DIV/0!</v>
      </c>
      <c r="J92" s="413" t="e">
        <f>ICC1TME[[#This Row],[2023]]/ICC1TME[[#This Row],[2022]]-1</f>
        <v>#DIV/0!</v>
      </c>
      <c r="L92" s="123" t="s">
        <v>298</v>
      </c>
      <c r="M92" s="124" t="e">
        <f>(SUMIFS(AN_TME22[[#All],[TOTAL Non-Claims Expenses]],AN_TME22[[#All],[Insurance Category Code]],5,AN_TME22[[#All],[Advanced Network/Insurance Carrier Org ID]],100))/M71</f>
        <v>#DIV/0!</v>
      </c>
      <c r="N92" s="124" t="e">
        <f>(SUMIFS(AN_TME23[[#All],[TOTAL Non-Claims Expenses]],AN_TME23[[#All],[Insurance Category Code]],5,AN_TME23[[#All],[Advanced Network/Insurance Carrier Org ID]],100))/N71</f>
        <v>#DIV/0!</v>
      </c>
      <c r="O92" s="125" t="e">
        <f>ICC5TME[[#This Row],[2023]]/ICC5TME[[#This Row],[2022]]-1</f>
        <v>#DIV/0!</v>
      </c>
    </row>
    <row r="93" spans="2:15" ht="30" x14ac:dyDescent="0.25">
      <c r="B93" s="129" t="s">
        <v>299</v>
      </c>
      <c r="C93" s="130" t="e">
        <f>(SUMPRODUCT(H93,H71)+SUMPRODUCT(M93,M71))/C71</f>
        <v>#DIV/0!</v>
      </c>
      <c r="D93" s="130" t="e">
        <f>(SUMPRODUCT(I93,I71)+SUMPRODUCT(N93,N71))/D71</f>
        <v>#DIV/0!</v>
      </c>
      <c r="E93" s="131" t="e">
        <f>MCareTotTME[[#This Row],[2023]]/MCareTotTME[[#This Row],[2022]]-1</f>
        <v>#DIV/0!</v>
      </c>
      <c r="G93" s="129" t="s">
        <v>299</v>
      </c>
      <c r="H93" s="251" t="e">
        <f>(SUMIFS(AN_TME22[[#All],[TOTAL Non-Truncated Unadjusted Expenses (A21 + A23)]],AN_TME22[[#All],[Insurance Category Code]],1,AN_TME22[[#All],[Advanced Network/Insurance Carrier Org ID]],100))/H71</f>
        <v>#DIV/0!</v>
      </c>
      <c r="I93" s="251" t="e">
        <f>(SUMIFS(AN_TME23[[#All],[TOTAL Non-Truncated Unadjusted Expenses (A21 + A23)]],AN_TME23[[#All],[Insurance Category Code]],1,AN_TME23[[#All],[Advanced Network/Insurance Carrier Org ID]],100))/I71</f>
        <v>#DIV/0!</v>
      </c>
      <c r="J93" s="414" t="e">
        <f>ICC1TME[[#This Row],[2023]]/ICC1TME[[#This Row],[2022]]-1</f>
        <v>#DIV/0!</v>
      </c>
      <c r="L93" s="129" t="s">
        <v>299</v>
      </c>
      <c r="M93" s="251" t="e">
        <f>(SUMIFS(AN_TME22[[#All],[TOTAL Non-Truncated Unadjusted Expenses (A21 + A23)]],AN_TME22[[#All],[Insurance Category Code]],5,AN_TME22[[#All],[Advanced Network/Insurance Carrier Org ID]],100))/M71</f>
        <v>#DIV/0!</v>
      </c>
      <c r="N93" s="251" t="e">
        <f>(SUMIFS(AN_TME23[[#All],[TOTAL Non-Truncated Unadjusted Expenses (A21 + A23)]],AN_TME23[[#All],[Insurance Category Code]],5,AN_TME23[[#All],[Advanced Network/Insurance Carrier Org ID]],100))/N71</f>
        <v>#DIV/0!</v>
      </c>
      <c r="O93" s="131" t="e">
        <f>ICC5TME[[#This Row],[2023]]/ICC5TME[[#This Row],[2022]]-1</f>
        <v>#DIV/0!</v>
      </c>
    </row>
    <row r="94" spans="2:15" ht="30" x14ac:dyDescent="0.25">
      <c r="B94" s="129" t="s">
        <v>300</v>
      </c>
      <c r="C94" s="130" t="e">
        <f>(SUMPRODUCT(H94,H71)+SUMPRODUCT(M94,M71))/C71</f>
        <v>#DIV/0!</v>
      </c>
      <c r="D94" s="130" t="e">
        <f>(SUMPRODUCT(I94,I71)+SUMPRODUCT(N94,N71))/D71</f>
        <v>#DIV/0!</v>
      </c>
      <c r="E94" s="131" t="e">
        <f>MCareTotTME[[#This Row],[2023]]/MCareTotTME[[#This Row],[2022]]-1</f>
        <v>#DIV/0!</v>
      </c>
      <c r="G94" s="129" t="s">
        <v>300</v>
      </c>
      <c r="H94" s="251" t="e">
        <f>(SUMIFS(AN_TME22[[#All],[TOTAL Non-Truncated Unadjusted Expenses (A21 + A23)]],AN_TME22[[#All],[Insurance Category Code]],1,AN_TME22[[#All],[Advanced Network/Insurance Carrier Org ID]],100)-ABS(SUMIF(RX_REBATES22[[#All],[Insurance Category Code]],1,RX_REBATES22[[#All],[Total Pharmacy Rebates]])))/H71</f>
        <v>#DIV/0!</v>
      </c>
      <c r="I94" s="251" t="e">
        <f>(SUMIFS(AN_TME23[[#All],[TOTAL Non-Truncated Unadjusted Expenses (A21 + A23)]],AN_TME23[[#All],[Insurance Category Code]],1,AN_TME23[[#All],[Advanced Network/Insurance Carrier Org ID]],100)-ABS(SUMIF(RX_REBATES23[[#All],[Insurance Category Code]],1,RX_REBATES23[[#All],[Total Pharmacy Rebates]])))/I71</f>
        <v>#DIV/0!</v>
      </c>
      <c r="J94" s="414" t="e">
        <f>ICC1TME[[#This Row],[2023]]/ICC1TME[[#This Row],[2022]]-1</f>
        <v>#DIV/0!</v>
      </c>
      <c r="L94" s="129" t="s">
        <v>300</v>
      </c>
      <c r="M94" s="251" t="e">
        <f>(SUMIFS(AN_TME22[[#All],[TOTAL Non-Truncated Unadjusted Expenses (A21 + A23)]],AN_TME22[[#All],[Insurance Category Code]],5,AN_TME22[[#All],[Advanced Network/Insurance Carrier Org ID]],100)-ABS(SUMIF(RX_REBATES22[[#All],[Insurance Category Code]],5,RX_REBATES22[[#All],[Total Pharmacy Rebates]])))/M71</f>
        <v>#DIV/0!</v>
      </c>
      <c r="N94" s="251" t="e">
        <f>(SUMIFS(AN_TME23[[#All],[TOTAL Non-Truncated Unadjusted Expenses (A21 + A23)]],AN_TME23[[#All],[Insurance Category Code]],5,AN_TME23[[#All],[Advanced Network/Insurance Carrier Org ID]],100)-ABS(SUMIF(RX_REBATES23[[#All],[Insurance Category Code]],5,RX_REBATES23[[#All],[Total Pharmacy Rebates]])))/N71</f>
        <v>#DIV/0!</v>
      </c>
      <c r="O94" s="131" t="e">
        <f>ICC5TME[[#This Row],[2023]]/ICC5TME[[#This Row],[2022]]-1</f>
        <v>#DIV/0!</v>
      </c>
    </row>
    <row r="95" spans="2:15" ht="30" x14ac:dyDescent="0.25">
      <c r="B95" s="129" t="s">
        <v>301</v>
      </c>
      <c r="C95" s="130" t="e">
        <f>(SUMPRODUCT(H95,H71)+SUMPRODUCT(M95,M71))/C71</f>
        <v>#DIV/0!</v>
      </c>
      <c r="D95" s="130" t="e">
        <f>(SUMPRODUCT(I95,I71)+SUMPRODUCT(N95,N71))/D71</f>
        <v>#DIV/0!</v>
      </c>
      <c r="E95" s="131" t="e">
        <f>MCareTotTME[[#This Row],[2023]]/MCareTotTME[[#This Row],[2022]]-1</f>
        <v>#DIV/0!</v>
      </c>
      <c r="G95" s="129" t="s">
        <v>301</v>
      </c>
      <c r="H95" s="251" t="e">
        <f>(SUMIFS(AN_TME22[[#All],[TOTAL Truncated Unadjusted Expenses (A22 + A23)]],AN_TME22[[#All],[Insurance Category Code]],1,AN_TME22[[#All],[Advanced Network/Insurance Carrier Org ID]],100))/H71</f>
        <v>#DIV/0!</v>
      </c>
      <c r="I95" s="251" t="e">
        <f>(SUMIFS(AN_TME23[[#All],[TOTAL Truncated Unadjusted Expenses (A22 + A23)]],AN_TME23[[#All],[Insurance Category Code]],1,AN_TME23[[#All],[Advanced Network/Insurance Carrier Org ID]],100))/I71</f>
        <v>#DIV/0!</v>
      </c>
      <c r="J95" s="414" t="e">
        <f>ICC1TME[[#This Row],[2023]]/ICC1TME[[#This Row],[2022]]-1</f>
        <v>#DIV/0!</v>
      </c>
      <c r="L95" s="129" t="s">
        <v>301</v>
      </c>
      <c r="M95" s="251" t="e">
        <f>(SUMIFS(AN_TME22[[#All],[TOTAL Truncated Unadjusted Expenses (A22 + A23)]],AN_TME22[[#All],[Insurance Category Code]],5,AN_TME22[[#All],[Advanced Network/Insurance Carrier Org ID]],100))/M71</f>
        <v>#DIV/0!</v>
      </c>
      <c r="N95" s="251" t="e">
        <f>(SUMIFS(AN_TME23[[#All],[TOTAL Truncated Unadjusted Expenses (A22 + A23)]],AN_TME23[[#All],[Insurance Category Code]],5,AN_TME23[[#All],[Advanced Network/Insurance Carrier Org ID]],100))/N71</f>
        <v>#DIV/0!</v>
      </c>
      <c r="O95" s="131" t="e">
        <f>ICC5TME[[#This Row],[2023]]/ICC5TME[[#This Row],[2022]]-1</f>
        <v>#DIV/0!</v>
      </c>
    </row>
    <row r="96" spans="2:15" ht="30" x14ac:dyDescent="0.25">
      <c r="B96" s="132" t="s">
        <v>302</v>
      </c>
      <c r="C96" s="133" t="e">
        <f>(SUMPRODUCT(H96,H71)+SUMPRODUCT(M96,M71))/C71</f>
        <v>#DIV/0!</v>
      </c>
      <c r="D96" s="133" t="e">
        <f>(SUMPRODUCT(I96,I71)+SUMPRODUCT(N96,N71))/D71</f>
        <v>#DIV/0!</v>
      </c>
      <c r="E96" s="134" t="e">
        <f>MCareTotTME[[#This Row],[2023]]/MCareTotTME[[#This Row],[2022]]-1</f>
        <v>#DIV/0!</v>
      </c>
      <c r="G96" s="132" t="s">
        <v>302</v>
      </c>
      <c r="H96" s="252" t="e">
        <f>(SUMIFS(AN_TME22[[#All],[TOTAL Truncated Unadjusted Expenses (A22 + A23)]],AN_TME22[[#All],[Insurance Category Code]],1,AN_TME22[[#All],[Advanced Network/Insurance Carrier Org ID]],100)-ABS(SUMIF(RX_REBATES22[[#All],[Insurance Category Code]],1,RX_REBATES22[[#All],[Total Pharmacy Rebates]])))/H71</f>
        <v>#DIV/0!</v>
      </c>
      <c r="I96" s="252" t="e">
        <f>(SUMIFS(AN_TME23[[#All],[TOTAL Truncated Unadjusted Expenses (A22 + A23)]],AN_TME23[[#All],[Insurance Category Code]],1,AN_TME23[[#All],[Advanced Network/Insurance Carrier Org ID]],100)-ABS(SUMIF(RX_REBATES23[[#All],[Insurance Category Code]],1,RX_REBATES23[[#All],[Total Pharmacy Rebates]])))/I71</f>
        <v>#DIV/0!</v>
      </c>
      <c r="J96" s="415" t="e">
        <f>ICC1TME[[#This Row],[2023]]/ICC1TME[[#This Row],[2022]]-1</f>
        <v>#DIV/0!</v>
      </c>
      <c r="L96" s="132" t="s">
        <v>302</v>
      </c>
      <c r="M96" s="252" t="e">
        <f>(SUMIFS(AN_TME22[[#All],[TOTAL Truncated Unadjusted Expenses (A22 + A23)]],AN_TME22[[#All],[Insurance Category Code]],5,AN_TME22[[#All],[Advanced Network/Insurance Carrier Org ID]],100)-ABS(SUMIF(RX_REBATES22[[#All],[Insurance Category Code]],5,RX_REBATES22[[#All],[Total Pharmacy Rebates]])))/M71</f>
        <v>#DIV/0!</v>
      </c>
      <c r="N96" s="252" t="e">
        <f>(SUMIFS(AN_TME23[[#All],[TOTAL Truncated Unadjusted Expenses (A22 + A23)]],AN_TME23[[#All],[Insurance Category Code]],5,AN_TME23[[#All],[Advanced Network/Insurance Carrier Org ID]],100)-ABS(SUMIF(RX_REBATES23[[#All],[Insurance Category Code]],5,RX_REBATES23[[#All],[Total Pharmacy Rebates]])))/N71</f>
        <v>#DIV/0!</v>
      </c>
      <c r="O96" s="134" t="e">
        <f>ICC5TME[[#This Row],[2023]]/ICC5TME[[#This Row],[2022]]-1</f>
        <v>#DIV/0!</v>
      </c>
    </row>
    <row r="98" spans="2:5" ht="15.75" x14ac:dyDescent="0.25">
      <c r="B98" s="54" t="s">
        <v>306</v>
      </c>
    </row>
    <row r="99" spans="2:5" x14ac:dyDescent="0.25">
      <c r="B99" s="61" t="s">
        <v>292</v>
      </c>
    </row>
    <row r="100" spans="2:5" x14ac:dyDescent="0.25">
      <c r="B100" s="106" t="s">
        <v>293</v>
      </c>
      <c r="C100" s="107" t="s">
        <v>280</v>
      </c>
      <c r="D100" s="108" t="s">
        <v>431</v>
      </c>
      <c r="E100" s="107" t="s">
        <v>454</v>
      </c>
    </row>
    <row r="101" spans="2:5" x14ac:dyDescent="0.25">
      <c r="B101" s="80" t="s">
        <v>211</v>
      </c>
      <c r="C101" s="114">
        <f>SUMIFS(AN_TME22[[#All],[Member Months]],AN_TME22[[#All],[Insurance Category Code]],7,AN_TME22[[#All],[Advanced Network/Insurance Carrier Org ID]],100)</f>
        <v>0</v>
      </c>
      <c r="D101" s="114">
        <f>SUMIFS(AN_TME23[[#All],[Member Months]],AN_TME23[[#All],[Insurance Category Code]],7,AN_TME23[[#All],[Advanced Network/Insurance Carrier Org ID]],100)</f>
        <v>0</v>
      </c>
      <c r="E101" s="111" t="e">
        <f>ICC7TME[[#This Row],[2023]]/ICC7TME[[#This Row],[2022]]-1</f>
        <v>#DIV/0!</v>
      </c>
    </row>
    <row r="102" spans="2:5" x14ac:dyDescent="0.25">
      <c r="B102" s="80" t="s">
        <v>102</v>
      </c>
      <c r="C102" s="139" t="e">
        <f>(SUMIFS(AN_TME22[[#All],[Claims: Hospital Inpatient]],AN_TME22[[#All],[Insurance Category Code]],7,AN_TME22[[#All],[Advanced Network/Insurance Carrier Org ID]],100))/C101</f>
        <v>#DIV/0!</v>
      </c>
      <c r="D102" s="139" t="e">
        <f>(SUMIFS(AN_TME23[[#All],[Claims: Hospital Inpatient]],AN_TME23[[#All],[Insurance Category Code]],7,AN_TME23[[#All],[Advanced Network/Insurance Carrier Org ID]],100))/D101</f>
        <v>#DIV/0!</v>
      </c>
      <c r="E102" s="111" t="e">
        <f>ICC7TME[[#This Row],[2023]]/ICC7TME[[#This Row],[2022]]-1</f>
        <v>#DIV/0!</v>
      </c>
    </row>
    <row r="103" spans="2:5" x14ac:dyDescent="0.25">
      <c r="B103" s="80" t="s">
        <v>104</v>
      </c>
      <c r="C103" s="139" t="e">
        <f>(SUMIFS(AN_TME22[[#All],[Claims: Hospital Outpatient]],AN_TME22[[#All],[Insurance Category Code]],7,AN_TME22[[#All],[Advanced Network/Insurance Carrier Org ID]],100))/C101</f>
        <v>#DIV/0!</v>
      </c>
      <c r="D103" s="139" t="e">
        <f>(SUMIFS(AN_TME23[[#All],[Claims: Hospital Outpatient]],AN_TME23[[#All],[Insurance Category Code]],7,AN_TME23[[#All],[Advanced Network/Insurance Carrier Org ID]],100))/D101</f>
        <v>#DIV/0!</v>
      </c>
      <c r="E103" s="111" t="e">
        <f>ICC7TME[[#This Row],[2023]]/ICC7TME[[#This Row],[2022]]-1</f>
        <v>#DIV/0!</v>
      </c>
    </row>
    <row r="104" spans="2:5" x14ac:dyDescent="0.25">
      <c r="B104" s="80" t="s">
        <v>106</v>
      </c>
      <c r="C104" s="139" t="e">
        <f>(SUMIFS(AN_TME22[[#All],[Claims: Professional, Primary Care]],AN_TME22[[#All],[Insurance Category Code]],7,AN_TME22[[#All],[Advanced Network/Insurance Carrier Org ID]],100))/C101</f>
        <v>#DIV/0!</v>
      </c>
      <c r="D104" s="139" t="e">
        <f>(SUMIFS(AN_TME23[[#All],[Claims: Professional, Primary Care]],AN_TME23[[#All],[Insurance Category Code]],7,AN_TME23[[#All],[Advanced Network/Insurance Carrier Org ID]],100))/D101</f>
        <v>#DIV/0!</v>
      </c>
      <c r="E104" s="111" t="e">
        <f>ICC7TME[[#This Row],[2023]]/ICC7TME[[#This Row],[2022]]-1</f>
        <v>#DIV/0!</v>
      </c>
    </row>
    <row r="105" spans="2:5" x14ac:dyDescent="0.25">
      <c r="B105" s="80" t="s">
        <v>107</v>
      </c>
      <c r="C105" s="139" t="e">
        <f>(SUMIFS(AN_TME22[[#All],[Claims: Professional, Primary Care (for Monitoring Purposes)]],AN_TME22[[#All],[Insurance Category Code]],7,AN_TME22[[#All],[Advanced Network/Insurance Carrier Org ID]],100))/C101</f>
        <v>#DIV/0!</v>
      </c>
      <c r="D105" s="139" t="e">
        <f>(SUMIFS(AN_TME23[[#All],[Claims: Professional, Primary Care (for Monitoring Purposes)]],AN_TME23[[#All],[Insurance Category Code]],7,AN_TME23[[#All],[Advanced Network/Insurance Carrier Org ID]],100))/D101</f>
        <v>#DIV/0!</v>
      </c>
      <c r="E105" s="111" t="e">
        <f>ICC7TME[[#This Row],[2023]]/ICC7TME[[#This Row],[2022]]-1</f>
        <v>#DIV/0!</v>
      </c>
    </row>
    <row r="106" spans="2:5" x14ac:dyDescent="0.25">
      <c r="B106" s="80" t="s">
        <v>108</v>
      </c>
      <c r="C106" s="139" t="e">
        <f>(SUMIFS(AN_TME22[[#All],[Claims: Professional, Specialty]],AN_TME22[[#All],[Insurance Category Code]],7,AN_TME22[[#All],[Advanced Network/Insurance Carrier Org ID]],100))/C101</f>
        <v>#DIV/0!</v>
      </c>
      <c r="D106" s="139" t="e">
        <f>(SUMIFS(AN_TME23[[#All],[Claims: Professional, Specialty]],AN_TME23[[#All],[Insurance Category Code]],7,AN_TME23[[#All],[Advanced Network/Insurance Carrier Org ID]],100))/D101</f>
        <v>#DIV/0!</v>
      </c>
      <c r="E106" s="111" t="e">
        <f>ICC7TME[[#This Row],[2023]]/ICC7TME[[#This Row],[2022]]-1</f>
        <v>#DIV/0!</v>
      </c>
    </row>
    <row r="107" spans="2:5" x14ac:dyDescent="0.25">
      <c r="B107" s="80" t="s">
        <v>109</v>
      </c>
      <c r="C107" s="139" t="e">
        <f>(SUMIFS(AN_TME22[[#All],[Claims: Professional Other]],AN_TME22[[#All],[Insurance Category Code]],7,AN_TME22[[#All],[Advanced Network/Insurance Carrier Org ID]],100))/C101</f>
        <v>#DIV/0!</v>
      </c>
      <c r="D107" s="139" t="e">
        <f>(SUMIFS(AN_TME23[[#All],[Claims: Professional Other]],AN_TME23[[#All],[Insurance Category Code]],7,AN_TME23[[#All],[Advanced Network/Insurance Carrier Org ID]],100))/D101</f>
        <v>#DIV/0!</v>
      </c>
      <c r="E107" s="111" t="e">
        <f>ICC7TME[[#This Row],[2023]]/ICC7TME[[#This Row],[2022]]-1</f>
        <v>#DIV/0!</v>
      </c>
    </row>
    <row r="108" spans="2:5" x14ac:dyDescent="0.25">
      <c r="B108" s="80" t="s">
        <v>294</v>
      </c>
      <c r="C108" s="139" t="e">
        <f>(SUMIFS(AN_TME22[[#All],[Claims: Pharmacy]],AN_TME22[[#All],[Insurance Category Code]],7,AN_TME22[[#All],[Advanced Network/Insurance Carrier Org ID]],100))/C101</f>
        <v>#DIV/0!</v>
      </c>
      <c r="D108" s="139" t="e">
        <f>(SUMIFS(AN_TME23[[#All],[Claims: Pharmacy]],AN_TME23[[#All],[Insurance Category Code]],7,AN_TME23[[#All],[Advanced Network/Insurance Carrier Org ID]],100))/D101</f>
        <v>#DIV/0!</v>
      </c>
      <c r="E108" s="111" t="e">
        <f>ICC7TME[[#This Row],[2023]]/ICC7TME[[#This Row],[2022]]-1</f>
        <v>#DIV/0!</v>
      </c>
    </row>
    <row r="109" spans="2:5" x14ac:dyDescent="0.25">
      <c r="B109" s="127" t="s">
        <v>295</v>
      </c>
      <c r="C109" s="126" t="e">
        <f>(SUMIFS(AN_TME22[[#All],[Claims: Pharmacy]],AN_TME22[[#All],[Insurance Category Code]],7,AN_TME22[[#All],[Advanced Network/Insurance Carrier Org ID]],100)-ABS(SUMIF(RX_REBATES22[[#All],[Insurance Category Code]],7,RX_REBATES22[[#All],[Retail Pharmacy Rebates]])))/C101</f>
        <v>#DIV/0!</v>
      </c>
      <c r="D109" s="126" t="e">
        <f>(SUMIFS(AN_TME23[[#All],[Claims: Pharmacy]],AN_TME23[[#All],[Insurance Category Code]],7,AN_TME23[[#All],[Advanced Network/Insurance Carrier Org ID]],100)-ABS(SUMIF(RX_REBATES23[[#All],[Insurance Category Code]],7,RX_REBATES23[[#All],[Retail Pharmacy Rebates]])))/D101</f>
        <v>#DIV/0!</v>
      </c>
      <c r="E109" s="111" t="e">
        <f>ICC7TME[[#This Row],[2023]]/ICC7TME[[#This Row],[2022]]-1</f>
        <v>#DIV/0!</v>
      </c>
    </row>
    <row r="110" spans="2:5" x14ac:dyDescent="0.25">
      <c r="B110" s="127" t="s">
        <v>136</v>
      </c>
      <c r="C110" s="139" t="e">
        <f>(-ABS(SUMIF(RX_REBATES22[[#All],[Insurance Category Code]],7,RX_REBATES22[[#All],[Retail Pharmacy Rebates]])))/C101</f>
        <v>#DIV/0!</v>
      </c>
      <c r="D110" s="139" t="e">
        <f>(-ABS(SUMIF(RX_REBATES23[[#All],[Insurance Category Code]],7,RX_REBATES23[[#All],[Retail Pharmacy Rebates]])))/D101</f>
        <v>#DIV/0!</v>
      </c>
      <c r="E110" s="111" t="e">
        <f>ICC7TME[[#This Row],[2023]]/ICC7TME[[#This Row],[2022]]-1</f>
        <v>#DIV/0!</v>
      </c>
    </row>
    <row r="111" spans="2:5" x14ac:dyDescent="0.25">
      <c r="B111" s="80" t="s">
        <v>113</v>
      </c>
      <c r="C111" s="139" t="e">
        <f>(SUMIFS(AN_TME22[[#All],[Claims: Long-Term Care]],AN_TME22[[#All],[Insurance Category Code]],7,AN_TME22[[#All],[Advanced Network/Insurance Carrier Org ID]],100))/C101</f>
        <v>#DIV/0!</v>
      </c>
      <c r="D111" s="139" t="e">
        <f>(SUMIFS(AN_TME23[[#All],[Claims: Long-Term Care]],AN_TME23[[#All],[Insurance Category Code]],7,AN_TME23[[#All],[Advanced Network/Insurance Carrier Org ID]],100))/D101</f>
        <v>#DIV/0!</v>
      </c>
      <c r="E111" s="111" t="e">
        <f>ICC7TME[[#This Row],[2023]]/ICC7TME[[#This Row],[2022]]-1</f>
        <v>#DIV/0!</v>
      </c>
    </row>
    <row r="112" spans="2:5" x14ac:dyDescent="0.25">
      <c r="B112" s="80" t="s">
        <v>115</v>
      </c>
      <c r="C112" s="139" t="e">
        <f>(SUMIFS(AN_TME22[[#All],[Claims: Other]],AN_TME22[[#All],[Insurance Category Code]],7,AN_TME22[[#All],[Advanced Network/Insurance Carrier Org ID]],100))/C101</f>
        <v>#DIV/0!</v>
      </c>
      <c r="D112" s="139" t="e">
        <f>(SUMIFS(AN_TME23[[#All],[Claims: Other]],AN_TME23[[#All],[Insurance Category Code]],7,AN_TME23[[#All],[Advanced Network/Insurance Carrier Org ID]],100))/D101</f>
        <v>#DIV/0!</v>
      </c>
      <c r="E112" s="111" t="e">
        <f>ICC7TME[[#This Row],[2023]]/ICC7TME[[#This Row],[2022]]-1</f>
        <v>#DIV/0!</v>
      </c>
    </row>
    <row r="113" spans="2:5" x14ac:dyDescent="0.25">
      <c r="B113" s="123" t="s">
        <v>296</v>
      </c>
      <c r="C113" s="140" t="e">
        <f>(SUMIFS(AN_TME22[[#All],[TOTAL Non-Truncated Unadjusted Claims Expenses]],AN_TME22[[#All],[Insurance Category Code]],7,AN_TME22[[#All],[Advanced Network/Insurance Carrier Org ID]],100))/C101</f>
        <v>#DIV/0!</v>
      </c>
      <c r="D113" s="140" t="e">
        <f>(SUMIFS(AN_TME23[[#All],[TOTAL Non-Truncated Unadjusted Claims Expenses]],AN_TME23[[#All],[Insurance Category Code]],7,AN_TME23[[#All],[Advanced Network/Insurance Carrier Org ID]],100))/D101</f>
        <v>#DIV/0!</v>
      </c>
      <c r="E113" s="125" t="e">
        <f>ICC7TME[[#This Row],[2023]]/ICC7TME[[#This Row],[2022]]-1</f>
        <v>#DIV/0!</v>
      </c>
    </row>
    <row r="114" spans="2:5" x14ac:dyDescent="0.25">
      <c r="B114" s="123" t="s">
        <v>297</v>
      </c>
      <c r="C114" s="140" t="e">
        <f>(SUMIFS(AN_TME22[[#All],[TOTAL Truncated Unadjusted Claims Expenses (A21 -A19)]],AN_TME22[[#All],[Insurance Category Code]],7,AN_TME22[[#All],[Advanced Network/Insurance Carrier Org ID]],100))/C101</f>
        <v>#DIV/0!</v>
      </c>
      <c r="D114" s="140" t="e">
        <f>(SUMIFS(AN_TME23[[#All],[TOTAL Truncated Unadjusted Claims Expenses (A21 -A19)]],AN_TME23[[#All],[Insurance Category Code]],7,AN_TME23[[#All],[Advanced Network/Insurance Carrier Org ID]],100))/D101</f>
        <v>#DIV/0!</v>
      </c>
      <c r="E114" s="125" t="e">
        <f>ICC7TME[[#This Row],[2023]]/ICC7TME[[#This Row],[2022]]-1</f>
        <v>#DIV/0!</v>
      </c>
    </row>
    <row r="115" spans="2:5" ht="30" x14ac:dyDescent="0.25">
      <c r="B115" s="80" t="s">
        <v>116</v>
      </c>
      <c r="C115" s="139" t="e">
        <f>(SUMIFS(AN_TME22[[#All],[Non-Claims: Prospective Capitated, Prospective Global Budget, Prospective Case Rate, or Prospective Episode-Based Payments]],AN_TME22[[#All],[Insurance Category Code]],7,AN_TME22[[#All],[Advanced Network/Insurance Carrier Org ID]],100))/C101</f>
        <v>#DIV/0!</v>
      </c>
      <c r="D115" s="139" t="e">
        <f>(SUMIFS(AN_TME23[[#All],[Non-Claims: Prospective Capitated, Prospective Global Budget, Prospective Case Rate, or Prospective Episode-Based Payments]],AN_TME23[[#All],[Insurance Category Code]],7,AN_TME23[[#All],[Advanced Network/Insurance Carrier Org ID]],100))/D101</f>
        <v>#DIV/0!</v>
      </c>
      <c r="E115" s="111" t="e">
        <f>ICC7TME[[#This Row],[2023]]/ICC7TME[[#This Row],[2022]]-1</f>
        <v>#DIV/0!</v>
      </c>
    </row>
    <row r="116" spans="2:5" x14ac:dyDescent="0.25">
      <c r="B116" s="80" t="s">
        <v>118</v>
      </c>
      <c r="C116" s="139" t="e">
        <f>(SUMIFS(AN_TME22[[#All],[Non-Claims: Performance Incentive Payments]],AN_TME22[[#All],[Insurance Category Code]],7,AN_TME22[[#All],[Advanced Network/Insurance Carrier Org ID]],100))/C101</f>
        <v>#DIV/0!</v>
      </c>
      <c r="D116" s="139" t="e">
        <f>(SUMIFS(AN_TME23[[#All],[Non-Claims: Performance Incentive Payments]],AN_TME23[[#All],[Insurance Category Code]],7,AN_TME23[[#All],[Advanced Network/Insurance Carrier Org ID]],100))/D101</f>
        <v>#DIV/0!</v>
      </c>
      <c r="E116" s="111" t="e">
        <f>ICC7TME[[#This Row],[2023]]/ICC7TME[[#This Row],[2022]]-1</f>
        <v>#DIV/0!</v>
      </c>
    </row>
    <row r="117" spans="2:5" ht="30" x14ac:dyDescent="0.25">
      <c r="B117" s="80" t="s">
        <v>120</v>
      </c>
      <c r="C117" s="139" t="e">
        <f>(SUMIFS(AN_TME22[[#All],[Non-Claims: Payments to Support Population Health and Practice Infrastructure]],AN_TME22[[#All],[Insurance Category Code]],7,AN_TME22[[#All],[Advanced Network/Insurance Carrier Org ID]],100))/C101</f>
        <v>#DIV/0!</v>
      </c>
      <c r="D117" s="139" t="e">
        <f>(SUMIFS(AN_TME23[[#All],[Non-Claims: Payments to Support Population Health and Practice Infrastructure]],AN_TME23[[#All],[Insurance Category Code]],7,AN_TME23[[#All],[Advanced Network/Insurance Carrier Org ID]],100))/D101</f>
        <v>#DIV/0!</v>
      </c>
      <c r="E117" s="111" t="e">
        <f>ICC7TME[[#This Row],[2023]]/ICC7TME[[#This Row],[2022]]-1</f>
        <v>#DIV/0!</v>
      </c>
    </row>
    <row r="118" spans="2:5" x14ac:dyDescent="0.25">
      <c r="B118" s="80" t="s">
        <v>122</v>
      </c>
      <c r="C118" s="139" t="e">
        <f>(SUMIFS(AN_TME22[[#All],[Non-Claims: Provider Salaries]],AN_TME22[[#All],[Insurance Category Code]],7,AN_TME22[[#All],[Advanced Network/Insurance Carrier Org ID]],100))/C101</f>
        <v>#DIV/0!</v>
      </c>
      <c r="D118" s="139" t="e">
        <f>(SUMIFS(AN_TME23[[#All],[Non-Claims: Provider Salaries]],AN_TME23[[#All],[Insurance Category Code]],7,AN_TME23[[#All],[Advanced Network/Insurance Carrier Org ID]],100))/D101</f>
        <v>#DIV/0!</v>
      </c>
      <c r="E118" s="111" t="e">
        <f>ICC7TME[[#This Row],[2023]]/ICC7TME[[#This Row],[2022]]-1</f>
        <v>#DIV/0!</v>
      </c>
    </row>
    <row r="119" spans="2:5" x14ac:dyDescent="0.25">
      <c r="B119" s="80" t="s">
        <v>124</v>
      </c>
      <c r="C119" s="139" t="e">
        <f>(SUMIFS(AN_TME22[[#All],[Non-Claims: Recovery]],AN_TME22[[#All],[Insurance Category Code]],7,AN_TME22[[#All],[Advanced Network/Insurance Carrier Org ID]],100))/C101</f>
        <v>#DIV/0!</v>
      </c>
      <c r="D119" s="139" t="e">
        <f>(SUMIFS(AN_TME23[[#All],[Non-Claims: Recovery]],AN_TME23[[#All],[Insurance Category Code]],7,AN_TME23[[#All],[Advanced Network/Insurance Carrier Org ID]],100))/D101</f>
        <v>#DIV/0!</v>
      </c>
      <c r="E119" s="111" t="e">
        <f>ICC7TME[[#This Row],[2023]]/ICC7TME[[#This Row],[2022]]-1</f>
        <v>#DIV/0!</v>
      </c>
    </row>
    <row r="120" spans="2:5" x14ac:dyDescent="0.25">
      <c r="B120" s="80" t="s">
        <v>126</v>
      </c>
      <c r="C120" s="139" t="e">
        <f>(SUMIFS(AN_TME22[[#All],[Non-Claims: Other]],AN_TME22[[#All],[Insurance Category Code]],7,AN_TME22[[#All],[Advanced Network/Insurance Carrier Org ID]],100))/C101</f>
        <v>#DIV/0!</v>
      </c>
      <c r="D120" s="139" t="e">
        <f>(SUMIFS(AN_TME23[[#All],[Non-Claims: Other]],AN_TME23[[#All],[Insurance Category Code]],7,AN_TME23[[#All],[Advanced Network/Insurance Carrier Org ID]],100))/D101</f>
        <v>#DIV/0!</v>
      </c>
      <c r="E120" s="111" t="e">
        <f>ICC7TME[[#This Row],[2023]]/ICC7TME[[#This Row],[2022]]-1</f>
        <v>#DIV/0!</v>
      </c>
    </row>
    <row r="121" spans="2:5" x14ac:dyDescent="0.25">
      <c r="B121" s="80" t="s">
        <v>128</v>
      </c>
      <c r="C121" s="139" t="e">
        <f>(SUMIFS(AN_TME22[[#All],[Non-Claims: Total Primary Care Non-Claims-Based Payments]],AN_TME22[[#All],[Insurance Category Code]],7,AN_TME22[[#All],[Advanced Network/Insurance Carrier Org ID]],100))/C101</f>
        <v>#DIV/0!</v>
      </c>
      <c r="D121" s="139" t="e">
        <f>(SUMIFS(AN_TME23[[#All],[Non-Claims: Total Primary Care Non-Claims-Based Payments]],AN_TME23[[#All],[Insurance Category Code]],7,AN_TME23[[#All],[Advanced Network/Insurance Carrier Org ID]],100))/D101</f>
        <v>#DIV/0!</v>
      </c>
      <c r="E121" s="111" t="e">
        <f>ICC7TME[[#This Row],[2023]]/ICC7TME[[#This Row],[2022]]-1</f>
        <v>#DIV/0!</v>
      </c>
    </row>
    <row r="122" spans="2:5" x14ac:dyDescent="0.25">
      <c r="B122" s="123" t="s">
        <v>298</v>
      </c>
      <c r="C122" s="140" t="e">
        <f>(SUMIFS(AN_TME22[[#All],[TOTAL Non-Claims Expenses]],AN_TME22[[#All],[Insurance Category Code]],7,AN_TME22[[#All],[Advanced Network/Insurance Carrier Org ID]],100))/C101</f>
        <v>#DIV/0!</v>
      </c>
      <c r="D122" s="140" t="e">
        <f>(SUMIFS(AN_TME23[[#All],[TOTAL Non-Claims Expenses]],AN_TME23[[#All],[Insurance Category Code]],7,AN_TME23[[#All],[Advanced Network/Insurance Carrier Org ID]],100))/D101</f>
        <v>#DIV/0!</v>
      </c>
      <c r="E122" s="125" t="e">
        <f>ICC7TME[[#This Row],[2023]]/ICC7TME[[#This Row],[2022]]-1</f>
        <v>#DIV/0!</v>
      </c>
    </row>
    <row r="123" spans="2:5" x14ac:dyDescent="0.25">
      <c r="B123" s="129" t="s">
        <v>299</v>
      </c>
      <c r="C123" s="141" t="e">
        <f>(SUMIFS(AN_TME22[[#All],[TOTAL Non-Truncated Unadjusted Expenses (A21 + A23)]],AN_TME22[[#All],[Insurance Category Code]],7,AN_TME22[[#All],[Advanced Network/Insurance Carrier Org ID]],100))/C101</f>
        <v>#DIV/0!</v>
      </c>
      <c r="D123" s="141" t="e">
        <f>(SUMIFS(AN_TME23[[#All],[TOTAL Non-Truncated Unadjusted Expenses (A21 + A23)]],AN_TME23[[#All],[Insurance Category Code]],7,AN_TME23[[#All],[Advanced Network/Insurance Carrier Org ID]],100))/D101</f>
        <v>#DIV/0!</v>
      </c>
      <c r="E123" s="131" t="e">
        <f>ICC7TME[[#This Row],[2023]]/ICC7TME[[#This Row],[2022]]-1</f>
        <v>#DIV/0!</v>
      </c>
    </row>
    <row r="124" spans="2:5" x14ac:dyDescent="0.25">
      <c r="B124" s="129" t="s">
        <v>300</v>
      </c>
      <c r="C124" s="128" t="e">
        <f>(SUMIFS(AN_TME22[[#All],[TOTAL Non-Truncated Unadjusted Expenses (A21 + A23)]],AN_TME22[[#All],[Insurance Category Code]],7,AN_TME22[[#All],[Advanced Network/Insurance Carrier Org ID]],100)-ABS(SUMIF(RX_REBATES22[[#All],[Insurance Category Code]],7,RX_REBATES22[[#All],[Total Pharmacy Rebates]])))/C101</f>
        <v>#DIV/0!</v>
      </c>
      <c r="D124" s="128" t="e">
        <f>(SUMIFS(AN_TME23[[#All],[TOTAL Non-Truncated Unadjusted Expenses (A21 + A23)]],AN_TME23[[#All],[Insurance Category Code]],7,AN_TME23[[#All],[Advanced Network/Insurance Carrier Org ID]],100)-ABS(SUMIF(RX_REBATES23[[#All],[Insurance Category Code]],7,RX_REBATES23[[#All],[Total Pharmacy Rebates]])))/D101</f>
        <v>#DIV/0!</v>
      </c>
      <c r="E124" s="131" t="e">
        <f>ICC7TME[[#This Row],[2023]]/ICC7TME[[#This Row],[2022]]-1</f>
        <v>#DIV/0!</v>
      </c>
    </row>
    <row r="125" spans="2:5" x14ac:dyDescent="0.25">
      <c r="B125" s="129" t="s">
        <v>301</v>
      </c>
      <c r="C125" s="141" t="e">
        <f>(SUMIFS(AN_TME22[[#All],[TOTAL Truncated Unadjusted Expenses (A22 + A23)]],AN_TME22[[#All],[Insurance Category Code]],7,AN_TME22[[#All],[Advanced Network/Insurance Carrier Org ID]],100))/C101</f>
        <v>#DIV/0!</v>
      </c>
      <c r="D125" s="141" t="e">
        <f>(SUMIFS(AN_TME23[[#All],[TOTAL Truncated Unadjusted Expenses (A22 + A23)]],AN_TME23[[#All],[Insurance Category Code]],7,AN_TME23[[#All],[Advanced Network/Insurance Carrier Org ID]],100))/D101</f>
        <v>#DIV/0!</v>
      </c>
      <c r="E125" s="131" t="e">
        <f>ICC7TME[[#This Row],[2023]]/ICC7TME[[#This Row],[2022]]-1</f>
        <v>#DIV/0!</v>
      </c>
    </row>
    <row r="126" spans="2:5" x14ac:dyDescent="0.25">
      <c r="B126" s="132" t="s">
        <v>302</v>
      </c>
      <c r="C126" s="142" t="e">
        <f>(SUMIFS(AN_TME22[[#All],[TOTAL Truncated Unadjusted Expenses (A22 + A23)]],AN_TME22[[#All],[Insurance Category Code]],7,AN_TME22[[#All],[Advanced Network/Insurance Carrier Org ID]],100)-ABS(SUMIF(RX_REBATES22[[#All],[Insurance Category Code]],7,RX_REBATES22[[#All],[Total Pharmacy Rebates]])))/C101</f>
        <v>#DIV/0!</v>
      </c>
      <c r="D126" s="142" t="e">
        <f>(SUMIFS(AN_TME23[[#All],[TOTAL Truncated Unadjusted Expenses (A22 + A23)]],AN_TME23[[#All],[Insurance Category Code]],7,AN_TME23[[#All],[Advanced Network/Insurance Carrier Org ID]],100)-ABS(SUMIF(RX_REBATES23[[#All],[Insurance Category Code]],7,RX_REBATES23[[#All],[Total Pharmacy Rebates]])))/D101</f>
        <v>#DIV/0!</v>
      </c>
      <c r="E126" s="131" t="e">
        <f>ICC7TME[[#This Row],[2023]]/ICC7TME[[#This Row],[2022]]-1</f>
        <v>#DIV/0!</v>
      </c>
    </row>
  </sheetData>
  <sheetProtection algorithmName="SHA-512" hashValue="oWtD+EGCcGOJ0dN/zJGCfOW1vFfnR0/bBSokiw70xBsxVcnNEbQpIv6vcAkPucDtlLAXZqTTxSzDtck1o8aJHA==" saltValue="welVojNcM+FcrBSSjeteXA==" spinCount="100000" sheet="1" objects="1" scenarios="1"/>
  <mergeCells count="1">
    <mergeCell ref="B3:J3"/>
  </mergeCells>
  <phoneticPr fontId="21" type="noConversion"/>
  <pageMargins left="0.7" right="0.7" top="0.75" bottom="0.75" header="0.3" footer="0.3"/>
  <pageSetup scale="16" fitToWidth="0" fitToHeight="0" orientation="portrait" horizontalDpi="1200" verticalDpi="1200" r:id="rId1"/>
  <tableParts count="12">
    <tablePart r:id="rId2"/>
    <tablePart r:id="rId3"/>
    <tablePart r:id="rId4"/>
    <tablePart r:id="rId5"/>
    <tablePart r:id="rId6"/>
    <tablePart r:id="rId7"/>
    <tablePart r:id="rId8"/>
    <tablePart r:id="rId9"/>
    <tablePart r:id="rId10"/>
    <tablePart r:id="rId11"/>
    <tablePart r:id="rId12"/>
    <tablePart r:id="rId13"/>
  </tablePart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1EECF4-198C-4C2A-8307-CB14BC410914}">
  <sheetPr codeName="Sheet19">
    <tabColor rgb="FFF79646"/>
  </sheetPr>
  <dimension ref="A2:AV269"/>
  <sheetViews>
    <sheetView zoomScale="80" zoomScaleNormal="80" workbookViewId="0">
      <selection activeCell="D4" sqref="D4"/>
    </sheetView>
  </sheetViews>
  <sheetFormatPr defaultRowHeight="15" x14ac:dyDescent="0.25"/>
  <cols>
    <col min="1" max="1" width="3.85546875" customWidth="1"/>
    <col min="2" max="2" width="9" customWidth="1"/>
    <col min="3" max="3" width="52.140625" style="18" customWidth="1"/>
    <col min="4" max="48" width="30.42578125" customWidth="1"/>
  </cols>
  <sheetData>
    <row r="2" spans="2:48" ht="18.75" x14ac:dyDescent="0.3">
      <c r="B2" s="174" t="s">
        <v>307</v>
      </c>
    </row>
    <row r="3" spans="2:48" ht="15.75" x14ac:dyDescent="0.25">
      <c r="B3" s="513" t="s">
        <v>497</v>
      </c>
      <c r="C3" s="512"/>
    </row>
    <row r="5" spans="2:48" ht="16.5" thickBot="1" x14ac:dyDescent="0.3">
      <c r="B5" s="54" t="s">
        <v>308</v>
      </c>
      <c r="C5" s="526"/>
    </row>
    <row r="6" spans="2:48" x14ac:dyDescent="0.25">
      <c r="B6" s="590" t="s">
        <v>309</v>
      </c>
      <c r="C6" s="591"/>
      <c r="D6" s="583">
        <v>2022</v>
      </c>
      <c r="E6" s="583"/>
      <c r="F6" s="583"/>
      <c r="G6" s="583"/>
      <c r="H6" s="583"/>
      <c r="I6" s="583"/>
      <c r="J6" s="583"/>
      <c r="K6" s="583"/>
      <c r="L6" s="583"/>
      <c r="M6" s="583"/>
      <c r="N6" s="583"/>
      <c r="O6" s="583"/>
      <c r="P6" s="583"/>
      <c r="Q6" s="583"/>
      <c r="R6" s="583"/>
      <c r="S6" s="582">
        <v>2023</v>
      </c>
      <c r="T6" s="583"/>
      <c r="U6" s="583"/>
      <c r="V6" s="583"/>
      <c r="W6" s="583"/>
      <c r="X6" s="583"/>
      <c r="Y6" s="583"/>
      <c r="Z6" s="583"/>
      <c r="AA6" s="583"/>
      <c r="AB6" s="583"/>
      <c r="AC6" s="583"/>
      <c r="AD6" s="583"/>
      <c r="AE6" s="583"/>
      <c r="AF6" s="583"/>
      <c r="AG6" s="584"/>
      <c r="AH6" s="557" t="s">
        <v>454</v>
      </c>
      <c r="AI6" s="558"/>
      <c r="AJ6" s="559"/>
      <c r="AK6" s="559"/>
      <c r="AL6" s="559"/>
      <c r="AM6" s="559"/>
      <c r="AN6" s="559"/>
      <c r="AO6" s="559"/>
      <c r="AP6" s="559"/>
      <c r="AQ6" s="559"/>
      <c r="AR6" s="560"/>
      <c r="AS6" s="560"/>
      <c r="AT6" s="560"/>
      <c r="AU6" s="560"/>
      <c r="AV6" s="561"/>
    </row>
    <row r="7" spans="2:48" ht="30" x14ac:dyDescent="0.25">
      <c r="B7" s="65" t="s">
        <v>310</v>
      </c>
      <c r="C7" s="66" t="s">
        <v>311</v>
      </c>
      <c r="D7" s="143" t="s">
        <v>211</v>
      </c>
      <c r="E7" s="143" t="s">
        <v>102</v>
      </c>
      <c r="F7" s="63" t="s">
        <v>104</v>
      </c>
      <c r="G7" s="63" t="s">
        <v>106</v>
      </c>
      <c r="H7" s="63" t="s">
        <v>312</v>
      </c>
      <c r="I7" s="63" t="s">
        <v>108</v>
      </c>
      <c r="J7" s="63" t="s">
        <v>109</v>
      </c>
      <c r="K7" s="63" t="s">
        <v>313</v>
      </c>
      <c r="L7" s="63" t="s">
        <v>314</v>
      </c>
      <c r="M7" s="63" t="s">
        <v>115</v>
      </c>
      <c r="N7" s="149" t="s">
        <v>315</v>
      </c>
      <c r="O7" s="149" t="s">
        <v>316</v>
      </c>
      <c r="P7" s="149" t="s">
        <v>214</v>
      </c>
      <c r="Q7" s="149" t="s">
        <v>317</v>
      </c>
      <c r="R7" s="149" t="s">
        <v>318</v>
      </c>
      <c r="S7" s="65" t="s">
        <v>211</v>
      </c>
      <c r="T7" s="143" t="s">
        <v>102</v>
      </c>
      <c r="U7" s="63" t="s">
        <v>104</v>
      </c>
      <c r="V7" s="63" t="s">
        <v>106</v>
      </c>
      <c r="W7" s="63" t="s">
        <v>312</v>
      </c>
      <c r="X7" s="63" t="s">
        <v>108</v>
      </c>
      <c r="Y7" s="63" t="s">
        <v>109</v>
      </c>
      <c r="Z7" s="63" t="s">
        <v>313</v>
      </c>
      <c r="AA7" s="63" t="s">
        <v>314</v>
      </c>
      <c r="AB7" s="63" t="s">
        <v>115</v>
      </c>
      <c r="AC7" s="149" t="s">
        <v>315</v>
      </c>
      <c r="AD7" s="149" t="s">
        <v>316</v>
      </c>
      <c r="AE7" s="149" t="s">
        <v>214</v>
      </c>
      <c r="AF7" s="149" t="s">
        <v>317</v>
      </c>
      <c r="AG7" s="66" t="s">
        <v>318</v>
      </c>
      <c r="AH7" s="143" t="s">
        <v>211</v>
      </c>
      <c r="AI7" s="143" t="s">
        <v>102</v>
      </c>
      <c r="AJ7" s="63" t="s">
        <v>104</v>
      </c>
      <c r="AK7" s="63" t="s">
        <v>106</v>
      </c>
      <c r="AL7" s="63" t="s">
        <v>312</v>
      </c>
      <c r="AM7" s="63" t="s">
        <v>108</v>
      </c>
      <c r="AN7" s="63" t="s">
        <v>109</v>
      </c>
      <c r="AO7" s="63" t="s">
        <v>313</v>
      </c>
      <c r="AP7" s="63" t="s">
        <v>314</v>
      </c>
      <c r="AQ7" s="63" t="s">
        <v>115</v>
      </c>
      <c r="AR7" s="149" t="s">
        <v>315</v>
      </c>
      <c r="AS7" s="149" t="s">
        <v>316</v>
      </c>
      <c r="AT7" s="149" t="s">
        <v>214</v>
      </c>
      <c r="AU7" s="149" t="s">
        <v>317</v>
      </c>
      <c r="AV7" s="66" t="s">
        <v>318</v>
      </c>
    </row>
    <row r="8" spans="2:48" ht="30" x14ac:dyDescent="0.25">
      <c r="B8" s="166">
        <v>101</v>
      </c>
      <c r="C8" s="169" t="str">
        <f>_xlfn.XLOOKUP(B8, LgProvEntOrgIDs[Advanced Network/Insurer Carrier Org ID], LgProvEntOrgIDs[Advanced Network/Insurance Carrier Overall])</f>
        <v>Privia Quality Network of Connecticut (PQN CT) (formerly Community Medical Group)</v>
      </c>
      <c r="D8" s="507">
        <f t="shared" ref="D8:D18" si="0">D46+D84</f>
        <v>0</v>
      </c>
      <c r="E8" s="155" t="str">
        <f t="shared" ref="E8:E18" si="1">IF(D8=0,"NA",(SUMPRODUCT(E46,D46)+SUMPRODUCT(E84,D84))/D8)</f>
        <v>NA</v>
      </c>
      <c r="F8" s="155" t="str">
        <f t="shared" ref="F8:F18" si="2">IF(D8=0,"NA",(SUMPRODUCT(F46,D46)+SUMPRODUCT(F84,D84))/D8)</f>
        <v>NA</v>
      </c>
      <c r="G8" s="155" t="str">
        <f t="shared" ref="G8:G18" si="3">IF(D8=0,"NA",(SUMPRODUCT(G46,D46)+SUMPRODUCT(G84,D84))/D8)</f>
        <v>NA</v>
      </c>
      <c r="H8" s="155" t="str">
        <f t="shared" ref="H8:H18" si="4">IF(D8=0,"NA",(SUMPRODUCT(H46,D46)+SUMPRODUCT(H84,D84))/D8)</f>
        <v>NA</v>
      </c>
      <c r="I8" s="155" t="str">
        <f t="shared" ref="I8:I18" si="5">IF(D8=0,"NA",(SUMPRODUCT(I46,D46)+SUMPRODUCT(I84,D84))/D8)</f>
        <v>NA</v>
      </c>
      <c r="J8" s="155" t="str">
        <f t="shared" ref="J8:J18" si="6">IF(D8=0,"NA",(SUMPRODUCT(J46,D46)+SUMPRODUCT(J84,D84))/D8)</f>
        <v>NA</v>
      </c>
      <c r="K8" s="155" t="str">
        <f t="shared" ref="K8:K18" si="7">IF(D8=0,"NA",(SUMPRODUCT(K46,D46)+SUMPRODUCT(K84,D84))/D8)</f>
        <v>NA</v>
      </c>
      <c r="L8" s="155" t="str">
        <f t="shared" ref="L8:L18" si="8">IF(D8=0,"NA",(SUMPRODUCT(L46,D46)+SUMPRODUCT(L84,D84))/D8)</f>
        <v>NA</v>
      </c>
      <c r="M8" s="155" t="str">
        <f t="shared" ref="M8:M18" si="9">IF(D8=0,"NA",(SUMPRODUCT(M46,D46)+SUMPRODUCT(M84,D84))/D8)</f>
        <v>NA</v>
      </c>
      <c r="N8" s="155" t="str">
        <f t="shared" ref="N8:N18" si="10">IF(D8=0,"NA",(SUMPRODUCT(N46,D46)+SUMPRODUCT(N84,D84))/D8)</f>
        <v>NA</v>
      </c>
      <c r="O8" s="155" t="str">
        <f t="shared" ref="O8:O18" si="11">IF(D8=0,"NA",(SUMPRODUCT(O46,D46)+SUMPRODUCT(O84,D84))/D8)</f>
        <v>NA</v>
      </c>
      <c r="P8" s="155" t="str">
        <f t="shared" ref="P8:P18" si="12">IF(D8=0,"NA",(SUMPRODUCT(P46,D46)+SUMPRODUCT(P84,D84))/D8)</f>
        <v>NA</v>
      </c>
      <c r="Q8" s="155" t="str">
        <f t="shared" ref="Q8:Q18" si="13">IF(D8=0,"NA",(SUMPRODUCT(Q46,D46)+SUMPRODUCT(Q84,D84))/D8)</f>
        <v>NA</v>
      </c>
      <c r="R8" s="165" t="str">
        <f t="shared" ref="R8:R18" si="14">IF(D8=0,"NA",(SUMPRODUCT(R46,D46)+SUMPRODUCT(R84,D84))/D8)</f>
        <v>NA</v>
      </c>
      <c r="S8" s="507">
        <f t="shared" ref="S8:S18" si="15">S46+S84</f>
        <v>0</v>
      </c>
      <c r="T8" s="155" t="str">
        <f t="shared" ref="T8:T18" si="16">IF(S8=0,"NA",(SUMPRODUCT(T46,S46)+SUMPRODUCT(T84,S84))/S8)</f>
        <v>NA</v>
      </c>
      <c r="U8" s="155" t="str">
        <f t="shared" ref="U8:U18" si="17">IF(S8=0,"NA",(SUMPRODUCT(U46,S46)+SUMPRODUCT(U84,S84))/S8)</f>
        <v>NA</v>
      </c>
      <c r="V8" s="155" t="str">
        <f t="shared" ref="V8:V18" si="18">IF(S8=0,"NA",(SUMPRODUCT(V46,S46)+SUMPRODUCT(V84,S84))/S8)</f>
        <v>NA</v>
      </c>
      <c r="W8" s="155" t="str">
        <f t="shared" ref="W8:W18" si="19">IF(S8=0,"NA",(SUMPRODUCT(W46,S46)+SUMPRODUCT(W84,S84))/S8)</f>
        <v>NA</v>
      </c>
      <c r="X8" s="155" t="str">
        <f t="shared" ref="X8:X18" si="20">IF(S8=0,"NA",(SUMPRODUCT(X46,S46)+SUMPRODUCT(X84,S84))/S8)</f>
        <v>NA</v>
      </c>
      <c r="Y8" s="155" t="str">
        <f t="shared" ref="Y8:Y18" si="21">IF(S8=0,"NA",(SUMPRODUCT(Y46,S46)+SUMPRODUCT(Y84,S84))/S8)</f>
        <v>NA</v>
      </c>
      <c r="Z8" s="155" t="str">
        <f t="shared" ref="Z8:Z18" si="22">IF(S8=0,"NA",(SUMPRODUCT(Z46,S46)+SUMPRODUCT(Z84,S84))/S8)</f>
        <v>NA</v>
      </c>
      <c r="AA8" s="155" t="str">
        <f t="shared" ref="AA8:AA18" si="23">IF(S8=0,"NA",(SUMPRODUCT(AA46,S46)+SUMPRODUCT(AA84,S84))/S8)</f>
        <v>NA</v>
      </c>
      <c r="AB8" s="155" t="str">
        <f t="shared" ref="AB8:AB18" si="24">IF(S8=0,"NA",(SUMPRODUCT(AB46,S46)+SUMPRODUCT(AB84,S84))/S8)</f>
        <v>NA</v>
      </c>
      <c r="AC8" s="155" t="str">
        <f t="shared" ref="AC8:AC18" si="25">IF(S8=0,"NA",(SUMPRODUCT(AC46,S46)+SUMPRODUCT(AC84,S84))/S8)</f>
        <v>NA</v>
      </c>
      <c r="AD8" s="155" t="str">
        <f t="shared" ref="AD8:AD18" si="26">IF(S8=0,"NA",(SUMPRODUCT(AD46,S46)+SUMPRODUCT(AD84,S84))/S8)</f>
        <v>NA</v>
      </c>
      <c r="AE8" s="155" t="str">
        <f t="shared" ref="AE8:AE18" si="27">IF(S8=0,"NA",(SUMPRODUCT(AE46,S46)+SUMPRODUCT(AE84,S84))/S8)</f>
        <v>NA</v>
      </c>
      <c r="AF8" s="155" t="str">
        <f t="shared" ref="AF8:AF18" si="28">IF(S8=0,"NA",(SUMPRODUCT(AF46,S46)+SUMPRODUCT(AF84,S84))/S8)</f>
        <v>NA</v>
      </c>
      <c r="AG8" s="156" t="str">
        <f t="shared" ref="AG8:AG18" si="29">IF(S8=0,"NA",(SUMPRODUCT(AG46,S46)+SUMPRODUCT(AG84,S84))/S8)</f>
        <v>NA</v>
      </c>
      <c r="AH8" s="478" t="str">
        <f>IF(D8=0,"NA",S8/D8-1)</f>
        <v>NA</v>
      </c>
      <c r="AI8" s="479" t="str">
        <f>IF(D8=0,"NA",T8/E8-1)</f>
        <v>NA</v>
      </c>
      <c r="AJ8" s="480" t="str">
        <f>IF(D8=0,"NA",U8/F8-1)</f>
        <v>NA</v>
      </c>
      <c r="AK8" s="480" t="str">
        <f>IF(D8=0,"NA",V8/G8-1)</f>
        <v>NA</v>
      </c>
      <c r="AL8" s="480" t="str">
        <f>IF(D8=0,"NA",W8/H8-1)</f>
        <v>NA</v>
      </c>
      <c r="AM8" s="480" t="str">
        <f>IF(D8=0,"NA",X8/I8-1)</f>
        <v>NA</v>
      </c>
      <c r="AN8" s="480" t="str">
        <f>IF(D8=0,"NA",Y8/J8-1)</f>
        <v>NA</v>
      </c>
      <c r="AO8" s="480" t="str">
        <f>IF(D8=0,"NA",Z8/K8-1)</f>
        <v>NA</v>
      </c>
      <c r="AP8" s="480" t="str">
        <f>IF(D8=0,"NA",AA8/L8-1)</f>
        <v>NA</v>
      </c>
      <c r="AQ8" s="480" t="str">
        <f>IF(D8=0,"NA",AB8/M8-1)</f>
        <v>NA</v>
      </c>
      <c r="AR8" s="481" t="str">
        <f>IF(D8=0,"NA",AC8/N8-1)</f>
        <v>NA</v>
      </c>
      <c r="AS8" s="481" t="str">
        <f>IF(D8=0,"NA",AD8/O8-1)</f>
        <v>NA</v>
      </c>
      <c r="AT8" s="481" t="str">
        <f>IF(D8=0,"NA",AE8/P8-1)</f>
        <v>NA</v>
      </c>
      <c r="AU8" s="481" t="str">
        <f>IF(D8=0,"NA",AF8/Q8-1)</f>
        <v>NA</v>
      </c>
      <c r="AV8" s="482" t="str">
        <f>IF(D8=0,"NA",AG8/R8-1)</f>
        <v>NA</v>
      </c>
    </row>
    <row r="9" spans="2:48" x14ac:dyDescent="0.25">
      <c r="B9" s="166">
        <v>102</v>
      </c>
      <c r="C9" s="169" t="str">
        <f>_xlfn.XLOOKUP(B9, LgProvEntOrgIDs[Advanced Network/Insurer Carrier Org ID], LgProvEntOrgIDs[Advanced Network/Insurance Carrier Overall])</f>
        <v>Connecticut Children's Care Network</v>
      </c>
      <c r="D9" s="507">
        <f t="shared" si="0"/>
        <v>0</v>
      </c>
      <c r="E9" s="155" t="str">
        <f t="shared" si="1"/>
        <v>NA</v>
      </c>
      <c r="F9" s="155" t="str">
        <f t="shared" si="2"/>
        <v>NA</v>
      </c>
      <c r="G9" s="155" t="str">
        <f t="shared" si="3"/>
        <v>NA</v>
      </c>
      <c r="H9" s="155" t="str">
        <f t="shared" si="4"/>
        <v>NA</v>
      </c>
      <c r="I9" s="155" t="str">
        <f t="shared" si="5"/>
        <v>NA</v>
      </c>
      <c r="J9" s="155" t="str">
        <f t="shared" si="6"/>
        <v>NA</v>
      </c>
      <c r="K9" s="155" t="str">
        <f t="shared" si="7"/>
        <v>NA</v>
      </c>
      <c r="L9" s="155" t="str">
        <f t="shared" si="8"/>
        <v>NA</v>
      </c>
      <c r="M9" s="155" t="str">
        <f t="shared" si="9"/>
        <v>NA</v>
      </c>
      <c r="N9" s="155" t="str">
        <f t="shared" si="10"/>
        <v>NA</v>
      </c>
      <c r="O9" s="155" t="str">
        <f t="shared" si="11"/>
        <v>NA</v>
      </c>
      <c r="P9" s="155" t="str">
        <f t="shared" si="12"/>
        <v>NA</v>
      </c>
      <c r="Q9" s="155" t="str">
        <f t="shared" si="13"/>
        <v>NA</v>
      </c>
      <c r="R9" s="165" t="str">
        <f t="shared" si="14"/>
        <v>NA</v>
      </c>
      <c r="S9" s="507">
        <f t="shared" si="15"/>
        <v>0</v>
      </c>
      <c r="T9" s="155" t="str">
        <f t="shared" si="16"/>
        <v>NA</v>
      </c>
      <c r="U9" s="155" t="str">
        <f t="shared" si="17"/>
        <v>NA</v>
      </c>
      <c r="V9" s="155" t="str">
        <f t="shared" si="18"/>
        <v>NA</v>
      </c>
      <c r="W9" s="155" t="str">
        <f t="shared" si="19"/>
        <v>NA</v>
      </c>
      <c r="X9" s="155" t="str">
        <f t="shared" si="20"/>
        <v>NA</v>
      </c>
      <c r="Y9" s="155" t="str">
        <f t="shared" si="21"/>
        <v>NA</v>
      </c>
      <c r="Z9" s="155" t="str">
        <f t="shared" si="22"/>
        <v>NA</v>
      </c>
      <c r="AA9" s="155" t="str">
        <f t="shared" si="23"/>
        <v>NA</v>
      </c>
      <c r="AB9" s="155" t="str">
        <f t="shared" si="24"/>
        <v>NA</v>
      </c>
      <c r="AC9" s="155" t="str">
        <f t="shared" si="25"/>
        <v>NA</v>
      </c>
      <c r="AD9" s="155" t="str">
        <f t="shared" si="26"/>
        <v>NA</v>
      </c>
      <c r="AE9" s="155" t="str">
        <f t="shared" si="27"/>
        <v>NA</v>
      </c>
      <c r="AF9" s="155" t="str">
        <f t="shared" si="28"/>
        <v>NA</v>
      </c>
      <c r="AG9" s="156" t="str">
        <f t="shared" si="29"/>
        <v>NA</v>
      </c>
      <c r="AH9" s="478" t="str">
        <f t="shared" ref="AH9:AH17" si="30">IF(D9=0,"NA",S9/D9-1)</f>
        <v>NA</v>
      </c>
      <c r="AI9" s="479" t="str">
        <f t="shared" ref="AI9:AI17" si="31">IF(D9=0,"NA",T9/E9-1)</f>
        <v>NA</v>
      </c>
      <c r="AJ9" s="480" t="str">
        <f t="shared" ref="AJ9:AJ17" si="32">IF(D9=0,"NA",U9/F9-1)</f>
        <v>NA</v>
      </c>
      <c r="AK9" s="480" t="str">
        <f t="shared" ref="AK9:AK17" si="33">IF(D9=0,"NA",V9/G9-1)</f>
        <v>NA</v>
      </c>
      <c r="AL9" s="480" t="str">
        <f t="shared" ref="AL9:AL17" si="34">IF(D9=0,"NA",W9/H9-1)</f>
        <v>NA</v>
      </c>
      <c r="AM9" s="480" t="str">
        <f t="shared" ref="AM9:AM17" si="35">IF(D9=0,"NA",X9/I9-1)</f>
        <v>NA</v>
      </c>
      <c r="AN9" s="480" t="str">
        <f t="shared" ref="AN9:AN17" si="36">IF(D9=0,"NA",Y9/J9-1)</f>
        <v>NA</v>
      </c>
      <c r="AO9" s="480" t="str">
        <f t="shared" ref="AO9:AO17" si="37">IF(D9=0,"NA",Z9/K9-1)</f>
        <v>NA</v>
      </c>
      <c r="AP9" s="480" t="str">
        <f t="shared" ref="AP9:AP17" si="38">IF(D9=0,"NA",AA9/L9-1)</f>
        <v>NA</v>
      </c>
      <c r="AQ9" s="480" t="str">
        <f t="shared" ref="AQ9:AQ17" si="39">IF(D9=0,"NA",AB9/M9-1)</f>
        <v>NA</v>
      </c>
      <c r="AR9" s="481" t="str">
        <f t="shared" ref="AR9:AR17" si="40">IF(D9=0,"NA",AC9/N9-1)</f>
        <v>NA</v>
      </c>
      <c r="AS9" s="481" t="str">
        <f t="shared" ref="AS9:AS17" si="41">IF(D9=0,"NA",AD9/O9-1)</f>
        <v>NA</v>
      </c>
      <c r="AT9" s="481" t="str">
        <f t="shared" ref="AT9:AT17" si="42">IF(D9=0,"NA",AE9/P9-1)</f>
        <v>NA</v>
      </c>
      <c r="AU9" s="481" t="str">
        <f t="shared" ref="AU9:AU17" si="43">IF(D9=0,"NA",AF9/Q9-1)</f>
        <v>NA</v>
      </c>
      <c r="AV9" s="482" t="str">
        <f t="shared" ref="AV9:AV17" si="44">IF(D9=0,"NA",AG9/R9-1)</f>
        <v>NA</v>
      </c>
    </row>
    <row r="10" spans="2:48" x14ac:dyDescent="0.25">
      <c r="B10" s="166">
        <v>103</v>
      </c>
      <c r="C10" s="169" t="str">
        <f>_xlfn.XLOOKUP(B10, LgProvEntOrgIDs[Advanced Network/Insurer Carrier Org ID], LgProvEntOrgIDs[Advanced Network/Insurance Carrier Overall])</f>
        <v>Connecticut State Medical Society IPA</v>
      </c>
      <c r="D10" s="507">
        <f t="shared" si="0"/>
        <v>0</v>
      </c>
      <c r="E10" s="155" t="str">
        <f t="shared" si="1"/>
        <v>NA</v>
      </c>
      <c r="F10" s="155" t="str">
        <f t="shared" si="2"/>
        <v>NA</v>
      </c>
      <c r="G10" s="155" t="str">
        <f t="shared" si="3"/>
        <v>NA</v>
      </c>
      <c r="H10" s="155" t="str">
        <f t="shared" si="4"/>
        <v>NA</v>
      </c>
      <c r="I10" s="155" t="str">
        <f t="shared" si="5"/>
        <v>NA</v>
      </c>
      <c r="J10" s="155" t="str">
        <f t="shared" si="6"/>
        <v>NA</v>
      </c>
      <c r="K10" s="155" t="str">
        <f t="shared" si="7"/>
        <v>NA</v>
      </c>
      <c r="L10" s="155" t="str">
        <f t="shared" si="8"/>
        <v>NA</v>
      </c>
      <c r="M10" s="155" t="str">
        <f t="shared" si="9"/>
        <v>NA</v>
      </c>
      <c r="N10" s="155" t="str">
        <f t="shared" si="10"/>
        <v>NA</v>
      </c>
      <c r="O10" s="155" t="str">
        <f t="shared" si="11"/>
        <v>NA</v>
      </c>
      <c r="P10" s="155" t="str">
        <f t="shared" si="12"/>
        <v>NA</v>
      </c>
      <c r="Q10" s="155" t="str">
        <f t="shared" si="13"/>
        <v>NA</v>
      </c>
      <c r="R10" s="165" t="str">
        <f t="shared" si="14"/>
        <v>NA</v>
      </c>
      <c r="S10" s="507">
        <f t="shared" si="15"/>
        <v>0</v>
      </c>
      <c r="T10" s="155" t="str">
        <f t="shared" si="16"/>
        <v>NA</v>
      </c>
      <c r="U10" s="155" t="str">
        <f t="shared" si="17"/>
        <v>NA</v>
      </c>
      <c r="V10" s="155" t="str">
        <f t="shared" si="18"/>
        <v>NA</v>
      </c>
      <c r="W10" s="155" t="str">
        <f t="shared" si="19"/>
        <v>NA</v>
      </c>
      <c r="X10" s="155" t="str">
        <f t="shared" si="20"/>
        <v>NA</v>
      </c>
      <c r="Y10" s="155" t="str">
        <f t="shared" si="21"/>
        <v>NA</v>
      </c>
      <c r="Z10" s="155" t="str">
        <f t="shared" si="22"/>
        <v>NA</v>
      </c>
      <c r="AA10" s="155" t="str">
        <f t="shared" si="23"/>
        <v>NA</v>
      </c>
      <c r="AB10" s="155" t="str">
        <f t="shared" si="24"/>
        <v>NA</v>
      </c>
      <c r="AC10" s="155" t="str">
        <f t="shared" si="25"/>
        <v>NA</v>
      </c>
      <c r="AD10" s="155" t="str">
        <f t="shared" si="26"/>
        <v>NA</v>
      </c>
      <c r="AE10" s="155" t="str">
        <f t="shared" si="27"/>
        <v>NA</v>
      </c>
      <c r="AF10" s="155" t="str">
        <f t="shared" si="28"/>
        <v>NA</v>
      </c>
      <c r="AG10" s="156" t="str">
        <f t="shared" si="29"/>
        <v>NA</v>
      </c>
      <c r="AH10" s="478" t="str">
        <f t="shared" si="30"/>
        <v>NA</v>
      </c>
      <c r="AI10" s="479" t="str">
        <f t="shared" si="31"/>
        <v>NA</v>
      </c>
      <c r="AJ10" s="480" t="str">
        <f t="shared" si="32"/>
        <v>NA</v>
      </c>
      <c r="AK10" s="480" t="str">
        <f t="shared" si="33"/>
        <v>NA</v>
      </c>
      <c r="AL10" s="480" t="str">
        <f t="shared" si="34"/>
        <v>NA</v>
      </c>
      <c r="AM10" s="480" t="str">
        <f t="shared" si="35"/>
        <v>NA</v>
      </c>
      <c r="AN10" s="480" t="str">
        <f t="shared" si="36"/>
        <v>NA</v>
      </c>
      <c r="AO10" s="480" t="str">
        <f t="shared" si="37"/>
        <v>NA</v>
      </c>
      <c r="AP10" s="480" t="str">
        <f t="shared" si="38"/>
        <v>NA</v>
      </c>
      <c r="AQ10" s="480" t="str">
        <f t="shared" si="39"/>
        <v>NA</v>
      </c>
      <c r="AR10" s="481" t="str">
        <f t="shared" si="40"/>
        <v>NA</v>
      </c>
      <c r="AS10" s="481" t="str">
        <f t="shared" si="41"/>
        <v>NA</v>
      </c>
      <c r="AT10" s="481" t="str">
        <f t="shared" si="42"/>
        <v>NA</v>
      </c>
      <c r="AU10" s="481" t="str">
        <f t="shared" si="43"/>
        <v>NA</v>
      </c>
      <c r="AV10" s="482" t="str">
        <f t="shared" si="44"/>
        <v>NA</v>
      </c>
    </row>
    <row r="11" spans="2:48" x14ac:dyDescent="0.25">
      <c r="B11" s="166">
        <v>104</v>
      </c>
      <c r="C11" s="169" t="str">
        <f>_xlfn.XLOOKUP(B11, LgProvEntOrgIDs[Advanced Network/Insurer Carrier Org ID], LgProvEntOrgIDs[Advanced Network/Insurance Carrier Overall])</f>
        <v>Integrated Care Partners</v>
      </c>
      <c r="D11" s="507">
        <f t="shared" si="0"/>
        <v>0</v>
      </c>
      <c r="E11" s="155" t="str">
        <f t="shared" si="1"/>
        <v>NA</v>
      </c>
      <c r="F11" s="155" t="str">
        <f t="shared" si="2"/>
        <v>NA</v>
      </c>
      <c r="G11" s="155" t="str">
        <f t="shared" si="3"/>
        <v>NA</v>
      </c>
      <c r="H11" s="155" t="str">
        <f t="shared" si="4"/>
        <v>NA</v>
      </c>
      <c r="I11" s="155" t="str">
        <f t="shared" si="5"/>
        <v>NA</v>
      </c>
      <c r="J11" s="155" t="str">
        <f t="shared" si="6"/>
        <v>NA</v>
      </c>
      <c r="K11" s="155" t="str">
        <f t="shared" si="7"/>
        <v>NA</v>
      </c>
      <c r="L11" s="155" t="str">
        <f t="shared" si="8"/>
        <v>NA</v>
      </c>
      <c r="M11" s="155" t="str">
        <f t="shared" si="9"/>
        <v>NA</v>
      </c>
      <c r="N11" s="155" t="str">
        <f t="shared" si="10"/>
        <v>NA</v>
      </c>
      <c r="O11" s="155" t="str">
        <f t="shared" si="11"/>
        <v>NA</v>
      </c>
      <c r="P11" s="155" t="str">
        <f t="shared" si="12"/>
        <v>NA</v>
      </c>
      <c r="Q11" s="155" t="str">
        <f t="shared" si="13"/>
        <v>NA</v>
      </c>
      <c r="R11" s="165" t="str">
        <f t="shared" si="14"/>
        <v>NA</v>
      </c>
      <c r="S11" s="507">
        <f t="shared" si="15"/>
        <v>0</v>
      </c>
      <c r="T11" s="155" t="str">
        <f t="shared" si="16"/>
        <v>NA</v>
      </c>
      <c r="U11" s="155" t="str">
        <f t="shared" si="17"/>
        <v>NA</v>
      </c>
      <c r="V11" s="155" t="str">
        <f t="shared" si="18"/>
        <v>NA</v>
      </c>
      <c r="W11" s="155" t="str">
        <f t="shared" si="19"/>
        <v>NA</v>
      </c>
      <c r="X11" s="155" t="str">
        <f t="shared" si="20"/>
        <v>NA</v>
      </c>
      <c r="Y11" s="155" t="str">
        <f t="shared" si="21"/>
        <v>NA</v>
      </c>
      <c r="Z11" s="155" t="str">
        <f t="shared" si="22"/>
        <v>NA</v>
      </c>
      <c r="AA11" s="155" t="str">
        <f t="shared" si="23"/>
        <v>NA</v>
      </c>
      <c r="AB11" s="155" t="str">
        <f t="shared" si="24"/>
        <v>NA</v>
      </c>
      <c r="AC11" s="155" t="str">
        <f t="shared" si="25"/>
        <v>NA</v>
      </c>
      <c r="AD11" s="155" t="str">
        <f t="shared" si="26"/>
        <v>NA</v>
      </c>
      <c r="AE11" s="155" t="str">
        <f t="shared" si="27"/>
        <v>NA</v>
      </c>
      <c r="AF11" s="155" t="str">
        <f t="shared" si="28"/>
        <v>NA</v>
      </c>
      <c r="AG11" s="156" t="str">
        <f t="shared" si="29"/>
        <v>NA</v>
      </c>
      <c r="AH11" s="478" t="str">
        <f t="shared" si="30"/>
        <v>NA</v>
      </c>
      <c r="AI11" s="479" t="str">
        <f t="shared" si="31"/>
        <v>NA</v>
      </c>
      <c r="AJ11" s="480" t="str">
        <f t="shared" si="32"/>
        <v>NA</v>
      </c>
      <c r="AK11" s="480" t="str">
        <f t="shared" si="33"/>
        <v>NA</v>
      </c>
      <c r="AL11" s="480" t="str">
        <f t="shared" si="34"/>
        <v>NA</v>
      </c>
      <c r="AM11" s="480" t="str">
        <f t="shared" si="35"/>
        <v>NA</v>
      </c>
      <c r="AN11" s="480" t="str">
        <f t="shared" si="36"/>
        <v>NA</v>
      </c>
      <c r="AO11" s="480" t="str">
        <f t="shared" si="37"/>
        <v>NA</v>
      </c>
      <c r="AP11" s="480" t="str">
        <f t="shared" si="38"/>
        <v>NA</v>
      </c>
      <c r="AQ11" s="480" t="str">
        <f t="shared" si="39"/>
        <v>NA</v>
      </c>
      <c r="AR11" s="481" t="str">
        <f t="shared" si="40"/>
        <v>NA</v>
      </c>
      <c r="AS11" s="481" t="str">
        <f t="shared" si="41"/>
        <v>NA</v>
      </c>
      <c r="AT11" s="481" t="str">
        <f t="shared" si="42"/>
        <v>NA</v>
      </c>
      <c r="AU11" s="481" t="str">
        <f t="shared" si="43"/>
        <v>NA</v>
      </c>
      <c r="AV11" s="482" t="str">
        <f t="shared" si="44"/>
        <v>NA</v>
      </c>
    </row>
    <row r="12" spans="2:48" x14ac:dyDescent="0.25">
      <c r="B12" s="166">
        <v>105</v>
      </c>
      <c r="C12" s="169" t="str">
        <f>_xlfn.XLOOKUP(B12, LgProvEntOrgIDs[Advanced Network/Insurer Carrier Org ID], LgProvEntOrgIDs[Advanced Network/Insurance Carrier Overall])</f>
        <v>NA</v>
      </c>
      <c r="D12" s="507">
        <f t="shared" si="0"/>
        <v>0</v>
      </c>
      <c r="E12" s="155" t="str">
        <f t="shared" si="1"/>
        <v>NA</v>
      </c>
      <c r="F12" s="155" t="str">
        <f t="shared" si="2"/>
        <v>NA</v>
      </c>
      <c r="G12" s="155" t="str">
        <f t="shared" si="3"/>
        <v>NA</v>
      </c>
      <c r="H12" s="155" t="str">
        <f t="shared" si="4"/>
        <v>NA</v>
      </c>
      <c r="I12" s="155" t="str">
        <f t="shared" si="5"/>
        <v>NA</v>
      </c>
      <c r="J12" s="155" t="str">
        <f t="shared" si="6"/>
        <v>NA</v>
      </c>
      <c r="K12" s="155" t="str">
        <f t="shared" si="7"/>
        <v>NA</v>
      </c>
      <c r="L12" s="155" t="str">
        <f t="shared" si="8"/>
        <v>NA</v>
      </c>
      <c r="M12" s="155" t="str">
        <f t="shared" si="9"/>
        <v>NA</v>
      </c>
      <c r="N12" s="155" t="str">
        <f t="shared" si="10"/>
        <v>NA</v>
      </c>
      <c r="O12" s="155" t="str">
        <f t="shared" si="11"/>
        <v>NA</v>
      </c>
      <c r="P12" s="155" t="str">
        <f t="shared" si="12"/>
        <v>NA</v>
      </c>
      <c r="Q12" s="155" t="str">
        <f t="shared" si="13"/>
        <v>NA</v>
      </c>
      <c r="R12" s="165" t="str">
        <f t="shared" si="14"/>
        <v>NA</v>
      </c>
      <c r="S12" s="507">
        <f t="shared" si="15"/>
        <v>0</v>
      </c>
      <c r="T12" s="155" t="str">
        <f t="shared" si="16"/>
        <v>NA</v>
      </c>
      <c r="U12" s="155" t="str">
        <f t="shared" si="17"/>
        <v>NA</v>
      </c>
      <c r="V12" s="155" t="str">
        <f t="shared" si="18"/>
        <v>NA</v>
      </c>
      <c r="W12" s="155" t="str">
        <f t="shared" si="19"/>
        <v>NA</v>
      </c>
      <c r="X12" s="155" t="str">
        <f t="shared" si="20"/>
        <v>NA</v>
      </c>
      <c r="Y12" s="155" t="str">
        <f t="shared" si="21"/>
        <v>NA</v>
      </c>
      <c r="Z12" s="155" t="str">
        <f t="shared" si="22"/>
        <v>NA</v>
      </c>
      <c r="AA12" s="155" t="str">
        <f t="shared" si="23"/>
        <v>NA</v>
      </c>
      <c r="AB12" s="155" t="str">
        <f t="shared" si="24"/>
        <v>NA</v>
      </c>
      <c r="AC12" s="155" t="str">
        <f t="shared" si="25"/>
        <v>NA</v>
      </c>
      <c r="AD12" s="155" t="str">
        <f t="shared" si="26"/>
        <v>NA</v>
      </c>
      <c r="AE12" s="155" t="str">
        <f t="shared" si="27"/>
        <v>NA</v>
      </c>
      <c r="AF12" s="155" t="str">
        <f t="shared" si="28"/>
        <v>NA</v>
      </c>
      <c r="AG12" s="156" t="str">
        <f t="shared" si="29"/>
        <v>NA</v>
      </c>
      <c r="AH12" s="478" t="str">
        <f t="shared" si="30"/>
        <v>NA</v>
      </c>
      <c r="AI12" s="479" t="str">
        <f t="shared" si="31"/>
        <v>NA</v>
      </c>
      <c r="AJ12" s="480" t="str">
        <f t="shared" si="32"/>
        <v>NA</v>
      </c>
      <c r="AK12" s="480" t="str">
        <f t="shared" si="33"/>
        <v>NA</v>
      </c>
      <c r="AL12" s="480" t="str">
        <f t="shared" si="34"/>
        <v>NA</v>
      </c>
      <c r="AM12" s="480" t="str">
        <f t="shared" si="35"/>
        <v>NA</v>
      </c>
      <c r="AN12" s="480" t="str">
        <f t="shared" si="36"/>
        <v>NA</v>
      </c>
      <c r="AO12" s="480" t="str">
        <f t="shared" si="37"/>
        <v>NA</v>
      </c>
      <c r="AP12" s="480" t="str">
        <f t="shared" si="38"/>
        <v>NA</v>
      </c>
      <c r="AQ12" s="480" t="str">
        <f t="shared" si="39"/>
        <v>NA</v>
      </c>
      <c r="AR12" s="481" t="str">
        <f t="shared" si="40"/>
        <v>NA</v>
      </c>
      <c r="AS12" s="481" t="str">
        <f t="shared" si="41"/>
        <v>NA</v>
      </c>
      <c r="AT12" s="481" t="str">
        <f t="shared" si="42"/>
        <v>NA</v>
      </c>
      <c r="AU12" s="481" t="str">
        <f t="shared" si="43"/>
        <v>NA</v>
      </c>
      <c r="AV12" s="482" t="str">
        <f t="shared" si="44"/>
        <v>NA</v>
      </c>
    </row>
    <row r="13" spans="2:48" x14ac:dyDescent="0.25">
      <c r="B13" s="166">
        <v>106</v>
      </c>
      <c r="C13" s="169" t="str">
        <f>_xlfn.XLOOKUP(B13, LgProvEntOrgIDs[Advanced Network/Insurer Carrier Org ID], LgProvEntOrgIDs[Advanced Network/Insurance Carrier Overall])</f>
        <v>Northeast Medical Group</v>
      </c>
      <c r="D13" s="507">
        <f t="shared" si="0"/>
        <v>0</v>
      </c>
      <c r="E13" s="155" t="str">
        <f t="shared" si="1"/>
        <v>NA</v>
      </c>
      <c r="F13" s="155" t="str">
        <f t="shared" si="2"/>
        <v>NA</v>
      </c>
      <c r="G13" s="155" t="str">
        <f t="shared" si="3"/>
        <v>NA</v>
      </c>
      <c r="H13" s="155" t="str">
        <f t="shared" si="4"/>
        <v>NA</v>
      </c>
      <c r="I13" s="155" t="str">
        <f t="shared" si="5"/>
        <v>NA</v>
      </c>
      <c r="J13" s="155" t="str">
        <f t="shared" si="6"/>
        <v>NA</v>
      </c>
      <c r="K13" s="155" t="str">
        <f t="shared" si="7"/>
        <v>NA</v>
      </c>
      <c r="L13" s="155" t="str">
        <f t="shared" si="8"/>
        <v>NA</v>
      </c>
      <c r="M13" s="155" t="str">
        <f t="shared" si="9"/>
        <v>NA</v>
      </c>
      <c r="N13" s="155" t="str">
        <f t="shared" si="10"/>
        <v>NA</v>
      </c>
      <c r="O13" s="155" t="str">
        <f t="shared" si="11"/>
        <v>NA</v>
      </c>
      <c r="P13" s="155" t="str">
        <f t="shared" si="12"/>
        <v>NA</v>
      </c>
      <c r="Q13" s="155" t="str">
        <f t="shared" si="13"/>
        <v>NA</v>
      </c>
      <c r="R13" s="165" t="str">
        <f t="shared" si="14"/>
        <v>NA</v>
      </c>
      <c r="S13" s="507">
        <f t="shared" si="15"/>
        <v>0</v>
      </c>
      <c r="T13" s="155" t="str">
        <f t="shared" si="16"/>
        <v>NA</v>
      </c>
      <c r="U13" s="155" t="str">
        <f t="shared" si="17"/>
        <v>NA</v>
      </c>
      <c r="V13" s="155" t="str">
        <f t="shared" si="18"/>
        <v>NA</v>
      </c>
      <c r="W13" s="155" t="str">
        <f t="shared" si="19"/>
        <v>NA</v>
      </c>
      <c r="X13" s="155" t="str">
        <f t="shared" si="20"/>
        <v>NA</v>
      </c>
      <c r="Y13" s="155" t="str">
        <f t="shared" si="21"/>
        <v>NA</v>
      </c>
      <c r="Z13" s="155" t="str">
        <f t="shared" si="22"/>
        <v>NA</v>
      </c>
      <c r="AA13" s="155" t="str">
        <f t="shared" si="23"/>
        <v>NA</v>
      </c>
      <c r="AB13" s="155" t="str">
        <f t="shared" si="24"/>
        <v>NA</v>
      </c>
      <c r="AC13" s="155" t="str">
        <f t="shared" si="25"/>
        <v>NA</v>
      </c>
      <c r="AD13" s="155" t="str">
        <f t="shared" si="26"/>
        <v>NA</v>
      </c>
      <c r="AE13" s="155" t="str">
        <f t="shared" si="27"/>
        <v>NA</v>
      </c>
      <c r="AF13" s="155" t="str">
        <f t="shared" si="28"/>
        <v>NA</v>
      </c>
      <c r="AG13" s="156" t="str">
        <f t="shared" si="29"/>
        <v>NA</v>
      </c>
      <c r="AH13" s="478" t="str">
        <f t="shared" si="30"/>
        <v>NA</v>
      </c>
      <c r="AI13" s="479" t="str">
        <f t="shared" si="31"/>
        <v>NA</v>
      </c>
      <c r="AJ13" s="480" t="str">
        <f t="shared" si="32"/>
        <v>NA</v>
      </c>
      <c r="AK13" s="480" t="str">
        <f t="shared" si="33"/>
        <v>NA</v>
      </c>
      <c r="AL13" s="480" t="str">
        <f t="shared" si="34"/>
        <v>NA</v>
      </c>
      <c r="AM13" s="480" t="str">
        <f t="shared" si="35"/>
        <v>NA</v>
      </c>
      <c r="AN13" s="480" t="str">
        <f t="shared" si="36"/>
        <v>NA</v>
      </c>
      <c r="AO13" s="480" t="str">
        <f t="shared" si="37"/>
        <v>NA</v>
      </c>
      <c r="AP13" s="480" t="str">
        <f t="shared" si="38"/>
        <v>NA</v>
      </c>
      <c r="AQ13" s="480" t="str">
        <f t="shared" si="39"/>
        <v>NA</v>
      </c>
      <c r="AR13" s="481" t="str">
        <f t="shared" si="40"/>
        <v>NA</v>
      </c>
      <c r="AS13" s="481" t="str">
        <f t="shared" si="41"/>
        <v>NA</v>
      </c>
      <c r="AT13" s="481" t="str">
        <f t="shared" si="42"/>
        <v>NA</v>
      </c>
      <c r="AU13" s="481" t="str">
        <f t="shared" si="43"/>
        <v>NA</v>
      </c>
      <c r="AV13" s="482" t="str">
        <f t="shared" si="44"/>
        <v>NA</v>
      </c>
    </row>
    <row r="14" spans="2:48" ht="30" x14ac:dyDescent="0.25">
      <c r="B14" s="166">
        <v>107</v>
      </c>
      <c r="C14" s="169" t="str">
        <f>_xlfn.XLOOKUP(B14, LgProvEntOrgIDs[Advanced Network/Insurer Carrier Org ID], LgProvEntOrgIDs[Advanced Network/Insurance Carrier Overall])</f>
        <v>OptumCare Network of Connecticut (including ProHealth)</v>
      </c>
      <c r="D14" s="507">
        <f t="shared" si="0"/>
        <v>0</v>
      </c>
      <c r="E14" s="155" t="str">
        <f t="shared" si="1"/>
        <v>NA</v>
      </c>
      <c r="F14" s="155" t="str">
        <f t="shared" si="2"/>
        <v>NA</v>
      </c>
      <c r="G14" s="155" t="str">
        <f t="shared" si="3"/>
        <v>NA</v>
      </c>
      <c r="H14" s="155" t="str">
        <f t="shared" si="4"/>
        <v>NA</v>
      </c>
      <c r="I14" s="155" t="str">
        <f t="shared" si="5"/>
        <v>NA</v>
      </c>
      <c r="J14" s="155" t="str">
        <f t="shared" si="6"/>
        <v>NA</v>
      </c>
      <c r="K14" s="155" t="str">
        <f t="shared" si="7"/>
        <v>NA</v>
      </c>
      <c r="L14" s="155" t="str">
        <f t="shared" si="8"/>
        <v>NA</v>
      </c>
      <c r="M14" s="155" t="str">
        <f t="shared" si="9"/>
        <v>NA</v>
      </c>
      <c r="N14" s="155" t="str">
        <f t="shared" si="10"/>
        <v>NA</v>
      </c>
      <c r="O14" s="155" t="str">
        <f t="shared" si="11"/>
        <v>NA</v>
      </c>
      <c r="P14" s="155" t="str">
        <f t="shared" si="12"/>
        <v>NA</v>
      </c>
      <c r="Q14" s="155" t="str">
        <f t="shared" si="13"/>
        <v>NA</v>
      </c>
      <c r="R14" s="165" t="str">
        <f t="shared" si="14"/>
        <v>NA</v>
      </c>
      <c r="S14" s="507">
        <f t="shared" si="15"/>
        <v>0</v>
      </c>
      <c r="T14" s="155" t="str">
        <f t="shared" si="16"/>
        <v>NA</v>
      </c>
      <c r="U14" s="155" t="str">
        <f t="shared" si="17"/>
        <v>NA</v>
      </c>
      <c r="V14" s="155" t="str">
        <f t="shared" si="18"/>
        <v>NA</v>
      </c>
      <c r="W14" s="155" t="str">
        <f t="shared" si="19"/>
        <v>NA</v>
      </c>
      <c r="X14" s="155" t="str">
        <f t="shared" si="20"/>
        <v>NA</v>
      </c>
      <c r="Y14" s="155" t="str">
        <f t="shared" si="21"/>
        <v>NA</v>
      </c>
      <c r="Z14" s="155" t="str">
        <f t="shared" si="22"/>
        <v>NA</v>
      </c>
      <c r="AA14" s="155" t="str">
        <f t="shared" si="23"/>
        <v>NA</v>
      </c>
      <c r="AB14" s="155" t="str">
        <f t="shared" si="24"/>
        <v>NA</v>
      </c>
      <c r="AC14" s="155" t="str">
        <f t="shared" si="25"/>
        <v>NA</v>
      </c>
      <c r="AD14" s="155" t="str">
        <f t="shared" si="26"/>
        <v>NA</v>
      </c>
      <c r="AE14" s="155" t="str">
        <f t="shared" si="27"/>
        <v>NA</v>
      </c>
      <c r="AF14" s="155" t="str">
        <f t="shared" si="28"/>
        <v>NA</v>
      </c>
      <c r="AG14" s="156" t="str">
        <f t="shared" si="29"/>
        <v>NA</v>
      </c>
      <c r="AH14" s="478" t="str">
        <f t="shared" si="30"/>
        <v>NA</v>
      </c>
      <c r="AI14" s="479" t="str">
        <f t="shared" si="31"/>
        <v>NA</v>
      </c>
      <c r="AJ14" s="480" t="str">
        <f t="shared" si="32"/>
        <v>NA</v>
      </c>
      <c r="AK14" s="480" t="str">
        <f t="shared" si="33"/>
        <v>NA</v>
      </c>
      <c r="AL14" s="480" t="str">
        <f t="shared" si="34"/>
        <v>NA</v>
      </c>
      <c r="AM14" s="480" t="str">
        <f t="shared" si="35"/>
        <v>NA</v>
      </c>
      <c r="AN14" s="480" t="str">
        <f t="shared" si="36"/>
        <v>NA</v>
      </c>
      <c r="AO14" s="480" t="str">
        <f t="shared" si="37"/>
        <v>NA</v>
      </c>
      <c r="AP14" s="480" t="str">
        <f t="shared" si="38"/>
        <v>NA</v>
      </c>
      <c r="AQ14" s="480" t="str">
        <f t="shared" si="39"/>
        <v>NA</v>
      </c>
      <c r="AR14" s="481" t="str">
        <f t="shared" si="40"/>
        <v>NA</v>
      </c>
      <c r="AS14" s="481" t="str">
        <f t="shared" si="41"/>
        <v>NA</v>
      </c>
      <c r="AT14" s="481" t="str">
        <f t="shared" si="42"/>
        <v>NA</v>
      </c>
      <c r="AU14" s="481" t="str">
        <f t="shared" si="43"/>
        <v>NA</v>
      </c>
      <c r="AV14" s="482" t="str">
        <f t="shared" si="44"/>
        <v>NA</v>
      </c>
    </row>
    <row r="15" spans="2:48" ht="45" x14ac:dyDescent="0.25">
      <c r="B15" s="166">
        <v>108</v>
      </c>
      <c r="C15" s="169" t="str">
        <f>_xlfn.XLOOKUP(B15, LgProvEntOrgIDs[Advanced Network/Insurer Carrier Org ID], LgProvEntOrgIDs[Advanced Network/Insurance Carrier Overall])</f>
        <v>Prospect Connecticut Medical Foundation Inc. (dba Prospect Medical, Prospect Health Services, Prospect Holdings)</v>
      </c>
      <c r="D15" s="507">
        <f t="shared" si="0"/>
        <v>0</v>
      </c>
      <c r="E15" s="155" t="str">
        <f t="shared" si="1"/>
        <v>NA</v>
      </c>
      <c r="F15" s="155" t="str">
        <f t="shared" si="2"/>
        <v>NA</v>
      </c>
      <c r="G15" s="155" t="str">
        <f t="shared" si="3"/>
        <v>NA</v>
      </c>
      <c r="H15" s="155" t="str">
        <f t="shared" si="4"/>
        <v>NA</v>
      </c>
      <c r="I15" s="155" t="str">
        <f t="shared" si="5"/>
        <v>NA</v>
      </c>
      <c r="J15" s="155" t="str">
        <f t="shared" si="6"/>
        <v>NA</v>
      </c>
      <c r="K15" s="155" t="str">
        <f t="shared" si="7"/>
        <v>NA</v>
      </c>
      <c r="L15" s="155" t="str">
        <f t="shared" si="8"/>
        <v>NA</v>
      </c>
      <c r="M15" s="155" t="str">
        <f t="shared" si="9"/>
        <v>NA</v>
      </c>
      <c r="N15" s="155" t="str">
        <f t="shared" si="10"/>
        <v>NA</v>
      </c>
      <c r="O15" s="155" t="str">
        <f t="shared" si="11"/>
        <v>NA</v>
      </c>
      <c r="P15" s="155" t="str">
        <f t="shared" si="12"/>
        <v>NA</v>
      </c>
      <c r="Q15" s="155" t="str">
        <f t="shared" si="13"/>
        <v>NA</v>
      </c>
      <c r="R15" s="165" t="str">
        <f t="shared" si="14"/>
        <v>NA</v>
      </c>
      <c r="S15" s="507">
        <f t="shared" si="15"/>
        <v>0</v>
      </c>
      <c r="T15" s="155" t="str">
        <f t="shared" si="16"/>
        <v>NA</v>
      </c>
      <c r="U15" s="155" t="str">
        <f t="shared" si="17"/>
        <v>NA</v>
      </c>
      <c r="V15" s="155" t="str">
        <f t="shared" si="18"/>
        <v>NA</v>
      </c>
      <c r="W15" s="155" t="str">
        <f t="shared" si="19"/>
        <v>NA</v>
      </c>
      <c r="X15" s="155" t="str">
        <f t="shared" si="20"/>
        <v>NA</v>
      </c>
      <c r="Y15" s="155" t="str">
        <f t="shared" si="21"/>
        <v>NA</v>
      </c>
      <c r="Z15" s="155" t="str">
        <f t="shared" si="22"/>
        <v>NA</v>
      </c>
      <c r="AA15" s="155" t="str">
        <f t="shared" si="23"/>
        <v>NA</v>
      </c>
      <c r="AB15" s="155" t="str">
        <f t="shared" si="24"/>
        <v>NA</v>
      </c>
      <c r="AC15" s="155" t="str">
        <f t="shared" si="25"/>
        <v>NA</v>
      </c>
      <c r="AD15" s="155" t="str">
        <f t="shared" si="26"/>
        <v>NA</v>
      </c>
      <c r="AE15" s="155" t="str">
        <f t="shared" si="27"/>
        <v>NA</v>
      </c>
      <c r="AF15" s="155" t="str">
        <f t="shared" si="28"/>
        <v>NA</v>
      </c>
      <c r="AG15" s="156" t="str">
        <f t="shared" si="29"/>
        <v>NA</v>
      </c>
      <c r="AH15" s="478" t="str">
        <f t="shared" si="30"/>
        <v>NA</v>
      </c>
      <c r="AI15" s="479" t="str">
        <f t="shared" si="31"/>
        <v>NA</v>
      </c>
      <c r="AJ15" s="480" t="str">
        <f t="shared" si="32"/>
        <v>NA</v>
      </c>
      <c r="AK15" s="480" t="str">
        <f t="shared" si="33"/>
        <v>NA</v>
      </c>
      <c r="AL15" s="480" t="str">
        <f t="shared" si="34"/>
        <v>NA</v>
      </c>
      <c r="AM15" s="480" t="str">
        <f t="shared" si="35"/>
        <v>NA</v>
      </c>
      <c r="AN15" s="480" t="str">
        <f t="shared" si="36"/>
        <v>NA</v>
      </c>
      <c r="AO15" s="480" t="str">
        <f t="shared" si="37"/>
        <v>NA</v>
      </c>
      <c r="AP15" s="480" t="str">
        <f t="shared" si="38"/>
        <v>NA</v>
      </c>
      <c r="AQ15" s="480" t="str">
        <f t="shared" si="39"/>
        <v>NA</v>
      </c>
      <c r="AR15" s="481" t="str">
        <f t="shared" si="40"/>
        <v>NA</v>
      </c>
      <c r="AS15" s="481" t="str">
        <f t="shared" si="41"/>
        <v>NA</v>
      </c>
      <c r="AT15" s="481" t="str">
        <f t="shared" si="42"/>
        <v>NA</v>
      </c>
      <c r="AU15" s="481" t="str">
        <f t="shared" si="43"/>
        <v>NA</v>
      </c>
      <c r="AV15" s="482" t="str">
        <f t="shared" si="44"/>
        <v>NA</v>
      </c>
    </row>
    <row r="16" spans="2:48" ht="30" x14ac:dyDescent="0.25">
      <c r="B16" s="166">
        <v>109</v>
      </c>
      <c r="C16" s="169" t="str">
        <f>_xlfn.XLOOKUP(B16, LgProvEntOrgIDs[Advanced Network/Insurer Carrier Org ID], LgProvEntOrgIDs[Advanced Network/Insurance Carrier Overall])</f>
        <v>Southern New England Health Care Organization (aka SOHO Health, Trinity Health of New England ACO, LLC)</v>
      </c>
      <c r="D16" s="507">
        <f t="shared" si="0"/>
        <v>0</v>
      </c>
      <c r="E16" s="155" t="str">
        <f t="shared" si="1"/>
        <v>NA</v>
      </c>
      <c r="F16" s="155" t="str">
        <f t="shared" si="2"/>
        <v>NA</v>
      </c>
      <c r="G16" s="155" t="str">
        <f t="shared" si="3"/>
        <v>NA</v>
      </c>
      <c r="H16" s="155" t="str">
        <f t="shared" si="4"/>
        <v>NA</v>
      </c>
      <c r="I16" s="155" t="str">
        <f t="shared" si="5"/>
        <v>NA</v>
      </c>
      <c r="J16" s="155" t="str">
        <f t="shared" si="6"/>
        <v>NA</v>
      </c>
      <c r="K16" s="155" t="str">
        <f t="shared" si="7"/>
        <v>NA</v>
      </c>
      <c r="L16" s="155" t="str">
        <f t="shared" si="8"/>
        <v>NA</v>
      </c>
      <c r="M16" s="155" t="str">
        <f t="shared" si="9"/>
        <v>NA</v>
      </c>
      <c r="N16" s="155" t="str">
        <f t="shared" si="10"/>
        <v>NA</v>
      </c>
      <c r="O16" s="155" t="str">
        <f t="shared" si="11"/>
        <v>NA</v>
      </c>
      <c r="P16" s="155" t="str">
        <f t="shared" si="12"/>
        <v>NA</v>
      </c>
      <c r="Q16" s="155" t="str">
        <f t="shared" si="13"/>
        <v>NA</v>
      </c>
      <c r="R16" s="165" t="str">
        <f t="shared" si="14"/>
        <v>NA</v>
      </c>
      <c r="S16" s="507">
        <f t="shared" si="15"/>
        <v>0</v>
      </c>
      <c r="T16" s="155" t="str">
        <f t="shared" si="16"/>
        <v>NA</v>
      </c>
      <c r="U16" s="155" t="str">
        <f t="shared" si="17"/>
        <v>NA</v>
      </c>
      <c r="V16" s="155" t="str">
        <f t="shared" si="18"/>
        <v>NA</v>
      </c>
      <c r="W16" s="155" t="str">
        <f t="shared" si="19"/>
        <v>NA</v>
      </c>
      <c r="X16" s="155" t="str">
        <f t="shared" si="20"/>
        <v>NA</v>
      </c>
      <c r="Y16" s="155" t="str">
        <f t="shared" si="21"/>
        <v>NA</v>
      </c>
      <c r="Z16" s="155" t="str">
        <f t="shared" si="22"/>
        <v>NA</v>
      </c>
      <c r="AA16" s="155" t="str">
        <f t="shared" si="23"/>
        <v>NA</v>
      </c>
      <c r="AB16" s="155" t="str">
        <f t="shared" si="24"/>
        <v>NA</v>
      </c>
      <c r="AC16" s="155" t="str">
        <f t="shared" si="25"/>
        <v>NA</v>
      </c>
      <c r="AD16" s="155" t="str">
        <f t="shared" si="26"/>
        <v>NA</v>
      </c>
      <c r="AE16" s="155" t="str">
        <f t="shared" si="27"/>
        <v>NA</v>
      </c>
      <c r="AF16" s="155" t="str">
        <f t="shared" si="28"/>
        <v>NA</v>
      </c>
      <c r="AG16" s="156" t="str">
        <f t="shared" si="29"/>
        <v>NA</v>
      </c>
      <c r="AH16" s="478" t="str">
        <f t="shared" si="30"/>
        <v>NA</v>
      </c>
      <c r="AI16" s="479" t="str">
        <f t="shared" si="31"/>
        <v>NA</v>
      </c>
      <c r="AJ16" s="480" t="str">
        <f t="shared" si="32"/>
        <v>NA</v>
      </c>
      <c r="AK16" s="480" t="str">
        <f t="shared" si="33"/>
        <v>NA</v>
      </c>
      <c r="AL16" s="480" t="str">
        <f t="shared" si="34"/>
        <v>NA</v>
      </c>
      <c r="AM16" s="480" t="str">
        <f t="shared" si="35"/>
        <v>NA</v>
      </c>
      <c r="AN16" s="480" t="str">
        <f t="shared" si="36"/>
        <v>NA</v>
      </c>
      <c r="AO16" s="480" t="str">
        <f t="shared" si="37"/>
        <v>NA</v>
      </c>
      <c r="AP16" s="480" t="str">
        <f t="shared" si="38"/>
        <v>NA</v>
      </c>
      <c r="AQ16" s="480" t="str">
        <f t="shared" si="39"/>
        <v>NA</v>
      </c>
      <c r="AR16" s="481" t="str">
        <f t="shared" si="40"/>
        <v>NA</v>
      </c>
      <c r="AS16" s="481" t="str">
        <f t="shared" si="41"/>
        <v>NA</v>
      </c>
      <c r="AT16" s="481" t="str">
        <f t="shared" si="42"/>
        <v>NA</v>
      </c>
      <c r="AU16" s="481" t="str">
        <f t="shared" si="43"/>
        <v>NA</v>
      </c>
      <c r="AV16" s="482" t="str">
        <f t="shared" si="44"/>
        <v>NA</v>
      </c>
    </row>
    <row r="17" spans="2:48" x14ac:dyDescent="0.25">
      <c r="B17" s="166">
        <v>110</v>
      </c>
      <c r="C17" s="169" t="str">
        <f>_xlfn.XLOOKUP(B17, LgProvEntOrgIDs[Advanced Network/Insurer Carrier Org ID], LgProvEntOrgIDs[Advanced Network/Insurance Carrier Overall])</f>
        <v>Value Care Alliance</v>
      </c>
      <c r="D17" s="507">
        <f t="shared" si="0"/>
        <v>0</v>
      </c>
      <c r="E17" s="155" t="str">
        <f t="shared" si="1"/>
        <v>NA</v>
      </c>
      <c r="F17" s="155" t="str">
        <f t="shared" si="2"/>
        <v>NA</v>
      </c>
      <c r="G17" s="155" t="str">
        <f t="shared" si="3"/>
        <v>NA</v>
      </c>
      <c r="H17" s="155" t="str">
        <f t="shared" si="4"/>
        <v>NA</v>
      </c>
      <c r="I17" s="155" t="str">
        <f t="shared" si="5"/>
        <v>NA</v>
      </c>
      <c r="J17" s="155" t="str">
        <f t="shared" si="6"/>
        <v>NA</v>
      </c>
      <c r="K17" s="155" t="str">
        <f t="shared" si="7"/>
        <v>NA</v>
      </c>
      <c r="L17" s="155" t="str">
        <f t="shared" si="8"/>
        <v>NA</v>
      </c>
      <c r="M17" s="155" t="str">
        <f t="shared" si="9"/>
        <v>NA</v>
      </c>
      <c r="N17" s="155" t="str">
        <f t="shared" si="10"/>
        <v>NA</v>
      </c>
      <c r="O17" s="155" t="str">
        <f t="shared" si="11"/>
        <v>NA</v>
      </c>
      <c r="P17" s="155" t="str">
        <f t="shared" si="12"/>
        <v>NA</v>
      </c>
      <c r="Q17" s="155" t="str">
        <f t="shared" si="13"/>
        <v>NA</v>
      </c>
      <c r="R17" s="165" t="str">
        <f t="shared" si="14"/>
        <v>NA</v>
      </c>
      <c r="S17" s="507">
        <f t="shared" si="15"/>
        <v>0</v>
      </c>
      <c r="T17" s="155" t="str">
        <f t="shared" si="16"/>
        <v>NA</v>
      </c>
      <c r="U17" s="155" t="str">
        <f t="shared" si="17"/>
        <v>NA</v>
      </c>
      <c r="V17" s="155" t="str">
        <f t="shared" si="18"/>
        <v>NA</v>
      </c>
      <c r="W17" s="155" t="str">
        <f t="shared" si="19"/>
        <v>NA</v>
      </c>
      <c r="X17" s="155" t="str">
        <f t="shared" si="20"/>
        <v>NA</v>
      </c>
      <c r="Y17" s="155" t="str">
        <f t="shared" si="21"/>
        <v>NA</v>
      </c>
      <c r="Z17" s="155" t="str">
        <f t="shared" si="22"/>
        <v>NA</v>
      </c>
      <c r="AA17" s="155" t="str">
        <f t="shared" si="23"/>
        <v>NA</v>
      </c>
      <c r="AB17" s="155" t="str">
        <f t="shared" si="24"/>
        <v>NA</v>
      </c>
      <c r="AC17" s="155" t="str">
        <f t="shared" si="25"/>
        <v>NA</v>
      </c>
      <c r="AD17" s="155" t="str">
        <f t="shared" si="26"/>
        <v>NA</v>
      </c>
      <c r="AE17" s="155" t="str">
        <f t="shared" si="27"/>
        <v>NA</v>
      </c>
      <c r="AF17" s="155" t="str">
        <f t="shared" si="28"/>
        <v>NA</v>
      </c>
      <c r="AG17" s="156" t="str">
        <f t="shared" si="29"/>
        <v>NA</v>
      </c>
      <c r="AH17" s="478" t="str">
        <f t="shared" si="30"/>
        <v>NA</v>
      </c>
      <c r="AI17" s="479" t="str">
        <f t="shared" si="31"/>
        <v>NA</v>
      </c>
      <c r="AJ17" s="480" t="str">
        <f t="shared" si="32"/>
        <v>NA</v>
      </c>
      <c r="AK17" s="480" t="str">
        <f t="shared" si="33"/>
        <v>NA</v>
      </c>
      <c r="AL17" s="480" t="str">
        <f t="shared" si="34"/>
        <v>NA</v>
      </c>
      <c r="AM17" s="480" t="str">
        <f t="shared" si="35"/>
        <v>NA</v>
      </c>
      <c r="AN17" s="480" t="str">
        <f t="shared" si="36"/>
        <v>NA</v>
      </c>
      <c r="AO17" s="480" t="str">
        <f t="shared" si="37"/>
        <v>NA</v>
      </c>
      <c r="AP17" s="480" t="str">
        <f t="shared" si="38"/>
        <v>NA</v>
      </c>
      <c r="AQ17" s="480" t="str">
        <f t="shared" si="39"/>
        <v>NA</v>
      </c>
      <c r="AR17" s="481" t="str">
        <f t="shared" si="40"/>
        <v>NA</v>
      </c>
      <c r="AS17" s="481" t="str">
        <f t="shared" si="41"/>
        <v>NA</v>
      </c>
      <c r="AT17" s="481" t="str">
        <f t="shared" si="42"/>
        <v>NA</v>
      </c>
      <c r="AU17" s="481" t="str">
        <f t="shared" si="43"/>
        <v>NA</v>
      </c>
      <c r="AV17" s="482" t="str">
        <f t="shared" si="44"/>
        <v>NA</v>
      </c>
    </row>
    <row r="18" spans="2:48" x14ac:dyDescent="0.25">
      <c r="B18" s="166">
        <v>111</v>
      </c>
      <c r="C18" s="169" t="str">
        <f>_xlfn.XLOOKUP(B18, LgProvEntOrgIDs[Advanced Network/Insurer Carrier Org ID], LgProvEntOrgIDs[Advanced Network/Insurance Carrier Overall])</f>
        <v>NA</v>
      </c>
      <c r="D18" s="507">
        <f t="shared" si="0"/>
        <v>0</v>
      </c>
      <c r="E18" s="155" t="str">
        <f t="shared" si="1"/>
        <v>NA</v>
      </c>
      <c r="F18" s="155" t="str">
        <f t="shared" si="2"/>
        <v>NA</v>
      </c>
      <c r="G18" s="155" t="str">
        <f t="shared" si="3"/>
        <v>NA</v>
      </c>
      <c r="H18" s="155" t="str">
        <f t="shared" si="4"/>
        <v>NA</v>
      </c>
      <c r="I18" s="155" t="str">
        <f t="shared" si="5"/>
        <v>NA</v>
      </c>
      <c r="J18" s="155" t="str">
        <f t="shared" si="6"/>
        <v>NA</v>
      </c>
      <c r="K18" s="155" t="str">
        <f t="shared" si="7"/>
        <v>NA</v>
      </c>
      <c r="L18" s="155" t="str">
        <f t="shared" si="8"/>
        <v>NA</v>
      </c>
      <c r="M18" s="155" t="str">
        <f t="shared" si="9"/>
        <v>NA</v>
      </c>
      <c r="N18" s="155" t="str">
        <f t="shared" si="10"/>
        <v>NA</v>
      </c>
      <c r="O18" s="155" t="str">
        <f t="shared" si="11"/>
        <v>NA</v>
      </c>
      <c r="P18" s="155" t="str">
        <f t="shared" si="12"/>
        <v>NA</v>
      </c>
      <c r="Q18" s="155" t="str">
        <f t="shared" si="13"/>
        <v>NA</v>
      </c>
      <c r="R18" s="165" t="str">
        <f t="shared" si="14"/>
        <v>NA</v>
      </c>
      <c r="S18" s="507">
        <f t="shared" si="15"/>
        <v>0</v>
      </c>
      <c r="T18" s="155" t="str">
        <f t="shared" si="16"/>
        <v>NA</v>
      </c>
      <c r="U18" s="155" t="str">
        <f t="shared" si="17"/>
        <v>NA</v>
      </c>
      <c r="V18" s="155" t="str">
        <f t="shared" si="18"/>
        <v>NA</v>
      </c>
      <c r="W18" s="155" t="str">
        <f t="shared" si="19"/>
        <v>NA</v>
      </c>
      <c r="X18" s="155" t="str">
        <f t="shared" si="20"/>
        <v>NA</v>
      </c>
      <c r="Y18" s="155" t="str">
        <f t="shared" si="21"/>
        <v>NA</v>
      </c>
      <c r="Z18" s="155" t="str">
        <f t="shared" si="22"/>
        <v>NA</v>
      </c>
      <c r="AA18" s="155" t="str">
        <f t="shared" si="23"/>
        <v>NA</v>
      </c>
      <c r="AB18" s="155" t="str">
        <f t="shared" si="24"/>
        <v>NA</v>
      </c>
      <c r="AC18" s="155" t="str">
        <f t="shared" si="25"/>
        <v>NA</v>
      </c>
      <c r="AD18" s="155" t="str">
        <f t="shared" si="26"/>
        <v>NA</v>
      </c>
      <c r="AE18" s="155" t="str">
        <f t="shared" si="27"/>
        <v>NA</v>
      </c>
      <c r="AF18" s="155" t="str">
        <f t="shared" si="28"/>
        <v>NA</v>
      </c>
      <c r="AG18" s="156" t="str">
        <f t="shared" si="29"/>
        <v>NA</v>
      </c>
      <c r="AH18" s="478" t="str">
        <f>IF(D18=0,"NA",S18/D18-1)</f>
        <v>NA</v>
      </c>
      <c r="AI18" s="479" t="str">
        <f>IF(D18=0,"NA",T18/E18-1)</f>
        <v>NA</v>
      </c>
      <c r="AJ18" s="480" t="str">
        <f>IF(D18=0,"NA",U18/F18-1)</f>
        <v>NA</v>
      </c>
      <c r="AK18" s="480" t="str">
        <f>IF(D18=0,"NA",V18/G18-1)</f>
        <v>NA</v>
      </c>
      <c r="AL18" s="480" t="str">
        <f>IF(D18=0,"NA",W18/H18-1)</f>
        <v>NA</v>
      </c>
      <c r="AM18" s="480" t="str">
        <f>IF(D18=0,"NA",X18/I18-1)</f>
        <v>NA</v>
      </c>
      <c r="AN18" s="480" t="str">
        <f>IF(D18=0,"NA",Y18/J18-1)</f>
        <v>NA</v>
      </c>
      <c r="AO18" s="480" t="str">
        <f>IF(D18=0,"NA",Z18/K18-1)</f>
        <v>NA</v>
      </c>
      <c r="AP18" s="480" t="str">
        <f>IF(D18=0,"NA",AA18/L18-1)</f>
        <v>NA</v>
      </c>
      <c r="AQ18" s="480" t="str">
        <f>IF(D18=0,"NA",AB18/M18-1)</f>
        <v>NA</v>
      </c>
      <c r="AR18" s="481" t="str">
        <f>IF(D18=0,"NA",AC18/N18-1)</f>
        <v>NA</v>
      </c>
      <c r="AS18" s="481" t="str">
        <f>IF(D18=0,"NA",AD18/O18-1)</f>
        <v>NA</v>
      </c>
      <c r="AT18" s="481" t="str">
        <f>IF(D18=0,"NA",AE18/P18-1)</f>
        <v>NA</v>
      </c>
      <c r="AU18" s="481" t="str">
        <f>IF(D18=0,"NA",AF18/Q18-1)</f>
        <v>NA</v>
      </c>
      <c r="AV18" s="482" t="str">
        <f>IF(D18=0,"NA",AG18/R18-1)</f>
        <v>NA</v>
      </c>
    </row>
    <row r="19" spans="2:48" x14ac:dyDescent="0.25">
      <c r="B19" s="166">
        <v>112</v>
      </c>
      <c r="C19" s="169" t="str">
        <f>_xlfn.XLOOKUP(B19, LgProvEntOrgIDs[Advanced Network/Insurer Carrier Org ID], LgProvEntOrgIDs[Advanced Network/Insurance Carrier Overall])</f>
        <v>Charter Oak Health Center</v>
      </c>
      <c r="D19" s="507">
        <f t="shared" ref="D19:D38" si="45">D57+D95</f>
        <v>0</v>
      </c>
      <c r="E19" s="155" t="str">
        <f t="shared" ref="E19:E38" si="46">IF(D19=0,"NA",(SUMPRODUCT(E57,D57)+SUMPRODUCT(E95,D95))/D19)</f>
        <v>NA</v>
      </c>
      <c r="F19" s="155" t="str">
        <f t="shared" ref="F19:F38" si="47">IF(D19=0,"NA",(SUMPRODUCT(F57,D57)+SUMPRODUCT(F95,D95))/D19)</f>
        <v>NA</v>
      </c>
      <c r="G19" s="155" t="str">
        <f t="shared" ref="G19:G38" si="48">IF(D19=0,"NA",(SUMPRODUCT(G57,D57)+SUMPRODUCT(G95,D95))/D19)</f>
        <v>NA</v>
      </c>
      <c r="H19" s="155" t="str">
        <f t="shared" ref="H19:H38" si="49">IF(D19=0,"NA",(SUMPRODUCT(H57,D57)+SUMPRODUCT(H95,D95))/D19)</f>
        <v>NA</v>
      </c>
      <c r="I19" s="155" t="str">
        <f t="shared" ref="I19:I38" si="50">IF(D19=0,"NA",(SUMPRODUCT(I57,D57)+SUMPRODUCT(I95,D95))/D19)</f>
        <v>NA</v>
      </c>
      <c r="J19" s="155" t="str">
        <f t="shared" ref="J19:J38" si="51">IF(D19=0,"NA",(SUMPRODUCT(J57,D57)+SUMPRODUCT(J95,D95))/D19)</f>
        <v>NA</v>
      </c>
      <c r="K19" s="155" t="str">
        <f t="shared" ref="K19:K38" si="52">IF(D19=0,"NA",(SUMPRODUCT(K57,D57)+SUMPRODUCT(K95,D95))/D19)</f>
        <v>NA</v>
      </c>
      <c r="L19" s="155" t="str">
        <f t="shared" ref="L19:L38" si="53">IF(D19=0,"NA",(SUMPRODUCT(L57,D57)+SUMPRODUCT(L95,D95))/D19)</f>
        <v>NA</v>
      </c>
      <c r="M19" s="155" t="str">
        <f t="shared" ref="M19:M38" si="54">IF(D19=0,"NA",(SUMPRODUCT(M57,D57)+SUMPRODUCT(M95,D95))/D19)</f>
        <v>NA</v>
      </c>
      <c r="N19" s="155" t="str">
        <f t="shared" ref="N19:N38" si="55">IF(D19=0,"NA",(SUMPRODUCT(N57,D57)+SUMPRODUCT(N95,D95))/D19)</f>
        <v>NA</v>
      </c>
      <c r="O19" s="155" t="str">
        <f t="shared" ref="O19:O38" si="56">IF(D19=0,"NA",(SUMPRODUCT(O57,D57)+SUMPRODUCT(O95,D95))/D19)</f>
        <v>NA</v>
      </c>
      <c r="P19" s="155" t="str">
        <f t="shared" ref="P19:P38" si="57">IF(D19=0,"NA",(SUMPRODUCT(P57,D57)+SUMPRODUCT(P95,D95))/D19)</f>
        <v>NA</v>
      </c>
      <c r="Q19" s="155" t="str">
        <f t="shared" ref="Q19:Q38" si="58">IF(D19=0,"NA",(SUMPRODUCT(Q57,D57)+SUMPRODUCT(Q95,D95))/D19)</f>
        <v>NA</v>
      </c>
      <c r="R19" s="165" t="str">
        <f t="shared" ref="R19:R38" si="59">IF(D19=0,"NA",(SUMPRODUCT(R57,D57)+SUMPRODUCT(R95,D95))/D19)</f>
        <v>NA</v>
      </c>
      <c r="S19" s="507">
        <f t="shared" ref="S19:S38" si="60">S57+S95</f>
        <v>0</v>
      </c>
      <c r="T19" s="155" t="str">
        <f t="shared" ref="T19:T38" si="61">IF(S19=0,"NA",(SUMPRODUCT(T57,S57)+SUMPRODUCT(T95,S95))/S19)</f>
        <v>NA</v>
      </c>
      <c r="U19" s="155" t="str">
        <f t="shared" ref="U19:U38" si="62">IF(S19=0,"NA",(SUMPRODUCT(U57,S57)+SUMPRODUCT(U95,S95))/S19)</f>
        <v>NA</v>
      </c>
      <c r="V19" s="155" t="str">
        <f t="shared" ref="V19:V38" si="63">IF(S19=0,"NA",(SUMPRODUCT(V57,S57)+SUMPRODUCT(V95,S95))/S19)</f>
        <v>NA</v>
      </c>
      <c r="W19" s="155" t="str">
        <f t="shared" ref="W19:W38" si="64">IF(S19=0,"NA",(SUMPRODUCT(W57,S57)+SUMPRODUCT(W95,S95))/S19)</f>
        <v>NA</v>
      </c>
      <c r="X19" s="155" t="str">
        <f t="shared" ref="X19:X38" si="65">IF(S19=0,"NA",(SUMPRODUCT(X57,S57)+SUMPRODUCT(X95,S95))/S19)</f>
        <v>NA</v>
      </c>
      <c r="Y19" s="155" t="str">
        <f t="shared" ref="Y19:Y38" si="66">IF(S19=0,"NA",(SUMPRODUCT(Y57,S57)+SUMPRODUCT(Y95,S95))/S19)</f>
        <v>NA</v>
      </c>
      <c r="Z19" s="155" t="str">
        <f t="shared" ref="Z19:Z38" si="67">IF(S19=0,"NA",(SUMPRODUCT(Z57,S57)+SUMPRODUCT(Z95,S95))/S19)</f>
        <v>NA</v>
      </c>
      <c r="AA19" s="155" t="str">
        <f t="shared" ref="AA19:AA38" si="68">IF(S19=0,"NA",(SUMPRODUCT(AA57,S57)+SUMPRODUCT(AA95,S95))/S19)</f>
        <v>NA</v>
      </c>
      <c r="AB19" s="155" t="str">
        <f t="shared" ref="AB19:AB38" si="69">IF(S19=0,"NA",(SUMPRODUCT(AB57,S57)+SUMPRODUCT(AB95,S95))/S19)</f>
        <v>NA</v>
      </c>
      <c r="AC19" s="155" t="str">
        <f t="shared" ref="AC19:AC38" si="70">IF(S19=0,"NA",(SUMPRODUCT(AC57,S57)+SUMPRODUCT(AC95,S95))/S19)</f>
        <v>NA</v>
      </c>
      <c r="AD19" s="155" t="str">
        <f t="shared" ref="AD19:AD38" si="71">IF(S19=0,"NA",(SUMPRODUCT(AD57,S57)+SUMPRODUCT(AD95,S95))/S19)</f>
        <v>NA</v>
      </c>
      <c r="AE19" s="155" t="str">
        <f t="shared" ref="AE19:AE38" si="72">IF(S19=0,"NA",(SUMPRODUCT(AE57,S57)+SUMPRODUCT(AE95,S95))/S19)</f>
        <v>NA</v>
      </c>
      <c r="AF19" s="155" t="str">
        <f t="shared" ref="AF19:AF38" si="73">IF(S19=0,"NA",(SUMPRODUCT(AF57,S57)+SUMPRODUCT(AF95,S95))/S19)</f>
        <v>NA</v>
      </c>
      <c r="AG19" s="156" t="str">
        <f t="shared" ref="AG19:AG38" si="74">IF(S19=0,"NA",(SUMPRODUCT(AG57,S57)+SUMPRODUCT(AG95,S95))/S19)</f>
        <v>NA</v>
      </c>
      <c r="AH19" s="478" t="str">
        <f t="shared" ref="AH19:AH38" si="75">IF(D19=0,"NA",S19/D19-1)</f>
        <v>NA</v>
      </c>
      <c r="AI19" s="479" t="str">
        <f t="shared" ref="AI19:AI38" si="76">IF(D19=0,"NA",T19/E19-1)</f>
        <v>NA</v>
      </c>
      <c r="AJ19" s="480" t="str">
        <f t="shared" ref="AJ19:AJ38" si="77">IF(D19=0,"NA",U19/F19-1)</f>
        <v>NA</v>
      </c>
      <c r="AK19" s="480" t="str">
        <f t="shared" ref="AK19:AK38" si="78">IF(D19=0,"NA",V19/G19-1)</f>
        <v>NA</v>
      </c>
      <c r="AL19" s="480" t="str">
        <f t="shared" ref="AL19:AL38" si="79">IF(D19=0,"NA",W19/H19-1)</f>
        <v>NA</v>
      </c>
      <c r="AM19" s="480" t="str">
        <f t="shared" ref="AM19:AM38" si="80">IF(D19=0,"NA",X19/I19-1)</f>
        <v>NA</v>
      </c>
      <c r="AN19" s="480" t="str">
        <f t="shared" ref="AN19:AN38" si="81">IF(D19=0,"NA",Y19/J19-1)</f>
        <v>NA</v>
      </c>
      <c r="AO19" s="480" t="str">
        <f t="shared" ref="AO19:AO38" si="82">IF(D19=0,"NA",Z19/K19-1)</f>
        <v>NA</v>
      </c>
      <c r="AP19" s="480" t="str">
        <f t="shared" ref="AP19:AP38" si="83">IF(D19=0,"NA",AA19/L19-1)</f>
        <v>NA</v>
      </c>
      <c r="AQ19" s="480" t="str">
        <f t="shared" ref="AQ19:AQ38" si="84">IF(D19=0,"NA",AB19/M19-1)</f>
        <v>NA</v>
      </c>
      <c r="AR19" s="481" t="str">
        <f t="shared" ref="AR19:AR38" si="85">IF(D19=0,"NA",AC19/N19-1)</f>
        <v>NA</v>
      </c>
      <c r="AS19" s="481" t="str">
        <f t="shared" ref="AS19:AS38" si="86">IF(D19=0,"NA",AD19/O19-1)</f>
        <v>NA</v>
      </c>
      <c r="AT19" s="481" t="str">
        <f t="shared" ref="AT19:AT38" si="87">IF(D19=0,"NA",AE19/P19-1)</f>
        <v>NA</v>
      </c>
      <c r="AU19" s="481" t="str">
        <f t="shared" ref="AU19:AU38" si="88">IF(D19=0,"NA",AF19/Q19-1)</f>
        <v>NA</v>
      </c>
      <c r="AV19" s="482" t="str">
        <f t="shared" ref="AV19:AV38" si="89">IF(D19=0,"NA",AG19/R19-1)</f>
        <v>NA</v>
      </c>
    </row>
    <row r="20" spans="2:48" x14ac:dyDescent="0.25">
      <c r="B20" s="166">
        <v>113</v>
      </c>
      <c r="C20" s="169" t="str">
        <f>_xlfn.XLOOKUP(B20, LgProvEntOrgIDs[Advanced Network/Insurer Carrier Org ID], LgProvEntOrgIDs[Advanced Network/Insurance Carrier Overall])</f>
        <v>CIFC Greater Danbury Community Health Center</v>
      </c>
      <c r="D20" s="507">
        <f t="shared" si="45"/>
        <v>0</v>
      </c>
      <c r="E20" s="155" t="str">
        <f t="shared" si="46"/>
        <v>NA</v>
      </c>
      <c r="F20" s="155" t="str">
        <f t="shared" si="47"/>
        <v>NA</v>
      </c>
      <c r="G20" s="155" t="str">
        <f t="shared" si="48"/>
        <v>NA</v>
      </c>
      <c r="H20" s="155" t="str">
        <f t="shared" si="49"/>
        <v>NA</v>
      </c>
      <c r="I20" s="155" t="str">
        <f t="shared" si="50"/>
        <v>NA</v>
      </c>
      <c r="J20" s="155" t="str">
        <f t="shared" si="51"/>
        <v>NA</v>
      </c>
      <c r="K20" s="155" t="str">
        <f t="shared" si="52"/>
        <v>NA</v>
      </c>
      <c r="L20" s="155" t="str">
        <f t="shared" si="53"/>
        <v>NA</v>
      </c>
      <c r="M20" s="155" t="str">
        <f t="shared" si="54"/>
        <v>NA</v>
      </c>
      <c r="N20" s="155" t="str">
        <f t="shared" si="55"/>
        <v>NA</v>
      </c>
      <c r="O20" s="155" t="str">
        <f t="shared" si="56"/>
        <v>NA</v>
      </c>
      <c r="P20" s="155" t="str">
        <f t="shared" si="57"/>
        <v>NA</v>
      </c>
      <c r="Q20" s="155" t="str">
        <f t="shared" si="58"/>
        <v>NA</v>
      </c>
      <c r="R20" s="165" t="str">
        <f t="shared" si="59"/>
        <v>NA</v>
      </c>
      <c r="S20" s="507">
        <f t="shared" si="60"/>
        <v>0</v>
      </c>
      <c r="T20" s="155" t="str">
        <f t="shared" si="61"/>
        <v>NA</v>
      </c>
      <c r="U20" s="155" t="str">
        <f t="shared" si="62"/>
        <v>NA</v>
      </c>
      <c r="V20" s="155" t="str">
        <f t="shared" si="63"/>
        <v>NA</v>
      </c>
      <c r="W20" s="155" t="str">
        <f t="shared" si="64"/>
        <v>NA</v>
      </c>
      <c r="X20" s="155" t="str">
        <f t="shared" si="65"/>
        <v>NA</v>
      </c>
      <c r="Y20" s="155" t="str">
        <f t="shared" si="66"/>
        <v>NA</v>
      </c>
      <c r="Z20" s="155" t="str">
        <f t="shared" si="67"/>
        <v>NA</v>
      </c>
      <c r="AA20" s="155" t="str">
        <f t="shared" si="68"/>
        <v>NA</v>
      </c>
      <c r="AB20" s="155" t="str">
        <f t="shared" si="69"/>
        <v>NA</v>
      </c>
      <c r="AC20" s="155" t="str">
        <f t="shared" si="70"/>
        <v>NA</v>
      </c>
      <c r="AD20" s="155" t="str">
        <f t="shared" si="71"/>
        <v>NA</v>
      </c>
      <c r="AE20" s="155" t="str">
        <f t="shared" si="72"/>
        <v>NA</v>
      </c>
      <c r="AF20" s="155" t="str">
        <f t="shared" si="73"/>
        <v>NA</v>
      </c>
      <c r="AG20" s="156" t="str">
        <f t="shared" si="74"/>
        <v>NA</v>
      </c>
      <c r="AH20" s="478" t="str">
        <f t="shared" si="75"/>
        <v>NA</v>
      </c>
      <c r="AI20" s="479" t="str">
        <f t="shared" si="76"/>
        <v>NA</v>
      </c>
      <c r="AJ20" s="480" t="str">
        <f t="shared" si="77"/>
        <v>NA</v>
      </c>
      <c r="AK20" s="480" t="str">
        <f t="shared" si="78"/>
        <v>NA</v>
      </c>
      <c r="AL20" s="480" t="str">
        <f t="shared" si="79"/>
        <v>NA</v>
      </c>
      <c r="AM20" s="480" t="str">
        <f t="shared" si="80"/>
        <v>NA</v>
      </c>
      <c r="AN20" s="480" t="str">
        <f t="shared" si="81"/>
        <v>NA</v>
      </c>
      <c r="AO20" s="480" t="str">
        <f t="shared" si="82"/>
        <v>NA</v>
      </c>
      <c r="AP20" s="480" t="str">
        <f t="shared" si="83"/>
        <v>NA</v>
      </c>
      <c r="AQ20" s="480" t="str">
        <f t="shared" si="84"/>
        <v>NA</v>
      </c>
      <c r="AR20" s="481" t="str">
        <f t="shared" si="85"/>
        <v>NA</v>
      </c>
      <c r="AS20" s="481" t="str">
        <f t="shared" si="86"/>
        <v>NA</v>
      </c>
      <c r="AT20" s="481" t="str">
        <f t="shared" si="87"/>
        <v>NA</v>
      </c>
      <c r="AU20" s="481" t="str">
        <f t="shared" si="88"/>
        <v>NA</v>
      </c>
      <c r="AV20" s="482" t="str">
        <f t="shared" si="89"/>
        <v>NA</v>
      </c>
    </row>
    <row r="21" spans="2:48" ht="30" x14ac:dyDescent="0.25">
      <c r="B21" s="166">
        <v>114</v>
      </c>
      <c r="C21" s="169" t="str">
        <f>_xlfn.XLOOKUP(B21, LgProvEntOrgIDs[Advanced Network/Insurer Carrier Org ID], LgProvEntOrgIDs[Advanced Network/Insurance Carrier Overall])</f>
        <v>Community Health and Wellness Center of Greater Torrington</v>
      </c>
      <c r="D21" s="507">
        <f t="shared" si="45"/>
        <v>0</v>
      </c>
      <c r="E21" s="155" t="str">
        <f t="shared" si="46"/>
        <v>NA</v>
      </c>
      <c r="F21" s="155" t="str">
        <f t="shared" si="47"/>
        <v>NA</v>
      </c>
      <c r="G21" s="155" t="str">
        <f t="shared" si="48"/>
        <v>NA</v>
      </c>
      <c r="H21" s="155" t="str">
        <f t="shared" si="49"/>
        <v>NA</v>
      </c>
      <c r="I21" s="155" t="str">
        <f t="shared" si="50"/>
        <v>NA</v>
      </c>
      <c r="J21" s="155" t="str">
        <f t="shared" si="51"/>
        <v>NA</v>
      </c>
      <c r="K21" s="155" t="str">
        <f t="shared" si="52"/>
        <v>NA</v>
      </c>
      <c r="L21" s="155" t="str">
        <f t="shared" si="53"/>
        <v>NA</v>
      </c>
      <c r="M21" s="155" t="str">
        <f t="shared" si="54"/>
        <v>NA</v>
      </c>
      <c r="N21" s="155" t="str">
        <f t="shared" si="55"/>
        <v>NA</v>
      </c>
      <c r="O21" s="155" t="str">
        <f t="shared" si="56"/>
        <v>NA</v>
      </c>
      <c r="P21" s="155" t="str">
        <f t="shared" si="57"/>
        <v>NA</v>
      </c>
      <c r="Q21" s="155" t="str">
        <f t="shared" si="58"/>
        <v>NA</v>
      </c>
      <c r="R21" s="165" t="str">
        <f t="shared" si="59"/>
        <v>NA</v>
      </c>
      <c r="S21" s="507">
        <f t="shared" si="60"/>
        <v>0</v>
      </c>
      <c r="T21" s="155" t="str">
        <f t="shared" si="61"/>
        <v>NA</v>
      </c>
      <c r="U21" s="155" t="str">
        <f t="shared" si="62"/>
        <v>NA</v>
      </c>
      <c r="V21" s="155" t="str">
        <f t="shared" si="63"/>
        <v>NA</v>
      </c>
      <c r="W21" s="155" t="str">
        <f t="shared" si="64"/>
        <v>NA</v>
      </c>
      <c r="X21" s="155" t="str">
        <f t="shared" si="65"/>
        <v>NA</v>
      </c>
      <c r="Y21" s="155" t="str">
        <f t="shared" si="66"/>
        <v>NA</v>
      </c>
      <c r="Z21" s="155" t="str">
        <f t="shared" si="67"/>
        <v>NA</v>
      </c>
      <c r="AA21" s="155" t="str">
        <f t="shared" si="68"/>
        <v>NA</v>
      </c>
      <c r="AB21" s="155" t="str">
        <f t="shared" si="69"/>
        <v>NA</v>
      </c>
      <c r="AC21" s="155" t="str">
        <f t="shared" si="70"/>
        <v>NA</v>
      </c>
      <c r="AD21" s="155" t="str">
        <f t="shared" si="71"/>
        <v>NA</v>
      </c>
      <c r="AE21" s="155" t="str">
        <f t="shared" si="72"/>
        <v>NA</v>
      </c>
      <c r="AF21" s="155" t="str">
        <f t="shared" si="73"/>
        <v>NA</v>
      </c>
      <c r="AG21" s="156" t="str">
        <f t="shared" si="74"/>
        <v>NA</v>
      </c>
      <c r="AH21" s="478" t="str">
        <f t="shared" si="75"/>
        <v>NA</v>
      </c>
      <c r="AI21" s="479" t="str">
        <f t="shared" si="76"/>
        <v>NA</v>
      </c>
      <c r="AJ21" s="480" t="str">
        <f t="shared" si="77"/>
        <v>NA</v>
      </c>
      <c r="AK21" s="480" t="str">
        <f t="shared" si="78"/>
        <v>NA</v>
      </c>
      <c r="AL21" s="480" t="str">
        <f t="shared" si="79"/>
        <v>NA</v>
      </c>
      <c r="AM21" s="480" t="str">
        <f t="shared" si="80"/>
        <v>NA</v>
      </c>
      <c r="AN21" s="480" t="str">
        <f t="shared" si="81"/>
        <v>NA</v>
      </c>
      <c r="AO21" s="480" t="str">
        <f t="shared" si="82"/>
        <v>NA</v>
      </c>
      <c r="AP21" s="480" t="str">
        <f t="shared" si="83"/>
        <v>NA</v>
      </c>
      <c r="AQ21" s="480" t="str">
        <f t="shared" si="84"/>
        <v>NA</v>
      </c>
      <c r="AR21" s="481" t="str">
        <f t="shared" si="85"/>
        <v>NA</v>
      </c>
      <c r="AS21" s="481" t="str">
        <f t="shared" si="86"/>
        <v>NA</v>
      </c>
      <c r="AT21" s="481" t="str">
        <f t="shared" si="87"/>
        <v>NA</v>
      </c>
      <c r="AU21" s="481" t="str">
        <f t="shared" si="88"/>
        <v>NA</v>
      </c>
      <c r="AV21" s="482" t="str">
        <f t="shared" si="89"/>
        <v>NA</v>
      </c>
    </row>
    <row r="22" spans="2:48" x14ac:dyDescent="0.25">
      <c r="B22" s="166">
        <v>115</v>
      </c>
      <c r="C22" s="169" t="str">
        <f>_xlfn.XLOOKUP(B22, LgProvEntOrgIDs[Advanced Network/Insurer Carrier Org ID], LgProvEntOrgIDs[Advanced Network/Insurance Carrier Overall])</f>
        <v>Community Health Center</v>
      </c>
      <c r="D22" s="507">
        <f t="shared" si="45"/>
        <v>0</v>
      </c>
      <c r="E22" s="155" t="str">
        <f t="shared" si="46"/>
        <v>NA</v>
      </c>
      <c r="F22" s="155" t="str">
        <f t="shared" si="47"/>
        <v>NA</v>
      </c>
      <c r="G22" s="155" t="str">
        <f t="shared" si="48"/>
        <v>NA</v>
      </c>
      <c r="H22" s="155" t="str">
        <f t="shared" si="49"/>
        <v>NA</v>
      </c>
      <c r="I22" s="155" t="str">
        <f t="shared" si="50"/>
        <v>NA</v>
      </c>
      <c r="J22" s="155" t="str">
        <f t="shared" si="51"/>
        <v>NA</v>
      </c>
      <c r="K22" s="155" t="str">
        <f t="shared" si="52"/>
        <v>NA</v>
      </c>
      <c r="L22" s="155" t="str">
        <f t="shared" si="53"/>
        <v>NA</v>
      </c>
      <c r="M22" s="155" t="str">
        <f t="shared" si="54"/>
        <v>NA</v>
      </c>
      <c r="N22" s="155" t="str">
        <f t="shared" si="55"/>
        <v>NA</v>
      </c>
      <c r="O22" s="155" t="str">
        <f t="shared" si="56"/>
        <v>NA</v>
      </c>
      <c r="P22" s="155" t="str">
        <f t="shared" si="57"/>
        <v>NA</v>
      </c>
      <c r="Q22" s="155" t="str">
        <f t="shared" si="58"/>
        <v>NA</v>
      </c>
      <c r="R22" s="165" t="str">
        <f t="shared" si="59"/>
        <v>NA</v>
      </c>
      <c r="S22" s="507">
        <f t="shared" si="60"/>
        <v>0</v>
      </c>
      <c r="T22" s="155" t="str">
        <f t="shared" si="61"/>
        <v>NA</v>
      </c>
      <c r="U22" s="155" t="str">
        <f t="shared" si="62"/>
        <v>NA</v>
      </c>
      <c r="V22" s="155" t="str">
        <f t="shared" si="63"/>
        <v>NA</v>
      </c>
      <c r="W22" s="155" t="str">
        <f t="shared" si="64"/>
        <v>NA</v>
      </c>
      <c r="X22" s="155" t="str">
        <f t="shared" si="65"/>
        <v>NA</v>
      </c>
      <c r="Y22" s="155" t="str">
        <f t="shared" si="66"/>
        <v>NA</v>
      </c>
      <c r="Z22" s="155" t="str">
        <f t="shared" si="67"/>
        <v>NA</v>
      </c>
      <c r="AA22" s="155" t="str">
        <f t="shared" si="68"/>
        <v>NA</v>
      </c>
      <c r="AB22" s="155" t="str">
        <f t="shared" si="69"/>
        <v>NA</v>
      </c>
      <c r="AC22" s="155" t="str">
        <f t="shared" si="70"/>
        <v>NA</v>
      </c>
      <c r="AD22" s="155" t="str">
        <f t="shared" si="71"/>
        <v>NA</v>
      </c>
      <c r="AE22" s="155" t="str">
        <f t="shared" si="72"/>
        <v>NA</v>
      </c>
      <c r="AF22" s="155" t="str">
        <f t="shared" si="73"/>
        <v>NA</v>
      </c>
      <c r="AG22" s="156" t="str">
        <f t="shared" si="74"/>
        <v>NA</v>
      </c>
      <c r="AH22" s="478" t="str">
        <f t="shared" si="75"/>
        <v>NA</v>
      </c>
      <c r="AI22" s="479" t="str">
        <f t="shared" si="76"/>
        <v>NA</v>
      </c>
      <c r="AJ22" s="480" t="str">
        <f t="shared" si="77"/>
        <v>NA</v>
      </c>
      <c r="AK22" s="480" t="str">
        <f t="shared" si="78"/>
        <v>NA</v>
      </c>
      <c r="AL22" s="480" t="str">
        <f t="shared" si="79"/>
        <v>NA</v>
      </c>
      <c r="AM22" s="480" t="str">
        <f t="shared" si="80"/>
        <v>NA</v>
      </c>
      <c r="AN22" s="480" t="str">
        <f t="shared" si="81"/>
        <v>NA</v>
      </c>
      <c r="AO22" s="480" t="str">
        <f t="shared" si="82"/>
        <v>NA</v>
      </c>
      <c r="AP22" s="480" t="str">
        <f t="shared" si="83"/>
        <v>NA</v>
      </c>
      <c r="AQ22" s="480" t="str">
        <f t="shared" si="84"/>
        <v>NA</v>
      </c>
      <c r="AR22" s="481" t="str">
        <f t="shared" si="85"/>
        <v>NA</v>
      </c>
      <c r="AS22" s="481" t="str">
        <f t="shared" si="86"/>
        <v>NA</v>
      </c>
      <c r="AT22" s="481" t="str">
        <f t="shared" si="87"/>
        <v>NA</v>
      </c>
      <c r="AU22" s="481" t="str">
        <f t="shared" si="88"/>
        <v>NA</v>
      </c>
      <c r="AV22" s="482" t="str">
        <f t="shared" si="89"/>
        <v>NA</v>
      </c>
    </row>
    <row r="23" spans="2:48" x14ac:dyDescent="0.25">
      <c r="B23" s="166">
        <v>116</v>
      </c>
      <c r="C23" s="169" t="str">
        <f>_xlfn.XLOOKUP(B23, LgProvEntOrgIDs[Advanced Network/Insurer Carrier Org ID], LgProvEntOrgIDs[Advanced Network/Insurance Carrier Overall])</f>
        <v>Community Health Services</v>
      </c>
      <c r="D23" s="507">
        <f t="shared" si="45"/>
        <v>0</v>
      </c>
      <c r="E23" s="155" t="str">
        <f t="shared" si="46"/>
        <v>NA</v>
      </c>
      <c r="F23" s="155" t="str">
        <f t="shared" si="47"/>
        <v>NA</v>
      </c>
      <c r="G23" s="155" t="str">
        <f t="shared" si="48"/>
        <v>NA</v>
      </c>
      <c r="H23" s="155" t="str">
        <f t="shared" si="49"/>
        <v>NA</v>
      </c>
      <c r="I23" s="155" t="str">
        <f t="shared" si="50"/>
        <v>NA</v>
      </c>
      <c r="J23" s="155" t="str">
        <f t="shared" si="51"/>
        <v>NA</v>
      </c>
      <c r="K23" s="155" t="str">
        <f t="shared" si="52"/>
        <v>NA</v>
      </c>
      <c r="L23" s="155" t="str">
        <f t="shared" si="53"/>
        <v>NA</v>
      </c>
      <c r="M23" s="155" t="str">
        <f t="shared" si="54"/>
        <v>NA</v>
      </c>
      <c r="N23" s="155" t="str">
        <f t="shared" si="55"/>
        <v>NA</v>
      </c>
      <c r="O23" s="155" t="str">
        <f t="shared" si="56"/>
        <v>NA</v>
      </c>
      <c r="P23" s="155" t="str">
        <f t="shared" si="57"/>
        <v>NA</v>
      </c>
      <c r="Q23" s="155" t="str">
        <f t="shared" si="58"/>
        <v>NA</v>
      </c>
      <c r="R23" s="165" t="str">
        <f t="shared" si="59"/>
        <v>NA</v>
      </c>
      <c r="S23" s="507">
        <f t="shared" si="60"/>
        <v>0</v>
      </c>
      <c r="T23" s="155" t="str">
        <f t="shared" si="61"/>
        <v>NA</v>
      </c>
      <c r="U23" s="155" t="str">
        <f t="shared" si="62"/>
        <v>NA</v>
      </c>
      <c r="V23" s="155" t="str">
        <f t="shared" si="63"/>
        <v>NA</v>
      </c>
      <c r="W23" s="155" t="str">
        <f t="shared" si="64"/>
        <v>NA</v>
      </c>
      <c r="X23" s="155" t="str">
        <f t="shared" si="65"/>
        <v>NA</v>
      </c>
      <c r="Y23" s="155" t="str">
        <f t="shared" si="66"/>
        <v>NA</v>
      </c>
      <c r="Z23" s="155" t="str">
        <f t="shared" si="67"/>
        <v>NA</v>
      </c>
      <c r="AA23" s="155" t="str">
        <f t="shared" si="68"/>
        <v>NA</v>
      </c>
      <c r="AB23" s="155" t="str">
        <f t="shared" si="69"/>
        <v>NA</v>
      </c>
      <c r="AC23" s="155" t="str">
        <f t="shared" si="70"/>
        <v>NA</v>
      </c>
      <c r="AD23" s="155" t="str">
        <f t="shared" si="71"/>
        <v>NA</v>
      </c>
      <c r="AE23" s="155" t="str">
        <f t="shared" si="72"/>
        <v>NA</v>
      </c>
      <c r="AF23" s="155" t="str">
        <f t="shared" si="73"/>
        <v>NA</v>
      </c>
      <c r="AG23" s="156" t="str">
        <f t="shared" si="74"/>
        <v>NA</v>
      </c>
      <c r="AH23" s="478" t="str">
        <f t="shared" si="75"/>
        <v>NA</v>
      </c>
      <c r="AI23" s="479" t="str">
        <f t="shared" si="76"/>
        <v>NA</v>
      </c>
      <c r="AJ23" s="480" t="str">
        <f t="shared" si="77"/>
        <v>NA</v>
      </c>
      <c r="AK23" s="480" t="str">
        <f t="shared" si="78"/>
        <v>NA</v>
      </c>
      <c r="AL23" s="480" t="str">
        <f t="shared" si="79"/>
        <v>NA</v>
      </c>
      <c r="AM23" s="480" t="str">
        <f t="shared" si="80"/>
        <v>NA</v>
      </c>
      <c r="AN23" s="480" t="str">
        <f t="shared" si="81"/>
        <v>NA</v>
      </c>
      <c r="AO23" s="480" t="str">
        <f t="shared" si="82"/>
        <v>NA</v>
      </c>
      <c r="AP23" s="480" t="str">
        <f t="shared" si="83"/>
        <v>NA</v>
      </c>
      <c r="AQ23" s="480" t="str">
        <f t="shared" si="84"/>
        <v>NA</v>
      </c>
      <c r="AR23" s="481" t="str">
        <f t="shared" si="85"/>
        <v>NA</v>
      </c>
      <c r="AS23" s="481" t="str">
        <f t="shared" si="86"/>
        <v>NA</v>
      </c>
      <c r="AT23" s="481" t="str">
        <f t="shared" si="87"/>
        <v>NA</v>
      </c>
      <c r="AU23" s="481" t="str">
        <f t="shared" si="88"/>
        <v>NA</v>
      </c>
      <c r="AV23" s="482" t="str">
        <f t="shared" si="89"/>
        <v>NA</v>
      </c>
    </row>
    <row r="24" spans="2:48" x14ac:dyDescent="0.25">
      <c r="B24" s="166">
        <v>117</v>
      </c>
      <c r="C24" s="169" t="str">
        <f>_xlfn.XLOOKUP(B24, LgProvEntOrgIDs[Advanced Network/Insurer Carrier Org ID], LgProvEntOrgIDs[Advanced Network/Insurance Carrier Overall])</f>
        <v>Cornell Scott Hill Health Center</v>
      </c>
      <c r="D24" s="507">
        <f t="shared" si="45"/>
        <v>0</v>
      </c>
      <c r="E24" s="155" t="str">
        <f t="shared" si="46"/>
        <v>NA</v>
      </c>
      <c r="F24" s="155" t="str">
        <f t="shared" si="47"/>
        <v>NA</v>
      </c>
      <c r="G24" s="155" t="str">
        <f t="shared" si="48"/>
        <v>NA</v>
      </c>
      <c r="H24" s="155" t="str">
        <f t="shared" si="49"/>
        <v>NA</v>
      </c>
      <c r="I24" s="155" t="str">
        <f t="shared" si="50"/>
        <v>NA</v>
      </c>
      <c r="J24" s="155" t="str">
        <f t="shared" si="51"/>
        <v>NA</v>
      </c>
      <c r="K24" s="155" t="str">
        <f t="shared" si="52"/>
        <v>NA</v>
      </c>
      <c r="L24" s="155" t="str">
        <f t="shared" si="53"/>
        <v>NA</v>
      </c>
      <c r="M24" s="155" t="str">
        <f t="shared" si="54"/>
        <v>NA</v>
      </c>
      <c r="N24" s="155" t="str">
        <f t="shared" si="55"/>
        <v>NA</v>
      </c>
      <c r="O24" s="155" t="str">
        <f t="shared" si="56"/>
        <v>NA</v>
      </c>
      <c r="P24" s="155" t="str">
        <f t="shared" si="57"/>
        <v>NA</v>
      </c>
      <c r="Q24" s="155" t="str">
        <f t="shared" si="58"/>
        <v>NA</v>
      </c>
      <c r="R24" s="165" t="str">
        <f t="shared" si="59"/>
        <v>NA</v>
      </c>
      <c r="S24" s="507">
        <f t="shared" si="60"/>
        <v>0</v>
      </c>
      <c r="T24" s="155" t="str">
        <f t="shared" si="61"/>
        <v>NA</v>
      </c>
      <c r="U24" s="155" t="str">
        <f t="shared" si="62"/>
        <v>NA</v>
      </c>
      <c r="V24" s="155" t="str">
        <f t="shared" si="63"/>
        <v>NA</v>
      </c>
      <c r="W24" s="155" t="str">
        <f t="shared" si="64"/>
        <v>NA</v>
      </c>
      <c r="X24" s="155" t="str">
        <f t="shared" si="65"/>
        <v>NA</v>
      </c>
      <c r="Y24" s="155" t="str">
        <f t="shared" si="66"/>
        <v>NA</v>
      </c>
      <c r="Z24" s="155" t="str">
        <f t="shared" si="67"/>
        <v>NA</v>
      </c>
      <c r="AA24" s="155" t="str">
        <f t="shared" si="68"/>
        <v>NA</v>
      </c>
      <c r="AB24" s="155" t="str">
        <f t="shared" si="69"/>
        <v>NA</v>
      </c>
      <c r="AC24" s="155" t="str">
        <f t="shared" si="70"/>
        <v>NA</v>
      </c>
      <c r="AD24" s="155" t="str">
        <f t="shared" si="71"/>
        <v>NA</v>
      </c>
      <c r="AE24" s="155" t="str">
        <f t="shared" si="72"/>
        <v>NA</v>
      </c>
      <c r="AF24" s="155" t="str">
        <f t="shared" si="73"/>
        <v>NA</v>
      </c>
      <c r="AG24" s="156" t="str">
        <f t="shared" si="74"/>
        <v>NA</v>
      </c>
      <c r="AH24" s="478" t="str">
        <f t="shared" si="75"/>
        <v>NA</v>
      </c>
      <c r="AI24" s="479" t="str">
        <f t="shared" si="76"/>
        <v>NA</v>
      </c>
      <c r="AJ24" s="480" t="str">
        <f t="shared" si="77"/>
        <v>NA</v>
      </c>
      <c r="AK24" s="480" t="str">
        <f t="shared" si="78"/>
        <v>NA</v>
      </c>
      <c r="AL24" s="480" t="str">
        <f t="shared" si="79"/>
        <v>NA</v>
      </c>
      <c r="AM24" s="480" t="str">
        <f t="shared" si="80"/>
        <v>NA</v>
      </c>
      <c r="AN24" s="480" t="str">
        <f t="shared" si="81"/>
        <v>NA</v>
      </c>
      <c r="AO24" s="480" t="str">
        <f t="shared" si="82"/>
        <v>NA</v>
      </c>
      <c r="AP24" s="480" t="str">
        <f t="shared" si="83"/>
        <v>NA</v>
      </c>
      <c r="AQ24" s="480" t="str">
        <f t="shared" si="84"/>
        <v>NA</v>
      </c>
      <c r="AR24" s="481" t="str">
        <f t="shared" si="85"/>
        <v>NA</v>
      </c>
      <c r="AS24" s="481" t="str">
        <f t="shared" si="86"/>
        <v>NA</v>
      </c>
      <c r="AT24" s="481" t="str">
        <f t="shared" si="87"/>
        <v>NA</v>
      </c>
      <c r="AU24" s="481" t="str">
        <f t="shared" si="88"/>
        <v>NA</v>
      </c>
      <c r="AV24" s="482" t="str">
        <f t="shared" si="89"/>
        <v>NA</v>
      </c>
    </row>
    <row r="25" spans="2:48" x14ac:dyDescent="0.25">
      <c r="B25" s="166">
        <v>118</v>
      </c>
      <c r="C25" s="169" t="str">
        <f>_xlfn.XLOOKUP(B25, LgProvEntOrgIDs[Advanced Network/Insurer Carrier Org ID], LgProvEntOrgIDs[Advanced Network/Insurance Carrier Overall])</f>
        <v>Fair Haven Community Health Center</v>
      </c>
      <c r="D25" s="507">
        <f t="shared" si="45"/>
        <v>0</v>
      </c>
      <c r="E25" s="155" t="str">
        <f t="shared" si="46"/>
        <v>NA</v>
      </c>
      <c r="F25" s="155" t="str">
        <f t="shared" si="47"/>
        <v>NA</v>
      </c>
      <c r="G25" s="155" t="str">
        <f t="shared" si="48"/>
        <v>NA</v>
      </c>
      <c r="H25" s="155" t="str">
        <f t="shared" si="49"/>
        <v>NA</v>
      </c>
      <c r="I25" s="155" t="str">
        <f t="shared" si="50"/>
        <v>NA</v>
      </c>
      <c r="J25" s="155" t="str">
        <f t="shared" si="51"/>
        <v>NA</v>
      </c>
      <c r="K25" s="155" t="str">
        <f t="shared" si="52"/>
        <v>NA</v>
      </c>
      <c r="L25" s="155" t="str">
        <f t="shared" si="53"/>
        <v>NA</v>
      </c>
      <c r="M25" s="155" t="str">
        <f t="shared" si="54"/>
        <v>NA</v>
      </c>
      <c r="N25" s="155" t="str">
        <f t="shared" si="55"/>
        <v>NA</v>
      </c>
      <c r="O25" s="155" t="str">
        <f t="shared" si="56"/>
        <v>NA</v>
      </c>
      <c r="P25" s="155" t="str">
        <f t="shared" si="57"/>
        <v>NA</v>
      </c>
      <c r="Q25" s="155" t="str">
        <f t="shared" si="58"/>
        <v>NA</v>
      </c>
      <c r="R25" s="165" t="str">
        <f t="shared" si="59"/>
        <v>NA</v>
      </c>
      <c r="S25" s="507">
        <f t="shared" si="60"/>
        <v>0</v>
      </c>
      <c r="T25" s="155" t="str">
        <f t="shared" si="61"/>
        <v>NA</v>
      </c>
      <c r="U25" s="155" t="str">
        <f t="shared" si="62"/>
        <v>NA</v>
      </c>
      <c r="V25" s="155" t="str">
        <f t="shared" si="63"/>
        <v>NA</v>
      </c>
      <c r="W25" s="155" t="str">
        <f t="shared" si="64"/>
        <v>NA</v>
      </c>
      <c r="X25" s="155" t="str">
        <f t="shared" si="65"/>
        <v>NA</v>
      </c>
      <c r="Y25" s="155" t="str">
        <f t="shared" si="66"/>
        <v>NA</v>
      </c>
      <c r="Z25" s="155" t="str">
        <f t="shared" si="67"/>
        <v>NA</v>
      </c>
      <c r="AA25" s="155" t="str">
        <f t="shared" si="68"/>
        <v>NA</v>
      </c>
      <c r="AB25" s="155" t="str">
        <f t="shared" si="69"/>
        <v>NA</v>
      </c>
      <c r="AC25" s="155" t="str">
        <f t="shared" si="70"/>
        <v>NA</v>
      </c>
      <c r="AD25" s="155" t="str">
        <f t="shared" si="71"/>
        <v>NA</v>
      </c>
      <c r="AE25" s="155" t="str">
        <f t="shared" si="72"/>
        <v>NA</v>
      </c>
      <c r="AF25" s="155" t="str">
        <f t="shared" si="73"/>
        <v>NA</v>
      </c>
      <c r="AG25" s="156" t="str">
        <f t="shared" si="74"/>
        <v>NA</v>
      </c>
      <c r="AH25" s="478" t="str">
        <f t="shared" si="75"/>
        <v>NA</v>
      </c>
      <c r="AI25" s="479" t="str">
        <f t="shared" si="76"/>
        <v>NA</v>
      </c>
      <c r="AJ25" s="480" t="str">
        <f t="shared" si="77"/>
        <v>NA</v>
      </c>
      <c r="AK25" s="480" t="str">
        <f t="shared" si="78"/>
        <v>NA</v>
      </c>
      <c r="AL25" s="480" t="str">
        <f t="shared" si="79"/>
        <v>NA</v>
      </c>
      <c r="AM25" s="480" t="str">
        <f t="shared" si="80"/>
        <v>NA</v>
      </c>
      <c r="AN25" s="480" t="str">
        <f t="shared" si="81"/>
        <v>NA</v>
      </c>
      <c r="AO25" s="480" t="str">
        <f t="shared" si="82"/>
        <v>NA</v>
      </c>
      <c r="AP25" s="480" t="str">
        <f t="shared" si="83"/>
        <v>NA</v>
      </c>
      <c r="AQ25" s="480" t="str">
        <f t="shared" si="84"/>
        <v>NA</v>
      </c>
      <c r="AR25" s="481" t="str">
        <f t="shared" si="85"/>
        <v>NA</v>
      </c>
      <c r="AS25" s="481" t="str">
        <f t="shared" si="86"/>
        <v>NA</v>
      </c>
      <c r="AT25" s="481" t="str">
        <f t="shared" si="87"/>
        <v>NA</v>
      </c>
      <c r="AU25" s="481" t="str">
        <f t="shared" si="88"/>
        <v>NA</v>
      </c>
      <c r="AV25" s="482" t="str">
        <f t="shared" si="89"/>
        <v>NA</v>
      </c>
    </row>
    <row r="26" spans="2:48" x14ac:dyDescent="0.25">
      <c r="B26" s="166">
        <v>119</v>
      </c>
      <c r="C26" s="169" t="str">
        <f>_xlfn.XLOOKUP(B26, LgProvEntOrgIDs[Advanced Network/Insurer Carrier Org ID], LgProvEntOrgIDs[Advanced Network/Insurance Carrier Overall])</f>
        <v>Family Centers</v>
      </c>
      <c r="D26" s="507">
        <f t="shared" si="45"/>
        <v>0</v>
      </c>
      <c r="E26" s="155" t="str">
        <f t="shared" si="46"/>
        <v>NA</v>
      </c>
      <c r="F26" s="155" t="str">
        <f t="shared" si="47"/>
        <v>NA</v>
      </c>
      <c r="G26" s="155" t="str">
        <f t="shared" si="48"/>
        <v>NA</v>
      </c>
      <c r="H26" s="155" t="str">
        <f t="shared" si="49"/>
        <v>NA</v>
      </c>
      <c r="I26" s="155" t="str">
        <f t="shared" si="50"/>
        <v>NA</v>
      </c>
      <c r="J26" s="155" t="str">
        <f t="shared" si="51"/>
        <v>NA</v>
      </c>
      <c r="K26" s="155" t="str">
        <f t="shared" si="52"/>
        <v>NA</v>
      </c>
      <c r="L26" s="155" t="str">
        <f t="shared" si="53"/>
        <v>NA</v>
      </c>
      <c r="M26" s="155" t="str">
        <f t="shared" si="54"/>
        <v>NA</v>
      </c>
      <c r="N26" s="155" t="str">
        <f t="shared" si="55"/>
        <v>NA</v>
      </c>
      <c r="O26" s="155" t="str">
        <f t="shared" si="56"/>
        <v>NA</v>
      </c>
      <c r="P26" s="155" t="str">
        <f t="shared" si="57"/>
        <v>NA</v>
      </c>
      <c r="Q26" s="155" t="str">
        <f t="shared" si="58"/>
        <v>NA</v>
      </c>
      <c r="R26" s="165" t="str">
        <f t="shared" si="59"/>
        <v>NA</v>
      </c>
      <c r="S26" s="507">
        <f t="shared" si="60"/>
        <v>0</v>
      </c>
      <c r="T26" s="155" t="str">
        <f t="shared" si="61"/>
        <v>NA</v>
      </c>
      <c r="U26" s="155" t="str">
        <f t="shared" si="62"/>
        <v>NA</v>
      </c>
      <c r="V26" s="155" t="str">
        <f t="shared" si="63"/>
        <v>NA</v>
      </c>
      <c r="W26" s="155" t="str">
        <f t="shared" si="64"/>
        <v>NA</v>
      </c>
      <c r="X26" s="155" t="str">
        <f t="shared" si="65"/>
        <v>NA</v>
      </c>
      <c r="Y26" s="155" t="str">
        <f t="shared" si="66"/>
        <v>NA</v>
      </c>
      <c r="Z26" s="155" t="str">
        <f t="shared" si="67"/>
        <v>NA</v>
      </c>
      <c r="AA26" s="155" t="str">
        <f t="shared" si="68"/>
        <v>NA</v>
      </c>
      <c r="AB26" s="155" t="str">
        <f t="shared" si="69"/>
        <v>NA</v>
      </c>
      <c r="AC26" s="155" t="str">
        <f t="shared" si="70"/>
        <v>NA</v>
      </c>
      <c r="AD26" s="155" t="str">
        <f t="shared" si="71"/>
        <v>NA</v>
      </c>
      <c r="AE26" s="155" t="str">
        <f t="shared" si="72"/>
        <v>NA</v>
      </c>
      <c r="AF26" s="155" t="str">
        <f t="shared" si="73"/>
        <v>NA</v>
      </c>
      <c r="AG26" s="156" t="str">
        <f t="shared" si="74"/>
        <v>NA</v>
      </c>
      <c r="AH26" s="478" t="str">
        <f t="shared" si="75"/>
        <v>NA</v>
      </c>
      <c r="AI26" s="479" t="str">
        <f t="shared" si="76"/>
        <v>NA</v>
      </c>
      <c r="AJ26" s="480" t="str">
        <f t="shared" si="77"/>
        <v>NA</v>
      </c>
      <c r="AK26" s="480" t="str">
        <f t="shared" si="78"/>
        <v>NA</v>
      </c>
      <c r="AL26" s="480" t="str">
        <f t="shared" si="79"/>
        <v>NA</v>
      </c>
      <c r="AM26" s="480" t="str">
        <f t="shared" si="80"/>
        <v>NA</v>
      </c>
      <c r="AN26" s="480" t="str">
        <f t="shared" si="81"/>
        <v>NA</v>
      </c>
      <c r="AO26" s="480" t="str">
        <f t="shared" si="82"/>
        <v>NA</v>
      </c>
      <c r="AP26" s="480" t="str">
        <f t="shared" si="83"/>
        <v>NA</v>
      </c>
      <c r="AQ26" s="480" t="str">
        <f t="shared" si="84"/>
        <v>NA</v>
      </c>
      <c r="AR26" s="481" t="str">
        <f t="shared" si="85"/>
        <v>NA</v>
      </c>
      <c r="AS26" s="481" t="str">
        <f t="shared" si="86"/>
        <v>NA</v>
      </c>
      <c r="AT26" s="481" t="str">
        <f t="shared" si="87"/>
        <v>NA</v>
      </c>
      <c r="AU26" s="481" t="str">
        <f t="shared" si="88"/>
        <v>NA</v>
      </c>
      <c r="AV26" s="482" t="str">
        <f t="shared" si="89"/>
        <v>NA</v>
      </c>
    </row>
    <row r="27" spans="2:48" x14ac:dyDescent="0.25">
      <c r="B27" s="166">
        <v>120</v>
      </c>
      <c r="C27" s="169" t="str">
        <f>_xlfn.XLOOKUP(B27, LgProvEntOrgIDs[Advanced Network/Insurer Carrier Org ID], LgProvEntOrgIDs[Advanced Network/Insurance Carrier Overall])</f>
        <v>First Choice Community Health Centers</v>
      </c>
      <c r="D27" s="507">
        <f t="shared" si="45"/>
        <v>0</v>
      </c>
      <c r="E27" s="155" t="str">
        <f t="shared" si="46"/>
        <v>NA</v>
      </c>
      <c r="F27" s="155" t="str">
        <f t="shared" si="47"/>
        <v>NA</v>
      </c>
      <c r="G27" s="155" t="str">
        <f t="shared" si="48"/>
        <v>NA</v>
      </c>
      <c r="H27" s="155" t="str">
        <f t="shared" si="49"/>
        <v>NA</v>
      </c>
      <c r="I27" s="155" t="str">
        <f t="shared" si="50"/>
        <v>NA</v>
      </c>
      <c r="J27" s="155" t="str">
        <f t="shared" si="51"/>
        <v>NA</v>
      </c>
      <c r="K27" s="155" t="str">
        <f t="shared" si="52"/>
        <v>NA</v>
      </c>
      <c r="L27" s="155" t="str">
        <f t="shared" si="53"/>
        <v>NA</v>
      </c>
      <c r="M27" s="155" t="str">
        <f t="shared" si="54"/>
        <v>NA</v>
      </c>
      <c r="N27" s="155" t="str">
        <f t="shared" si="55"/>
        <v>NA</v>
      </c>
      <c r="O27" s="155" t="str">
        <f t="shared" si="56"/>
        <v>NA</v>
      </c>
      <c r="P27" s="155" t="str">
        <f t="shared" si="57"/>
        <v>NA</v>
      </c>
      <c r="Q27" s="155" t="str">
        <f t="shared" si="58"/>
        <v>NA</v>
      </c>
      <c r="R27" s="165" t="str">
        <f t="shared" si="59"/>
        <v>NA</v>
      </c>
      <c r="S27" s="507">
        <f t="shared" si="60"/>
        <v>0</v>
      </c>
      <c r="T27" s="155" t="str">
        <f t="shared" si="61"/>
        <v>NA</v>
      </c>
      <c r="U27" s="155" t="str">
        <f t="shared" si="62"/>
        <v>NA</v>
      </c>
      <c r="V27" s="155" t="str">
        <f t="shared" si="63"/>
        <v>NA</v>
      </c>
      <c r="W27" s="155" t="str">
        <f t="shared" si="64"/>
        <v>NA</v>
      </c>
      <c r="X27" s="155" t="str">
        <f t="shared" si="65"/>
        <v>NA</v>
      </c>
      <c r="Y27" s="155" t="str">
        <f t="shared" si="66"/>
        <v>NA</v>
      </c>
      <c r="Z27" s="155" t="str">
        <f t="shared" si="67"/>
        <v>NA</v>
      </c>
      <c r="AA27" s="155" t="str">
        <f t="shared" si="68"/>
        <v>NA</v>
      </c>
      <c r="AB27" s="155" t="str">
        <f t="shared" si="69"/>
        <v>NA</v>
      </c>
      <c r="AC27" s="155" t="str">
        <f t="shared" si="70"/>
        <v>NA</v>
      </c>
      <c r="AD27" s="155" t="str">
        <f t="shared" si="71"/>
        <v>NA</v>
      </c>
      <c r="AE27" s="155" t="str">
        <f t="shared" si="72"/>
        <v>NA</v>
      </c>
      <c r="AF27" s="155" t="str">
        <f t="shared" si="73"/>
        <v>NA</v>
      </c>
      <c r="AG27" s="156" t="str">
        <f t="shared" si="74"/>
        <v>NA</v>
      </c>
      <c r="AH27" s="478" t="str">
        <f t="shared" si="75"/>
        <v>NA</v>
      </c>
      <c r="AI27" s="479" t="str">
        <f t="shared" si="76"/>
        <v>NA</v>
      </c>
      <c r="AJ27" s="480" t="str">
        <f t="shared" si="77"/>
        <v>NA</v>
      </c>
      <c r="AK27" s="480" t="str">
        <f t="shared" si="78"/>
        <v>NA</v>
      </c>
      <c r="AL27" s="480" t="str">
        <f t="shared" si="79"/>
        <v>NA</v>
      </c>
      <c r="AM27" s="480" t="str">
        <f t="shared" si="80"/>
        <v>NA</v>
      </c>
      <c r="AN27" s="480" t="str">
        <f t="shared" si="81"/>
        <v>NA</v>
      </c>
      <c r="AO27" s="480" t="str">
        <f t="shared" si="82"/>
        <v>NA</v>
      </c>
      <c r="AP27" s="480" t="str">
        <f t="shared" si="83"/>
        <v>NA</v>
      </c>
      <c r="AQ27" s="480" t="str">
        <f t="shared" si="84"/>
        <v>NA</v>
      </c>
      <c r="AR27" s="481" t="str">
        <f t="shared" si="85"/>
        <v>NA</v>
      </c>
      <c r="AS27" s="481" t="str">
        <f t="shared" si="86"/>
        <v>NA</v>
      </c>
      <c r="AT27" s="481" t="str">
        <f t="shared" si="87"/>
        <v>NA</v>
      </c>
      <c r="AU27" s="481" t="str">
        <f t="shared" si="88"/>
        <v>NA</v>
      </c>
      <c r="AV27" s="482" t="str">
        <f t="shared" si="89"/>
        <v>NA</v>
      </c>
    </row>
    <row r="28" spans="2:48" x14ac:dyDescent="0.25">
      <c r="B28" s="166">
        <v>121</v>
      </c>
      <c r="C28" s="169" t="str">
        <f>_xlfn.XLOOKUP(B28, LgProvEntOrgIDs[Advanced Network/Insurer Carrier Org ID], LgProvEntOrgIDs[Advanced Network/Insurance Carrier Overall])</f>
        <v>Generations Family Health Center</v>
      </c>
      <c r="D28" s="507">
        <f t="shared" si="45"/>
        <v>0</v>
      </c>
      <c r="E28" s="155" t="str">
        <f t="shared" si="46"/>
        <v>NA</v>
      </c>
      <c r="F28" s="155" t="str">
        <f t="shared" si="47"/>
        <v>NA</v>
      </c>
      <c r="G28" s="155" t="str">
        <f t="shared" si="48"/>
        <v>NA</v>
      </c>
      <c r="H28" s="155" t="str">
        <f t="shared" si="49"/>
        <v>NA</v>
      </c>
      <c r="I28" s="155" t="str">
        <f t="shared" si="50"/>
        <v>NA</v>
      </c>
      <c r="J28" s="155" t="str">
        <f t="shared" si="51"/>
        <v>NA</v>
      </c>
      <c r="K28" s="155" t="str">
        <f t="shared" si="52"/>
        <v>NA</v>
      </c>
      <c r="L28" s="155" t="str">
        <f t="shared" si="53"/>
        <v>NA</v>
      </c>
      <c r="M28" s="155" t="str">
        <f t="shared" si="54"/>
        <v>NA</v>
      </c>
      <c r="N28" s="155" t="str">
        <f t="shared" si="55"/>
        <v>NA</v>
      </c>
      <c r="O28" s="155" t="str">
        <f t="shared" si="56"/>
        <v>NA</v>
      </c>
      <c r="P28" s="155" t="str">
        <f t="shared" si="57"/>
        <v>NA</v>
      </c>
      <c r="Q28" s="155" t="str">
        <f t="shared" si="58"/>
        <v>NA</v>
      </c>
      <c r="R28" s="165" t="str">
        <f t="shared" si="59"/>
        <v>NA</v>
      </c>
      <c r="S28" s="507">
        <f t="shared" si="60"/>
        <v>0</v>
      </c>
      <c r="T28" s="155" t="str">
        <f t="shared" si="61"/>
        <v>NA</v>
      </c>
      <c r="U28" s="155" t="str">
        <f t="shared" si="62"/>
        <v>NA</v>
      </c>
      <c r="V28" s="155" t="str">
        <f t="shared" si="63"/>
        <v>NA</v>
      </c>
      <c r="W28" s="155" t="str">
        <f t="shared" si="64"/>
        <v>NA</v>
      </c>
      <c r="X28" s="155" t="str">
        <f t="shared" si="65"/>
        <v>NA</v>
      </c>
      <c r="Y28" s="155" t="str">
        <f t="shared" si="66"/>
        <v>NA</v>
      </c>
      <c r="Z28" s="155" t="str">
        <f t="shared" si="67"/>
        <v>NA</v>
      </c>
      <c r="AA28" s="155" t="str">
        <f t="shared" si="68"/>
        <v>NA</v>
      </c>
      <c r="AB28" s="155" t="str">
        <f t="shared" si="69"/>
        <v>NA</v>
      </c>
      <c r="AC28" s="155" t="str">
        <f t="shared" si="70"/>
        <v>NA</v>
      </c>
      <c r="AD28" s="155" t="str">
        <f t="shared" si="71"/>
        <v>NA</v>
      </c>
      <c r="AE28" s="155" t="str">
        <f t="shared" si="72"/>
        <v>NA</v>
      </c>
      <c r="AF28" s="155" t="str">
        <f t="shared" si="73"/>
        <v>NA</v>
      </c>
      <c r="AG28" s="156" t="str">
        <f t="shared" si="74"/>
        <v>NA</v>
      </c>
      <c r="AH28" s="478" t="str">
        <f t="shared" si="75"/>
        <v>NA</v>
      </c>
      <c r="AI28" s="479" t="str">
        <f t="shared" si="76"/>
        <v>NA</v>
      </c>
      <c r="AJ28" s="480" t="str">
        <f t="shared" si="77"/>
        <v>NA</v>
      </c>
      <c r="AK28" s="480" t="str">
        <f t="shared" si="78"/>
        <v>NA</v>
      </c>
      <c r="AL28" s="480" t="str">
        <f t="shared" si="79"/>
        <v>NA</v>
      </c>
      <c r="AM28" s="480" t="str">
        <f t="shared" si="80"/>
        <v>NA</v>
      </c>
      <c r="AN28" s="480" t="str">
        <f t="shared" si="81"/>
        <v>NA</v>
      </c>
      <c r="AO28" s="480" t="str">
        <f t="shared" si="82"/>
        <v>NA</v>
      </c>
      <c r="AP28" s="480" t="str">
        <f t="shared" si="83"/>
        <v>NA</v>
      </c>
      <c r="AQ28" s="480" t="str">
        <f t="shared" si="84"/>
        <v>NA</v>
      </c>
      <c r="AR28" s="481" t="str">
        <f t="shared" si="85"/>
        <v>NA</v>
      </c>
      <c r="AS28" s="481" t="str">
        <f t="shared" si="86"/>
        <v>NA</v>
      </c>
      <c r="AT28" s="481" t="str">
        <f t="shared" si="87"/>
        <v>NA</v>
      </c>
      <c r="AU28" s="481" t="str">
        <f t="shared" si="88"/>
        <v>NA</v>
      </c>
      <c r="AV28" s="482" t="str">
        <f t="shared" si="89"/>
        <v>NA</v>
      </c>
    </row>
    <row r="29" spans="2:48" x14ac:dyDescent="0.25">
      <c r="B29" s="166">
        <v>122</v>
      </c>
      <c r="C29" s="169" t="str">
        <f>_xlfn.XLOOKUP(B29, LgProvEntOrgIDs[Advanced Network/Insurer Carrier Org ID], LgProvEntOrgIDs[Advanced Network/Insurance Carrier Overall])</f>
        <v>Norwalk Community Health Center</v>
      </c>
      <c r="D29" s="507">
        <f t="shared" si="45"/>
        <v>0</v>
      </c>
      <c r="E29" s="155" t="str">
        <f t="shared" si="46"/>
        <v>NA</v>
      </c>
      <c r="F29" s="155" t="str">
        <f t="shared" si="47"/>
        <v>NA</v>
      </c>
      <c r="G29" s="155" t="str">
        <f t="shared" si="48"/>
        <v>NA</v>
      </c>
      <c r="H29" s="155" t="str">
        <f t="shared" si="49"/>
        <v>NA</v>
      </c>
      <c r="I29" s="155" t="str">
        <f t="shared" si="50"/>
        <v>NA</v>
      </c>
      <c r="J29" s="155" t="str">
        <f t="shared" si="51"/>
        <v>NA</v>
      </c>
      <c r="K29" s="155" t="str">
        <f t="shared" si="52"/>
        <v>NA</v>
      </c>
      <c r="L29" s="155" t="str">
        <f t="shared" si="53"/>
        <v>NA</v>
      </c>
      <c r="M29" s="155" t="str">
        <f t="shared" si="54"/>
        <v>NA</v>
      </c>
      <c r="N29" s="155" t="str">
        <f t="shared" si="55"/>
        <v>NA</v>
      </c>
      <c r="O29" s="155" t="str">
        <f t="shared" si="56"/>
        <v>NA</v>
      </c>
      <c r="P29" s="155" t="str">
        <f t="shared" si="57"/>
        <v>NA</v>
      </c>
      <c r="Q29" s="155" t="str">
        <f t="shared" si="58"/>
        <v>NA</v>
      </c>
      <c r="R29" s="165" t="str">
        <f t="shared" si="59"/>
        <v>NA</v>
      </c>
      <c r="S29" s="507">
        <f t="shared" si="60"/>
        <v>0</v>
      </c>
      <c r="T29" s="155" t="str">
        <f t="shared" si="61"/>
        <v>NA</v>
      </c>
      <c r="U29" s="155" t="str">
        <f t="shared" si="62"/>
        <v>NA</v>
      </c>
      <c r="V29" s="155" t="str">
        <f t="shared" si="63"/>
        <v>NA</v>
      </c>
      <c r="W29" s="155" t="str">
        <f t="shared" si="64"/>
        <v>NA</v>
      </c>
      <c r="X29" s="155" t="str">
        <f t="shared" si="65"/>
        <v>NA</v>
      </c>
      <c r="Y29" s="155" t="str">
        <f t="shared" si="66"/>
        <v>NA</v>
      </c>
      <c r="Z29" s="155" t="str">
        <f t="shared" si="67"/>
        <v>NA</v>
      </c>
      <c r="AA29" s="155" t="str">
        <f t="shared" si="68"/>
        <v>NA</v>
      </c>
      <c r="AB29" s="155" t="str">
        <f t="shared" si="69"/>
        <v>NA</v>
      </c>
      <c r="AC29" s="155" t="str">
        <f t="shared" si="70"/>
        <v>NA</v>
      </c>
      <c r="AD29" s="155" t="str">
        <f t="shared" si="71"/>
        <v>NA</v>
      </c>
      <c r="AE29" s="155" t="str">
        <f t="shared" si="72"/>
        <v>NA</v>
      </c>
      <c r="AF29" s="155" t="str">
        <f t="shared" si="73"/>
        <v>NA</v>
      </c>
      <c r="AG29" s="156" t="str">
        <f t="shared" si="74"/>
        <v>NA</v>
      </c>
      <c r="AH29" s="478" t="str">
        <f t="shared" si="75"/>
        <v>NA</v>
      </c>
      <c r="AI29" s="479" t="str">
        <f t="shared" si="76"/>
        <v>NA</v>
      </c>
      <c r="AJ29" s="480" t="str">
        <f t="shared" si="77"/>
        <v>NA</v>
      </c>
      <c r="AK29" s="480" t="str">
        <f t="shared" si="78"/>
        <v>NA</v>
      </c>
      <c r="AL29" s="480" t="str">
        <f t="shared" si="79"/>
        <v>NA</v>
      </c>
      <c r="AM29" s="480" t="str">
        <f t="shared" si="80"/>
        <v>NA</v>
      </c>
      <c r="AN29" s="480" t="str">
        <f t="shared" si="81"/>
        <v>NA</v>
      </c>
      <c r="AO29" s="480" t="str">
        <f t="shared" si="82"/>
        <v>NA</v>
      </c>
      <c r="AP29" s="480" t="str">
        <f t="shared" si="83"/>
        <v>NA</v>
      </c>
      <c r="AQ29" s="480" t="str">
        <f t="shared" si="84"/>
        <v>NA</v>
      </c>
      <c r="AR29" s="481" t="str">
        <f t="shared" si="85"/>
        <v>NA</v>
      </c>
      <c r="AS29" s="481" t="str">
        <f t="shared" si="86"/>
        <v>NA</v>
      </c>
      <c r="AT29" s="481" t="str">
        <f t="shared" si="87"/>
        <v>NA</v>
      </c>
      <c r="AU29" s="481" t="str">
        <f t="shared" si="88"/>
        <v>NA</v>
      </c>
      <c r="AV29" s="482" t="str">
        <f t="shared" si="89"/>
        <v>NA</v>
      </c>
    </row>
    <row r="30" spans="2:48" x14ac:dyDescent="0.25">
      <c r="B30" s="166">
        <v>123</v>
      </c>
      <c r="C30" s="169" t="str">
        <f>_xlfn.XLOOKUP(B30, LgProvEntOrgIDs[Advanced Network/Insurer Carrier Org ID], LgProvEntOrgIDs[Advanced Network/Insurance Carrier Overall])</f>
        <v>Optimus Health Care, Inc.</v>
      </c>
      <c r="D30" s="507">
        <f t="shared" si="45"/>
        <v>0</v>
      </c>
      <c r="E30" s="155" t="str">
        <f t="shared" si="46"/>
        <v>NA</v>
      </c>
      <c r="F30" s="155" t="str">
        <f t="shared" si="47"/>
        <v>NA</v>
      </c>
      <c r="G30" s="155" t="str">
        <f t="shared" si="48"/>
        <v>NA</v>
      </c>
      <c r="H30" s="155" t="str">
        <f t="shared" si="49"/>
        <v>NA</v>
      </c>
      <c r="I30" s="155" t="str">
        <f t="shared" si="50"/>
        <v>NA</v>
      </c>
      <c r="J30" s="155" t="str">
        <f t="shared" si="51"/>
        <v>NA</v>
      </c>
      <c r="K30" s="155" t="str">
        <f t="shared" si="52"/>
        <v>NA</v>
      </c>
      <c r="L30" s="155" t="str">
        <f t="shared" si="53"/>
        <v>NA</v>
      </c>
      <c r="M30" s="155" t="str">
        <f t="shared" si="54"/>
        <v>NA</v>
      </c>
      <c r="N30" s="155" t="str">
        <f t="shared" si="55"/>
        <v>NA</v>
      </c>
      <c r="O30" s="155" t="str">
        <f t="shared" si="56"/>
        <v>NA</v>
      </c>
      <c r="P30" s="155" t="str">
        <f t="shared" si="57"/>
        <v>NA</v>
      </c>
      <c r="Q30" s="155" t="str">
        <f t="shared" si="58"/>
        <v>NA</v>
      </c>
      <c r="R30" s="165" t="str">
        <f t="shared" si="59"/>
        <v>NA</v>
      </c>
      <c r="S30" s="507">
        <f t="shared" si="60"/>
        <v>0</v>
      </c>
      <c r="T30" s="155" t="str">
        <f t="shared" si="61"/>
        <v>NA</v>
      </c>
      <c r="U30" s="155" t="str">
        <f t="shared" si="62"/>
        <v>NA</v>
      </c>
      <c r="V30" s="155" t="str">
        <f t="shared" si="63"/>
        <v>NA</v>
      </c>
      <c r="W30" s="155" t="str">
        <f t="shared" si="64"/>
        <v>NA</v>
      </c>
      <c r="X30" s="155" t="str">
        <f t="shared" si="65"/>
        <v>NA</v>
      </c>
      <c r="Y30" s="155" t="str">
        <f t="shared" si="66"/>
        <v>NA</v>
      </c>
      <c r="Z30" s="155" t="str">
        <f t="shared" si="67"/>
        <v>NA</v>
      </c>
      <c r="AA30" s="155" t="str">
        <f t="shared" si="68"/>
        <v>NA</v>
      </c>
      <c r="AB30" s="155" t="str">
        <f t="shared" si="69"/>
        <v>NA</v>
      </c>
      <c r="AC30" s="155" t="str">
        <f t="shared" si="70"/>
        <v>NA</v>
      </c>
      <c r="AD30" s="155" t="str">
        <f t="shared" si="71"/>
        <v>NA</v>
      </c>
      <c r="AE30" s="155" t="str">
        <f t="shared" si="72"/>
        <v>NA</v>
      </c>
      <c r="AF30" s="155" t="str">
        <f t="shared" si="73"/>
        <v>NA</v>
      </c>
      <c r="AG30" s="156" t="str">
        <f t="shared" si="74"/>
        <v>NA</v>
      </c>
      <c r="AH30" s="478" t="str">
        <f t="shared" si="75"/>
        <v>NA</v>
      </c>
      <c r="AI30" s="479" t="str">
        <f t="shared" si="76"/>
        <v>NA</v>
      </c>
      <c r="AJ30" s="480" t="str">
        <f t="shared" si="77"/>
        <v>NA</v>
      </c>
      <c r="AK30" s="480" t="str">
        <f t="shared" si="78"/>
        <v>NA</v>
      </c>
      <c r="AL30" s="480" t="str">
        <f t="shared" si="79"/>
        <v>NA</v>
      </c>
      <c r="AM30" s="480" t="str">
        <f t="shared" si="80"/>
        <v>NA</v>
      </c>
      <c r="AN30" s="480" t="str">
        <f t="shared" si="81"/>
        <v>NA</v>
      </c>
      <c r="AO30" s="480" t="str">
        <f t="shared" si="82"/>
        <v>NA</v>
      </c>
      <c r="AP30" s="480" t="str">
        <f t="shared" si="83"/>
        <v>NA</v>
      </c>
      <c r="AQ30" s="480" t="str">
        <f t="shared" si="84"/>
        <v>NA</v>
      </c>
      <c r="AR30" s="481" t="str">
        <f t="shared" si="85"/>
        <v>NA</v>
      </c>
      <c r="AS30" s="481" t="str">
        <f t="shared" si="86"/>
        <v>NA</v>
      </c>
      <c r="AT30" s="481" t="str">
        <f t="shared" si="87"/>
        <v>NA</v>
      </c>
      <c r="AU30" s="481" t="str">
        <f t="shared" si="88"/>
        <v>NA</v>
      </c>
      <c r="AV30" s="482" t="str">
        <f t="shared" si="89"/>
        <v>NA</v>
      </c>
    </row>
    <row r="31" spans="2:48" x14ac:dyDescent="0.25">
      <c r="B31" s="166">
        <v>124</v>
      </c>
      <c r="C31" s="169" t="str">
        <f>_xlfn.XLOOKUP(B31, LgProvEntOrgIDs[Advanced Network/Insurer Carrier Org ID], LgProvEntOrgIDs[Advanced Network/Insurance Carrier Overall])</f>
        <v>Southwest Community Health Center, Inc.</v>
      </c>
      <c r="D31" s="507">
        <f t="shared" si="45"/>
        <v>0</v>
      </c>
      <c r="E31" s="155" t="str">
        <f t="shared" si="46"/>
        <v>NA</v>
      </c>
      <c r="F31" s="155" t="str">
        <f t="shared" si="47"/>
        <v>NA</v>
      </c>
      <c r="G31" s="155" t="str">
        <f t="shared" si="48"/>
        <v>NA</v>
      </c>
      <c r="H31" s="155" t="str">
        <f t="shared" si="49"/>
        <v>NA</v>
      </c>
      <c r="I31" s="155" t="str">
        <f t="shared" si="50"/>
        <v>NA</v>
      </c>
      <c r="J31" s="155" t="str">
        <f t="shared" si="51"/>
        <v>NA</v>
      </c>
      <c r="K31" s="155" t="str">
        <f t="shared" si="52"/>
        <v>NA</v>
      </c>
      <c r="L31" s="155" t="str">
        <f t="shared" si="53"/>
        <v>NA</v>
      </c>
      <c r="M31" s="155" t="str">
        <f t="shared" si="54"/>
        <v>NA</v>
      </c>
      <c r="N31" s="155" t="str">
        <f t="shared" si="55"/>
        <v>NA</v>
      </c>
      <c r="O31" s="155" t="str">
        <f t="shared" si="56"/>
        <v>NA</v>
      </c>
      <c r="P31" s="155" t="str">
        <f t="shared" si="57"/>
        <v>NA</v>
      </c>
      <c r="Q31" s="155" t="str">
        <f t="shared" si="58"/>
        <v>NA</v>
      </c>
      <c r="R31" s="165" t="str">
        <f t="shared" si="59"/>
        <v>NA</v>
      </c>
      <c r="S31" s="507">
        <f t="shared" si="60"/>
        <v>0</v>
      </c>
      <c r="T31" s="155" t="str">
        <f t="shared" si="61"/>
        <v>NA</v>
      </c>
      <c r="U31" s="155" t="str">
        <f t="shared" si="62"/>
        <v>NA</v>
      </c>
      <c r="V31" s="155" t="str">
        <f t="shared" si="63"/>
        <v>NA</v>
      </c>
      <c r="W31" s="155" t="str">
        <f t="shared" si="64"/>
        <v>NA</v>
      </c>
      <c r="X31" s="155" t="str">
        <f t="shared" si="65"/>
        <v>NA</v>
      </c>
      <c r="Y31" s="155" t="str">
        <f t="shared" si="66"/>
        <v>NA</v>
      </c>
      <c r="Z31" s="155" t="str">
        <f t="shared" si="67"/>
        <v>NA</v>
      </c>
      <c r="AA31" s="155" t="str">
        <f t="shared" si="68"/>
        <v>NA</v>
      </c>
      <c r="AB31" s="155" t="str">
        <f t="shared" si="69"/>
        <v>NA</v>
      </c>
      <c r="AC31" s="155" t="str">
        <f t="shared" si="70"/>
        <v>NA</v>
      </c>
      <c r="AD31" s="155" t="str">
        <f t="shared" si="71"/>
        <v>NA</v>
      </c>
      <c r="AE31" s="155" t="str">
        <f t="shared" si="72"/>
        <v>NA</v>
      </c>
      <c r="AF31" s="155" t="str">
        <f t="shared" si="73"/>
        <v>NA</v>
      </c>
      <c r="AG31" s="156" t="str">
        <f t="shared" si="74"/>
        <v>NA</v>
      </c>
      <c r="AH31" s="478" t="str">
        <f t="shared" si="75"/>
        <v>NA</v>
      </c>
      <c r="AI31" s="479" t="str">
        <f t="shared" si="76"/>
        <v>NA</v>
      </c>
      <c r="AJ31" s="480" t="str">
        <f t="shared" si="77"/>
        <v>NA</v>
      </c>
      <c r="AK31" s="480" t="str">
        <f t="shared" si="78"/>
        <v>NA</v>
      </c>
      <c r="AL31" s="480" t="str">
        <f t="shared" si="79"/>
        <v>NA</v>
      </c>
      <c r="AM31" s="480" t="str">
        <f t="shared" si="80"/>
        <v>NA</v>
      </c>
      <c r="AN31" s="480" t="str">
        <f t="shared" si="81"/>
        <v>NA</v>
      </c>
      <c r="AO31" s="480" t="str">
        <f t="shared" si="82"/>
        <v>NA</v>
      </c>
      <c r="AP31" s="480" t="str">
        <f t="shared" si="83"/>
        <v>NA</v>
      </c>
      <c r="AQ31" s="480" t="str">
        <f t="shared" si="84"/>
        <v>NA</v>
      </c>
      <c r="AR31" s="481" t="str">
        <f t="shared" si="85"/>
        <v>NA</v>
      </c>
      <c r="AS31" s="481" t="str">
        <f t="shared" si="86"/>
        <v>NA</v>
      </c>
      <c r="AT31" s="481" t="str">
        <f t="shared" si="87"/>
        <v>NA</v>
      </c>
      <c r="AU31" s="481" t="str">
        <f t="shared" si="88"/>
        <v>NA</v>
      </c>
      <c r="AV31" s="482" t="str">
        <f t="shared" si="89"/>
        <v>NA</v>
      </c>
    </row>
    <row r="32" spans="2:48" x14ac:dyDescent="0.25">
      <c r="B32" s="166">
        <v>125</v>
      </c>
      <c r="C32" s="169" t="str">
        <f>_xlfn.XLOOKUP(B32, LgProvEntOrgIDs[Advanced Network/Insurer Carrier Org ID], LgProvEntOrgIDs[Advanced Network/Insurance Carrier Overall])</f>
        <v>Stamford Health Medical Group</v>
      </c>
      <c r="D32" s="507">
        <f t="shared" si="45"/>
        <v>0</v>
      </c>
      <c r="E32" s="155" t="str">
        <f t="shared" si="46"/>
        <v>NA</v>
      </c>
      <c r="F32" s="155" t="str">
        <f t="shared" si="47"/>
        <v>NA</v>
      </c>
      <c r="G32" s="155" t="str">
        <f t="shared" si="48"/>
        <v>NA</v>
      </c>
      <c r="H32" s="155" t="str">
        <f t="shared" si="49"/>
        <v>NA</v>
      </c>
      <c r="I32" s="155" t="str">
        <f t="shared" si="50"/>
        <v>NA</v>
      </c>
      <c r="J32" s="155" t="str">
        <f t="shared" si="51"/>
        <v>NA</v>
      </c>
      <c r="K32" s="155" t="str">
        <f t="shared" si="52"/>
        <v>NA</v>
      </c>
      <c r="L32" s="155" t="str">
        <f t="shared" si="53"/>
        <v>NA</v>
      </c>
      <c r="M32" s="155" t="str">
        <f t="shared" si="54"/>
        <v>NA</v>
      </c>
      <c r="N32" s="155" t="str">
        <f t="shared" si="55"/>
        <v>NA</v>
      </c>
      <c r="O32" s="155" t="str">
        <f t="shared" si="56"/>
        <v>NA</v>
      </c>
      <c r="P32" s="155" t="str">
        <f t="shared" si="57"/>
        <v>NA</v>
      </c>
      <c r="Q32" s="155" t="str">
        <f t="shared" si="58"/>
        <v>NA</v>
      </c>
      <c r="R32" s="165" t="str">
        <f t="shared" si="59"/>
        <v>NA</v>
      </c>
      <c r="S32" s="507">
        <f t="shared" si="60"/>
        <v>0</v>
      </c>
      <c r="T32" s="155" t="str">
        <f t="shared" si="61"/>
        <v>NA</v>
      </c>
      <c r="U32" s="155" t="str">
        <f t="shared" si="62"/>
        <v>NA</v>
      </c>
      <c r="V32" s="155" t="str">
        <f t="shared" si="63"/>
        <v>NA</v>
      </c>
      <c r="W32" s="155" t="str">
        <f t="shared" si="64"/>
        <v>NA</v>
      </c>
      <c r="X32" s="155" t="str">
        <f t="shared" si="65"/>
        <v>NA</v>
      </c>
      <c r="Y32" s="155" t="str">
        <f t="shared" si="66"/>
        <v>NA</v>
      </c>
      <c r="Z32" s="155" t="str">
        <f t="shared" si="67"/>
        <v>NA</v>
      </c>
      <c r="AA32" s="155" t="str">
        <f t="shared" si="68"/>
        <v>NA</v>
      </c>
      <c r="AB32" s="155" t="str">
        <f t="shared" si="69"/>
        <v>NA</v>
      </c>
      <c r="AC32" s="155" t="str">
        <f t="shared" si="70"/>
        <v>NA</v>
      </c>
      <c r="AD32" s="155" t="str">
        <f t="shared" si="71"/>
        <v>NA</v>
      </c>
      <c r="AE32" s="155" t="str">
        <f t="shared" si="72"/>
        <v>NA</v>
      </c>
      <c r="AF32" s="155" t="str">
        <f t="shared" si="73"/>
        <v>NA</v>
      </c>
      <c r="AG32" s="156" t="str">
        <f t="shared" si="74"/>
        <v>NA</v>
      </c>
      <c r="AH32" s="478" t="str">
        <f t="shared" si="75"/>
        <v>NA</v>
      </c>
      <c r="AI32" s="479" t="str">
        <f t="shared" si="76"/>
        <v>NA</v>
      </c>
      <c r="AJ32" s="480" t="str">
        <f t="shared" si="77"/>
        <v>NA</v>
      </c>
      <c r="AK32" s="480" t="str">
        <f t="shared" si="78"/>
        <v>NA</v>
      </c>
      <c r="AL32" s="480" t="str">
        <f t="shared" si="79"/>
        <v>NA</v>
      </c>
      <c r="AM32" s="480" t="str">
        <f t="shared" si="80"/>
        <v>NA</v>
      </c>
      <c r="AN32" s="480" t="str">
        <f t="shared" si="81"/>
        <v>NA</v>
      </c>
      <c r="AO32" s="480" t="str">
        <f t="shared" si="82"/>
        <v>NA</v>
      </c>
      <c r="AP32" s="480" t="str">
        <f t="shared" si="83"/>
        <v>NA</v>
      </c>
      <c r="AQ32" s="480" t="str">
        <f t="shared" si="84"/>
        <v>NA</v>
      </c>
      <c r="AR32" s="481" t="str">
        <f t="shared" si="85"/>
        <v>NA</v>
      </c>
      <c r="AS32" s="481" t="str">
        <f t="shared" si="86"/>
        <v>NA</v>
      </c>
      <c r="AT32" s="481" t="str">
        <f t="shared" si="87"/>
        <v>NA</v>
      </c>
      <c r="AU32" s="481" t="str">
        <f t="shared" si="88"/>
        <v>NA</v>
      </c>
      <c r="AV32" s="482" t="str">
        <f t="shared" si="89"/>
        <v>NA</v>
      </c>
    </row>
    <row r="33" spans="1:48" x14ac:dyDescent="0.25">
      <c r="B33" s="166">
        <v>126</v>
      </c>
      <c r="C33" s="169" t="str">
        <f>_xlfn.XLOOKUP(B33, LgProvEntOrgIDs[Advanced Network/Insurer Carrier Org ID], LgProvEntOrgIDs[Advanced Network/Insurance Carrier Overall])</f>
        <v>Starling Physicians</v>
      </c>
      <c r="D33" s="507">
        <f t="shared" si="45"/>
        <v>0</v>
      </c>
      <c r="E33" s="155" t="str">
        <f t="shared" si="46"/>
        <v>NA</v>
      </c>
      <c r="F33" s="155" t="str">
        <f t="shared" si="47"/>
        <v>NA</v>
      </c>
      <c r="G33" s="155" t="str">
        <f t="shared" si="48"/>
        <v>NA</v>
      </c>
      <c r="H33" s="155" t="str">
        <f t="shared" si="49"/>
        <v>NA</v>
      </c>
      <c r="I33" s="155" t="str">
        <f t="shared" si="50"/>
        <v>NA</v>
      </c>
      <c r="J33" s="155" t="str">
        <f t="shared" si="51"/>
        <v>NA</v>
      </c>
      <c r="K33" s="155" t="str">
        <f t="shared" si="52"/>
        <v>NA</v>
      </c>
      <c r="L33" s="155" t="str">
        <f t="shared" si="53"/>
        <v>NA</v>
      </c>
      <c r="M33" s="155" t="str">
        <f t="shared" si="54"/>
        <v>NA</v>
      </c>
      <c r="N33" s="155" t="str">
        <f t="shared" si="55"/>
        <v>NA</v>
      </c>
      <c r="O33" s="155" t="str">
        <f t="shared" si="56"/>
        <v>NA</v>
      </c>
      <c r="P33" s="155" t="str">
        <f t="shared" si="57"/>
        <v>NA</v>
      </c>
      <c r="Q33" s="155" t="str">
        <f t="shared" si="58"/>
        <v>NA</v>
      </c>
      <c r="R33" s="165" t="str">
        <f t="shared" si="59"/>
        <v>NA</v>
      </c>
      <c r="S33" s="507">
        <f t="shared" si="60"/>
        <v>0</v>
      </c>
      <c r="T33" s="155" t="str">
        <f t="shared" si="61"/>
        <v>NA</v>
      </c>
      <c r="U33" s="155" t="str">
        <f t="shared" si="62"/>
        <v>NA</v>
      </c>
      <c r="V33" s="155" t="str">
        <f t="shared" si="63"/>
        <v>NA</v>
      </c>
      <c r="W33" s="155" t="str">
        <f t="shared" si="64"/>
        <v>NA</v>
      </c>
      <c r="X33" s="155" t="str">
        <f t="shared" si="65"/>
        <v>NA</v>
      </c>
      <c r="Y33" s="155" t="str">
        <f t="shared" si="66"/>
        <v>NA</v>
      </c>
      <c r="Z33" s="155" t="str">
        <f t="shared" si="67"/>
        <v>NA</v>
      </c>
      <c r="AA33" s="155" t="str">
        <f t="shared" si="68"/>
        <v>NA</v>
      </c>
      <c r="AB33" s="155" t="str">
        <f t="shared" si="69"/>
        <v>NA</v>
      </c>
      <c r="AC33" s="155" t="str">
        <f t="shared" si="70"/>
        <v>NA</v>
      </c>
      <c r="AD33" s="155" t="str">
        <f t="shared" si="71"/>
        <v>NA</v>
      </c>
      <c r="AE33" s="155" t="str">
        <f t="shared" si="72"/>
        <v>NA</v>
      </c>
      <c r="AF33" s="155" t="str">
        <f t="shared" si="73"/>
        <v>NA</v>
      </c>
      <c r="AG33" s="156" t="str">
        <f t="shared" si="74"/>
        <v>NA</v>
      </c>
      <c r="AH33" s="478" t="str">
        <f t="shared" si="75"/>
        <v>NA</v>
      </c>
      <c r="AI33" s="479" t="str">
        <f t="shared" si="76"/>
        <v>NA</v>
      </c>
      <c r="AJ33" s="480" t="str">
        <f t="shared" si="77"/>
        <v>NA</v>
      </c>
      <c r="AK33" s="480" t="str">
        <f t="shared" si="78"/>
        <v>NA</v>
      </c>
      <c r="AL33" s="480" t="str">
        <f t="shared" si="79"/>
        <v>NA</v>
      </c>
      <c r="AM33" s="480" t="str">
        <f t="shared" si="80"/>
        <v>NA</v>
      </c>
      <c r="AN33" s="480" t="str">
        <f t="shared" si="81"/>
        <v>NA</v>
      </c>
      <c r="AO33" s="480" t="str">
        <f t="shared" si="82"/>
        <v>NA</v>
      </c>
      <c r="AP33" s="480" t="str">
        <f t="shared" si="83"/>
        <v>NA</v>
      </c>
      <c r="AQ33" s="480" t="str">
        <f t="shared" si="84"/>
        <v>NA</v>
      </c>
      <c r="AR33" s="481" t="str">
        <f t="shared" si="85"/>
        <v>NA</v>
      </c>
      <c r="AS33" s="481" t="str">
        <f t="shared" si="86"/>
        <v>NA</v>
      </c>
      <c r="AT33" s="481" t="str">
        <f t="shared" si="87"/>
        <v>NA</v>
      </c>
      <c r="AU33" s="481" t="str">
        <f t="shared" si="88"/>
        <v>NA</v>
      </c>
      <c r="AV33" s="482" t="str">
        <f t="shared" si="89"/>
        <v>NA</v>
      </c>
    </row>
    <row r="34" spans="1:48" x14ac:dyDescent="0.25">
      <c r="B34" s="166">
        <v>127</v>
      </c>
      <c r="C34" s="169" t="str">
        <f>_xlfn.XLOOKUP(B34, LgProvEntOrgIDs[Advanced Network/Insurer Carrier Org ID], LgProvEntOrgIDs[Advanced Network/Insurance Carrier Overall])</f>
        <v>UConn Medical Group</v>
      </c>
      <c r="D34" s="507">
        <f t="shared" si="45"/>
        <v>0</v>
      </c>
      <c r="E34" s="155" t="str">
        <f t="shared" si="46"/>
        <v>NA</v>
      </c>
      <c r="F34" s="155" t="str">
        <f t="shared" si="47"/>
        <v>NA</v>
      </c>
      <c r="G34" s="155" t="str">
        <f t="shared" si="48"/>
        <v>NA</v>
      </c>
      <c r="H34" s="155" t="str">
        <f t="shared" si="49"/>
        <v>NA</v>
      </c>
      <c r="I34" s="155" t="str">
        <f t="shared" si="50"/>
        <v>NA</v>
      </c>
      <c r="J34" s="155" t="str">
        <f t="shared" si="51"/>
        <v>NA</v>
      </c>
      <c r="K34" s="155" t="str">
        <f t="shared" si="52"/>
        <v>NA</v>
      </c>
      <c r="L34" s="155" t="str">
        <f t="shared" si="53"/>
        <v>NA</v>
      </c>
      <c r="M34" s="155" t="str">
        <f t="shared" si="54"/>
        <v>NA</v>
      </c>
      <c r="N34" s="155" t="str">
        <f t="shared" si="55"/>
        <v>NA</v>
      </c>
      <c r="O34" s="155" t="str">
        <f t="shared" si="56"/>
        <v>NA</v>
      </c>
      <c r="P34" s="155" t="str">
        <f t="shared" si="57"/>
        <v>NA</v>
      </c>
      <c r="Q34" s="155" t="str">
        <f t="shared" si="58"/>
        <v>NA</v>
      </c>
      <c r="R34" s="165" t="str">
        <f t="shared" si="59"/>
        <v>NA</v>
      </c>
      <c r="S34" s="507">
        <f t="shared" si="60"/>
        <v>0</v>
      </c>
      <c r="T34" s="155" t="str">
        <f t="shared" si="61"/>
        <v>NA</v>
      </c>
      <c r="U34" s="155" t="str">
        <f t="shared" si="62"/>
        <v>NA</v>
      </c>
      <c r="V34" s="155" t="str">
        <f t="shared" si="63"/>
        <v>NA</v>
      </c>
      <c r="W34" s="155" t="str">
        <f t="shared" si="64"/>
        <v>NA</v>
      </c>
      <c r="X34" s="155" t="str">
        <f t="shared" si="65"/>
        <v>NA</v>
      </c>
      <c r="Y34" s="155" t="str">
        <f t="shared" si="66"/>
        <v>NA</v>
      </c>
      <c r="Z34" s="155" t="str">
        <f t="shared" si="67"/>
        <v>NA</v>
      </c>
      <c r="AA34" s="155" t="str">
        <f t="shared" si="68"/>
        <v>NA</v>
      </c>
      <c r="AB34" s="155" t="str">
        <f t="shared" si="69"/>
        <v>NA</v>
      </c>
      <c r="AC34" s="155" t="str">
        <f t="shared" si="70"/>
        <v>NA</v>
      </c>
      <c r="AD34" s="155" t="str">
        <f t="shared" si="71"/>
        <v>NA</v>
      </c>
      <c r="AE34" s="155" t="str">
        <f t="shared" si="72"/>
        <v>NA</v>
      </c>
      <c r="AF34" s="155" t="str">
        <f t="shared" si="73"/>
        <v>NA</v>
      </c>
      <c r="AG34" s="156" t="str">
        <f t="shared" si="74"/>
        <v>NA</v>
      </c>
      <c r="AH34" s="478" t="str">
        <f t="shared" si="75"/>
        <v>NA</v>
      </c>
      <c r="AI34" s="479" t="str">
        <f t="shared" si="76"/>
        <v>NA</v>
      </c>
      <c r="AJ34" s="480" t="str">
        <f t="shared" si="77"/>
        <v>NA</v>
      </c>
      <c r="AK34" s="480" t="str">
        <f t="shared" si="78"/>
        <v>NA</v>
      </c>
      <c r="AL34" s="480" t="str">
        <f t="shared" si="79"/>
        <v>NA</v>
      </c>
      <c r="AM34" s="480" t="str">
        <f t="shared" si="80"/>
        <v>NA</v>
      </c>
      <c r="AN34" s="480" t="str">
        <f t="shared" si="81"/>
        <v>NA</v>
      </c>
      <c r="AO34" s="480" t="str">
        <f t="shared" si="82"/>
        <v>NA</v>
      </c>
      <c r="AP34" s="480" t="str">
        <f t="shared" si="83"/>
        <v>NA</v>
      </c>
      <c r="AQ34" s="480" t="str">
        <f t="shared" si="84"/>
        <v>NA</v>
      </c>
      <c r="AR34" s="481" t="str">
        <f t="shared" si="85"/>
        <v>NA</v>
      </c>
      <c r="AS34" s="481" t="str">
        <f t="shared" si="86"/>
        <v>NA</v>
      </c>
      <c r="AT34" s="481" t="str">
        <f t="shared" si="87"/>
        <v>NA</v>
      </c>
      <c r="AU34" s="481" t="str">
        <f t="shared" si="88"/>
        <v>NA</v>
      </c>
      <c r="AV34" s="482" t="str">
        <f t="shared" si="89"/>
        <v>NA</v>
      </c>
    </row>
    <row r="35" spans="1:48" x14ac:dyDescent="0.25">
      <c r="B35" s="166">
        <v>128</v>
      </c>
      <c r="C35" s="169" t="str">
        <f>_xlfn.XLOOKUP(B35, LgProvEntOrgIDs[Advanced Network/Insurer Carrier Org ID], LgProvEntOrgIDs[Advanced Network/Insurance Carrier Overall])</f>
        <v>United Community and Family Services</v>
      </c>
      <c r="D35" s="507">
        <f t="shared" si="45"/>
        <v>0</v>
      </c>
      <c r="E35" s="155" t="str">
        <f t="shared" si="46"/>
        <v>NA</v>
      </c>
      <c r="F35" s="155" t="str">
        <f t="shared" si="47"/>
        <v>NA</v>
      </c>
      <c r="G35" s="155" t="str">
        <f t="shared" si="48"/>
        <v>NA</v>
      </c>
      <c r="H35" s="155" t="str">
        <f t="shared" si="49"/>
        <v>NA</v>
      </c>
      <c r="I35" s="155" t="str">
        <f t="shared" si="50"/>
        <v>NA</v>
      </c>
      <c r="J35" s="155" t="str">
        <f t="shared" si="51"/>
        <v>NA</v>
      </c>
      <c r="K35" s="155" t="str">
        <f t="shared" si="52"/>
        <v>NA</v>
      </c>
      <c r="L35" s="155" t="str">
        <f t="shared" si="53"/>
        <v>NA</v>
      </c>
      <c r="M35" s="155" t="str">
        <f t="shared" si="54"/>
        <v>NA</v>
      </c>
      <c r="N35" s="155" t="str">
        <f t="shared" si="55"/>
        <v>NA</v>
      </c>
      <c r="O35" s="155" t="str">
        <f t="shared" si="56"/>
        <v>NA</v>
      </c>
      <c r="P35" s="155" t="str">
        <f t="shared" si="57"/>
        <v>NA</v>
      </c>
      <c r="Q35" s="155" t="str">
        <f t="shared" si="58"/>
        <v>NA</v>
      </c>
      <c r="R35" s="165" t="str">
        <f t="shared" si="59"/>
        <v>NA</v>
      </c>
      <c r="S35" s="507">
        <f t="shared" si="60"/>
        <v>0</v>
      </c>
      <c r="T35" s="155" t="str">
        <f t="shared" si="61"/>
        <v>NA</v>
      </c>
      <c r="U35" s="155" t="str">
        <f t="shared" si="62"/>
        <v>NA</v>
      </c>
      <c r="V35" s="155" t="str">
        <f t="shared" si="63"/>
        <v>NA</v>
      </c>
      <c r="W35" s="155" t="str">
        <f t="shared" si="64"/>
        <v>NA</v>
      </c>
      <c r="X35" s="155" t="str">
        <f t="shared" si="65"/>
        <v>NA</v>
      </c>
      <c r="Y35" s="155" t="str">
        <f t="shared" si="66"/>
        <v>NA</v>
      </c>
      <c r="Z35" s="155" t="str">
        <f t="shared" si="67"/>
        <v>NA</v>
      </c>
      <c r="AA35" s="155" t="str">
        <f t="shared" si="68"/>
        <v>NA</v>
      </c>
      <c r="AB35" s="155" t="str">
        <f t="shared" si="69"/>
        <v>NA</v>
      </c>
      <c r="AC35" s="155" t="str">
        <f t="shared" si="70"/>
        <v>NA</v>
      </c>
      <c r="AD35" s="155" t="str">
        <f t="shared" si="71"/>
        <v>NA</v>
      </c>
      <c r="AE35" s="155" t="str">
        <f t="shared" si="72"/>
        <v>NA</v>
      </c>
      <c r="AF35" s="155" t="str">
        <f t="shared" si="73"/>
        <v>NA</v>
      </c>
      <c r="AG35" s="156" t="str">
        <f t="shared" si="74"/>
        <v>NA</v>
      </c>
      <c r="AH35" s="478" t="str">
        <f t="shared" si="75"/>
        <v>NA</v>
      </c>
      <c r="AI35" s="479" t="str">
        <f t="shared" si="76"/>
        <v>NA</v>
      </c>
      <c r="AJ35" s="480" t="str">
        <f t="shared" si="77"/>
        <v>NA</v>
      </c>
      <c r="AK35" s="480" t="str">
        <f t="shared" si="78"/>
        <v>NA</v>
      </c>
      <c r="AL35" s="480" t="str">
        <f t="shared" si="79"/>
        <v>NA</v>
      </c>
      <c r="AM35" s="480" t="str">
        <f t="shared" si="80"/>
        <v>NA</v>
      </c>
      <c r="AN35" s="480" t="str">
        <f t="shared" si="81"/>
        <v>NA</v>
      </c>
      <c r="AO35" s="480" t="str">
        <f t="shared" si="82"/>
        <v>NA</v>
      </c>
      <c r="AP35" s="480" t="str">
        <f t="shared" si="83"/>
        <v>NA</v>
      </c>
      <c r="AQ35" s="480" t="str">
        <f t="shared" si="84"/>
        <v>NA</v>
      </c>
      <c r="AR35" s="481" t="str">
        <f t="shared" si="85"/>
        <v>NA</v>
      </c>
      <c r="AS35" s="481" t="str">
        <f t="shared" si="86"/>
        <v>NA</v>
      </c>
      <c r="AT35" s="481" t="str">
        <f t="shared" si="87"/>
        <v>NA</v>
      </c>
      <c r="AU35" s="481" t="str">
        <f t="shared" si="88"/>
        <v>NA</v>
      </c>
      <c r="AV35" s="482" t="str">
        <f t="shared" si="89"/>
        <v>NA</v>
      </c>
    </row>
    <row r="36" spans="1:48" x14ac:dyDescent="0.25">
      <c r="B36" s="166">
        <v>129</v>
      </c>
      <c r="C36" s="169" t="str">
        <f>_xlfn.XLOOKUP(B36, LgProvEntOrgIDs[Advanced Network/Insurer Carrier Org ID], LgProvEntOrgIDs[Advanced Network/Insurance Carrier Overall])</f>
        <v>Summit Health (formerly WestMed Medical Group)</v>
      </c>
      <c r="D36" s="507">
        <f t="shared" si="45"/>
        <v>0</v>
      </c>
      <c r="E36" s="155" t="str">
        <f t="shared" si="46"/>
        <v>NA</v>
      </c>
      <c r="F36" s="155" t="str">
        <f t="shared" si="47"/>
        <v>NA</v>
      </c>
      <c r="G36" s="155" t="str">
        <f t="shared" si="48"/>
        <v>NA</v>
      </c>
      <c r="H36" s="155" t="str">
        <f t="shared" si="49"/>
        <v>NA</v>
      </c>
      <c r="I36" s="155" t="str">
        <f t="shared" si="50"/>
        <v>NA</v>
      </c>
      <c r="J36" s="155" t="str">
        <f t="shared" si="51"/>
        <v>NA</v>
      </c>
      <c r="K36" s="155" t="str">
        <f t="shared" si="52"/>
        <v>NA</v>
      </c>
      <c r="L36" s="155" t="str">
        <f t="shared" si="53"/>
        <v>NA</v>
      </c>
      <c r="M36" s="155" t="str">
        <f t="shared" si="54"/>
        <v>NA</v>
      </c>
      <c r="N36" s="155" t="str">
        <f t="shared" si="55"/>
        <v>NA</v>
      </c>
      <c r="O36" s="155" t="str">
        <f t="shared" si="56"/>
        <v>NA</v>
      </c>
      <c r="P36" s="155" t="str">
        <f t="shared" si="57"/>
        <v>NA</v>
      </c>
      <c r="Q36" s="155" t="str">
        <f t="shared" si="58"/>
        <v>NA</v>
      </c>
      <c r="R36" s="165" t="str">
        <f t="shared" si="59"/>
        <v>NA</v>
      </c>
      <c r="S36" s="507">
        <f t="shared" si="60"/>
        <v>0</v>
      </c>
      <c r="T36" s="155" t="str">
        <f t="shared" si="61"/>
        <v>NA</v>
      </c>
      <c r="U36" s="155" t="str">
        <f t="shared" si="62"/>
        <v>NA</v>
      </c>
      <c r="V36" s="155" t="str">
        <f t="shared" si="63"/>
        <v>NA</v>
      </c>
      <c r="W36" s="155" t="str">
        <f t="shared" si="64"/>
        <v>NA</v>
      </c>
      <c r="X36" s="155" t="str">
        <f t="shared" si="65"/>
        <v>NA</v>
      </c>
      <c r="Y36" s="155" t="str">
        <f t="shared" si="66"/>
        <v>NA</v>
      </c>
      <c r="Z36" s="155" t="str">
        <f t="shared" si="67"/>
        <v>NA</v>
      </c>
      <c r="AA36" s="155" t="str">
        <f t="shared" si="68"/>
        <v>NA</v>
      </c>
      <c r="AB36" s="155" t="str">
        <f t="shared" si="69"/>
        <v>NA</v>
      </c>
      <c r="AC36" s="155" t="str">
        <f t="shared" si="70"/>
        <v>NA</v>
      </c>
      <c r="AD36" s="155" t="str">
        <f t="shared" si="71"/>
        <v>NA</v>
      </c>
      <c r="AE36" s="155" t="str">
        <f t="shared" si="72"/>
        <v>NA</v>
      </c>
      <c r="AF36" s="155" t="str">
        <f t="shared" si="73"/>
        <v>NA</v>
      </c>
      <c r="AG36" s="156" t="str">
        <f t="shared" si="74"/>
        <v>NA</v>
      </c>
      <c r="AH36" s="478" t="str">
        <f t="shared" si="75"/>
        <v>NA</v>
      </c>
      <c r="AI36" s="479" t="str">
        <f t="shared" si="76"/>
        <v>NA</v>
      </c>
      <c r="AJ36" s="480" t="str">
        <f t="shared" si="77"/>
        <v>NA</v>
      </c>
      <c r="AK36" s="480" t="str">
        <f t="shared" si="78"/>
        <v>NA</v>
      </c>
      <c r="AL36" s="480" t="str">
        <f t="shared" si="79"/>
        <v>NA</v>
      </c>
      <c r="AM36" s="480" t="str">
        <f t="shared" si="80"/>
        <v>NA</v>
      </c>
      <c r="AN36" s="480" t="str">
        <f t="shared" si="81"/>
        <v>NA</v>
      </c>
      <c r="AO36" s="480" t="str">
        <f t="shared" si="82"/>
        <v>NA</v>
      </c>
      <c r="AP36" s="480" t="str">
        <f t="shared" si="83"/>
        <v>NA</v>
      </c>
      <c r="AQ36" s="480" t="str">
        <f t="shared" si="84"/>
        <v>NA</v>
      </c>
      <c r="AR36" s="481" t="str">
        <f t="shared" si="85"/>
        <v>NA</v>
      </c>
      <c r="AS36" s="481" t="str">
        <f t="shared" si="86"/>
        <v>NA</v>
      </c>
      <c r="AT36" s="481" t="str">
        <f t="shared" si="87"/>
        <v>NA</v>
      </c>
      <c r="AU36" s="481" t="str">
        <f t="shared" si="88"/>
        <v>NA</v>
      </c>
      <c r="AV36" s="482" t="str">
        <f t="shared" si="89"/>
        <v>NA</v>
      </c>
    </row>
    <row r="37" spans="1:48" x14ac:dyDescent="0.25">
      <c r="B37" s="166">
        <v>130</v>
      </c>
      <c r="C37" s="169" t="str">
        <f>_xlfn.XLOOKUP(B37, LgProvEntOrgIDs[Advanced Network/Insurer Carrier Org ID], LgProvEntOrgIDs[Advanced Network/Insurance Carrier Overall])</f>
        <v>Wheeler Clinic</v>
      </c>
      <c r="D37" s="507">
        <f t="shared" si="45"/>
        <v>0</v>
      </c>
      <c r="E37" s="155" t="str">
        <f t="shared" si="46"/>
        <v>NA</v>
      </c>
      <c r="F37" s="155" t="str">
        <f t="shared" si="47"/>
        <v>NA</v>
      </c>
      <c r="G37" s="155" t="str">
        <f t="shared" si="48"/>
        <v>NA</v>
      </c>
      <c r="H37" s="155" t="str">
        <f t="shared" si="49"/>
        <v>NA</v>
      </c>
      <c r="I37" s="155" t="str">
        <f t="shared" si="50"/>
        <v>NA</v>
      </c>
      <c r="J37" s="155" t="str">
        <f t="shared" si="51"/>
        <v>NA</v>
      </c>
      <c r="K37" s="155" t="str">
        <f t="shared" si="52"/>
        <v>NA</v>
      </c>
      <c r="L37" s="155" t="str">
        <f t="shared" si="53"/>
        <v>NA</v>
      </c>
      <c r="M37" s="155" t="str">
        <f t="shared" si="54"/>
        <v>NA</v>
      </c>
      <c r="N37" s="155" t="str">
        <f t="shared" si="55"/>
        <v>NA</v>
      </c>
      <c r="O37" s="155" t="str">
        <f t="shared" si="56"/>
        <v>NA</v>
      </c>
      <c r="P37" s="155" t="str">
        <f t="shared" si="57"/>
        <v>NA</v>
      </c>
      <c r="Q37" s="155" t="str">
        <f t="shared" si="58"/>
        <v>NA</v>
      </c>
      <c r="R37" s="165" t="str">
        <f t="shared" si="59"/>
        <v>NA</v>
      </c>
      <c r="S37" s="507">
        <f t="shared" si="60"/>
        <v>0</v>
      </c>
      <c r="T37" s="155" t="str">
        <f t="shared" si="61"/>
        <v>NA</v>
      </c>
      <c r="U37" s="155" t="str">
        <f t="shared" si="62"/>
        <v>NA</v>
      </c>
      <c r="V37" s="155" t="str">
        <f t="shared" si="63"/>
        <v>NA</v>
      </c>
      <c r="W37" s="155" t="str">
        <f t="shared" si="64"/>
        <v>NA</v>
      </c>
      <c r="X37" s="155" t="str">
        <f t="shared" si="65"/>
        <v>NA</v>
      </c>
      <c r="Y37" s="155" t="str">
        <f t="shared" si="66"/>
        <v>NA</v>
      </c>
      <c r="Z37" s="155" t="str">
        <f t="shared" si="67"/>
        <v>NA</v>
      </c>
      <c r="AA37" s="155" t="str">
        <f t="shared" si="68"/>
        <v>NA</v>
      </c>
      <c r="AB37" s="155" t="str">
        <f t="shared" si="69"/>
        <v>NA</v>
      </c>
      <c r="AC37" s="155" t="str">
        <f t="shared" si="70"/>
        <v>NA</v>
      </c>
      <c r="AD37" s="155" t="str">
        <f t="shared" si="71"/>
        <v>NA</v>
      </c>
      <c r="AE37" s="155" t="str">
        <f t="shared" si="72"/>
        <v>NA</v>
      </c>
      <c r="AF37" s="155" t="str">
        <f t="shared" si="73"/>
        <v>NA</v>
      </c>
      <c r="AG37" s="156" t="str">
        <f t="shared" si="74"/>
        <v>NA</v>
      </c>
      <c r="AH37" s="478" t="str">
        <f t="shared" si="75"/>
        <v>NA</v>
      </c>
      <c r="AI37" s="479" t="str">
        <f t="shared" si="76"/>
        <v>NA</v>
      </c>
      <c r="AJ37" s="480" t="str">
        <f t="shared" si="77"/>
        <v>NA</v>
      </c>
      <c r="AK37" s="480" t="str">
        <f t="shared" si="78"/>
        <v>NA</v>
      </c>
      <c r="AL37" s="480" t="str">
        <f t="shared" si="79"/>
        <v>NA</v>
      </c>
      <c r="AM37" s="480" t="str">
        <f t="shared" si="80"/>
        <v>NA</v>
      </c>
      <c r="AN37" s="480" t="str">
        <f t="shared" si="81"/>
        <v>NA</v>
      </c>
      <c r="AO37" s="480" t="str">
        <f t="shared" si="82"/>
        <v>NA</v>
      </c>
      <c r="AP37" s="480" t="str">
        <f t="shared" si="83"/>
        <v>NA</v>
      </c>
      <c r="AQ37" s="480" t="str">
        <f t="shared" si="84"/>
        <v>NA</v>
      </c>
      <c r="AR37" s="481" t="str">
        <f t="shared" si="85"/>
        <v>NA</v>
      </c>
      <c r="AS37" s="481" t="str">
        <f t="shared" si="86"/>
        <v>NA</v>
      </c>
      <c r="AT37" s="481" t="str">
        <f t="shared" si="87"/>
        <v>NA</v>
      </c>
      <c r="AU37" s="481" t="str">
        <f t="shared" si="88"/>
        <v>NA</v>
      </c>
      <c r="AV37" s="482" t="str">
        <f t="shared" si="89"/>
        <v>NA</v>
      </c>
    </row>
    <row r="38" spans="1:48" x14ac:dyDescent="0.25">
      <c r="B38" s="166">
        <v>131</v>
      </c>
      <c r="C38" s="169" t="str">
        <f>_xlfn.XLOOKUP(B38, LgProvEntOrgIDs[Advanced Network/Insurer Carrier Org ID], LgProvEntOrgIDs[Advanced Network/Insurance Carrier Overall])</f>
        <v>Yale Medicine</v>
      </c>
      <c r="D38" s="507">
        <f t="shared" si="45"/>
        <v>0</v>
      </c>
      <c r="E38" s="155" t="str">
        <f t="shared" si="46"/>
        <v>NA</v>
      </c>
      <c r="F38" s="155" t="str">
        <f t="shared" si="47"/>
        <v>NA</v>
      </c>
      <c r="G38" s="155" t="str">
        <f t="shared" si="48"/>
        <v>NA</v>
      </c>
      <c r="H38" s="155" t="str">
        <f t="shared" si="49"/>
        <v>NA</v>
      </c>
      <c r="I38" s="155" t="str">
        <f t="shared" si="50"/>
        <v>NA</v>
      </c>
      <c r="J38" s="155" t="str">
        <f t="shared" si="51"/>
        <v>NA</v>
      </c>
      <c r="K38" s="155" t="str">
        <f t="shared" si="52"/>
        <v>NA</v>
      </c>
      <c r="L38" s="155" t="str">
        <f t="shared" si="53"/>
        <v>NA</v>
      </c>
      <c r="M38" s="155" t="str">
        <f t="shared" si="54"/>
        <v>NA</v>
      </c>
      <c r="N38" s="155" t="str">
        <f t="shared" si="55"/>
        <v>NA</v>
      </c>
      <c r="O38" s="155" t="str">
        <f t="shared" si="56"/>
        <v>NA</v>
      </c>
      <c r="P38" s="155" t="str">
        <f t="shared" si="57"/>
        <v>NA</v>
      </c>
      <c r="Q38" s="155" t="str">
        <f t="shared" si="58"/>
        <v>NA</v>
      </c>
      <c r="R38" s="165" t="str">
        <f t="shared" si="59"/>
        <v>NA</v>
      </c>
      <c r="S38" s="507">
        <f t="shared" si="60"/>
        <v>0</v>
      </c>
      <c r="T38" s="155" t="str">
        <f t="shared" si="61"/>
        <v>NA</v>
      </c>
      <c r="U38" s="155" t="str">
        <f t="shared" si="62"/>
        <v>NA</v>
      </c>
      <c r="V38" s="155" t="str">
        <f t="shared" si="63"/>
        <v>NA</v>
      </c>
      <c r="W38" s="155" t="str">
        <f t="shared" si="64"/>
        <v>NA</v>
      </c>
      <c r="X38" s="155" t="str">
        <f t="shared" si="65"/>
        <v>NA</v>
      </c>
      <c r="Y38" s="155" t="str">
        <f t="shared" si="66"/>
        <v>NA</v>
      </c>
      <c r="Z38" s="155" t="str">
        <f t="shared" si="67"/>
        <v>NA</v>
      </c>
      <c r="AA38" s="155" t="str">
        <f t="shared" si="68"/>
        <v>NA</v>
      </c>
      <c r="AB38" s="155" t="str">
        <f t="shared" si="69"/>
        <v>NA</v>
      </c>
      <c r="AC38" s="155" t="str">
        <f t="shared" si="70"/>
        <v>NA</v>
      </c>
      <c r="AD38" s="155" t="str">
        <f t="shared" si="71"/>
        <v>NA</v>
      </c>
      <c r="AE38" s="155" t="str">
        <f t="shared" si="72"/>
        <v>NA</v>
      </c>
      <c r="AF38" s="155" t="str">
        <f t="shared" si="73"/>
        <v>NA</v>
      </c>
      <c r="AG38" s="156" t="str">
        <f t="shared" si="74"/>
        <v>NA</v>
      </c>
      <c r="AH38" s="478" t="str">
        <f t="shared" si="75"/>
        <v>NA</v>
      </c>
      <c r="AI38" s="479" t="str">
        <f t="shared" si="76"/>
        <v>NA</v>
      </c>
      <c r="AJ38" s="480" t="str">
        <f t="shared" si="77"/>
        <v>NA</v>
      </c>
      <c r="AK38" s="480" t="str">
        <f t="shared" si="78"/>
        <v>NA</v>
      </c>
      <c r="AL38" s="480" t="str">
        <f t="shared" si="79"/>
        <v>NA</v>
      </c>
      <c r="AM38" s="480" t="str">
        <f t="shared" si="80"/>
        <v>NA</v>
      </c>
      <c r="AN38" s="480" t="str">
        <f t="shared" si="81"/>
        <v>NA</v>
      </c>
      <c r="AO38" s="480" t="str">
        <f t="shared" si="82"/>
        <v>NA</v>
      </c>
      <c r="AP38" s="480" t="str">
        <f t="shared" si="83"/>
        <v>NA</v>
      </c>
      <c r="AQ38" s="480" t="str">
        <f t="shared" si="84"/>
        <v>NA</v>
      </c>
      <c r="AR38" s="481" t="str">
        <f t="shared" si="85"/>
        <v>NA</v>
      </c>
      <c r="AS38" s="481" t="str">
        <f t="shared" si="86"/>
        <v>NA</v>
      </c>
      <c r="AT38" s="481" t="str">
        <f t="shared" si="87"/>
        <v>NA</v>
      </c>
      <c r="AU38" s="481" t="str">
        <f t="shared" si="88"/>
        <v>NA</v>
      </c>
      <c r="AV38" s="482" t="str">
        <f t="shared" si="89"/>
        <v>NA</v>
      </c>
    </row>
    <row r="39" spans="1:48" x14ac:dyDescent="0.25">
      <c r="B39" s="166">
        <v>999</v>
      </c>
      <c r="C39" s="169" t="str">
        <f>_xlfn.XLOOKUP(B39, LgProvEntOrgIDs[Advanced Network/Insurer Carrier Org ID], LgProvEntOrgIDs[Advanced Network/Insurance Carrier Overall])</f>
        <v>Members Not Attributed to an Advanced Network</v>
      </c>
      <c r="D39" s="507">
        <f>D77+D115</f>
        <v>0</v>
      </c>
      <c r="E39" s="155" t="str">
        <f>IF(D39=0,"NA",(SUMPRODUCT(E77,D77)+SUMPRODUCT(E115,D115))/D39)</f>
        <v>NA</v>
      </c>
      <c r="F39" s="155" t="str">
        <f>IF(D39=0,"NA",(SUMPRODUCT(F77,D77)+SUMPRODUCT(F115,D115))/D39)</f>
        <v>NA</v>
      </c>
      <c r="G39" s="155" t="str">
        <f>IF(D39=0,"NA",(SUMPRODUCT(G77,D77)+SUMPRODUCT(G115,D115))/D39)</f>
        <v>NA</v>
      </c>
      <c r="H39" s="155" t="str">
        <f>IF(D39=0,"NA",(SUMPRODUCT(H77,D77)+SUMPRODUCT(H115,D115))/D39)</f>
        <v>NA</v>
      </c>
      <c r="I39" s="155" t="str">
        <f>IF(D39=0,"NA",(SUMPRODUCT(I77,D77)+SUMPRODUCT(I115,D115))/D39)</f>
        <v>NA</v>
      </c>
      <c r="J39" s="155" t="str">
        <f>IF(D39=0,"NA",(SUMPRODUCT(J77,D77)+SUMPRODUCT(J115,D115))/D39)</f>
        <v>NA</v>
      </c>
      <c r="K39" s="155" t="str">
        <f>IF(D39=0,"NA",(SUMPRODUCT(K77,D77)+SUMPRODUCT(K115,D115))/D39)</f>
        <v>NA</v>
      </c>
      <c r="L39" s="155" t="str">
        <f>IF(D39=0,"NA",(SUMPRODUCT(L77,D77)+SUMPRODUCT(L115,D115))/D39)</f>
        <v>NA</v>
      </c>
      <c r="M39" s="155" t="str">
        <f>IF(D39=0,"NA",(SUMPRODUCT(M77,D77)+SUMPRODUCT(M115,D115))/D39)</f>
        <v>NA</v>
      </c>
      <c r="N39" s="155" t="str">
        <f>IF(D39=0,"NA",(SUMPRODUCT(N77,D77)+SUMPRODUCT(N115,D115))/D39)</f>
        <v>NA</v>
      </c>
      <c r="O39" s="155" t="str">
        <f>IF(D39=0,"NA",(SUMPRODUCT(O77,D77)+SUMPRODUCT(O115,D115))/D39)</f>
        <v>NA</v>
      </c>
      <c r="P39" s="155" t="str">
        <f>IF(D39=0,"NA",(SUMPRODUCT(P77,D77)+SUMPRODUCT(P115,D115))/D39)</f>
        <v>NA</v>
      </c>
      <c r="Q39" s="155" t="str">
        <f>IF(D39=0,"NA",(SUMPRODUCT(Q77,D77)+SUMPRODUCT(Q115,D115))/D39)</f>
        <v>NA</v>
      </c>
      <c r="R39" s="165" t="str">
        <f>IF(D39=0,"NA",(SUMPRODUCT(R77,D77)+SUMPRODUCT(R115,D115))/D39)</f>
        <v>NA</v>
      </c>
      <c r="S39" s="507">
        <f>S77+S115</f>
        <v>0</v>
      </c>
      <c r="T39" s="155" t="str">
        <f>IF(S39=0,"NA",(SUMPRODUCT(T77,S77)+SUMPRODUCT(T115,S115))/S39)</f>
        <v>NA</v>
      </c>
      <c r="U39" s="155" t="str">
        <f>IF(S39=0,"NA",(SUMPRODUCT(U77,S77)+SUMPRODUCT(U115,S115))/S39)</f>
        <v>NA</v>
      </c>
      <c r="V39" s="155" t="str">
        <f>IF(S39=0,"NA",(SUMPRODUCT(V77,S77)+SUMPRODUCT(V115,S115))/S39)</f>
        <v>NA</v>
      </c>
      <c r="W39" s="155" t="str">
        <f>IF(S39=0,"NA",(SUMPRODUCT(W77,S77)+SUMPRODUCT(W115,S115))/S39)</f>
        <v>NA</v>
      </c>
      <c r="X39" s="155" t="str">
        <f>IF(S39=0,"NA",(SUMPRODUCT(X77,S77)+SUMPRODUCT(X115,S115))/S39)</f>
        <v>NA</v>
      </c>
      <c r="Y39" s="155" t="str">
        <f>IF(S39=0,"NA",(SUMPRODUCT(Y77,S77)+SUMPRODUCT(Y115,S115))/S39)</f>
        <v>NA</v>
      </c>
      <c r="Z39" s="155" t="str">
        <f>IF(S39=0,"NA",(SUMPRODUCT(Z77,S77)+SUMPRODUCT(Z115,S115))/S39)</f>
        <v>NA</v>
      </c>
      <c r="AA39" s="155" t="str">
        <f>IF(S39=0,"NA",(SUMPRODUCT(AA77,S77)+SUMPRODUCT(AA115,S115))/S39)</f>
        <v>NA</v>
      </c>
      <c r="AB39" s="155" t="str">
        <f>IF(S39=0,"NA",(SUMPRODUCT(AB77,S77)+SUMPRODUCT(AB115,S115))/S39)</f>
        <v>NA</v>
      </c>
      <c r="AC39" s="155" t="str">
        <f>IF(S39=0,"NA",(SUMPRODUCT(AC77,S77)+SUMPRODUCT(AC115,S115))/S39)</f>
        <v>NA</v>
      </c>
      <c r="AD39" s="155" t="str">
        <f>IF(S39=0,"NA",(SUMPRODUCT(AD77,S77)+SUMPRODUCT(AD115,S115))/S39)</f>
        <v>NA</v>
      </c>
      <c r="AE39" s="155" t="str">
        <f>IF(S39=0,"NA",(SUMPRODUCT(AE77,S77)+SUMPRODUCT(AE115,S115))/S39)</f>
        <v>NA</v>
      </c>
      <c r="AF39" s="155" t="str">
        <f>IF(S39=0,"NA",(SUMPRODUCT(AF77,S77)+SUMPRODUCT(AF115,S115))/S39)</f>
        <v>NA</v>
      </c>
      <c r="AG39" s="156" t="str">
        <f>IF(S39=0,"NA",(SUMPRODUCT(AG77,S77)+SUMPRODUCT(AG115,S115))/S39)</f>
        <v>NA</v>
      </c>
      <c r="AH39" s="478" t="str">
        <f>IF(D39=0,"NA",S39/D39-1)</f>
        <v>NA</v>
      </c>
      <c r="AI39" s="479" t="str">
        <f>IF(D39=0,"NA",T39/E39-1)</f>
        <v>NA</v>
      </c>
      <c r="AJ39" s="480" t="str">
        <f>IF(D39=0,"NA",U39/F39-1)</f>
        <v>NA</v>
      </c>
      <c r="AK39" s="480" t="str">
        <f>IF(D39=0,"NA",V39/G39-1)</f>
        <v>NA</v>
      </c>
      <c r="AL39" s="480" t="str">
        <f>IF(D39=0,"NA",W39/H39-1)</f>
        <v>NA</v>
      </c>
      <c r="AM39" s="480" t="str">
        <f>IF(D39=0,"NA",X39/I39-1)</f>
        <v>NA</v>
      </c>
      <c r="AN39" s="480" t="str">
        <f>IF(D39=0,"NA",Y39/J39-1)</f>
        <v>NA</v>
      </c>
      <c r="AO39" s="480" t="str">
        <f>IF(D39=0,"NA",Z39/K39-1)</f>
        <v>NA</v>
      </c>
      <c r="AP39" s="480" t="str">
        <f>IF(D39=0,"NA",AA39/L39-1)</f>
        <v>NA</v>
      </c>
      <c r="AQ39" s="480" t="str">
        <f>IF(D39=0,"NA",AB39/M39-1)</f>
        <v>NA</v>
      </c>
      <c r="AR39" s="481" t="str">
        <f>IF(D39=0,"NA",AC39/N39-1)</f>
        <v>NA</v>
      </c>
      <c r="AS39" s="481" t="str">
        <f>IF(D39=0,"NA",AD39/O39-1)</f>
        <v>NA</v>
      </c>
      <c r="AT39" s="481" t="str">
        <f>IF(D39=0,"NA",AE39/P39-1)</f>
        <v>NA</v>
      </c>
      <c r="AU39" s="481" t="str">
        <f>IF(D39=0,"NA",AF39/Q39-1)</f>
        <v>NA</v>
      </c>
      <c r="AV39" s="482" t="str">
        <f>IF(D39=0,"NA",AG39/R39-1)</f>
        <v>NA</v>
      </c>
    </row>
    <row r="40" spans="1:48" x14ac:dyDescent="0.25">
      <c r="B40" s="167"/>
      <c r="C40" s="170" t="s">
        <v>319</v>
      </c>
      <c r="D40" s="508">
        <f>SUM(D8:D39)</f>
        <v>0</v>
      </c>
      <c r="E40" s="157" t="str">
        <f>IF(D40=0,"NA",(SUMPRODUCT(E78,D78)+SUMPRODUCT(E116,D116))/D40)</f>
        <v>NA</v>
      </c>
      <c r="F40" s="110" t="str">
        <f>IF(D40=0,"NA",(SUMPRODUCT(F78,D78)+SUMPRODUCT(F116,D116))/D40)</f>
        <v>NA</v>
      </c>
      <c r="G40" s="110" t="str">
        <f>IF(D40=0,"NA",(SUMPRODUCT(G78,D78)+SUMPRODUCT(G116,D116))/D40)</f>
        <v>NA</v>
      </c>
      <c r="H40" s="110" t="str">
        <f>IF(D40=0,"NA",(SUMPRODUCT(H78,D78)+SUMPRODUCT(H116,D116))/D40)</f>
        <v>NA</v>
      </c>
      <c r="I40" s="110" t="str">
        <f>IF(D40=0,"NA",(SUMPRODUCT(I78,D78)+SUMPRODUCT(I116,D116))/D40)</f>
        <v>NA</v>
      </c>
      <c r="J40" s="110" t="str">
        <f>IF(D40=0,"NA",(SUMPRODUCT(J78,D78)+SUMPRODUCT(J116,D116))/D40)</f>
        <v>NA</v>
      </c>
      <c r="K40" s="110" t="str">
        <f>IF(D40=0,"NA",(SUMPRODUCT(K78,D78)+SUMPRODUCT(K116,D116))/D40)</f>
        <v>NA</v>
      </c>
      <c r="L40" s="110" t="str">
        <f>IF(D40=0,"NA",(SUMPRODUCT(L78,D78)+SUMPRODUCT(L116,D116))/D40)</f>
        <v>NA</v>
      </c>
      <c r="M40" s="110" t="str">
        <f>IF(D40=0,"NA",(SUMPRODUCT(M78,D78)+SUMPRODUCT(M116,D116))/D40)</f>
        <v>NA</v>
      </c>
      <c r="N40" s="158" t="str">
        <f>IF(D40=0,"NA",(SUMPRODUCT(N78,D78)+SUMPRODUCT(N116,D116))/D40)</f>
        <v>NA</v>
      </c>
      <c r="O40" s="158" t="str">
        <f>IF(D40=0,"NA",(SUMPRODUCT(O78,D78)+SUMPRODUCT(O116,D116))/D40)</f>
        <v>NA</v>
      </c>
      <c r="P40" s="158" t="str">
        <f>IF(D40=0,"NA",(SUMPRODUCT(P78,D78)+SUMPRODUCT(P116,D116))/D40)</f>
        <v>NA</v>
      </c>
      <c r="Q40" s="158" t="str">
        <f>IF(D40=0,"NA",(SUMPRODUCT(Q78,D78)+SUMPRODUCT(Q116,D116))/D40)</f>
        <v>NA</v>
      </c>
      <c r="R40" s="158" t="str">
        <f>IF(D40=0,"NA",(SUMPRODUCT(R78,D78)+SUMPRODUCT(R116,D116))/D40)</f>
        <v>NA</v>
      </c>
      <c r="S40" s="508">
        <f>SUM(S8:S39)</f>
        <v>0</v>
      </c>
      <c r="T40" s="157" t="str">
        <f>IF(S40=0,"NA",(SUMPRODUCT(T78,S78)+SUMPRODUCT(T116,S116))/S40)</f>
        <v>NA</v>
      </c>
      <c r="U40" s="110" t="str">
        <f>IF(S40=0,"NA",(SUMPRODUCT(U78,S78)+SUMPRODUCT(U116,S116))/S40)</f>
        <v>NA</v>
      </c>
      <c r="V40" s="110" t="str">
        <f>IF(S40=0,"NA",(SUMPRODUCT(V78,S78)+SUMPRODUCT(V116,S116))/S40)</f>
        <v>NA</v>
      </c>
      <c r="W40" s="110" t="str">
        <f>IF(S40=0,"NA",(SUMPRODUCT(W78,S78)+SUMPRODUCT(W116,S116))/S40)</f>
        <v>NA</v>
      </c>
      <c r="X40" s="110" t="str">
        <f>IF(S40=0,"NA",(SUMPRODUCT(X78,S78)+SUMPRODUCT(X116,S116))/S40)</f>
        <v>NA</v>
      </c>
      <c r="Y40" s="110" t="str">
        <f>IF(S40=0,"NA",(SUMPRODUCT(Y78,S78)+SUMPRODUCT(Y116,S116))/S40)</f>
        <v>NA</v>
      </c>
      <c r="Z40" s="110" t="str">
        <f>IF(S40=0,"NA",(SUMPRODUCT(Z78,S78)+SUMPRODUCT(Z116,S116))/S40)</f>
        <v>NA</v>
      </c>
      <c r="AA40" s="110" t="str">
        <f>IF(S40=0,"NA",(SUMPRODUCT(AA78,S78)+SUMPRODUCT(AA116,S116))/S40)</f>
        <v>NA</v>
      </c>
      <c r="AB40" s="110" t="str">
        <f>IF(S40=0,"NA",(SUMPRODUCT(AB78,S78)+SUMPRODUCT(AB116,S116))/S40)</f>
        <v>NA</v>
      </c>
      <c r="AC40" s="158" t="str">
        <f>IF(S40=0,"NA",(SUMPRODUCT(AC78,S78)+SUMPRODUCT(AC116,S116))/S40)</f>
        <v>NA</v>
      </c>
      <c r="AD40" s="158" t="str">
        <f>IF(S40=0,"NA",(SUMPRODUCT(AD78,S78)+SUMPRODUCT(AD116,S116))/S40)</f>
        <v>NA</v>
      </c>
      <c r="AE40" s="158" t="str">
        <f>IF(S40=0,"NA",(SUMPRODUCT(AE78,S78)+SUMPRODUCT(AE116,S116))/S40)</f>
        <v>NA</v>
      </c>
      <c r="AF40" s="158" t="str">
        <f>IF(S40=0,"NA",(SUMPRODUCT(AF78,S78)+SUMPRODUCT(AF116,S116))/S40)</f>
        <v>NA</v>
      </c>
      <c r="AG40" s="159" t="str">
        <f>IF(S40=0,"NA",(SUMPRODUCT(AG78,S78)+SUMPRODUCT(AG116,S116))/S40)</f>
        <v>NA</v>
      </c>
      <c r="AH40" s="483" t="str">
        <f>IF(D40=0,"NA",S40/D40-1)</f>
        <v>NA</v>
      </c>
      <c r="AI40" s="484" t="str">
        <f>IF(D40=0,"NA",T40/E40-1)</f>
        <v>NA</v>
      </c>
      <c r="AJ40" s="485" t="str">
        <f>IF(D40=0,"NA",U40/F40-1)</f>
        <v>NA</v>
      </c>
      <c r="AK40" s="485" t="str">
        <f>IF(D40=0,"NA",V40/G40-1)</f>
        <v>NA</v>
      </c>
      <c r="AL40" s="485" t="str">
        <f>IF(D40=0,"NA",W40/H40-1)</f>
        <v>NA</v>
      </c>
      <c r="AM40" s="485" t="str">
        <f>IF(D40=0,"NA",X40/I40-1)</f>
        <v>NA</v>
      </c>
      <c r="AN40" s="485" t="str">
        <f>IF(D40=0,"NA",Y40/J40-1)</f>
        <v>NA</v>
      </c>
      <c r="AO40" s="485" t="str">
        <f>IF(D40=0,"NA",Z40/K40-1)</f>
        <v>NA</v>
      </c>
      <c r="AP40" s="485" t="str">
        <f>IF(D40=0,"NA",AA40/L40-1)</f>
        <v>NA</v>
      </c>
      <c r="AQ40" s="485" t="str">
        <f>IF(D40=0,"NA",AB40/M40-1)</f>
        <v>NA</v>
      </c>
      <c r="AR40" s="486" t="str">
        <f>IF(D40=0,"NA",AC40/N40-1)</f>
        <v>NA</v>
      </c>
      <c r="AS40" s="486" t="str">
        <f>IF(D40=0,"NA",AD40/O40-1)</f>
        <v>NA</v>
      </c>
      <c r="AT40" s="486" t="str">
        <f>IF(D40=0,"NA",AE40/P40-1)</f>
        <v>NA</v>
      </c>
      <c r="AU40" s="486" t="str">
        <f>IF(D40=0,"NA",AF40/Q40-1)</f>
        <v>NA</v>
      </c>
      <c r="AV40" s="487" t="str">
        <f>IF(D40=0,"NA",AG40/R40-1)</f>
        <v>NA</v>
      </c>
    </row>
    <row r="41" spans="1:48" ht="15.75" thickBot="1" x14ac:dyDescent="0.3">
      <c r="B41" s="168"/>
      <c r="C41" s="171" t="s">
        <v>320</v>
      </c>
      <c r="D41" s="509">
        <f>D40</f>
        <v>0</v>
      </c>
      <c r="E41" s="160" t="str">
        <f>IF(D41=0,"NA",(SUMPRODUCT(E79,D79)+SUMPRODUCT(E117,D117))/D41)</f>
        <v>NA</v>
      </c>
      <c r="F41" s="161" t="str">
        <f>IF(D41=0,"NA",(SUMPRODUCT(F79,D79)+SUMPRODUCT(F117,D117))/D41)</f>
        <v>NA</v>
      </c>
      <c r="G41" s="161" t="str">
        <f>IF(D41=0,"NA",(SUMPRODUCT(G79,D79)+SUMPRODUCT(G117,D117))/D41)</f>
        <v>NA</v>
      </c>
      <c r="H41" s="161" t="str">
        <f>IF(D41=0,"NA",(SUMPRODUCT(H79,D79)+SUMPRODUCT(H117,D117))/D41)</f>
        <v>NA</v>
      </c>
      <c r="I41" s="161" t="str">
        <f>IF(D41=0,"NA",(SUMPRODUCT(I79,D79)+SUMPRODUCT(I117,D117))/D41)</f>
        <v>NA</v>
      </c>
      <c r="J41" s="161" t="str">
        <f>IF(D41=0,"NA",(SUMPRODUCT(J79,D79)+SUMPRODUCT(J117,D117))/D41)</f>
        <v>NA</v>
      </c>
      <c r="K41" s="161" t="str">
        <f>IF(D41=0,"NA",(SUMPRODUCT(K79,D79)+SUMPRODUCT(K117,D117))/D41)</f>
        <v>NA</v>
      </c>
      <c r="L41" s="161" t="str">
        <f>IF(D41=0,"NA",(SUMPRODUCT(L79,D79)+SUMPRODUCT(L117,D117))/D41)</f>
        <v>NA</v>
      </c>
      <c r="M41" s="161" t="str">
        <f>IF(D41=0,"NA",(SUMPRODUCT(M79,D79)+SUMPRODUCT(M117,D117))/D41)</f>
        <v>NA</v>
      </c>
      <c r="N41" s="162" t="str">
        <f>IF(D41=0,"NA",(SUMPRODUCT(N79,D79)+SUMPRODUCT(N117,D117))/D41)</f>
        <v>NA</v>
      </c>
      <c r="O41" s="162" t="str">
        <f>IF(D41=0,"NA",(SUMPRODUCT(O79,D79)+SUMPRODUCT(O117,D117))/D41)</f>
        <v>NA</v>
      </c>
      <c r="P41" s="162" t="str">
        <f>IF(D41=0,"NA",(SUMPRODUCT(P79,D79)+SUMPRODUCT(P117,D117))/D41)</f>
        <v>NA</v>
      </c>
      <c r="Q41" s="162" t="str">
        <f>IF(D41=0,"NA",(SUMPRODUCT(Q79,D79)+SUMPRODUCT(Q117,D117))/D41)</f>
        <v>NA</v>
      </c>
      <c r="R41" s="162" t="str">
        <f>IF(D41=0,"NA",(SUMPRODUCT(R79,D79)+SUMPRODUCT(R117,D117))/D41)</f>
        <v>NA</v>
      </c>
      <c r="S41" s="509">
        <f>S40</f>
        <v>0</v>
      </c>
      <c r="T41" s="160" t="str">
        <f>IF(S41=0,"NA",(SUMPRODUCT(T79,S79)+SUMPRODUCT(T117,S117))/S41)</f>
        <v>NA</v>
      </c>
      <c r="U41" s="161" t="str">
        <f>IF(S41=0,"NA",(SUMPRODUCT(U79,S79)+SUMPRODUCT(U117,S117))/S41)</f>
        <v>NA</v>
      </c>
      <c r="V41" s="161" t="str">
        <f>IF(S41=0,"NA",(SUMPRODUCT(V79,S79)+SUMPRODUCT(V117,S117))/S41)</f>
        <v>NA</v>
      </c>
      <c r="W41" s="161" t="str">
        <f>IF(S41=0,"NA",(SUMPRODUCT(W79,S79)+SUMPRODUCT(W117,S117))/S41)</f>
        <v>NA</v>
      </c>
      <c r="X41" s="161" t="str">
        <f>IF(S41=0,"NA",(SUMPRODUCT(X79,S79)+SUMPRODUCT(X117,S117))/S41)</f>
        <v>NA</v>
      </c>
      <c r="Y41" s="161" t="str">
        <f>IF(S41=0,"NA",(SUMPRODUCT(Y79,S79)+SUMPRODUCT(Y117,S117))/S41)</f>
        <v>NA</v>
      </c>
      <c r="Z41" s="161" t="str">
        <f>IF(S41=0,"NA",(SUMPRODUCT(Z79,S79)+SUMPRODUCT(Z117,S117))/S41)</f>
        <v>NA</v>
      </c>
      <c r="AA41" s="161" t="str">
        <f>IF(S41=0,"NA",(SUMPRODUCT(AA79,S79)+SUMPRODUCT(AA117,S117))/S41)</f>
        <v>NA</v>
      </c>
      <c r="AB41" s="161" t="str">
        <f>IF(S41=0,"NA",(SUMPRODUCT(AB79,S79)+SUMPRODUCT(AB117,S117))/S41)</f>
        <v>NA</v>
      </c>
      <c r="AC41" s="162" t="str">
        <f>IF(S41=0,"NA",(SUMPRODUCT(AC79,S79)+SUMPRODUCT(AC117,S117))/S41)</f>
        <v>NA</v>
      </c>
      <c r="AD41" s="162" t="str">
        <f>IF(S41=0,"NA",(SUMPRODUCT(AD79,S79)+SUMPRODUCT(AD117,S117))/S41)</f>
        <v>NA</v>
      </c>
      <c r="AE41" s="162" t="str">
        <f>IF(S41=0,"NA",(SUMPRODUCT(AE79,S79)+SUMPRODUCT(AE117,S117))/S41)</f>
        <v>NA</v>
      </c>
      <c r="AF41" s="162" t="str">
        <f>IF(S41=0,"NA",(SUMPRODUCT(AF79,S79)+SUMPRODUCT(AF117,S117))/S41)</f>
        <v>NA</v>
      </c>
      <c r="AG41" s="163" t="str">
        <f>IF(S41=0,"NA",(SUMPRODUCT(AG79,S79)+SUMPRODUCT(AG117,S117))/S41)</f>
        <v>NA</v>
      </c>
      <c r="AH41" s="488" t="str">
        <f>IF(D41=0,"NA",S41/D41-1)</f>
        <v>NA</v>
      </c>
      <c r="AI41" s="489" t="str">
        <f>IF(D41=0,"NA",T41/E41-1)</f>
        <v>NA</v>
      </c>
      <c r="AJ41" s="490" t="str">
        <f>IF(D41=0,"NA",U41/F41-1)</f>
        <v>NA</v>
      </c>
      <c r="AK41" s="490" t="str">
        <f>IF(D41=0,"NA",V41/G41-1)</f>
        <v>NA</v>
      </c>
      <c r="AL41" s="490" t="str">
        <f>IF(D41=0,"NA",W41/H41-1)</f>
        <v>NA</v>
      </c>
      <c r="AM41" s="490" t="str">
        <f>IF(D41=0,"NA",X41/I41-1)</f>
        <v>NA</v>
      </c>
      <c r="AN41" s="490" t="str">
        <f>IF(D41=0,"NA",Y41/J41-1)</f>
        <v>NA</v>
      </c>
      <c r="AO41" s="490" t="str">
        <f>IF(D41=0,"NA",Z41/K41-1)</f>
        <v>NA</v>
      </c>
      <c r="AP41" s="490" t="str">
        <f>IF(D41=0,"NA",AA41/L41-1)</f>
        <v>NA</v>
      </c>
      <c r="AQ41" s="490" t="str">
        <f>IF(D41=0,"NA",AB41/M41-1)</f>
        <v>NA</v>
      </c>
      <c r="AR41" s="491" t="str">
        <f>IF(D41=0,"NA",AC41/N41-1)</f>
        <v>NA</v>
      </c>
      <c r="AS41" s="491" t="str">
        <f>IF(D41=0,"NA",AD41/O41-1)</f>
        <v>NA</v>
      </c>
      <c r="AT41" s="491" t="str">
        <f>IF(D41=0,"NA",AE41/P41-1)</f>
        <v>NA</v>
      </c>
      <c r="AU41" s="491" t="str">
        <f>IF(D41=0,"NA",AF41/Q41-1)</f>
        <v>NA</v>
      </c>
      <c r="AV41" s="492" t="str">
        <f>IF(D41=0,"NA",AG41/R41-1)</f>
        <v>NA</v>
      </c>
    </row>
    <row r="43" spans="1:48" ht="16.5" thickBot="1" x14ac:dyDescent="0.3">
      <c r="B43" s="54" t="s">
        <v>321</v>
      </c>
      <c r="C43" s="526"/>
    </row>
    <row r="44" spans="1:48" x14ac:dyDescent="0.25">
      <c r="B44" s="592" t="s">
        <v>309</v>
      </c>
      <c r="C44" s="593"/>
      <c r="D44" s="554">
        <v>2022</v>
      </c>
      <c r="E44" s="555"/>
      <c r="F44" s="555"/>
      <c r="G44" s="555"/>
      <c r="H44" s="555"/>
      <c r="I44" s="555"/>
      <c r="J44" s="555"/>
      <c r="K44" s="555"/>
      <c r="L44" s="555"/>
      <c r="M44" s="555"/>
      <c r="N44" s="555"/>
      <c r="O44" s="555"/>
      <c r="P44" s="555"/>
      <c r="Q44" s="555"/>
      <c r="R44" s="555"/>
      <c r="S44" s="554">
        <v>2023</v>
      </c>
      <c r="T44" s="555"/>
      <c r="U44" s="555"/>
      <c r="V44" s="555"/>
      <c r="W44" s="555"/>
      <c r="X44" s="555"/>
      <c r="Y44" s="555"/>
      <c r="Z44" s="555"/>
      <c r="AA44" s="555"/>
      <c r="AB44" s="555"/>
      <c r="AC44" s="555"/>
      <c r="AD44" s="555"/>
      <c r="AE44" s="555"/>
      <c r="AF44" s="555"/>
      <c r="AG44" s="556"/>
      <c r="AH44" s="562" t="s">
        <v>454</v>
      </c>
      <c r="AI44" s="563"/>
      <c r="AJ44" s="564"/>
      <c r="AK44" s="564"/>
      <c r="AL44" s="564"/>
      <c r="AM44" s="564"/>
      <c r="AN44" s="564"/>
      <c r="AO44" s="564"/>
      <c r="AP44" s="564"/>
      <c r="AQ44" s="564"/>
      <c r="AR44" s="565"/>
      <c r="AS44" s="565"/>
      <c r="AT44" s="565"/>
      <c r="AU44" s="565"/>
      <c r="AV44" s="566"/>
    </row>
    <row r="45" spans="1:48" ht="30" x14ac:dyDescent="0.25">
      <c r="B45" s="67" t="s">
        <v>310</v>
      </c>
      <c r="C45" s="68" t="s">
        <v>311</v>
      </c>
      <c r="D45" s="67" t="s">
        <v>211</v>
      </c>
      <c r="E45" s="144" t="s">
        <v>102</v>
      </c>
      <c r="F45" s="62" t="s">
        <v>104</v>
      </c>
      <c r="G45" s="62" t="s">
        <v>106</v>
      </c>
      <c r="H45" s="62" t="s">
        <v>312</v>
      </c>
      <c r="I45" s="62" t="s">
        <v>108</v>
      </c>
      <c r="J45" s="62" t="s">
        <v>109</v>
      </c>
      <c r="K45" s="62" t="s">
        <v>313</v>
      </c>
      <c r="L45" s="62" t="s">
        <v>314</v>
      </c>
      <c r="M45" s="62" t="s">
        <v>115</v>
      </c>
      <c r="N45" s="150" t="s">
        <v>315</v>
      </c>
      <c r="O45" s="150" t="s">
        <v>316</v>
      </c>
      <c r="P45" s="150" t="s">
        <v>214</v>
      </c>
      <c r="Q45" s="150" t="s">
        <v>317</v>
      </c>
      <c r="R45" s="150" t="s">
        <v>318</v>
      </c>
      <c r="S45" s="67" t="s">
        <v>211</v>
      </c>
      <c r="T45" s="144" t="s">
        <v>102</v>
      </c>
      <c r="U45" s="62" t="s">
        <v>104</v>
      </c>
      <c r="V45" s="62" t="s">
        <v>106</v>
      </c>
      <c r="W45" s="62" t="s">
        <v>312</v>
      </c>
      <c r="X45" s="62" t="s">
        <v>108</v>
      </c>
      <c r="Y45" s="62" t="s">
        <v>109</v>
      </c>
      <c r="Z45" s="62" t="s">
        <v>313</v>
      </c>
      <c r="AA45" s="62" t="s">
        <v>314</v>
      </c>
      <c r="AB45" s="62" t="s">
        <v>115</v>
      </c>
      <c r="AC45" s="150" t="s">
        <v>315</v>
      </c>
      <c r="AD45" s="150" t="s">
        <v>316</v>
      </c>
      <c r="AE45" s="150" t="s">
        <v>214</v>
      </c>
      <c r="AF45" s="150" t="s">
        <v>317</v>
      </c>
      <c r="AG45" s="68" t="s">
        <v>318</v>
      </c>
      <c r="AH45" s="67" t="s">
        <v>211</v>
      </c>
      <c r="AI45" s="144" t="s">
        <v>102</v>
      </c>
      <c r="AJ45" s="62" t="s">
        <v>104</v>
      </c>
      <c r="AK45" s="62" t="s">
        <v>106</v>
      </c>
      <c r="AL45" s="62" t="s">
        <v>312</v>
      </c>
      <c r="AM45" s="62" t="s">
        <v>108</v>
      </c>
      <c r="AN45" s="62" t="s">
        <v>109</v>
      </c>
      <c r="AO45" s="62" t="s">
        <v>313</v>
      </c>
      <c r="AP45" s="62" t="s">
        <v>314</v>
      </c>
      <c r="AQ45" s="62" t="s">
        <v>115</v>
      </c>
      <c r="AR45" s="150" t="s">
        <v>315</v>
      </c>
      <c r="AS45" s="150" t="s">
        <v>316</v>
      </c>
      <c r="AT45" s="150" t="s">
        <v>214</v>
      </c>
      <c r="AU45" s="150" t="s">
        <v>317</v>
      </c>
      <c r="AV45" s="68" t="s">
        <v>318</v>
      </c>
    </row>
    <row r="46" spans="1:48" ht="15" customHeight="1" x14ac:dyDescent="0.25">
      <c r="A46" s="164"/>
      <c r="B46" s="166">
        <v>101</v>
      </c>
      <c r="C46" s="169" t="str">
        <f>_xlfn.XLOOKUP(B46, LgProvEntOrgIDs[Advanced Network/Insurer Carrier Org ID], LgProvEntOrgIDs[Advanced Network/Insurance Carrier Overall])</f>
        <v>Privia Quality Network of Connecticut (PQN CT) (formerly Community Medical Group)</v>
      </c>
      <c r="D46" s="507">
        <f>SUMIFS(AN_TME22[[#All],[Member Months]],AN_TME22[[#All],[Insurance Category Code]],3,AN_TME22[[#All],[Advanced Network/Insurance Carrier Org ID]],B46)</f>
        <v>0</v>
      </c>
      <c r="E46" s="155" t="str">
        <f>IF(D46=0,"NA",SUMIFS(AN_TME22[[#All],[Claims: Hospital Inpatient]],AN_TME22[[#All],[Insurance Category Code]],3,AN_TME22[[#All],[Advanced Network/Insurance Carrier Org ID]],B46)/D46)</f>
        <v>NA</v>
      </c>
      <c r="F46" s="109" t="str">
        <f>IF(D46=0,"NA",SUMIFS(AN_TME22[[#All],[Claims: Hospital Outpatient]],AN_TME22[[#All],[Insurance Category Code]],3,AN_TME22[[#All],[Advanced Network/Insurance Carrier Org ID]],B46)/D46)</f>
        <v>NA</v>
      </c>
      <c r="G46" s="109" t="str">
        <f>IF(D46=0,"NA",SUMIFS(AN_TME22[[#All],[Claims: Professional, Primary Care]],AN_TME22[[#All],[Insurance Category Code]],3,AN_TME22[[#All],[Advanced Network/Insurance Carrier Org ID]],B46)/D46)</f>
        <v>NA</v>
      </c>
      <c r="H46" s="109" t="str">
        <f>IF(D46=0,"NA",SUMIFS(AN_TME22[[#All],[Claims: Professional, Primary Care (for Monitoring Purposes)]],AN_TME22[[#All],[Insurance Category Code]],3,AN_TME22[[#All],[Advanced Network/Insurance Carrier Org ID]],B46)/D46)</f>
        <v>NA</v>
      </c>
      <c r="I46" s="109" t="str">
        <f>IF(D46=0,"NA",SUMIFS(AN_TME22[[#All],[Claims: Professional, Specialty]],AN_TME22[[#All],[Insurance Category Code]],3,AN_TME22[[#All],[Advanced Network/Insurance Carrier Org ID]],B46)/D46)</f>
        <v>NA</v>
      </c>
      <c r="J46" s="109" t="str">
        <f>IF(D46=0,"NA",SUMIFS(AN_TME22[[#All],[Claims: Professional Other]],AN_TME22[[#All],[Insurance Category Code]],3,AN_TME22[[#All],[Advanced Network/Insurance Carrier Org ID]],B46)/D46)</f>
        <v>NA</v>
      </c>
      <c r="K46" s="109" t="str">
        <f>IF(D46=0,"NA",SUMIFS(AN_TME22[[#All],[Claims: Pharmacy]],AN_TME22[[#All],[Insurance Category Code]],3,AN_TME22[[#All],[Advanced Network/Insurance Carrier Org ID]],B46)/D46)</f>
        <v>NA</v>
      </c>
      <c r="L46" s="109" t="str">
        <f>IF(D46=0,"NA",SUMIFS(AN_TME22[[#All],[Claims: Long-Term Care]],AN_TME22[[#All],[Insurance Category Code]],3,AN_TME22[[#All],[Advanced Network/Insurance Carrier Org ID]],B46)/D46)</f>
        <v>NA</v>
      </c>
      <c r="M46" s="109" t="str">
        <f>IF(D46=0,"NA",SUMIFS(AN_TME22[[#All],[Claims: Other]],AN_TME22[[#All],[Insurance Category Code]],3,AN_TME22[[#All],[Advanced Network/Insurance Carrier Org ID]],B46)/D46)</f>
        <v>NA</v>
      </c>
      <c r="N46" s="165" t="str">
        <f>IF(D46=0,"NA",SUMIFS(AN_TME22[[#All],[TOTAL Non-Truncated Unadjusted Claims Expenses]],AN_TME22[[#All],[Insurance Category Code]],3,AN_TME22[[#All],[Advanced Network/Insurance Carrier Org ID]],B46)/D46)</f>
        <v>NA</v>
      </c>
      <c r="O46" s="165" t="str">
        <f>IF(D46=0,"NA",SUMIFS(AN_TME22[[#All],[TOTAL Truncated Unadjusted Claims Expenses (A21 -A19)]],AN_TME22[[#All],[Insurance Category Code]],3,AN_TME22[[#All],[Advanced Network/Insurance Carrier Org ID]],B46)/D46)</f>
        <v>NA</v>
      </c>
      <c r="P46" s="165" t="str">
        <f>IF(D46=0,"NA",SUMIFS(AN_TME22[[#All],[TOTAL Non-Claims Expenses]],AN_TME22[[#All],[Insurance Category Code]],3,AN_TME22[[#All],[Advanced Network/Insurance Carrier Org ID]],B46)/D46)</f>
        <v>NA</v>
      </c>
      <c r="Q46" s="165" t="str">
        <f>IF(D46=0,"NA",SUMIFS(AN_TME22[[#All],[TOTAL Non-Truncated Unadjusted Expenses (A21 + A23)]],AN_TME22[[#All],[Insurance Category Code]],3,AN_TME22[[#All],[Advanced Network/Insurance Carrier Org ID]],B46)/D46)</f>
        <v>NA</v>
      </c>
      <c r="R46" s="165" t="str">
        <f>IF(D46=0,"NA",SUMIFS(AN_TME22[[#All],[TOTAL Truncated Unadjusted Expenses (A22 + A23)]],AN_TME22[[#All],[Insurance Category Code]],3,AN_TME22[[#All],[Advanced Network/Insurance Carrier Org ID]],B46)/D46)</f>
        <v>NA</v>
      </c>
      <c r="S46" s="507">
        <f>SUMIFS(AN_TME23[[#All],[Member Months]],AN_TME23[[#All],[Insurance Category Code]],3,AN_TME23[[#All],[Advanced Network/Insurance Carrier Org ID]],B46)</f>
        <v>0</v>
      </c>
      <c r="T46" s="155" t="str">
        <f>IF(S46=0,"NA",SUMIFS(AN_TME23[[#All],[Claims: Hospital Inpatient]],AN_TME23[[#All],[Insurance Category Code]],3,AN_TME23[[#All],[Advanced Network/Insurance Carrier Org ID]],B46)/S46)</f>
        <v>NA</v>
      </c>
      <c r="U46" s="109" t="str">
        <f>IF(S46=0,"NA",SUMIFS(AN_TME23[[#All],[Claims: Hospital Outpatient]],AN_TME23[[#All],[Insurance Category Code]],3,AN_TME23[[#All],[Advanced Network/Insurance Carrier Org ID]],B46)/S46)</f>
        <v>NA</v>
      </c>
      <c r="V46" s="109" t="str">
        <f>IF(S46=0,"NA",SUMIFS(AN_TME23[[#All],[Claims: Professional, Primary Care]],AN_TME23[[#All],[Insurance Category Code]],3,AN_TME23[[#All],[Advanced Network/Insurance Carrier Org ID]],B46)/S46)</f>
        <v>NA</v>
      </c>
      <c r="W46" s="109" t="str">
        <f>IF(S46=0,"NA",SUMIFS(AN_TME23[[#All],[Claims: Professional, Primary Care (for Monitoring Purposes)]],AN_TME23[[#All],[Insurance Category Code]],3,AN_TME23[[#All],[Advanced Network/Insurance Carrier Org ID]],B46)/S46)</f>
        <v>NA</v>
      </c>
      <c r="X46" s="109" t="str">
        <f>IF(S46=0,"NA",SUMIFS(AN_TME23[[#All],[Claims: Professional, Specialty]],AN_TME23[[#All],[Insurance Category Code]],3,AN_TME23[[#All],[Advanced Network/Insurance Carrier Org ID]],B46)/S46)</f>
        <v>NA</v>
      </c>
      <c r="Y46" s="109" t="str">
        <f>IF(S46=0,"NA",SUMIFS(AN_TME23[[#All],[Claims: Professional Other]],AN_TME23[[#All],[Insurance Category Code]],3,AN_TME23[[#All],[Advanced Network/Insurance Carrier Org ID]],B46)/S46)</f>
        <v>NA</v>
      </c>
      <c r="Z46" s="109" t="str">
        <f>IF(S46=0,"NA",SUMIFS(AN_TME23[[#All],[Claims: Pharmacy]],AN_TME23[[#All],[Insurance Category Code]],3,AN_TME23[[#All],[Advanced Network/Insurance Carrier Org ID]],B46)/S46)</f>
        <v>NA</v>
      </c>
      <c r="AA46" s="109" t="str">
        <f>IF(S46=0,"NA",SUMIFS(AN_TME23[[#All],[Claims: Long-Term Care]],AN_TME23[[#All],[Insurance Category Code]],3,AN_TME23[[#All],[Advanced Network/Insurance Carrier Org ID]],B46)/S46)</f>
        <v>NA</v>
      </c>
      <c r="AB46" s="109" t="str">
        <f>IF(S46=0,"NA",SUMIFS(AN_TME23[[#All],[Claims: Other]],AN_TME23[[#All],[Insurance Category Code]],3,AN_TME23[[#All],[Advanced Network/Insurance Carrier Org ID]],B46)/S46)</f>
        <v>NA</v>
      </c>
      <c r="AC46" s="165" t="str">
        <f>IF(S46=0,"NA",SUMIFS(AN_TME23[[#All],[TOTAL Non-Truncated Unadjusted Claims Expenses]],AN_TME23[[#All],[Insurance Category Code]],3,AN_TME23[[#All],[Advanced Network/Insurance Carrier Org ID]],B46)/S46)</f>
        <v>NA</v>
      </c>
      <c r="AD46" s="165" t="str">
        <f>IF(S46=0,"NA",SUMIFS(AN_TME23[[#All],[TOTAL Truncated Unadjusted Claims Expenses (A21 -A19)]],AN_TME23[[#All],[Insurance Category Code]],3,AN_TME23[[#All],[Advanced Network/Insurance Carrier Org ID]],B46)/S46)</f>
        <v>NA</v>
      </c>
      <c r="AE46" s="165" t="str">
        <f>IF(S46=0,"NA",SUMIFS(AN_TME23[[#All],[TOTAL Non-Claims Expenses]],AN_TME23[[#All],[Insurance Category Code]],3,AN_TME23[[#All],[Advanced Network/Insurance Carrier Org ID]],B46)/S46)</f>
        <v>NA</v>
      </c>
      <c r="AF46" s="165" t="str">
        <f>IF(S46=0,"NA",SUMIFS(AN_TME23[[#All],[TOTAL Non-Truncated Unadjusted Expenses (A21 + A23)]],AN_TME23[[#All],[Insurance Category Code]],3,AN_TME23[[#All],[Advanced Network/Insurance Carrier Org ID]],B46)/S46)</f>
        <v>NA</v>
      </c>
      <c r="AG46" s="156" t="str">
        <f>IF(S46=0,"NA",SUMIFS(AN_TME23[[#All],[TOTAL Truncated Unadjusted Expenses (A22 + A23)]],AN_TME23[[#All],[Insurance Category Code]],3,AN_TME23[[#All],[Advanced Network/Insurance Carrier Org ID]],B46)/S46)</f>
        <v>NA</v>
      </c>
      <c r="AH46" s="478" t="str">
        <f>IF(D46=0,"NA",S46/D46-1)</f>
        <v>NA</v>
      </c>
      <c r="AI46" s="479" t="str">
        <f>IF(D46=0,"NA",T46/E46-1)</f>
        <v>NA</v>
      </c>
      <c r="AJ46" s="480" t="str">
        <f>IF(D46=0,"NA",U46/F46-1)</f>
        <v>NA</v>
      </c>
      <c r="AK46" s="480" t="str">
        <f>IF(D46=0,"NA",V46/G46-1)</f>
        <v>NA</v>
      </c>
      <c r="AL46" s="480" t="str">
        <f>IF(D46=0,"NA",W46/H46-1)</f>
        <v>NA</v>
      </c>
      <c r="AM46" s="480" t="str">
        <f>IF(D46=0,"NA",X46/I46-1)</f>
        <v>NA</v>
      </c>
      <c r="AN46" s="480" t="str">
        <f>IF(D46=0,"NA",Y46/J46-1)</f>
        <v>NA</v>
      </c>
      <c r="AO46" s="480" t="str">
        <f>IF(D46=0,"NA",Z46/K46-1)</f>
        <v>NA</v>
      </c>
      <c r="AP46" s="480" t="str">
        <f>IF(D46=0,"NA",AA46/L46-1)</f>
        <v>NA</v>
      </c>
      <c r="AQ46" s="480" t="str">
        <f>IF(D46=0,"NA",AB46/M46-1)</f>
        <v>NA</v>
      </c>
      <c r="AR46" s="481" t="str">
        <f>IF(D46=0,"NA",AC46/N46-1)</f>
        <v>NA</v>
      </c>
      <c r="AS46" s="481" t="str">
        <f>IF(D46=0,"NA",AD46/O46-1)</f>
        <v>NA</v>
      </c>
      <c r="AT46" s="481" t="str">
        <f>IF(D46=0,"NA",AE46/P46-1)</f>
        <v>NA</v>
      </c>
      <c r="AU46" s="481" t="str">
        <f>IF(D46=0,"NA",AF46/Q46-1)</f>
        <v>NA</v>
      </c>
      <c r="AV46" s="482" t="str">
        <f>IF(D46=0,"NA",AG46/R46-1)</f>
        <v>NA</v>
      </c>
    </row>
    <row r="47" spans="1:48" ht="15" customHeight="1" x14ac:dyDescent="0.25">
      <c r="A47" s="164"/>
      <c r="B47" s="166">
        <v>102</v>
      </c>
      <c r="C47" s="169" t="str">
        <f>_xlfn.XLOOKUP(B47, LgProvEntOrgIDs[Advanced Network/Insurer Carrier Org ID], LgProvEntOrgIDs[Advanced Network/Insurance Carrier Overall])</f>
        <v>Connecticut Children's Care Network</v>
      </c>
      <c r="D47" s="507">
        <f>SUMIFS(AN_TME22[[#All],[Member Months]],AN_TME22[[#All],[Insurance Category Code]],3,AN_TME22[[#All],[Advanced Network/Insurance Carrier Org ID]],B47)</f>
        <v>0</v>
      </c>
      <c r="E47" s="155" t="str">
        <f>IF(D47=0,"NA",SUMIFS(AN_TME22[[#All],[Claims: Hospital Inpatient]],AN_TME22[[#All],[Insurance Category Code]],3,AN_TME22[[#All],[Advanced Network/Insurance Carrier Org ID]],B47)/D47)</f>
        <v>NA</v>
      </c>
      <c r="F47" s="109" t="str">
        <f>IF(D47=0,"NA",SUMIFS(AN_TME22[[#All],[Claims: Hospital Outpatient]],AN_TME22[[#All],[Insurance Category Code]],3,AN_TME22[[#All],[Advanced Network/Insurance Carrier Org ID]],B47)/D47)</f>
        <v>NA</v>
      </c>
      <c r="G47" s="109" t="str">
        <f>IF(D47=0,"NA",SUMIFS(AN_TME22[[#All],[Claims: Professional, Primary Care]],AN_TME22[[#All],[Insurance Category Code]],3,AN_TME22[[#All],[Advanced Network/Insurance Carrier Org ID]],B47)/D47)</f>
        <v>NA</v>
      </c>
      <c r="H47" s="109" t="str">
        <f>IF(D47=0,"NA",SUMIFS(AN_TME22[[#All],[Claims: Professional, Primary Care (for Monitoring Purposes)]],AN_TME22[[#All],[Insurance Category Code]],3,AN_TME22[[#All],[Advanced Network/Insurance Carrier Org ID]],B47)/D47)</f>
        <v>NA</v>
      </c>
      <c r="I47" s="109" t="str">
        <f>IF(D47=0,"NA",SUMIFS(AN_TME22[[#All],[Claims: Professional, Specialty]],AN_TME22[[#All],[Insurance Category Code]],3,AN_TME22[[#All],[Advanced Network/Insurance Carrier Org ID]],B47)/D47)</f>
        <v>NA</v>
      </c>
      <c r="J47" s="109" t="str">
        <f>IF(D47=0,"NA",SUMIFS(AN_TME22[[#All],[Claims: Professional Other]],AN_TME22[[#All],[Insurance Category Code]],3,AN_TME22[[#All],[Advanced Network/Insurance Carrier Org ID]],B47)/D47)</f>
        <v>NA</v>
      </c>
      <c r="K47" s="109" t="str">
        <f>IF(D47=0,"NA",SUMIFS(AN_TME22[[#All],[Claims: Pharmacy]],AN_TME22[[#All],[Insurance Category Code]],3,AN_TME22[[#All],[Advanced Network/Insurance Carrier Org ID]],B47)/D47)</f>
        <v>NA</v>
      </c>
      <c r="L47" s="109" t="str">
        <f>IF(D47=0,"NA",SUMIFS(AN_TME22[[#All],[Claims: Long-Term Care]],AN_TME22[[#All],[Insurance Category Code]],3,AN_TME22[[#All],[Advanced Network/Insurance Carrier Org ID]],B47)/D47)</f>
        <v>NA</v>
      </c>
      <c r="M47" s="109" t="str">
        <f>IF(D47=0,"NA",SUMIFS(AN_TME22[[#All],[Claims: Other]],AN_TME22[[#All],[Insurance Category Code]],3,AN_TME22[[#All],[Advanced Network/Insurance Carrier Org ID]],B47)/D47)</f>
        <v>NA</v>
      </c>
      <c r="N47" s="165" t="str">
        <f>IF(D47=0,"NA",SUMIFS(AN_TME22[[#All],[TOTAL Non-Truncated Unadjusted Claims Expenses]],AN_TME22[[#All],[Insurance Category Code]],3,AN_TME22[[#All],[Advanced Network/Insurance Carrier Org ID]],B47)/D47)</f>
        <v>NA</v>
      </c>
      <c r="O47" s="165" t="str">
        <f>IF(D47=0,"NA",SUMIFS(AN_TME22[[#All],[TOTAL Truncated Unadjusted Claims Expenses (A21 -A19)]],AN_TME22[[#All],[Insurance Category Code]],3,AN_TME22[[#All],[Advanced Network/Insurance Carrier Org ID]],B47)/D47)</f>
        <v>NA</v>
      </c>
      <c r="P47" s="165" t="str">
        <f>IF(D47=0,"NA",SUMIFS(AN_TME22[[#All],[TOTAL Non-Claims Expenses]],AN_TME22[[#All],[Insurance Category Code]],3,AN_TME22[[#All],[Advanced Network/Insurance Carrier Org ID]],B47)/D47)</f>
        <v>NA</v>
      </c>
      <c r="Q47" s="165" t="str">
        <f>IF(D47=0,"NA",SUMIFS(AN_TME22[[#All],[TOTAL Non-Truncated Unadjusted Expenses (A21 + A23)]],AN_TME22[[#All],[Insurance Category Code]],3,AN_TME22[[#All],[Advanced Network/Insurance Carrier Org ID]],B47)/D47)</f>
        <v>NA</v>
      </c>
      <c r="R47" s="165" t="str">
        <f>IF(D47=0,"NA",SUMIFS(AN_TME22[[#All],[TOTAL Truncated Unadjusted Expenses (A22 + A23)]],AN_TME22[[#All],[Insurance Category Code]],3,AN_TME22[[#All],[Advanced Network/Insurance Carrier Org ID]],B47)/D47)</f>
        <v>NA</v>
      </c>
      <c r="S47" s="507">
        <f>SUMIFS(AN_TME23[[#All],[Member Months]],AN_TME23[[#All],[Insurance Category Code]],3,AN_TME23[[#All],[Advanced Network/Insurance Carrier Org ID]],B47)</f>
        <v>0</v>
      </c>
      <c r="T47" s="155" t="str">
        <f>IF(S47=0,"NA",SUMIFS(AN_TME23[[#All],[Claims: Hospital Inpatient]],AN_TME23[[#All],[Insurance Category Code]],3,AN_TME23[[#All],[Advanced Network/Insurance Carrier Org ID]],B47)/S47)</f>
        <v>NA</v>
      </c>
      <c r="U47" s="109" t="str">
        <f>IF(S47=0,"NA",SUMIFS(AN_TME23[[#All],[Claims: Hospital Outpatient]],AN_TME23[[#All],[Insurance Category Code]],3,AN_TME23[[#All],[Advanced Network/Insurance Carrier Org ID]],B47)/S47)</f>
        <v>NA</v>
      </c>
      <c r="V47" s="109" t="str">
        <f>IF(S47=0,"NA",SUMIFS(AN_TME23[[#All],[Claims: Professional, Primary Care]],AN_TME23[[#All],[Insurance Category Code]],3,AN_TME23[[#All],[Advanced Network/Insurance Carrier Org ID]],B47)/S47)</f>
        <v>NA</v>
      </c>
      <c r="W47" s="109" t="str">
        <f>IF(S47=0,"NA",SUMIFS(AN_TME23[[#All],[Claims: Professional, Primary Care (for Monitoring Purposes)]],AN_TME23[[#All],[Insurance Category Code]],3,AN_TME23[[#All],[Advanced Network/Insurance Carrier Org ID]],B47)/S47)</f>
        <v>NA</v>
      </c>
      <c r="X47" s="109" t="str">
        <f>IF(S47=0,"NA",SUMIFS(AN_TME23[[#All],[Claims: Professional, Specialty]],AN_TME23[[#All],[Insurance Category Code]],3,AN_TME23[[#All],[Advanced Network/Insurance Carrier Org ID]],B47)/S47)</f>
        <v>NA</v>
      </c>
      <c r="Y47" s="109" t="str">
        <f>IF(S47=0,"NA",SUMIFS(AN_TME23[[#All],[Claims: Professional Other]],AN_TME23[[#All],[Insurance Category Code]],3,AN_TME23[[#All],[Advanced Network/Insurance Carrier Org ID]],B47)/S47)</f>
        <v>NA</v>
      </c>
      <c r="Z47" s="109" t="str">
        <f>IF(S47=0,"NA",SUMIFS(AN_TME23[[#All],[Claims: Pharmacy]],AN_TME23[[#All],[Insurance Category Code]],3,AN_TME23[[#All],[Advanced Network/Insurance Carrier Org ID]],B47)/S47)</f>
        <v>NA</v>
      </c>
      <c r="AA47" s="109" t="str">
        <f>IF(S47=0,"NA",SUMIFS(AN_TME23[[#All],[Claims: Long-Term Care]],AN_TME23[[#All],[Insurance Category Code]],3,AN_TME23[[#All],[Advanced Network/Insurance Carrier Org ID]],B47)/S47)</f>
        <v>NA</v>
      </c>
      <c r="AB47" s="109" t="str">
        <f>IF(S47=0,"NA",SUMIFS(AN_TME23[[#All],[Claims: Other]],AN_TME23[[#All],[Insurance Category Code]],3,AN_TME23[[#All],[Advanced Network/Insurance Carrier Org ID]],B47)/S47)</f>
        <v>NA</v>
      </c>
      <c r="AC47" s="165" t="str">
        <f>IF(S47=0,"NA",SUMIFS(AN_TME23[[#All],[TOTAL Non-Truncated Unadjusted Claims Expenses]],AN_TME23[[#All],[Insurance Category Code]],3,AN_TME23[[#All],[Advanced Network/Insurance Carrier Org ID]],B47)/S47)</f>
        <v>NA</v>
      </c>
      <c r="AD47" s="165" t="str">
        <f>IF(S47=0,"NA",SUMIFS(AN_TME23[[#All],[TOTAL Truncated Unadjusted Claims Expenses (A21 -A19)]],AN_TME23[[#All],[Insurance Category Code]],3,AN_TME23[[#All],[Advanced Network/Insurance Carrier Org ID]],B47)/S47)</f>
        <v>NA</v>
      </c>
      <c r="AE47" s="165" t="str">
        <f>IF(S47=0,"NA",SUMIFS(AN_TME23[[#All],[TOTAL Non-Claims Expenses]],AN_TME23[[#All],[Insurance Category Code]],3,AN_TME23[[#All],[Advanced Network/Insurance Carrier Org ID]],B47)/S47)</f>
        <v>NA</v>
      </c>
      <c r="AF47" s="165" t="str">
        <f>IF(S47=0,"NA",SUMIFS(AN_TME23[[#All],[TOTAL Non-Truncated Unadjusted Expenses (A21 + A23)]],AN_TME23[[#All],[Insurance Category Code]],3,AN_TME23[[#All],[Advanced Network/Insurance Carrier Org ID]],B47)/S47)</f>
        <v>NA</v>
      </c>
      <c r="AG47" s="156" t="str">
        <f>IF(S47=0,"NA",SUMIFS(AN_TME23[[#All],[TOTAL Truncated Unadjusted Expenses (A22 + A23)]],AN_TME23[[#All],[Insurance Category Code]],3,AN_TME23[[#All],[Advanced Network/Insurance Carrier Org ID]],B47)/S47)</f>
        <v>NA</v>
      </c>
      <c r="AH47" s="478" t="str">
        <f t="shared" ref="AH47:AH55" si="90">IF(D47=0,"NA",S47/D47-1)</f>
        <v>NA</v>
      </c>
      <c r="AI47" s="479" t="str">
        <f t="shared" ref="AI47:AI55" si="91">IF(D47=0,"NA",T47/E47-1)</f>
        <v>NA</v>
      </c>
      <c r="AJ47" s="480" t="str">
        <f t="shared" ref="AJ47:AJ55" si="92">IF(D47=0,"NA",U47/F47-1)</f>
        <v>NA</v>
      </c>
      <c r="AK47" s="480" t="str">
        <f t="shared" ref="AK47:AK55" si="93">IF(D47=0,"NA",V47/G47-1)</f>
        <v>NA</v>
      </c>
      <c r="AL47" s="480" t="str">
        <f t="shared" ref="AL47:AL55" si="94">IF(D47=0,"NA",W47/H47-1)</f>
        <v>NA</v>
      </c>
      <c r="AM47" s="480" t="str">
        <f t="shared" ref="AM47:AM55" si="95">IF(D47=0,"NA",X47/I47-1)</f>
        <v>NA</v>
      </c>
      <c r="AN47" s="480" t="str">
        <f t="shared" ref="AN47:AN55" si="96">IF(D47=0,"NA",Y47/J47-1)</f>
        <v>NA</v>
      </c>
      <c r="AO47" s="480" t="str">
        <f t="shared" ref="AO47:AO55" si="97">IF(D47=0,"NA",Z47/K47-1)</f>
        <v>NA</v>
      </c>
      <c r="AP47" s="480" t="str">
        <f t="shared" ref="AP47:AP55" si="98">IF(D47=0,"NA",AA47/L47-1)</f>
        <v>NA</v>
      </c>
      <c r="AQ47" s="480" t="str">
        <f t="shared" ref="AQ47:AQ55" si="99">IF(D47=0,"NA",AB47/M47-1)</f>
        <v>NA</v>
      </c>
      <c r="AR47" s="481" t="str">
        <f t="shared" ref="AR47:AR55" si="100">IF(D47=0,"NA",AC47/N47-1)</f>
        <v>NA</v>
      </c>
      <c r="AS47" s="481" t="str">
        <f t="shared" ref="AS47:AS55" si="101">IF(D47=0,"NA",AD47/O47-1)</f>
        <v>NA</v>
      </c>
      <c r="AT47" s="481" t="str">
        <f t="shared" ref="AT47:AT55" si="102">IF(D47=0,"NA",AE47/P47-1)</f>
        <v>NA</v>
      </c>
      <c r="AU47" s="481" t="str">
        <f t="shared" ref="AU47:AU55" si="103">IF(D47=0,"NA",AF47/Q47-1)</f>
        <v>NA</v>
      </c>
      <c r="AV47" s="482" t="str">
        <f t="shared" ref="AV47:AV55" si="104">IF(D47=0,"NA",AG47/R47-1)</f>
        <v>NA</v>
      </c>
    </row>
    <row r="48" spans="1:48" ht="15" customHeight="1" x14ac:dyDescent="0.25">
      <c r="A48" s="164"/>
      <c r="B48" s="166">
        <v>103</v>
      </c>
      <c r="C48" s="169" t="str">
        <f>_xlfn.XLOOKUP(B48, LgProvEntOrgIDs[Advanced Network/Insurer Carrier Org ID], LgProvEntOrgIDs[Advanced Network/Insurance Carrier Overall])</f>
        <v>Connecticut State Medical Society IPA</v>
      </c>
      <c r="D48" s="507">
        <f>SUMIFS(AN_TME22[[#All],[Member Months]],AN_TME22[[#All],[Insurance Category Code]],3,AN_TME22[[#All],[Advanced Network/Insurance Carrier Org ID]],B48)</f>
        <v>0</v>
      </c>
      <c r="E48" s="155" t="str">
        <f>IF(D48=0,"NA",SUMIFS(AN_TME22[[#All],[Claims: Hospital Inpatient]],AN_TME22[[#All],[Insurance Category Code]],3,AN_TME22[[#All],[Advanced Network/Insurance Carrier Org ID]],B48)/D48)</f>
        <v>NA</v>
      </c>
      <c r="F48" s="109" t="str">
        <f>IF(D48=0,"NA",SUMIFS(AN_TME22[[#All],[Claims: Hospital Outpatient]],AN_TME22[[#All],[Insurance Category Code]],3,AN_TME22[[#All],[Advanced Network/Insurance Carrier Org ID]],B48)/D48)</f>
        <v>NA</v>
      </c>
      <c r="G48" s="109" t="str">
        <f>IF(D48=0,"NA",SUMIFS(AN_TME22[[#All],[Claims: Professional, Primary Care]],AN_TME22[[#All],[Insurance Category Code]],3,AN_TME22[[#All],[Advanced Network/Insurance Carrier Org ID]],B48)/D48)</f>
        <v>NA</v>
      </c>
      <c r="H48" s="109" t="str">
        <f>IF(D48=0,"NA",SUMIFS(AN_TME22[[#All],[Claims: Professional, Primary Care (for Monitoring Purposes)]],AN_TME22[[#All],[Insurance Category Code]],3,AN_TME22[[#All],[Advanced Network/Insurance Carrier Org ID]],B48)/D48)</f>
        <v>NA</v>
      </c>
      <c r="I48" s="109" t="str">
        <f>IF(D48=0,"NA",SUMIFS(AN_TME22[[#All],[Claims: Professional, Specialty]],AN_TME22[[#All],[Insurance Category Code]],3,AN_TME22[[#All],[Advanced Network/Insurance Carrier Org ID]],B48)/D48)</f>
        <v>NA</v>
      </c>
      <c r="J48" s="109" t="str">
        <f>IF(D48=0,"NA",SUMIFS(AN_TME22[[#All],[Claims: Professional Other]],AN_TME22[[#All],[Insurance Category Code]],3,AN_TME22[[#All],[Advanced Network/Insurance Carrier Org ID]],B48)/D48)</f>
        <v>NA</v>
      </c>
      <c r="K48" s="109" t="str">
        <f>IF(D48=0,"NA",SUMIFS(AN_TME22[[#All],[Claims: Pharmacy]],AN_TME22[[#All],[Insurance Category Code]],3,AN_TME22[[#All],[Advanced Network/Insurance Carrier Org ID]],B48)/D48)</f>
        <v>NA</v>
      </c>
      <c r="L48" s="109" t="str">
        <f>IF(D48=0,"NA",SUMIFS(AN_TME22[[#All],[Claims: Long-Term Care]],AN_TME22[[#All],[Insurance Category Code]],3,AN_TME22[[#All],[Advanced Network/Insurance Carrier Org ID]],B48)/D48)</f>
        <v>NA</v>
      </c>
      <c r="M48" s="109" t="str">
        <f>IF(D48=0,"NA",SUMIFS(AN_TME22[[#All],[Claims: Other]],AN_TME22[[#All],[Insurance Category Code]],3,AN_TME22[[#All],[Advanced Network/Insurance Carrier Org ID]],B48)/D48)</f>
        <v>NA</v>
      </c>
      <c r="N48" s="165" t="str">
        <f>IF(D48=0,"NA",SUMIFS(AN_TME22[[#All],[TOTAL Non-Truncated Unadjusted Claims Expenses]],AN_TME22[[#All],[Insurance Category Code]],3,AN_TME22[[#All],[Advanced Network/Insurance Carrier Org ID]],B48)/D48)</f>
        <v>NA</v>
      </c>
      <c r="O48" s="165" t="str">
        <f>IF(D48=0,"NA",SUMIFS(AN_TME22[[#All],[TOTAL Truncated Unadjusted Claims Expenses (A21 -A19)]],AN_TME22[[#All],[Insurance Category Code]],3,AN_TME22[[#All],[Advanced Network/Insurance Carrier Org ID]],B48)/D48)</f>
        <v>NA</v>
      </c>
      <c r="P48" s="165" t="str">
        <f>IF(D48=0,"NA",SUMIFS(AN_TME22[[#All],[TOTAL Non-Claims Expenses]],AN_TME22[[#All],[Insurance Category Code]],3,AN_TME22[[#All],[Advanced Network/Insurance Carrier Org ID]],B48)/D48)</f>
        <v>NA</v>
      </c>
      <c r="Q48" s="165" t="str">
        <f>IF(D48=0,"NA",SUMIFS(AN_TME22[[#All],[TOTAL Non-Truncated Unadjusted Expenses (A21 + A23)]],AN_TME22[[#All],[Insurance Category Code]],3,AN_TME22[[#All],[Advanced Network/Insurance Carrier Org ID]],B48)/D48)</f>
        <v>NA</v>
      </c>
      <c r="R48" s="165" t="str">
        <f>IF(D48=0,"NA",SUMIFS(AN_TME22[[#All],[TOTAL Truncated Unadjusted Expenses (A22 + A23)]],AN_TME22[[#All],[Insurance Category Code]],3,AN_TME22[[#All],[Advanced Network/Insurance Carrier Org ID]],B48)/D48)</f>
        <v>NA</v>
      </c>
      <c r="S48" s="507">
        <f>SUMIFS(AN_TME23[[#All],[Member Months]],AN_TME23[[#All],[Insurance Category Code]],3,AN_TME23[[#All],[Advanced Network/Insurance Carrier Org ID]],B48)</f>
        <v>0</v>
      </c>
      <c r="T48" s="155" t="str">
        <f>IF(S48=0,"NA",SUMIFS(AN_TME23[[#All],[Claims: Hospital Inpatient]],AN_TME23[[#All],[Insurance Category Code]],3,AN_TME23[[#All],[Advanced Network/Insurance Carrier Org ID]],B48)/S48)</f>
        <v>NA</v>
      </c>
      <c r="U48" s="109" t="str">
        <f>IF(S48=0,"NA",SUMIFS(AN_TME23[[#All],[Claims: Hospital Outpatient]],AN_TME23[[#All],[Insurance Category Code]],3,AN_TME23[[#All],[Advanced Network/Insurance Carrier Org ID]],B48)/S48)</f>
        <v>NA</v>
      </c>
      <c r="V48" s="109" t="str">
        <f>IF(S48=0,"NA",SUMIFS(AN_TME23[[#All],[Claims: Professional, Primary Care]],AN_TME23[[#All],[Insurance Category Code]],3,AN_TME23[[#All],[Advanced Network/Insurance Carrier Org ID]],B48)/S48)</f>
        <v>NA</v>
      </c>
      <c r="W48" s="109" t="str">
        <f>IF(S48=0,"NA",SUMIFS(AN_TME23[[#All],[Claims: Professional, Primary Care (for Monitoring Purposes)]],AN_TME23[[#All],[Insurance Category Code]],3,AN_TME23[[#All],[Advanced Network/Insurance Carrier Org ID]],B48)/S48)</f>
        <v>NA</v>
      </c>
      <c r="X48" s="109" t="str">
        <f>IF(S48=0,"NA",SUMIFS(AN_TME23[[#All],[Claims: Professional, Specialty]],AN_TME23[[#All],[Insurance Category Code]],3,AN_TME23[[#All],[Advanced Network/Insurance Carrier Org ID]],B48)/S48)</f>
        <v>NA</v>
      </c>
      <c r="Y48" s="109" t="str">
        <f>IF(S48=0,"NA",SUMIFS(AN_TME23[[#All],[Claims: Professional Other]],AN_TME23[[#All],[Insurance Category Code]],3,AN_TME23[[#All],[Advanced Network/Insurance Carrier Org ID]],B48)/S48)</f>
        <v>NA</v>
      </c>
      <c r="Z48" s="109" t="str">
        <f>IF(S48=0,"NA",SUMIFS(AN_TME23[[#All],[Claims: Pharmacy]],AN_TME23[[#All],[Insurance Category Code]],3,AN_TME23[[#All],[Advanced Network/Insurance Carrier Org ID]],B48)/S48)</f>
        <v>NA</v>
      </c>
      <c r="AA48" s="109" t="str">
        <f>IF(S48=0,"NA",SUMIFS(AN_TME23[[#All],[Claims: Long-Term Care]],AN_TME23[[#All],[Insurance Category Code]],3,AN_TME23[[#All],[Advanced Network/Insurance Carrier Org ID]],B48)/S48)</f>
        <v>NA</v>
      </c>
      <c r="AB48" s="109" t="str">
        <f>IF(S48=0,"NA",SUMIFS(AN_TME23[[#All],[Claims: Other]],AN_TME23[[#All],[Insurance Category Code]],3,AN_TME23[[#All],[Advanced Network/Insurance Carrier Org ID]],B48)/S48)</f>
        <v>NA</v>
      </c>
      <c r="AC48" s="165" t="str">
        <f>IF(S48=0,"NA",SUMIFS(AN_TME23[[#All],[TOTAL Non-Truncated Unadjusted Claims Expenses]],AN_TME23[[#All],[Insurance Category Code]],3,AN_TME23[[#All],[Advanced Network/Insurance Carrier Org ID]],B48)/S48)</f>
        <v>NA</v>
      </c>
      <c r="AD48" s="165" t="str">
        <f>IF(S48=0,"NA",SUMIFS(AN_TME23[[#All],[TOTAL Truncated Unadjusted Claims Expenses (A21 -A19)]],AN_TME23[[#All],[Insurance Category Code]],3,AN_TME23[[#All],[Advanced Network/Insurance Carrier Org ID]],B48)/S48)</f>
        <v>NA</v>
      </c>
      <c r="AE48" s="165" t="str">
        <f>IF(S48=0,"NA",SUMIFS(AN_TME23[[#All],[TOTAL Non-Claims Expenses]],AN_TME23[[#All],[Insurance Category Code]],3,AN_TME23[[#All],[Advanced Network/Insurance Carrier Org ID]],B48)/S48)</f>
        <v>NA</v>
      </c>
      <c r="AF48" s="165" t="str">
        <f>IF(S48=0,"NA",SUMIFS(AN_TME23[[#All],[TOTAL Non-Truncated Unadjusted Expenses (A21 + A23)]],AN_TME23[[#All],[Insurance Category Code]],3,AN_TME23[[#All],[Advanced Network/Insurance Carrier Org ID]],B48)/S48)</f>
        <v>NA</v>
      </c>
      <c r="AG48" s="156" t="str">
        <f>IF(S48=0,"NA",SUMIFS(AN_TME23[[#All],[TOTAL Truncated Unadjusted Expenses (A22 + A23)]],AN_TME23[[#All],[Insurance Category Code]],3,AN_TME23[[#All],[Advanced Network/Insurance Carrier Org ID]],B48)/S48)</f>
        <v>NA</v>
      </c>
      <c r="AH48" s="478" t="str">
        <f t="shared" si="90"/>
        <v>NA</v>
      </c>
      <c r="AI48" s="479" t="str">
        <f t="shared" si="91"/>
        <v>NA</v>
      </c>
      <c r="AJ48" s="480" t="str">
        <f t="shared" si="92"/>
        <v>NA</v>
      </c>
      <c r="AK48" s="480" t="str">
        <f t="shared" si="93"/>
        <v>NA</v>
      </c>
      <c r="AL48" s="480" t="str">
        <f t="shared" si="94"/>
        <v>NA</v>
      </c>
      <c r="AM48" s="480" t="str">
        <f t="shared" si="95"/>
        <v>NA</v>
      </c>
      <c r="AN48" s="480" t="str">
        <f t="shared" si="96"/>
        <v>NA</v>
      </c>
      <c r="AO48" s="480" t="str">
        <f t="shared" si="97"/>
        <v>NA</v>
      </c>
      <c r="AP48" s="480" t="str">
        <f t="shared" si="98"/>
        <v>NA</v>
      </c>
      <c r="AQ48" s="480" t="str">
        <f t="shared" si="99"/>
        <v>NA</v>
      </c>
      <c r="AR48" s="481" t="str">
        <f t="shared" si="100"/>
        <v>NA</v>
      </c>
      <c r="AS48" s="481" t="str">
        <f t="shared" si="101"/>
        <v>NA</v>
      </c>
      <c r="AT48" s="481" t="str">
        <f t="shared" si="102"/>
        <v>NA</v>
      </c>
      <c r="AU48" s="481" t="str">
        <f t="shared" si="103"/>
        <v>NA</v>
      </c>
      <c r="AV48" s="482" t="str">
        <f t="shared" si="104"/>
        <v>NA</v>
      </c>
    </row>
    <row r="49" spans="1:48" ht="15" customHeight="1" x14ac:dyDescent="0.25">
      <c r="A49" s="164"/>
      <c r="B49" s="166">
        <v>104</v>
      </c>
      <c r="C49" s="169" t="str">
        <f>_xlfn.XLOOKUP(B49, LgProvEntOrgIDs[Advanced Network/Insurer Carrier Org ID], LgProvEntOrgIDs[Advanced Network/Insurance Carrier Overall])</f>
        <v>Integrated Care Partners</v>
      </c>
      <c r="D49" s="507">
        <f>SUMIFS(AN_TME22[[#All],[Member Months]],AN_TME22[[#All],[Insurance Category Code]],3,AN_TME22[[#All],[Advanced Network/Insurance Carrier Org ID]],B49)</f>
        <v>0</v>
      </c>
      <c r="E49" s="155" t="str">
        <f>IF(D49=0,"NA",SUMIFS(AN_TME22[[#All],[Claims: Hospital Inpatient]],AN_TME22[[#All],[Insurance Category Code]],3,AN_TME22[[#All],[Advanced Network/Insurance Carrier Org ID]],B49)/D49)</f>
        <v>NA</v>
      </c>
      <c r="F49" s="109" t="str">
        <f>IF(D49=0,"NA",SUMIFS(AN_TME22[[#All],[Claims: Hospital Outpatient]],AN_TME22[[#All],[Insurance Category Code]],3,AN_TME22[[#All],[Advanced Network/Insurance Carrier Org ID]],B49)/D49)</f>
        <v>NA</v>
      </c>
      <c r="G49" s="109" t="str">
        <f>IF(D49=0,"NA",SUMIFS(AN_TME22[[#All],[Claims: Professional, Primary Care]],AN_TME22[[#All],[Insurance Category Code]],3,AN_TME22[[#All],[Advanced Network/Insurance Carrier Org ID]],B49)/D49)</f>
        <v>NA</v>
      </c>
      <c r="H49" s="109" t="str">
        <f>IF(D49=0,"NA",SUMIFS(AN_TME22[[#All],[Claims: Professional, Primary Care (for Monitoring Purposes)]],AN_TME22[[#All],[Insurance Category Code]],3,AN_TME22[[#All],[Advanced Network/Insurance Carrier Org ID]],B49)/D49)</f>
        <v>NA</v>
      </c>
      <c r="I49" s="109" t="str">
        <f>IF(D49=0,"NA",SUMIFS(AN_TME22[[#All],[Claims: Professional, Specialty]],AN_TME22[[#All],[Insurance Category Code]],3,AN_TME22[[#All],[Advanced Network/Insurance Carrier Org ID]],B49)/D49)</f>
        <v>NA</v>
      </c>
      <c r="J49" s="109" t="str">
        <f>IF(D49=0,"NA",SUMIFS(AN_TME22[[#All],[Claims: Professional Other]],AN_TME22[[#All],[Insurance Category Code]],3,AN_TME22[[#All],[Advanced Network/Insurance Carrier Org ID]],B49)/D49)</f>
        <v>NA</v>
      </c>
      <c r="K49" s="109" t="str">
        <f>IF(D49=0,"NA",SUMIFS(AN_TME22[[#All],[Claims: Pharmacy]],AN_TME22[[#All],[Insurance Category Code]],3,AN_TME22[[#All],[Advanced Network/Insurance Carrier Org ID]],B49)/D49)</f>
        <v>NA</v>
      </c>
      <c r="L49" s="109" t="str">
        <f>IF(D49=0,"NA",SUMIFS(AN_TME22[[#All],[Claims: Long-Term Care]],AN_TME22[[#All],[Insurance Category Code]],3,AN_TME22[[#All],[Advanced Network/Insurance Carrier Org ID]],B49)/D49)</f>
        <v>NA</v>
      </c>
      <c r="M49" s="109" t="str">
        <f>IF(D49=0,"NA",SUMIFS(AN_TME22[[#All],[Claims: Other]],AN_TME22[[#All],[Insurance Category Code]],3,AN_TME22[[#All],[Advanced Network/Insurance Carrier Org ID]],B49)/D49)</f>
        <v>NA</v>
      </c>
      <c r="N49" s="165" t="str">
        <f>IF(D49=0,"NA",SUMIFS(AN_TME22[[#All],[TOTAL Non-Truncated Unadjusted Claims Expenses]],AN_TME22[[#All],[Insurance Category Code]],3,AN_TME22[[#All],[Advanced Network/Insurance Carrier Org ID]],B49)/D49)</f>
        <v>NA</v>
      </c>
      <c r="O49" s="165" t="str">
        <f>IF(D49=0,"NA",SUMIFS(AN_TME22[[#All],[TOTAL Truncated Unadjusted Claims Expenses (A21 -A19)]],AN_TME22[[#All],[Insurance Category Code]],3,AN_TME22[[#All],[Advanced Network/Insurance Carrier Org ID]],B49)/D49)</f>
        <v>NA</v>
      </c>
      <c r="P49" s="165" t="str">
        <f>IF(D49=0,"NA",SUMIFS(AN_TME22[[#All],[TOTAL Non-Claims Expenses]],AN_TME22[[#All],[Insurance Category Code]],3,AN_TME22[[#All],[Advanced Network/Insurance Carrier Org ID]],B49)/D49)</f>
        <v>NA</v>
      </c>
      <c r="Q49" s="165" t="str">
        <f>IF(D49=0,"NA",SUMIFS(AN_TME22[[#All],[TOTAL Non-Truncated Unadjusted Expenses (A21 + A23)]],AN_TME22[[#All],[Insurance Category Code]],3,AN_TME22[[#All],[Advanced Network/Insurance Carrier Org ID]],B49)/D49)</f>
        <v>NA</v>
      </c>
      <c r="R49" s="165" t="str">
        <f>IF(D49=0,"NA",SUMIFS(AN_TME22[[#All],[TOTAL Truncated Unadjusted Expenses (A22 + A23)]],AN_TME22[[#All],[Insurance Category Code]],3,AN_TME22[[#All],[Advanced Network/Insurance Carrier Org ID]],B49)/D49)</f>
        <v>NA</v>
      </c>
      <c r="S49" s="507">
        <f>SUMIFS(AN_TME23[[#All],[Member Months]],AN_TME23[[#All],[Insurance Category Code]],3,AN_TME23[[#All],[Advanced Network/Insurance Carrier Org ID]],B49)</f>
        <v>0</v>
      </c>
      <c r="T49" s="155" t="str">
        <f>IF(S49=0,"NA",SUMIFS(AN_TME23[[#All],[Claims: Hospital Inpatient]],AN_TME23[[#All],[Insurance Category Code]],3,AN_TME23[[#All],[Advanced Network/Insurance Carrier Org ID]],B49)/S49)</f>
        <v>NA</v>
      </c>
      <c r="U49" s="109" t="str">
        <f>IF(S49=0,"NA",SUMIFS(AN_TME23[[#All],[Claims: Hospital Outpatient]],AN_TME23[[#All],[Insurance Category Code]],3,AN_TME23[[#All],[Advanced Network/Insurance Carrier Org ID]],B49)/S49)</f>
        <v>NA</v>
      </c>
      <c r="V49" s="109" t="str">
        <f>IF(S49=0,"NA",SUMIFS(AN_TME23[[#All],[Claims: Professional, Primary Care]],AN_TME23[[#All],[Insurance Category Code]],3,AN_TME23[[#All],[Advanced Network/Insurance Carrier Org ID]],B49)/S49)</f>
        <v>NA</v>
      </c>
      <c r="W49" s="109" t="str">
        <f>IF(S49=0,"NA",SUMIFS(AN_TME23[[#All],[Claims: Professional, Primary Care (for Monitoring Purposes)]],AN_TME23[[#All],[Insurance Category Code]],3,AN_TME23[[#All],[Advanced Network/Insurance Carrier Org ID]],B49)/S49)</f>
        <v>NA</v>
      </c>
      <c r="X49" s="109" t="str">
        <f>IF(S49=0,"NA",SUMIFS(AN_TME23[[#All],[Claims: Professional, Specialty]],AN_TME23[[#All],[Insurance Category Code]],3,AN_TME23[[#All],[Advanced Network/Insurance Carrier Org ID]],B49)/S49)</f>
        <v>NA</v>
      </c>
      <c r="Y49" s="109" t="str">
        <f>IF(S49=0,"NA",SUMIFS(AN_TME23[[#All],[Claims: Professional Other]],AN_TME23[[#All],[Insurance Category Code]],3,AN_TME23[[#All],[Advanced Network/Insurance Carrier Org ID]],B49)/S49)</f>
        <v>NA</v>
      </c>
      <c r="Z49" s="109" t="str">
        <f>IF(S49=0,"NA",SUMIFS(AN_TME23[[#All],[Claims: Pharmacy]],AN_TME23[[#All],[Insurance Category Code]],3,AN_TME23[[#All],[Advanced Network/Insurance Carrier Org ID]],B49)/S49)</f>
        <v>NA</v>
      </c>
      <c r="AA49" s="109" t="str">
        <f>IF(S49=0,"NA",SUMIFS(AN_TME23[[#All],[Claims: Long-Term Care]],AN_TME23[[#All],[Insurance Category Code]],3,AN_TME23[[#All],[Advanced Network/Insurance Carrier Org ID]],B49)/S49)</f>
        <v>NA</v>
      </c>
      <c r="AB49" s="109" t="str">
        <f>IF(S49=0,"NA",SUMIFS(AN_TME23[[#All],[Claims: Other]],AN_TME23[[#All],[Insurance Category Code]],3,AN_TME23[[#All],[Advanced Network/Insurance Carrier Org ID]],B49)/S49)</f>
        <v>NA</v>
      </c>
      <c r="AC49" s="165" t="str">
        <f>IF(S49=0,"NA",SUMIFS(AN_TME23[[#All],[TOTAL Non-Truncated Unadjusted Claims Expenses]],AN_TME23[[#All],[Insurance Category Code]],3,AN_TME23[[#All],[Advanced Network/Insurance Carrier Org ID]],B49)/S49)</f>
        <v>NA</v>
      </c>
      <c r="AD49" s="165" t="str">
        <f>IF(S49=0,"NA",SUMIFS(AN_TME23[[#All],[TOTAL Truncated Unadjusted Claims Expenses (A21 -A19)]],AN_TME23[[#All],[Insurance Category Code]],3,AN_TME23[[#All],[Advanced Network/Insurance Carrier Org ID]],B49)/S49)</f>
        <v>NA</v>
      </c>
      <c r="AE49" s="165" t="str">
        <f>IF(S49=0,"NA",SUMIFS(AN_TME23[[#All],[TOTAL Non-Claims Expenses]],AN_TME23[[#All],[Insurance Category Code]],3,AN_TME23[[#All],[Advanced Network/Insurance Carrier Org ID]],B49)/S49)</f>
        <v>NA</v>
      </c>
      <c r="AF49" s="165" t="str">
        <f>IF(S49=0,"NA",SUMIFS(AN_TME23[[#All],[TOTAL Non-Truncated Unadjusted Expenses (A21 + A23)]],AN_TME23[[#All],[Insurance Category Code]],3,AN_TME23[[#All],[Advanced Network/Insurance Carrier Org ID]],B49)/S49)</f>
        <v>NA</v>
      </c>
      <c r="AG49" s="156" t="str">
        <f>IF(S49=0,"NA",SUMIFS(AN_TME23[[#All],[TOTAL Truncated Unadjusted Expenses (A22 + A23)]],AN_TME23[[#All],[Insurance Category Code]],3,AN_TME23[[#All],[Advanced Network/Insurance Carrier Org ID]],B49)/S49)</f>
        <v>NA</v>
      </c>
      <c r="AH49" s="478" t="str">
        <f t="shared" si="90"/>
        <v>NA</v>
      </c>
      <c r="AI49" s="479" t="str">
        <f t="shared" si="91"/>
        <v>NA</v>
      </c>
      <c r="AJ49" s="480" t="str">
        <f t="shared" si="92"/>
        <v>NA</v>
      </c>
      <c r="AK49" s="480" t="str">
        <f t="shared" si="93"/>
        <v>NA</v>
      </c>
      <c r="AL49" s="480" t="str">
        <f t="shared" si="94"/>
        <v>NA</v>
      </c>
      <c r="AM49" s="480" t="str">
        <f t="shared" si="95"/>
        <v>NA</v>
      </c>
      <c r="AN49" s="480" t="str">
        <f t="shared" si="96"/>
        <v>NA</v>
      </c>
      <c r="AO49" s="480" t="str">
        <f t="shared" si="97"/>
        <v>NA</v>
      </c>
      <c r="AP49" s="480" t="str">
        <f t="shared" si="98"/>
        <v>NA</v>
      </c>
      <c r="AQ49" s="480" t="str">
        <f t="shared" si="99"/>
        <v>NA</v>
      </c>
      <c r="AR49" s="481" t="str">
        <f t="shared" si="100"/>
        <v>NA</v>
      </c>
      <c r="AS49" s="481" t="str">
        <f t="shared" si="101"/>
        <v>NA</v>
      </c>
      <c r="AT49" s="481" t="str">
        <f t="shared" si="102"/>
        <v>NA</v>
      </c>
      <c r="AU49" s="481" t="str">
        <f t="shared" si="103"/>
        <v>NA</v>
      </c>
      <c r="AV49" s="482" t="str">
        <f t="shared" si="104"/>
        <v>NA</v>
      </c>
    </row>
    <row r="50" spans="1:48" ht="15" customHeight="1" x14ac:dyDescent="0.25">
      <c r="A50" s="164"/>
      <c r="B50" s="166">
        <v>105</v>
      </c>
      <c r="C50" s="169" t="str">
        <f>_xlfn.XLOOKUP(B50, LgProvEntOrgIDs[Advanced Network/Insurer Carrier Org ID], LgProvEntOrgIDs[Advanced Network/Insurance Carrier Overall])</f>
        <v>NA</v>
      </c>
      <c r="D50" s="507">
        <f>SUMIFS(AN_TME22[[#All],[Member Months]],AN_TME22[[#All],[Insurance Category Code]],3,AN_TME22[[#All],[Advanced Network/Insurance Carrier Org ID]],B50)</f>
        <v>0</v>
      </c>
      <c r="E50" s="155" t="str">
        <f>IF(D50=0,"NA",SUMIFS(AN_TME22[[#All],[Claims: Hospital Inpatient]],AN_TME22[[#All],[Insurance Category Code]],3,AN_TME22[[#All],[Advanced Network/Insurance Carrier Org ID]],B50)/D50)</f>
        <v>NA</v>
      </c>
      <c r="F50" s="109" t="str">
        <f>IF(D50=0,"NA",SUMIFS(AN_TME22[[#All],[Claims: Hospital Outpatient]],AN_TME22[[#All],[Insurance Category Code]],3,AN_TME22[[#All],[Advanced Network/Insurance Carrier Org ID]],B50)/D50)</f>
        <v>NA</v>
      </c>
      <c r="G50" s="109" t="str">
        <f>IF(D50=0,"NA",SUMIFS(AN_TME22[[#All],[Claims: Professional, Primary Care]],AN_TME22[[#All],[Insurance Category Code]],3,AN_TME22[[#All],[Advanced Network/Insurance Carrier Org ID]],B50)/D50)</f>
        <v>NA</v>
      </c>
      <c r="H50" s="109" t="str">
        <f>IF(D50=0,"NA",SUMIFS(AN_TME22[[#All],[Claims: Professional, Primary Care (for Monitoring Purposes)]],AN_TME22[[#All],[Insurance Category Code]],3,AN_TME22[[#All],[Advanced Network/Insurance Carrier Org ID]],B50)/D50)</f>
        <v>NA</v>
      </c>
      <c r="I50" s="109" t="str">
        <f>IF(D50=0,"NA",SUMIFS(AN_TME22[[#All],[Claims: Professional, Specialty]],AN_TME22[[#All],[Insurance Category Code]],3,AN_TME22[[#All],[Advanced Network/Insurance Carrier Org ID]],B50)/D50)</f>
        <v>NA</v>
      </c>
      <c r="J50" s="109" t="str">
        <f>IF(D50=0,"NA",SUMIFS(AN_TME22[[#All],[Claims: Professional Other]],AN_TME22[[#All],[Insurance Category Code]],3,AN_TME22[[#All],[Advanced Network/Insurance Carrier Org ID]],B50)/D50)</f>
        <v>NA</v>
      </c>
      <c r="K50" s="109" t="str">
        <f>IF(D50=0,"NA",SUMIFS(AN_TME22[[#All],[Claims: Pharmacy]],AN_TME22[[#All],[Insurance Category Code]],3,AN_TME22[[#All],[Advanced Network/Insurance Carrier Org ID]],B50)/D50)</f>
        <v>NA</v>
      </c>
      <c r="L50" s="109" t="str">
        <f>IF(D50=0,"NA",SUMIFS(AN_TME22[[#All],[Claims: Long-Term Care]],AN_TME22[[#All],[Insurance Category Code]],3,AN_TME22[[#All],[Advanced Network/Insurance Carrier Org ID]],B50)/D50)</f>
        <v>NA</v>
      </c>
      <c r="M50" s="109" t="str">
        <f>IF(D50=0,"NA",SUMIFS(AN_TME22[[#All],[Claims: Other]],AN_TME22[[#All],[Insurance Category Code]],3,AN_TME22[[#All],[Advanced Network/Insurance Carrier Org ID]],B50)/D50)</f>
        <v>NA</v>
      </c>
      <c r="N50" s="165" t="str">
        <f>IF(D50=0,"NA",SUMIFS(AN_TME22[[#All],[TOTAL Non-Truncated Unadjusted Claims Expenses]],AN_TME22[[#All],[Insurance Category Code]],3,AN_TME22[[#All],[Advanced Network/Insurance Carrier Org ID]],B50)/D50)</f>
        <v>NA</v>
      </c>
      <c r="O50" s="165" t="str">
        <f>IF(D50=0,"NA",SUMIFS(AN_TME22[[#All],[TOTAL Truncated Unadjusted Claims Expenses (A21 -A19)]],AN_TME22[[#All],[Insurance Category Code]],3,AN_TME22[[#All],[Advanced Network/Insurance Carrier Org ID]],B50)/D50)</f>
        <v>NA</v>
      </c>
      <c r="P50" s="165" t="str">
        <f>IF(D50=0,"NA",SUMIFS(AN_TME22[[#All],[TOTAL Non-Claims Expenses]],AN_TME22[[#All],[Insurance Category Code]],3,AN_TME22[[#All],[Advanced Network/Insurance Carrier Org ID]],B50)/D50)</f>
        <v>NA</v>
      </c>
      <c r="Q50" s="165" t="str">
        <f>IF(D50=0,"NA",SUMIFS(AN_TME22[[#All],[TOTAL Non-Truncated Unadjusted Expenses (A21 + A23)]],AN_TME22[[#All],[Insurance Category Code]],3,AN_TME22[[#All],[Advanced Network/Insurance Carrier Org ID]],B50)/D50)</f>
        <v>NA</v>
      </c>
      <c r="R50" s="165" t="str">
        <f>IF(D50=0,"NA",SUMIFS(AN_TME22[[#All],[TOTAL Truncated Unadjusted Expenses (A22 + A23)]],AN_TME22[[#All],[Insurance Category Code]],3,AN_TME22[[#All],[Advanced Network/Insurance Carrier Org ID]],B50)/D50)</f>
        <v>NA</v>
      </c>
      <c r="S50" s="507">
        <f>SUMIFS(AN_TME23[[#All],[Member Months]],AN_TME23[[#All],[Insurance Category Code]],3,AN_TME23[[#All],[Advanced Network/Insurance Carrier Org ID]],B50)</f>
        <v>0</v>
      </c>
      <c r="T50" s="155" t="str">
        <f>IF(S50=0,"NA",SUMIFS(AN_TME23[[#All],[Claims: Hospital Inpatient]],AN_TME23[[#All],[Insurance Category Code]],3,AN_TME23[[#All],[Advanced Network/Insurance Carrier Org ID]],B50)/S50)</f>
        <v>NA</v>
      </c>
      <c r="U50" s="109" t="str">
        <f>IF(S50=0,"NA",SUMIFS(AN_TME23[[#All],[Claims: Hospital Outpatient]],AN_TME23[[#All],[Insurance Category Code]],3,AN_TME23[[#All],[Advanced Network/Insurance Carrier Org ID]],B50)/S50)</f>
        <v>NA</v>
      </c>
      <c r="V50" s="109" t="str">
        <f>IF(S50=0,"NA",SUMIFS(AN_TME23[[#All],[Claims: Professional, Primary Care]],AN_TME23[[#All],[Insurance Category Code]],3,AN_TME23[[#All],[Advanced Network/Insurance Carrier Org ID]],B50)/S50)</f>
        <v>NA</v>
      </c>
      <c r="W50" s="109" t="str">
        <f>IF(S50=0,"NA",SUMIFS(AN_TME23[[#All],[Claims: Professional, Primary Care (for Monitoring Purposes)]],AN_TME23[[#All],[Insurance Category Code]],3,AN_TME23[[#All],[Advanced Network/Insurance Carrier Org ID]],B50)/S50)</f>
        <v>NA</v>
      </c>
      <c r="X50" s="109" t="str">
        <f>IF(S50=0,"NA",SUMIFS(AN_TME23[[#All],[Claims: Professional, Specialty]],AN_TME23[[#All],[Insurance Category Code]],3,AN_TME23[[#All],[Advanced Network/Insurance Carrier Org ID]],B50)/S50)</f>
        <v>NA</v>
      </c>
      <c r="Y50" s="109" t="str">
        <f>IF(S50=0,"NA",SUMIFS(AN_TME23[[#All],[Claims: Professional Other]],AN_TME23[[#All],[Insurance Category Code]],3,AN_TME23[[#All],[Advanced Network/Insurance Carrier Org ID]],B50)/S50)</f>
        <v>NA</v>
      </c>
      <c r="Z50" s="109" t="str">
        <f>IF(S50=0,"NA",SUMIFS(AN_TME23[[#All],[Claims: Pharmacy]],AN_TME23[[#All],[Insurance Category Code]],3,AN_TME23[[#All],[Advanced Network/Insurance Carrier Org ID]],B50)/S50)</f>
        <v>NA</v>
      </c>
      <c r="AA50" s="109" t="str">
        <f>IF(S50=0,"NA",SUMIFS(AN_TME23[[#All],[Claims: Long-Term Care]],AN_TME23[[#All],[Insurance Category Code]],3,AN_TME23[[#All],[Advanced Network/Insurance Carrier Org ID]],B50)/S50)</f>
        <v>NA</v>
      </c>
      <c r="AB50" s="109" t="str">
        <f>IF(S50=0,"NA",SUMIFS(AN_TME23[[#All],[Claims: Other]],AN_TME23[[#All],[Insurance Category Code]],3,AN_TME23[[#All],[Advanced Network/Insurance Carrier Org ID]],B50)/S50)</f>
        <v>NA</v>
      </c>
      <c r="AC50" s="165" t="str">
        <f>IF(S50=0,"NA",SUMIFS(AN_TME23[[#All],[TOTAL Non-Truncated Unadjusted Claims Expenses]],AN_TME23[[#All],[Insurance Category Code]],3,AN_TME23[[#All],[Advanced Network/Insurance Carrier Org ID]],B50)/S50)</f>
        <v>NA</v>
      </c>
      <c r="AD50" s="165" t="str">
        <f>IF(S50=0,"NA",SUMIFS(AN_TME23[[#All],[TOTAL Truncated Unadjusted Claims Expenses (A21 -A19)]],AN_TME23[[#All],[Insurance Category Code]],3,AN_TME23[[#All],[Advanced Network/Insurance Carrier Org ID]],B50)/S50)</f>
        <v>NA</v>
      </c>
      <c r="AE50" s="165" t="str">
        <f>IF(S50=0,"NA",SUMIFS(AN_TME23[[#All],[TOTAL Non-Claims Expenses]],AN_TME23[[#All],[Insurance Category Code]],3,AN_TME23[[#All],[Advanced Network/Insurance Carrier Org ID]],B50)/S50)</f>
        <v>NA</v>
      </c>
      <c r="AF50" s="165" t="str">
        <f>IF(S50=0,"NA",SUMIFS(AN_TME23[[#All],[TOTAL Non-Truncated Unadjusted Expenses (A21 + A23)]],AN_TME23[[#All],[Insurance Category Code]],3,AN_TME23[[#All],[Advanced Network/Insurance Carrier Org ID]],B50)/S50)</f>
        <v>NA</v>
      </c>
      <c r="AG50" s="156" t="str">
        <f>IF(S50=0,"NA",SUMIFS(AN_TME23[[#All],[TOTAL Truncated Unadjusted Expenses (A22 + A23)]],AN_TME23[[#All],[Insurance Category Code]],3,AN_TME23[[#All],[Advanced Network/Insurance Carrier Org ID]],B50)/S50)</f>
        <v>NA</v>
      </c>
      <c r="AH50" s="478" t="str">
        <f t="shared" si="90"/>
        <v>NA</v>
      </c>
      <c r="AI50" s="479" t="str">
        <f t="shared" si="91"/>
        <v>NA</v>
      </c>
      <c r="AJ50" s="480" t="str">
        <f t="shared" si="92"/>
        <v>NA</v>
      </c>
      <c r="AK50" s="480" t="str">
        <f t="shared" si="93"/>
        <v>NA</v>
      </c>
      <c r="AL50" s="480" t="str">
        <f t="shared" si="94"/>
        <v>NA</v>
      </c>
      <c r="AM50" s="480" t="str">
        <f t="shared" si="95"/>
        <v>NA</v>
      </c>
      <c r="AN50" s="480" t="str">
        <f t="shared" si="96"/>
        <v>NA</v>
      </c>
      <c r="AO50" s="480" t="str">
        <f t="shared" si="97"/>
        <v>NA</v>
      </c>
      <c r="AP50" s="480" t="str">
        <f t="shared" si="98"/>
        <v>NA</v>
      </c>
      <c r="AQ50" s="480" t="str">
        <f t="shared" si="99"/>
        <v>NA</v>
      </c>
      <c r="AR50" s="481" t="str">
        <f t="shared" si="100"/>
        <v>NA</v>
      </c>
      <c r="AS50" s="481" t="str">
        <f t="shared" si="101"/>
        <v>NA</v>
      </c>
      <c r="AT50" s="481" t="str">
        <f t="shared" si="102"/>
        <v>NA</v>
      </c>
      <c r="AU50" s="481" t="str">
        <f t="shared" si="103"/>
        <v>NA</v>
      </c>
      <c r="AV50" s="482" t="str">
        <f t="shared" si="104"/>
        <v>NA</v>
      </c>
    </row>
    <row r="51" spans="1:48" ht="15" customHeight="1" x14ac:dyDescent="0.25">
      <c r="A51" s="164"/>
      <c r="B51" s="166">
        <v>106</v>
      </c>
      <c r="C51" s="169" t="str">
        <f>_xlfn.XLOOKUP(B51, LgProvEntOrgIDs[Advanced Network/Insurer Carrier Org ID], LgProvEntOrgIDs[Advanced Network/Insurance Carrier Overall])</f>
        <v>Northeast Medical Group</v>
      </c>
      <c r="D51" s="507">
        <f>SUMIFS(AN_TME22[[#All],[Member Months]],AN_TME22[[#All],[Insurance Category Code]],3,AN_TME22[[#All],[Advanced Network/Insurance Carrier Org ID]],B51)</f>
        <v>0</v>
      </c>
      <c r="E51" s="155" t="str">
        <f>IF(D51=0,"NA",SUMIFS(AN_TME22[[#All],[Claims: Hospital Inpatient]],AN_TME22[[#All],[Insurance Category Code]],3,AN_TME22[[#All],[Advanced Network/Insurance Carrier Org ID]],B51)/D51)</f>
        <v>NA</v>
      </c>
      <c r="F51" s="109" t="str">
        <f>IF(D51=0,"NA",SUMIFS(AN_TME22[[#All],[Claims: Hospital Outpatient]],AN_TME22[[#All],[Insurance Category Code]],3,AN_TME22[[#All],[Advanced Network/Insurance Carrier Org ID]],B51)/D51)</f>
        <v>NA</v>
      </c>
      <c r="G51" s="109" t="str">
        <f>IF(D51=0,"NA",SUMIFS(AN_TME22[[#All],[Claims: Professional, Primary Care]],AN_TME22[[#All],[Insurance Category Code]],3,AN_TME22[[#All],[Advanced Network/Insurance Carrier Org ID]],B51)/D51)</f>
        <v>NA</v>
      </c>
      <c r="H51" s="109" t="str">
        <f>IF(D51=0,"NA",SUMIFS(AN_TME22[[#All],[Claims: Professional, Primary Care (for Monitoring Purposes)]],AN_TME22[[#All],[Insurance Category Code]],3,AN_TME22[[#All],[Advanced Network/Insurance Carrier Org ID]],B51)/D51)</f>
        <v>NA</v>
      </c>
      <c r="I51" s="109" t="str">
        <f>IF(D51=0,"NA",SUMIFS(AN_TME22[[#All],[Claims: Professional, Specialty]],AN_TME22[[#All],[Insurance Category Code]],3,AN_TME22[[#All],[Advanced Network/Insurance Carrier Org ID]],B51)/D51)</f>
        <v>NA</v>
      </c>
      <c r="J51" s="109" t="str">
        <f>IF(D51=0,"NA",SUMIFS(AN_TME22[[#All],[Claims: Professional Other]],AN_TME22[[#All],[Insurance Category Code]],3,AN_TME22[[#All],[Advanced Network/Insurance Carrier Org ID]],B51)/D51)</f>
        <v>NA</v>
      </c>
      <c r="K51" s="109" t="str">
        <f>IF(D51=0,"NA",SUMIFS(AN_TME22[[#All],[Claims: Pharmacy]],AN_TME22[[#All],[Insurance Category Code]],3,AN_TME22[[#All],[Advanced Network/Insurance Carrier Org ID]],B51)/D51)</f>
        <v>NA</v>
      </c>
      <c r="L51" s="109" t="str">
        <f>IF(D51=0,"NA",SUMIFS(AN_TME22[[#All],[Claims: Long-Term Care]],AN_TME22[[#All],[Insurance Category Code]],3,AN_TME22[[#All],[Advanced Network/Insurance Carrier Org ID]],B51)/D51)</f>
        <v>NA</v>
      </c>
      <c r="M51" s="109" t="str">
        <f>IF(D51=0,"NA",SUMIFS(AN_TME22[[#All],[Claims: Other]],AN_TME22[[#All],[Insurance Category Code]],3,AN_TME22[[#All],[Advanced Network/Insurance Carrier Org ID]],B51)/D51)</f>
        <v>NA</v>
      </c>
      <c r="N51" s="165" t="str">
        <f>IF(D51=0,"NA",SUMIFS(AN_TME22[[#All],[TOTAL Non-Truncated Unadjusted Claims Expenses]],AN_TME22[[#All],[Insurance Category Code]],3,AN_TME22[[#All],[Advanced Network/Insurance Carrier Org ID]],B51)/D51)</f>
        <v>NA</v>
      </c>
      <c r="O51" s="165" t="str">
        <f>IF(D51=0,"NA",SUMIFS(AN_TME22[[#All],[TOTAL Truncated Unadjusted Claims Expenses (A21 -A19)]],AN_TME22[[#All],[Insurance Category Code]],3,AN_TME22[[#All],[Advanced Network/Insurance Carrier Org ID]],B51)/D51)</f>
        <v>NA</v>
      </c>
      <c r="P51" s="165" t="str">
        <f>IF(D51=0,"NA",SUMIFS(AN_TME22[[#All],[TOTAL Non-Claims Expenses]],AN_TME22[[#All],[Insurance Category Code]],3,AN_TME22[[#All],[Advanced Network/Insurance Carrier Org ID]],B51)/D51)</f>
        <v>NA</v>
      </c>
      <c r="Q51" s="165" t="str">
        <f>IF(D51=0,"NA",SUMIFS(AN_TME22[[#All],[TOTAL Non-Truncated Unadjusted Expenses (A21 + A23)]],AN_TME22[[#All],[Insurance Category Code]],3,AN_TME22[[#All],[Advanced Network/Insurance Carrier Org ID]],B51)/D51)</f>
        <v>NA</v>
      </c>
      <c r="R51" s="165" t="str">
        <f>IF(D51=0,"NA",SUMIFS(AN_TME22[[#All],[TOTAL Truncated Unadjusted Expenses (A22 + A23)]],AN_TME22[[#All],[Insurance Category Code]],3,AN_TME22[[#All],[Advanced Network/Insurance Carrier Org ID]],B51)/D51)</f>
        <v>NA</v>
      </c>
      <c r="S51" s="507">
        <f>SUMIFS(AN_TME23[[#All],[Member Months]],AN_TME23[[#All],[Insurance Category Code]],3,AN_TME23[[#All],[Advanced Network/Insurance Carrier Org ID]],B51)</f>
        <v>0</v>
      </c>
      <c r="T51" s="155" t="str">
        <f>IF(S51=0,"NA",SUMIFS(AN_TME23[[#All],[Claims: Hospital Inpatient]],AN_TME23[[#All],[Insurance Category Code]],3,AN_TME23[[#All],[Advanced Network/Insurance Carrier Org ID]],B51)/S51)</f>
        <v>NA</v>
      </c>
      <c r="U51" s="109" t="str">
        <f>IF(S51=0,"NA",SUMIFS(AN_TME23[[#All],[Claims: Hospital Outpatient]],AN_TME23[[#All],[Insurance Category Code]],3,AN_TME23[[#All],[Advanced Network/Insurance Carrier Org ID]],B51)/S51)</f>
        <v>NA</v>
      </c>
      <c r="V51" s="109" t="str">
        <f>IF(S51=0,"NA",SUMIFS(AN_TME23[[#All],[Claims: Professional, Primary Care]],AN_TME23[[#All],[Insurance Category Code]],3,AN_TME23[[#All],[Advanced Network/Insurance Carrier Org ID]],B51)/S51)</f>
        <v>NA</v>
      </c>
      <c r="W51" s="109" t="str">
        <f>IF(S51=0,"NA",SUMIFS(AN_TME23[[#All],[Claims: Professional, Primary Care (for Monitoring Purposes)]],AN_TME23[[#All],[Insurance Category Code]],3,AN_TME23[[#All],[Advanced Network/Insurance Carrier Org ID]],B51)/S51)</f>
        <v>NA</v>
      </c>
      <c r="X51" s="109" t="str">
        <f>IF(S51=0,"NA",SUMIFS(AN_TME23[[#All],[Claims: Professional, Specialty]],AN_TME23[[#All],[Insurance Category Code]],3,AN_TME23[[#All],[Advanced Network/Insurance Carrier Org ID]],B51)/S51)</f>
        <v>NA</v>
      </c>
      <c r="Y51" s="109" t="str">
        <f>IF(S51=0,"NA",SUMIFS(AN_TME23[[#All],[Claims: Professional Other]],AN_TME23[[#All],[Insurance Category Code]],3,AN_TME23[[#All],[Advanced Network/Insurance Carrier Org ID]],B51)/S51)</f>
        <v>NA</v>
      </c>
      <c r="Z51" s="109" t="str">
        <f>IF(S51=0,"NA",SUMIFS(AN_TME23[[#All],[Claims: Pharmacy]],AN_TME23[[#All],[Insurance Category Code]],3,AN_TME23[[#All],[Advanced Network/Insurance Carrier Org ID]],B51)/S51)</f>
        <v>NA</v>
      </c>
      <c r="AA51" s="109" t="str">
        <f>IF(S51=0,"NA",SUMIFS(AN_TME23[[#All],[Claims: Long-Term Care]],AN_TME23[[#All],[Insurance Category Code]],3,AN_TME23[[#All],[Advanced Network/Insurance Carrier Org ID]],B51)/S51)</f>
        <v>NA</v>
      </c>
      <c r="AB51" s="109" t="str">
        <f>IF(S51=0,"NA",SUMIFS(AN_TME23[[#All],[Claims: Other]],AN_TME23[[#All],[Insurance Category Code]],3,AN_TME23[[#All],[Advanced Network/Insurance Carrier Org ID]],B51)/S51)</f>
        <v>NA</v>
      </c>
      <c r="AC51" s="165" t="str">
        <f>IF(S51=0,"NA",SUMIFS(AN_TME23[[#All],[TOTAL Non-Truncated Unadjusted Claims Expenses]],AN_TME23[[#All],[Insurance Category Code]],3,AN_TME23[[#All],[Advanced Network/Insurance Carrier Org ID]],B51)/S51)</f>
        <v>NA</v>
      </c>
      <c r="AD51" s="165" t="str">
        <f>IF(S51=0,"NA",SUMIFS(AN_TME23[[#All],[TOTAL Truncated Unadjusted Claims Expenses (A21 -A19)]],AN_TME23[[#All],[Insurance Category Code]],3,AN_TME23[[#All],[Advanced Network/Insurance Carrier Org ID]],B51)/S51)</f>
        <v>NA</v>
      </c>
      <c r="AE51" s="165" t="str">
        <f>IF(S51=0,"NA",SUMIFS(AN_TME23[[#All],[TOTAL Non-Claims Expenses]],AN_TME23[[#All],[Insurance Category Code]],3,AN_TME23[[#All],[Advanced Network/Insurance Carrier Org ID]],B51)/S51)</f>
        <v>NA</v>
      </c>
      <c r="AF51" s="165" t="str">
        <f>IF(S51=0,"NA",SUMIFS(AN_TME23[[#All],[TOTAL Non-Truncated Unadjusted Expenses (A21 + A23)]],AN_TME23[[#All],[Insurance Category Code]],3,AN_TME23[[#All],[Advanced Network/Insurance Carrier Org ID]],B51)/S51)</f>
        <v>NA</v>
      </c>
      <c r="AG51" s="156" t="str">
        <f>IF(S51=0,"NA",SUMIFS(AN_TME23[[#All],[TOTAL Truncated Unadjusted Expenses (A22 + A23)]],AN_TME23[[#All],[Insurance Category Code]],3,AN_TME23[[#All],[Advanced Network/Insurance Carrier Org ID]],B51)/S51)</f>
        <v>NA</v>
      </c>
      <c r="AH51" s="478" t="str">
        <f t="shared" si="90"/>
        <v>NA</v>
      </c>
      <c r="AI51" s="479" t="str">
        <f t="shared" si="91"/>
        <v>NA</v>
      </c>
      <c r="AJ51" s="480" t="str">
        <f t="shared" si="92"/>
        <v>NA</v>
      </c>
      <c r="AK51" s="480" t="str">
        <f t="shared" si="93"/>
        <v>NA</v>
      </c>
      <c r="AL51" s="480" t="str">
        <f t="shared" si="94"/>
        <v>NA</v>
      </c>
      <c r="AM51" s="480" t="str">
        <f t="shared" si="95"/>
        <v>NA</v>
      </c>
      <c r="AN51" s="480" t="str">
        <f t="shared" si="96"/>
        <v>NA</v>
      </c>
      <c r="AO51" s="480" t="str">
        <f t="shared" si="97"/>
        <v>NA</v>
      </c>
      <c r="AP51" s="480" t="str">
        <f t="shared" si="98"/>
        <v>NA</v>
      </c>
      <c r="AQ51" s="480" t="str">
        <f t="shared" si="99"/>
        <v>NA</v>
      </c>
      <c r="AR51" s="481" t="str">
        <f t="shared" si="100"/>
        <v>NA</v>
      </c>
      <c r="AS51" s="481" t="str">
        <f t="shared" si="101"/>
        <v>NA</v>
      </c>
      <c r="AT51" s="481" t="str">
        <f t="shared" si="102"/>
        <v>NA</v>
      </c>
      <c r="AU51" s="481" t="str">
        <f t="shared" si="103"/>
        <v>NA</v>
      </c>
      <c r="AV51" s="482" t="str">
        <f t="shared" si="104"/>
        <v>NA</v>
      </c>
    </row>
    <row r="52" spans="1:48" ht="15" customHeight="1" x14ac:dyDescent="0.25">
      <c r="A52" s="164"/>
      <c r="B52" s="166">
        <v>107</v>
      </c>
      <c r="C52" s="169" t="str">
        <f>_xlfn.XLOOKUP(B52, LgProvEntOrgIDs[Advanced Network/Insurer Carrier Org ID], LgProvEntOrgIDs[Advanced Network/Insurance Carrier Overall])</f>
        <v>OptumCare Network of Connecticut (including ProHealth)</v>
      </c>
      <c r="D52" s="507">
        <f>SUMIFS(AN_TME22[[#All],[Member Months]],AN_TME22[[#All],[Insurance Category Code]],3,AN_TME22[[#All],[Advanced Network/Insurance Carrier Org ID]],B52)</f>
        <v>0</v>
      </c>
      <c r="E52" s="155" t="str">
        <f>IF(D52=0,"NA",SUMIFS(AN_TME22[[#All],[Claims: Hospital Inpatient]],AN_TME22[[#All],[Insurance Category Code]],3,AN_TME22[[#All],[Advanced Network/Insurance Carrier Org ID]],B52)/D52)</f>
        <v>NA</v>
      </c>
      <c r="F52" s="109" t="str">
        <f>IF(D52=0,"NA",SUMIFS(AN_TME22[[#All],[Claims: Hospital Outpatient]],AN_TME22[[#All],[Insurance Category Code]],3,AN_TME22[[#All],[Advanced Network/Insurance Carrier Org ID]],B52)/D52)</f>
        <v>NA</v>
      </c>
      <c r="G52" s="109" t="str">
        <f>IF(D52=0,"NA",SUMIFS(AN_TME22[[#All],[Claims: Professional, Primary Care]],AN_TME22[[#All],[Insurance Category Code]],3,AN_TME22[[#All],[Advanced Network/Insurance Carrier Org ID]],B52)/D52)</f>
        <v>NA</v>
      </c>
      <c r="H52" s="109" t="str">
        <f>IF(D52=0,"NA",SUMIFS(AN_TME22[[#All],[Claims: Professional, Primary Care (for Monitoring Purposes)]],AN_TME22[[#All],[Insurance Category Code]],3,AN_TME22[[#All],[Advanced Network/Insurance Carrier Org ID]],B52)/D52)</f>
        <v>NA</v>
      </c>
      <c r="I52" s="109" t="str">
        <f>IF(D52=0,"NA",SUMIFS(AN_TME22[[#All],[Claims: Professional, Specialty]],AN_TME22[[#All],[Insurance Category Code]],3,AN_TME22[[#All],[Advanced Network/Insurance Carrier Org ID]],B52)/D52)</f>
        <v>NA</v>
      </c>
      <c r="J52" s="109" t="str">
        <f>IF(D52=0,"NA",SUMIFS(AN_TME22[[#All],[Claims: Professional Other]],AN_TME22[[#All],[Insurance Category Code]],3,AN_TME22[[#All],[Advanced Network/Insurance Carrier Org ID]],B52)/D52)</f>
        <v>NA</v>
      </c>
      <c r="K52" s="109" t="str">
        <f>IF(D52=0,"NA",SUMIFS(AN_TME22[[#All],[Claims: Pharmacy]],AN_TME22[[#All],[Insurance Category Code]],3,AN_TME22[[#All],[Advanced Network/Insurance Carrier Org ID]],B52)/D52)</f>
        <v>NA</v>
      </c>
      <c r="L52" s="109" t="str">
        <f>IF(D52=0,"NA",SUMIFS(AN_TME22[[#All],[Claims: Long-Term Care]],AN_TME22[[#All],[Insurance Category Code]],3,AN_TME22[[#All],[Advanced Network/Insurance Carrier Org ID]],B52)/D52)</f>
        <v>NA</v>
      </c>
      <c r="M52" s="109" t="str">
        <f>IF(D52=0,"NA",SUMIFS(AN_TME22[[#All],[Claims: Other]],AN_TME22[[#All],[Insurance Category Code]],3,AN_TME22[[#All],[Advanced Network/Insurance Carrier Org ID]],B52)/D52)</f>
        <v>NA</v>
      </c>
      <c r="N52" s="165" t="str">
        <f>IF(D52=0,"NA",SUMIFS(AN_TME22[[#All],[TOTAL Non-Truncated Unadjusted Claims Expenses]],AN_TME22[[#All],[Insurance Category Code]],3,AN_TME22[[#All],[Advanced Network/Insurance Carrier Org ID]],B52)/D52)</f>
        <v>NA</v>
      </c>
      <c r="O52" s="165" t="str">
        <f>IF(D52=0,"NA",SUMIFS(AN_TME22[[#All],[TOTAL Truncated Unadjusted Claims Expenses (A21 -A19)]],AN_TME22[[#All],[Insurance Category Code]],3,AN_TME22[[#All],[Advanced Network/Insurance Carrier Org ID]],B52)/D52)</f>
        <v>NA</v>
      </c>
      <c r="P52" s="165" t="str">
        <f>IF(D52=0,"NA",SUMIFS(AN_TME22[[#All],[TOTAL Non-Claims Expenses]],AN_TME22[[#All],[Insurance Category Code]],3,AN_TME22[[#All],[Advanced Network/Insurance Carrier Org ID]],B52)/D52)</f>
        <v>NA</v>
      </c>
      <c r="Q52" s="165" t="str">
        <f>IF(D52=0,"NA",SUMIFS(AN_TME22[[#All],[TOTAL Non-Truncated Unadjusted Expenses (A21 + A23)]],AN_TME22[[#All],[Insurance Category Code]],3,AN_TME22[[#All],[Advanced Network/Insurance Carrier Org ID]],B52)/D52)</f>
        <v>NA</v>
      </c>
      <c r="R52" s="165" t="str">
        <f>IF(D52=0,"NA",SUMIFS(AN_TME22[[#All],[TOTAL Truncated Unadjusted Expenses (A22 + A23)]],AN_TME22[[#All],[Insurance Category Code]],3,AN_TME22[[#All],[Advanced Network/Insurance Carrier Org ID]],B52)/D52)</f>
        <v>NA</v>
      </c>
      <c r="S52" s="507">
        <f>SUMIFS(AN_TME23[[#All],[Member Months]],AN_TME23[[#All],[Insurance Category Code]],3,AN_TME23[[#All],[Advanced Network/Insurance Carrier Org ID]],B52)</f>
        <v>0</v>
      </c>
      <c r="T52" s="155" t="str">
        <f>IF(S52=0,"NA",SUMIFS(AN_TME23[[#All],[Claims: Hospital Inpatient]],AN_TME23[[#All],[Insurance Category Code]],3,AN_TME23[[#All],[Advanced Network/Insurance Carrier Org ID]],B52)/S52)</f>
        <v>NA</v>
      </c>
      <c r="U52" s="109" t="str">
        <f>IF(S52=0,"NA",SUMIFS(AN_TME23[[#All],[Claims: Hospital Outpatient]],AN_TME23[[#All],[Insurance Category Code]],3,AN_TME23[[#All],[Advanced Network/Insurance Carrier Org ID]],B52)/S52)</f>
        <v>NA</v>
      </c>
      <c r="V52" s="109" t="str">
        <f>IF(S52=0,"NA",SUMIFS(AN_TME23[[#All],[Claims: Professional, Primary Care]],AN_TME23[[#All],[Insurance Category Code]],3,AN_TME23[[#All],[Advanced Network/Insurance Carrier Org ID]],B52)/S52)</f>
        <v>NA</v>
      </c>
      <c r="W52" s="109" t="str">
        <f>IF(S52=0,"NA",SUMIFS(AN_TME23[[#All],[Claims: Professional, Primary Care (for Monitoring Purposes)]],AN_TME23[[#All],[Insurance Category Code]],3,AN_TME23[[#All],[Advanced Network/Insurance Carrier Org ID]],B52)/S52)</f>
        <v>NA</v>
      </c>
      <c r="X52" s="109" t="str">
        <f>IF(S52=0,"NA",SUMIFS(AN_TME23[[#All],[Claims: Professional, Specialty]],AN_TME23[[#All],[Insurance Category Code]],3,AN_TME23[[#All],[Advanced Network/Insurance Carrier Org ID]],B52)/S52)</f>
        <v>NA</v>
      </c>
      <c r="Y52" s="109" t="str">
        <f>IF(S52=0,"NA",SUMIFS(AN_TME23[[#All],[Claims: Professional Other]],AN_TME23[[#All],[Insurance Category Code]],3,AN_TME23[[#All],[Advanced Network/Insurance Carrier Org ID]],B52)/S52)</f>
        <v>NA</v>
      </c>
      <c r="Z52" s="109" t="str">
        <f>IF(S52=0,"NA",SUMIFS(AN_TME23[[#All],[Claims: Pharmacy]],AN_TME23[[#All],[Insurance Category Code]],3,AN_TME23[[#All],[Advanced Network/Insurance Carrier Org ID]],B52)/S52)</f>
        <v>NA</v>
      </c>
      <c r="AA52" s="109" t="str">
        <f>IF(S52=0,"NA",SUMIFS(AN_TME23[[#All],[Claims: Long-Term Care]],AN_TME23[[#All],[Insurance Category Code]],3,AN_TME23[[#All],[Advanced Network/Insurance Carrier Org ID]],B52)/S52)</f>
        <v>NA</v>
      </c>
      <c r="AB52" s="109" t="str">
        <f>IF(S52=0,"NA",SUMIFS(AN_TME23[[#All],[Claims: Other]],AN_TME23[[#All],[Insurance Category Code]],3,AN_TME23[[#All],[Advanced Network/Insurance Carrier Org ID]],B52)/S52)</f>
        <v>NA</v>
      </c>
      <c r="AC52" s="165" t="str">
        <f>IF(S52=0,"NA",SUMIFS(AN_TME23[[#All],[TOTAL Non-Truncated Unadjusted Claims Expenses]],AN_TME23[[#All],[Insurance Category Code]],3,AN_TME23[[#All],[Advanced Network/Insurance Carrier Org ID]],B52)/S52)</f>
        <v>NA</v>
      </c>
      <c r="AD52" s="165" t="str">
        <f>IF(S52=0,"NA",SUMIFS(AN_TME23[[#All],[TOTAL Truncated Unadjusted Claims Expenses (A21 -A19)]],AN_TME23[[#All],[Insurance Category Code]],3,AN_TME23[[#All],[Advanced Network/Insurance Carrier Org ID]],B52)/S52)</f>
        <v>NA</v>
      </c>
      <c r="AE52" s="165" t="str">
        <f>IF(S52=0,"NA",SUMIFS(AN_TME23[[#All],[TOTAL Non-Claims Expenses]],AN_TME23[[#All],[Insurance Category Code]],3,AN_TME23[[#All],[Advanced Network/Insurance Carrier Org ID]],B52)/S52)</f>
        <v>NA</v>
      </c>
      <c r="AF52" s="165" t="str">
        <f>IF(S52=0,"NA",SUMIFS(AN_TME23[[#All],[TOTAL Non-Truncated Unadjusted Expenses (A21 + A23)]],AN_TME23[[#All],[Insurance Category Code]],3,AN_TME23[[#All],[Advanced Network/Insurance Carrier Org ID]],B52)/S52)</f>
        <v>NA</v>
      </c>
      <c r="AG52" s="156" t="str">
        <f>IF(S52=0,"NA",SUMIFS(AN_TME23[[#All],[TOTAL Truncated Unadjusted Expenses (A22 + A23)]],AN_TME23[[#All],[Insurance Category Code]],3,AN_TME23[[#All],[Advanced Network/Insurance Carrier Org ID]],B52)/S52)</f>
        <v>NA</v>
      </c>
      <c r="AH52" s="478" t="str">
        <f t="shared" si="90"/>
        <v>NA</v>
      </c>
      <c r="AI52" s="479" t="str">
        <f t="shared" si="91"/>
        <v>NA</v>
      </c>
      <c r="AJ52" s="480" t="str">
        <f t="shared" si="92"/>
        <v>NA</v>
      </c>
      <c r="AK52" s="480" t="str">
        <f t="shared" si="93"/>
        <v>NA</v>
      </c>
      <c r="AL52" s="480" t="str">
        <f t="shared" si="94"/>
        <v>NA</v>
      </c>
      <c r="AM52" s="480" t="str">
        <f t="shared" si="95"/>
        <v>NA</v>
      </c>
      <c r="AN52" s="480" t="str">
        <f t="shared" si="96"/>
        <v>NA</v>
      </c>
      <c r="AO52" s="480" t="str">
        <f t="shared" si="97"/>
        <v>NA</v>
      </c>
      <c r="AP52" s="480" t="str">
        <f t="shared" si="98"/>
        <v>NA</v>
      </c>
      <c r="AQ52" s="480" t="str">
        <f t="shared" si="99"/>
        <v>NA</v>
      </c>
      <c r="AR52" s="481" t="str">
        <f t="shared" si="100"/>
        <v>NA</v>
      </c>
      <c r="AS52" s="481" t="str">
        <f t="shared" si="101"/>
        <v>NA</v>
      </c>
      <c r="AT52" s="481" t="str">
        <f t="shared" si="102"/>
        <v>NA</v>
      </c>
      <c r="AU52" s="481" t="str">
        <f t="shared" si="103"/>
        <v>NA</v>
      </c>
      <c r="AV52" s="482" t="str">
        <f t="shared" si="104"/>
        <v>NA</v>
      </c>
    </row>
    <row r="53" spans="1:48" ht="45" customHeight="1" x14ac:dyDescent="0.25">
      <c r="A53" s="164"/>
      <c r="B53" s="166">
        <v>108</v>
      </c>
      <c r="C53" s="169" t="str">
        <f>_xlfn.XLOOKUP(B53, LgProvEntOrgIDs[Advanced Network/Insurer Carrier Org ID], LgProvEntOrgIDs[Advanced Network/Insurance Carrier Overall])</f>
        <v>Prospect Connecticut Medical Foundation Inc. (dba Prospect Medical, Prospect Health Services, Prospect Holdings)</v>
      </c>
      <c r="D53" s="507">
        <f>SUMIFS(AN_TME22[[#All],[Member Months]],AN_TME22[[#All],[Insurance Category Code]],3,AN_TME22[[#All],[Advanced Network/Insurance Carrier Org ID]],B53)</f>
        <v>0</v>
      </c>
      <c r="E53" s="155" t="str">
        <f>IF(D53=0,"NA",SUMIFS(AN_TME22[[#All],[Claims: Hospital Inpatient]],AN_TME22[[#All],[Insurance Category Code]],3,AN_TME22[[#All],[Advanced Network/Insurance Carrier Org ID]],B53)/D53)</f>
        <v>NA</v>
      </c>
      <c r="F53" s="109" t="str">
        <f>IF(D53=0,"NA",SUMIFS(AN_TME22[[#All],[Claims: Hospital Outpatient]],AN_TME22[[#All],[Insurance Category Code]],3,AN_TME22[[#All],[Advanced Network/Insurance Carrier Org ID]],B53)/D53)</f>
        <v>NA</v>
      </c>
      <c r="G53" s="109" t="str">
        <f>IF(D53=0,"NA",SUMIFS(AN_TME22[[#All],[Claims: Professional, Primary Care]],AN_TME22[[#All],[Insurance Category Code]],3,AN_TME22[[#All],[Advanced Network/Insurance Carrier Org ID]],B53)/D53)</f>
        <v>NA</v>
      </c>
      <c r="H53" s="109" t="str">
        <f>IF(D53=0,"NA",SUMIFS(AN_TME22[[#All],[Claims: Professional, Primary Care (for Monitoring Purposes)]],AN_TME22[[#All],[Insurance Category Code]],3,AN_TME22[[#All],[Advanced Network/Insurance Carrier Org ID]],B53)/D53)</f>
        <v>NA</v>
      </c>
      <c r="I53" s="109" t="str">
        <f>IF(D53=0,"NA",SUMIFS(AN_TME22[[#All],[Claims: Professional, Specialty]],AN_TME22[[#All],[Insurance Category Code]],3,AN_TME22[[#All],[Advanced Network/Insurance Carrier Org ID]],B53)/D53)</f>
        <v>NA</v>
      </c>
      <c r="J53" s="109" t="str">
        <f>IF(D53=0,"NA",SUMIFS(AN_TME22[[#All],[Claims: Professional Other]],AN_TME22[[#All],[Insurance Category Code]],3,AN_TME22[[#All],[Advanced Network/Insurance Carrier Org ID]],B53)/D53)</f>
        <v>NA</v>
      </c>
      <c r="K53" s="109" t="str">
        <f>IF(D53=0,"NA",SUMIFS(AN_TME22[[#All],[Claims: Pharmacy]],AN_TME22[[#All],[Insurance Category Code]],3,AN_TME22[[#All],[Advanced Network/Insurance Carrier Org ID]],B53)/D53)</f>
        <v>NA</v>
      </c>
      <c r="L53" s="109" t="str">
        <f>IF(D53=0,"NA",SUMIFS(AN_TME22[[#All],[Claims: Long-Term Care]],AN_TME22[[#All],[Insurance Category Code]],3,AN_TME22[[#All],[Advanced Network/Insurance Carrier Org ID]],B53)/D53)</f>
        <v>NA</v>
      </c>
      <c r="M53" s="109" t="str">
        <f>IF(D53=0,"NA",SUMIFS(AN_TME22[[#All],[Claims: Other]],AN_TME22[[#All],[Insurance Category Code]],3,AN_TME22[[#All],[Advanced Network/Insurance Carrier Org ID]],B53)/D53)</f>
        <v>NA</v>
      </c>
      <c r="N53" s="165" t="str">
        <f>IF(D53=0,"NA",SUMIFS(AN_TME22[[#All],[TOTAL Non-Truncated Unadjusted Claims Expenses]],AN_TME22[[#All],[Insurance Category Code]],3,AN_TME22[[#All],[Advanced Network/Insurance Carrier Org ID]],B53)/D53)</f>
        <v>NA</v>
      </c>
      <c r="O53" s="165" t="str">
        <f>IF(D53=0,"NA",SUMIFS(AN_TME22[[#All],[TOTAL Truncated Unadjusted Claims Expenses (A21 -A19)]],AN_TME22[[#All],[Insurance Category Code]],3,AN_TME22[[#All],[Advanced Network/Insurance Carrier Org ID]],B53)/D53)</f>
        <v>NA</v>
      </c>
      <c r="P53" s="165" t="str">
        <f>IF(D53=0,"NA",SUMIFS(AN_TME22[[#All],[TOTAL Non-Claims Expenses]],AN_TME22[[#All],[Insurance Category Code]],3,AN_TME22[[#All],[Advanced Network/Insurance Carrier Org ID]],B53)/D53)</f>
        <v>NA</v>
      </c>
      <c r="Q53" s="165" t="str">
        <f>IF(D53=0,"NA",SUMIFS(AN_TME22[[#All],[TOTAL Non-Truncated Unadjusted Expenses (A21 + A23)]],AN_TME22[[#All],[Insurance Category Code]],3,AN_TME22[[#All],[Advanced Network/Insurance Carrier Org ID]],B53)/D53)</f>
        <v>NA</v>
      </c>
      <c r="R53" s="165" t="str">
        <f>IF(D53=0,"NA",SUMIFS(AN_TME22[[#All],[TOTAL Truncated Unadjusted Expenses (A22 + A23)]],AN_TME22[[#All],[Insurance Category Code]],3,AN_TME22[[#All],[Advanced Network/Insurance Carrier Org ID]],B53)/D53)</f>
        <v>NA</v>
      </c>
      <c r="S53" s="507">
        <f>SUMIFS(AN_TME23[[#All],[Member Months]],AN_TME23[[#All],[Insurance Category Code]],3,AN_TME23[[#All],[Advanced Network/Insurance Carrier Org ID]],B53)</f>
        <v>0</v>
      </c>
      <c r="T53" s="155" t="str">
        <f>IF(S53=0,"NA",SUMIFS(AN_TME23[[#All],[Claims: Hospital Inpatient]],AN_TME23[[#All],[Insurance Category Code]],3,AN_TME23[[#All],[Advanced Network/Insurance Carrier Org ID]],B53)/S53)</f>
        <v>NA</v>
      </c>
      <c r="U53" s="109" t="str">
        <f>IF(S53=0,"NA",SUMIFS(AN_TME23[[#All],[Claims: Hospital Outpatient]],AN_TME23[[#All],[Insurance Category Code]],3,AN_TME23[[#All],[Advanced Network/Insurance Carrier Org ID]],B53)/S53)</f>
        <v>NA</v>
      </c>
      <c r="V53" s="109" t="str">
        <f>IF(S53=0,"NA",SUMIFS(AN_TME23[[#All],[Claims: Professional, Primary Care]],AN_TME23[[#All],[Insurance Category Code]],3,AN_TME23[[#All],[Advanced Network/Insurance Carrier Org ID]],B53)/S53)</f>
        <v>NA</v>
      </c>
      <c r="W53" s="109" t="str">
        <f>IF(S53=0,"NA",SUMIFS(AN_TME23[[#All],[Claims: Professional, Primary Care (for Monitoring Purposes)]],AN_TME23[[#All],[Insurance Category Code]],3,AN_TME23[[#All],[Advanced Network/Insurance Carrier Org ID]],B53)/S53)</f>
        <v>NA</v>
      </c>
      <c r="X53" s="109" t="str">
        <f>IF(S53=0,"NA",SUMIFS(AN_TME23[[#All],[Claims: Professional, Specialty]],AN_TME23[[#All],[Insurance Category Code]],3,AN_TME23[[#All],[Advanced Network/Insurance Carrier Org ID]],B53)/S53)</f>
        <v>NA</v>
      </c>
      <c r="Y53" s="109" t="str">
        <f>IF(S53=0,"NA",SUMIFS(AN_TME23[[#All],[Claims: Professional Other]],AN_TME23[[#All],[Insurance Category Code]],3,AN_TME23[[#All],[Advanced Network/Insurance Carrier Org ID]],B53)/S53)</f>
        <v>NA</v>
      </c>
      <c r="Z53" s="109" t="str">
        <f>IF(S53=0,"NA",SUMIFS(AN_TME23[[#All],[Claims: Pharmacy]],AN_TME23[[#All],[Insurance Category Code]],3,AN_TME23[[#All],[Advanced Network/Insurance Carrier Org ID]],B53)/S53)</f>
        <v>NA</v>
      </c>
      <c r="AA53" s="109" t="str">
        <f>IF(S53=0,"NA",SUMIFS(AN_TME23[[#All],[Claims: Long-Term Care]],AN_TME23[[#All],[Insurance Category Code]],3,AN_TME23[[#All],[Advanced Network/Insurance Carrier Org ID]],B53)/S53)</f>
        <v>NA</v>
      </c>
      <c r="AB53" s="109" t="str">
        <f>IF(S53=0,"NA",SUMIFS(AN_TME23[[#All],[Claims: Other]],AN_TME23[[#All],[Insurance Category Code]],3,AN_TME23[[#All],[Advanced Network/Insurance Carrier Org ID]],B53)/S53)</f>
        <v>NA</v>
      </c>
      <c r="AC53" s="165" t="str">
        <f>IF(S53=0,"NA",SUMIFS(AN_TME23[[#All],[TOTAL Non-Truncated Unadjusted Claims Expenses]],AN_TME23[[#All],[Insurance Category Code]],3,AN_TME23[[#All],[Advanced Network/Insurance Carrier Org ID]],B53)/S53)</f>
        <v>NA</v>
      </c>
      <c r="AD53" s="165" t="str">
        <f>IF(S53=0,"NA",SUMIFS(AN_TME23[[#All],[TOTAL Truncated Unadjusted Claims Expenses (A21 -A19)]],AN_TME23[[#All],[Insurance Category Code]],3,AN_TME23[[#All],[Advanced Network/Insurance Carrier Org ID]],B53)/S53)</f>
        <v>NA</v>
      </c>
      <c r="AE53" s="165" t="str">
        <f>IF(S53=0,"NA",SUMIFS(AN_TME23[[#All],[TOTAL Non-Claims Expenses]],AN_TME23[[#All],[Insurance Category Code]],3,AN_TME23[[#All],[Advanced Network/Insurance Carrier Org ID]],B53)/S53)</f>
        <v>NA</v>
      </c>
      <c r="AF53" s="165" t="str">
        <f>IF(S53=0,"NA",SUMIFS(AN_TME23[[#All],[TOTAL Non-Truncated Unadjusted Expenses (A21 + A23)]],AN_TME23[[#All],[Insurance Category Code]],3,AN_TME23[[#All],[Advanced Network/Insurance Carrier Org ID]],B53)/S53)</f>
        <v>NA</v>
      </c>
      <c r="AG53" s="156" t="str">
        <f>IF(S53=0,"NA",SUMIFS(AN_TME23[[#All],[TOTAL Truncated Unadjusted Expenses (A22 + A23)]],AN_TME23[[#All],[Insurance Category Code]],3,AN_TME23[[#All],[Advanced Network/Insurance Carrier Org ID]],B53)/S53)</f>
        <v>NA</v>
      </c>
      <c r="AH53" s="478" t="str">
        <f t="shared" si="90"/>
        <v>NA</v>
      </c>
      <c r="AI53" s="479" t="str">
        <f t="shared" si="91"/>
        <v>NA</v>
      </c>
      <c r="AJ53" s="480" t="str">
        <f t="shared" si="92"/>
        <v>NA</v>
      </c>
      <c r="AK53" s="480" t="str">
        <f t="shared" si="93"/>
        <v>NA</v>
      </c>
      <c r="AL53" s="480" t="str">
        <f t="shared" si="94"/>
        <v>NA</v>
      </c>
      <c r="AM53" s="480" t="str">
        <f t="shared" si="95"/>
        <v>NA</v>
      </c>
      <c r="AN53" s="480" t="str">
        <f t="shared" si="96"/>
        <v>NA</v>
      </c>
      <c r="AO53" s="480" t="str">
        <f t="shared" si="97"/>
        <v>NA</v>
      </c>
      <c r="AP53" s="480" t="str">
        <f t="shared" si="98"/>
        <v>NA</v>
      </c>
      <c r="AQ53" s="480" t="str">
        <f t="shared" si="99"/>
        <v>NA</v>
      </c>
      <c r="AR53" s="481" t="str">
        <f t="shared" si="100"/>
        <v>NA</v>
      </c>
      <c r="AS53" s="481" t="str">
        <f t="shared" si="101"/>
        <v>NA</v>
      </c>
      <c r="AT53" s="481" t="str">
        <f t="shared" si="102"/>
        <v>NA</v>
      </c>
      <c r="AU53" s="481" t="str">
        <f t="shared" si="103"/>
        <v>NA</v>
      </c>
      <c r="AV53" s="482" t="str">
        <f t="shared" si="104"/>
        <v>NA</v>
      </c>
    </row>
    <row r="54" spans="1:48" ht="45" customHeight="1" x14ac:dyDescent="0.25">
      <c r="A54" s="164"/>
      <c r="B54" s="166">
        <v>109</v>
      </c>
      <c r="C54" s="169" t="str">
        <f>_xlfn.XLOOKUP(B54, LgProvEntOrgIDs[Advanced Network/Insurer Carrier Org ID], LgProvEntOrgIDs[Advanced Network/Insurance Carrier Overall])</f>
        <v>Southern New England Health Care Organization (aka SOHO Health, Trinity Health of New England ACO, LLC)</v>
      </c>
      <c r="D54" s="507">
        <f>SUMIFS(AN_TME22[[#All],[Member Months]],AN_TME22[[#All],[Insurance Category Code]],3,AN_TME22[[#All],[Advanced Network/Insurance Carrier Org ID]],B54)</f>
        <v>0</v>
      </c>
      <c r="E54" s="155" t="str">
        <f>IF(D54=0,"NA",SUMIFS(AN_TME22[[#All],[Claims: Hospital Inpatient]],AN_TME22[[#All],[Insurance Category Code]],3,AN_TME22[[#All],[Advanced Network/Insurance Carrier Org ID]],B54)/D54)</f>
        <v>NA</v>
      </c>
      <c r="F54" s="109" t="str">
        <f>IF(D54=0,"NA",SUMIFS(AN_TME22[[#All],[Claims: Hospital Outpatient]],AN_TME22[[#All],[Insurance Category Code]],3,AN_TME22[[#All],[Advanced Network/Insurance Carrier Org ID]],B54)/D54)</f>
        <v>NA</v>
      </c>
      <c r="G54" s="109" t="str">
        <f>IF(D54=0,"NA",SUMIFS(AN_TME22[[#All],[Claims: Professional, Primary Care]],AN_TME22[[#All],[Insurance Category Code]],3,AN_TME22[[#All],[Advanced Network/Insurance Carrier Org ID]],B54)/D54)</f>
        <v>NA</v>
      </c>
      <c r="H54" s="109" t="str">
        <f>IF(D54=0,"NA",SUMIFS(AN_TME22[[#All],[Claims: Professional, Primary Care (for Monitoring Purposes)]],AN_TME22[[#All],[Insurance Category Code]],3,AN_TME22[[#All],[Advanced Network/Insurance Carrier Org ID]],B54)/D54)</f>
        <v>NA</v>
      </c>
      <c r="I54" s="109" t="str">
        <f>IF(D54=0,"NA",SUMIFS(AN_TME22[[#All],[Claims: Professional, Specialty]],AN_TME22[[#All],[Insurance Category Code]],3,AN_TME22[[#All],[Advanced Network/Insurance Carrier Org ID]],B54)/D54)</f>
        <v>NA</v>
      </c>
      <c r="J54" s="109" t="str">
        <f>IF(D54=0,"NA",SUMIFS(AN_TME22[[#All],[Claims: Professional Other]],AN_TME22[[#All],[Insurance Category Code]],3,AN_TME22[[#All],[Advanced Network/Insurance Carrier Org ID]],B54)/D54)</f>
        <v>NA</v>
      </c>
      <c r="K54" s="109" t="str">
        <f>IF(D54=0,"NA",SUMIFS(AN_TME22[[#All],[Claims: Pharmacy]],AN_TME22[[#All],[Insurance Category Code]],3,AN_TME22[[#All],[Advanced Network/Insurance Carrier Org ID]],B54)/D54)</f>
        <v>NA</v>
      </c>
      <c r="L54" s="109" t="str">
        <f>IF(D54=0,"NA",SUMIFS(AN_TME22[[#All],[Claims: Long-Term Care]],AN_TME22[[#All],[Insurance Category Code]],3,AN_TME22[[#All],[Advanced Network/Insurance Carrier Org ID]],B54)/D54)</f>
        <v>NA</v>
      </c>
      <c r="M54" s="109" t="str">
        <f>IF(D54=0,"NA",SUMIFS(AN_TME22[[#All],[Claims: Other]],AN_TME22[[#All],[Insurance Category Code]],3,AN_TME22[[#All],[Advanced Network/Insurance Carrier Org ID]],B54)/D54)</f>
        <v>NA</v>
      </c>
      <c r="N54" s="165" t="str">
        <f>IF(D54=0,"NA",SUMIFS(AN_TME22[[#All],[TOTAL Non-Truncated Unadjusted Claims Expenses]],AN_TME22[[#All],[Insurance Category Code]],3,AN_TME22[[#All],[Advanced Network/Insurance Carrier Org ID]],B54)/D54)</f>
        <v>NA</v>
      </c>
      <c r="O54" s="165" t="str">
        <f>IF(D54=0,"NA",SUMIFS(AN_TME22[[#All],[TOTAL Truncated Unadjusted Claims Expenses (A21 -A19)]],AN_TME22[[#All],[Insurance Category Code]],3,AN_TME22[[#All],[Advanced Network/Insurance Carrier Org ID]],B54)/D54)</f>
        <v>NA</v>
      </c>
      <c r="P54" s="165" t="str">
        <f>IF(D54=0,"NA",SUMIFS(AN_TME22[[#All],[TOTAL Non-Claims Expenses]],AN_TME22[[#All],[Insurance Category Code]],3,AN_TME22[[#All],[Advanced Network/Insurance Carrier Org ID]],B54)/D54)</f>
        <v>NA</v>
      </c>
      <c r="Q54" s="165" t="str">
        <f>IF(D54=0,"NA",SUMIFS(AN_TME22[[#All],[TOTAL Non-Truncated Unadjusted Expenses (A21 + A23)]],AN_TME22[[#All],[Insurance Category Code]],3,AN_TME22[[#All],[Advanced Network/Insurance Carrier Org ID]],B54)/D54)</f>
        <v>NA</v>
      </c>
      <c r="R54" s="165" t="str">
        <f>IF(D54=0,"NA",SUMIFS(AN_TME22[[#All],[TOTAL Truncated Unadjusted Expenses (A22 + A23)]],AN_TME22[[#All],[Insurance Category Code]],3,AN_TME22[[#All],[Advanced Network/Insurance Carrier Org ID]],B54)/D54)</f>
        <v>NA</v>
      </c>
      <c r="S54" s="507">
        <f>SUMIFS(AN_TME23[[#All],[Member Months]],AN_TME23[[#All],[Insurance Category Code]],3,AN_TME23[[#All],[Advanced Network/Insurance Carrier Org ID]],B54)</f>
        <v>0</v>
      </c>
      <c r="T54" s="155" t="str">
        <f>IF(S54=0,"NA",SUMIFS(AN_TME23[[#All],[Claims: Hospital Inpatient]],AN_TME23[[#All],[Insurance Category Code]],3,AN_TME23[[#All],[Advanced Network/Insurance Carrier Org ID]],B54)/S54)</f>
        <v>NA</v>
      </c>
      <c r="U54" s="109" t="str">
        <f>IF(S54=0,"NA",SUMIFS(AN_TME23[[#All],[Claims: Hospital Outpatient]],AN_TME23[[#All],[Insurance Category Code]],3,AN_TME23[[#All],[Advanced Network/Insurance Carrier Org ID]],B54)/S54)</f>
        <v>NA</v>
      </c>
      <c r="V54" s="109" t="str">
        <f>IF(S54=0,"NA",SUMIFS(AN_TME23[[#All],[Claims: Professional, Primary Care]],AN_TME23[[#All],[Insurance Category Code]],3,AN_TME23[[#All],[Advanced Network/Insurance Carrier Org ID]],B54)/S54)</f>
        <v>NA</v>
      </c>
      <c r="W54" s="109" t="str">
        <f>IF(S54=0,"NA",SUMIFS(AN_TME23[[#All],[Claims: Professional, Primary Care (for Monitoring Purposes)]],AN_TME23[[#All],[Insurance Category Code]],3,AN_TME23[[#All],[Advanced Network/Insurance Carrier Org ID]],B54)/S54)</f>
        <v>NA</v>
      </c>
      <c r="X54" s="109" t="str">
        <f>IF(S54=0,"NA",SUMIFS(AN_TME23[[#All],[Claims: Professional, Specialty]],AN_TME23[[#All],[Insurance Category Code]],3,AN_TME23[[#All],[Advanced Network/Insurance Carrier Org ID]],B54)/S54)</f>
        <v>NA</v>
      </c>
      <c r="Y54" s="109" t="str">
        <f>IF(S54=0,"NA",SUMIFS(AN_TME23[[#All],[Claims: Professional Other]],AN_TME23[[#All],[Insurance Category Code]],3,AN_TME23[[#All],[Advanced Network/Insurance Carrier Org ID]],B54)/S54)</f>
        <v>NA</v>
      </c>
      <c r="Z54" s="109" t="str">
        <f>IF(S54=0,"NA",SUMIFS(AN_TME23[[#All],[Claims: Pharmacy]],AN_TME23[[#All],[Insurance Category Code]],3,AN_TME23[[#All],[Advanced Network/Insurance Carrier Org ID]],B54)/S54)</f>
        <v>NA</v>
      </c>
      <c r="AA54" s="109" t="str">
        <f>IF(S54=0,"NA",SUMIFS(AN_TME23[[#All],[Claims: Long-Term Care]],AN_TME23[[#All],[Insurance Category Code]],3,AN_TME23[[#All],[Advanced Network/Insurance Carrier Org ID]],B54)/S54)</f>
        <v>NA</v>
      </c>
      <c r="AB54" s="109" t="str">
        <f>IF(S54=0,"NA",SUMIFS(AN_TME23[[#All],[Claims: Other]],AN_TME23[[#All],[Insurance Category Code]],3,AN_TME23[[#All],[Advanced Network/Insurance Carrier Org ID]],B54)/S54)</f>
        <v>NA</v>
      </c>
      <c r="AC54" s="165" t="str">
        <f>IF(S54=0,"NA",SUMIFS(AN_TME23[[#All],[TOTAL Non-Truncated Unadjusted Claims Expenses]],AN_TME23[[#All],[Insurance Category Code]],3,AN_TME23[[#All],[Advanced Network/Insurance Carrier Org ID]],B54)/S54)</f>
        <v>NA</v>
      </c>
      <c r="AD54" s="165" t="str">
        <f>IF(S54=0,"NA",SUMIFS(AN_TME23[[#All],[TOTAL Truncated Unadjusted Claims Expenses (A21 -A19)]],AN_TME23[[#All],[Insurance Category Code]],3,AN_TME23[[#All],[Advanced Network/Insurance Carrier Org ID]],B54)/S54)</f>
        <v>NA</v>
      </c>
      <c r="AE54" s="165" t="str">
        <f>IF(S54=0,"NA",SUMIFS(AN_TME23[[#All],[TOTAL Non-Claims Expenses]],AN_TME23[[#All],[Insurance Category Code]],3,AN_TME23[[#All],[Advanced Network/Insurance Carrier Org ID]],B54)/S54)</f>
        <v>NA</v>
      </c>
      <c r="AF54" s="165" t="str">
        <f>IF(S54=0,"NA",SUMIFS(AN_TME23[[#All],[TOTAL Non-Truncated Unadjusted Expenses (A21 + A23)]],AN_TME23[[#All],[Insurance Category Code]],3,AN_TME23[[#All],[Advanced Network/Insurance Carrier Org ID]],B54)/S54)</f>
        <v>NA</v>
      </c>
      <c r="AG54" s="156" t="str">
        <f>IF(S54=0,"NA",SUMIFS(AN_TME23[[#All],[TOTAL Truncated Unadjusted Expenses (A22 + A23)]],AN_TME23[[#All],[Insurance Category Code]],3,AN_TME23[[#All],[Advanced Network/Insurance Carrier Org ID]],B54)/S54)</f>
        <v>NA</v>
      </c>
      <c r="AH54" s="478" t="str">
        <f t="shared" si="90"/>
        <v>NA</v>
      </c>
      <c r="AI54" s="479" t="str">
        <f t="shared" si="91"/>
        <v>NA</v>
      </c>
      <c r="AJ54" s="480" t="str">
        <f t="shared" si="92"/>
        <v>NA</v>
      </c>
      <c r="AK54" s="480" t="str">
        <f t="shared" si="93"/>
        <v>NA</v>
      </c>
      <c r="AL54" s="480" t="str">
        <f t="shared" si="94"/>
        <v>NA</v>
      </c>
      <c r="AM54" s="480" t="str">
        <f t="shared" si="95"/>
        <v>NA</v>
      </c>
      <c r="AN54" s="480" t="str">
        <f t="shared" si="96"/>
        <v>NA</v>
      </c>
      <c r="AO54" s="480" t="str">
        <f t="shared" si="97"/>
        <v>NA</v>
      </c>
      <c r="AP54" s="480" t="str">
        <f t="shared" si="98"/>
        <v>NA</v>
      </c>
      <c r="AQ54" s="480" t="str">
        <f t="shared" si="99"/>
        <v>NA</v>
      </c>
      <c r="AR54" s="481" t="str">
        <f t="shared" si="100"/>
        <v>NA</v>
      </c>
      <c r="AS54" s="481" t="str">
        <f t="shared" si="101"/>
        <v>NA</v>
      </c>
      <c r="AT54" s="481" t="str">
        <f t="shared" si="102"/>
        <v>NA</v>
      </c>
      <c r="AU54" s="481" t="str">
        <f t="shared" si="103"/>
        <v>NA</v>
      </c>
      <c r="AV54" s="482" t="str">
        <f t="shared" si="104"/>
        <v>NA</v>
      </c>
    </row>
    <row r="55" spans="1:48" ht="15" customHeight="1" x14ac:dyDescent="0.25">
      <c r="A55" s="164"/>
      <c r="B55" s="166">
        <v>110</v>
      </c>
      <c r="C55" s="169" t="str">
        <f>_xlfn.XLOOKUP(B55, LgProvEntOrgIDs[Advanced Network/Insurer Carrier Org ID], LgProvEntOrgIDs[Advanced Network/Insurance Carrier Overall])</f>
        <v>Value Care Alliance</v>
      </c>
      <c r="D55" s="507">
        <f>SUMIFS(AN_TME22[[#All],[Member Months]],AN_TME22[[#All],[Insurance Category Code]],3,AN_TME22[[#All],[Advanced Network/Insurance Carrier Org ID]],B55)</f>
        <v>0</v>
      </c>
      <c r="E55" s="155" t="str">
        <f>IF(D55=0,"NA",SUMIFS(AN_TME22[[#All],[Claims: Hospital Inpatient]],AN_TME22[[#All],[Insurance Category Code]],3,AN_TME22[[#All],[Advanced Network/Insurance Carrier Org ID]],B55)/D55)</f>
        <v>NA</v>
      </c>
      <c r="F55" s="109" t="str">
        <f>IF(D55=0,"NA",SUMIFS(AN_TME22[[#All],[Claims: Hospital Outpatient]],AN_TME22[[#All],[Insurance Category Code]],3,AN_TME22[[#All],[Advanced Network/Insurance Carrier Org ID]],B55)/D55)</f>
        <v>NA</v>
      </c>
      <c r="G55" s="109" t="str">
        <f>IF(D55=0,"NA",SUMIFS(AN_TME22[[#All],[Claims: Professional, Primary Care]],AN_TME22[[#All],[Insurance Category Code]],3,AN_TME22[[#All],[Advanced Network/Insurance Carrier Org ID]],B55)/D55)</f>
        <v>NA</v>
      </c>
      <c r="H55" s="109" t="str">
        <f>IF(D55=0,"NA",SUMIFS(AN_TME22[[#All],[Claims: Professional, Primary Care (for Monitoring Purposes)]],AN_TME22[[#All],[Insurance Category Code]],3,AN_TME22[[#All],[Advanced Network/Insurance Carrier Org ID]],B55)/D55)</f>
        <v>NA</v>
      </c>
      <c r="I55" s="109" t="str">
        <f>IF(D55=0,"NA",SUMIFS(AN_TME22[[#All],[Claims: Professional, Specialty]],AN_TME22[[#All],[Insurance Category Code]],3,AN_TME22[[#All],[Advanced Network/Insurance Carrier Org ID]],B55)/D55)</f>
        <v>NA</v>
      </c>
      <c r="J55" s="109" t="str">
        <f>IF(D55=0,"NA",SUMIFS(AN_TME22[[#All],[Claims: Professional Other]],AN_TME22[[#All],[Insurance Category Code]],3,AN_TME22[[#All],[Advanced Network/Insurance Carrier Org ID]],B55)/D55)</f>
        <v>NA</v>
      </c>
      <c r="K55" s="109" t="str">
        <f>IF(D55=0,"NA",SUMIFS(AN_TME22[[#All],[Claims: Pharmacy]],AN_TME22[[#All],[Insurance Category Code]],3,AN_TME22[[#All],[Advanced Network/Insurance Carrier Org ID]],B55)/D55)</f>
        <v>NA</v>
      </c>
      <c r="L55" s="109" t="str">
        <f>IF(D55=0,"NA",SUMIFS(AN_TME22[[#All],[Claims: Long-Term Care]],AN_TME22[[#All],[Insurance Category Code]],3,AN_TME22[[#All],[Advanced Network/Insurance Carrier Org ID]],B55)/D55)</f>
        <v>NA</v>
      </c>
      <c r="M55" s="109" t="str">
        <f>IF(D55=0,"NA",SUMIFS(AN_TME22[[#All],[Claims: Other]],AN_TME22[[#All],[Insurance Category Code]],3,AN_TME22[[#All],[Advanced Network/Insurance Carrier Org ID]],B55)/D55)</f>
        <v>NA</v>
      </c>
      <c r="N55" s="165" t="str">
        <f>IF(D55=0,"NA",SUMIFS(AN_TME22[[#All],[TOTAL Non-Truncated Unadjusted Claims Expenses]],AN_TME22[[#All],[Insurance Category Code]],3,AN_TME22[[#All],[Advanced Network/Insurance Carrier Org ID]],B55)/D55)</f>
        <v>NA</v>
      </c>
      <c r="O55" s="165" t="str">
        <f>IF(D55=0,"NA",SUMIFS(AN_TME22[[#All],[TOTAL Truncated Unadjusted Claims Expenses (A21 -A19)]],AN_TME22[[#All],[Insurance Category Code]],3,AN_TME22[[#All],[Advanced Network/Insurance Carrier Org ID]],B55)/D55)</f>
        <v>NA</v>
      </c>
      <c r="P55" s="165" t="str">
        <f>IF(D55=0,"NA",SUMIFS(AN_TME22[[#All],[TOTAL Non-Claims Expenses]],AN_TME22[[#All],[Insurance Category Code]],3,AN_TME22[[#All],[Advanced Network/Insurance Carrier Org ID]],B55)/D55)</f>
        <v>NA</v>
      </c>
      <c r="Q55" s="165" t="str">
        <f>IF(D55=0,"NA",SUMIFS(AN_TME22[[#All],[TOTAL Non-Truncated Unadjusted Expenses (A21 + A23)]],AN_TME22[[#All],[Insurance Category Code]],3,AN_TME22[[#All],[Advanced Network/Insurance Carrier Org ID]],B55)/D55)</f>
        <v>NA</v>
      </c>
      <c r="R55" s="165" t="str">
        <f>IF(D55=0,"NA",SUMIFS(AN_TME22[[#All],[TOTAL Truncated Unadjusted Expenses (A22 + A23)]],AN_TME22[[#All],[Insurance Category Code]],3,AN_TME22[[#All],[Advanced Network/Insurance Carrier Org ID]],B55)/D55)</f>
        <v>NA</v>
      </c>
      <c r="S55" s="507">
        <f>SUMIFS(AN_TME23[[#All],[Member Months]],AN_TME23[[#All],[Insurance Category Code]],3,AN_TME23[[#All],[Advanced Network/Insurance Carrier Org ID]],B55)</f>
        <v>0</v>
      </c>
      <c r="T55" s="155" t="str">
        <f>IF(S55=0,"NA",SUMIFS(AN_TME23[[#All],[Claims: Hospital Inpatient]],AN_TME23[[#All],[Insurance Category Code]],3,AN_TME23[[#All],[Advanced Network/Insurance Carrier Org ID]],B55)/S55)</f>
        <v>NA</v>
      </c>
      <c r="U55" s="109" t="str">
        <f>IF(S55=0,"NA",SUMIFS(AN_TME23[[#All],[Claims: Hospital Outpatient]],AN_TME23[[#All],[Insurance Category Code]],3,AN_TME23[[#All],[Advanced Network/Insurance Carrier Org ID]],B55)/S55)</f>
        <v>NA</v>
      </c>
      <c r="V55" s="109" t="str">
        <f>IF(S55=0,"NA",SUMIFS(AN_TME23[[#All],[Claims: Professional, Primary Care]],AN_TME23[[#All],[Insurance Category Code]],3,AN_TME23[[#All],[Advanced Network/Insurance Carrier Org ID]],B55)/S55)</f>
        <v>NA</v>
      </c>
      <c r="W55" s="109" t="str">
        <f>IF(S55=0,"NA",SUMIFS(AN_TME23[[#All],[Claims: Professional, Primary Care (for Monitoring Purposes)]],AN_TME23[[#All],[Insurance Category Code]],3,AN_TME23[[#All],[Advanced Network/Insurance Carrier Org ID]],B55)/S55)</f>
        <v>NA</v>
      </c>
      <c r="X55" s="109" t="str">
        <f>IF(S55=0,"NA",SUMIFS(AN_TME23[[#All],[Claims: Professional, Specialty]],AN_TME23[[#All],[Insurance Category Code]],3,AN_TME23[[#All],[Advanced Network/Insurance Carrier Org ID]],B55)/S55)</f>
        <v>NA</v>
      </c>
      <c r="Y55" s="109" t="str">
        <f>IF(S55=0,"NA",SUMIFS(AN_TME23[[#All],[Claims: Professional Other]],AN_TME23[[#All],[Insurance Category Code]],3,AN_TME23[[#All],[Advanced Network/Insurance Carrier Org ID]],B55)/S55)</f>
        <v>NA</v>
      </c>
      <c r="Z55" s="109" t="str">
        <f>IF(S55=0,"NA",SUMIFS(AN_TME23[[#All],[Claims: Pharmacy]],AN_TME23[[#All],[Insurance Category Code]],3,AN_TME23[[#All],[Advanced Network/Insurance Carrier Org ID]],B55)/S55)</f>
        <v>NA</v>
      </c>
      <c r="AA55" s="109" t="str">
        <f>IF(S55=0,"NA",SUMIFS(AN_TME23[[#All],[Claims: Long-Term Care]],AN_TME23[[#All],[Insurance Category Code]],3,AN_TME23[[#All],[Advanced Network/Insurance Carrier Org ID]],B55)/S55)</f>
        <v>NA</v>
      </c>
      <c r="AB55" s="109" t="str">
        <f>IF(S55=0,"NA",SUMIFS(AN_TME23[[#All],[Claims: Other]],AN_TME23[[#All],[Insurance Category Code]],3,AN_TME23[[#All],[Advanced Network/Insurance Carrier Org ID]],B55)/S55)</f>
        <v>NA</v>
      </c>
      <c r="AC55" s="165" t="str">
        <f>IF(S55=0,"NA",SUMIFS(AN_TME23[[#All],[TOTAL Non-Truncated Unadjusted Claims Expenses]],AN_TME23[[#All],[Insurance Category Code]],3,AN_TME23[[#All],[Advanced Network/Insurance Carrier Org ID]],B55)/S55)</f>
        <v>NA</v>
      </c>
      <c r="AD55" s="165" t="str">
        <f>IF(S55=0,"NA",SUMIFS(AN_TME23[[#All],[TOTAL Truncated Unadjusted Claims Expenses (A21 -A19)]],AN_TME23[[#All],[Insurance Category Code]],3,AN_TME23[[#All],[Advanced Network/Insurance Carrier Org ID]],B55)/S55)</f>
        <v>NA</v>
      </c>
      <c r="AE55" s="165" t="str">
        <f>IF(S55=0,"NA",SUMIFS(AN_TME23[[#All],[TOTAL Non-Claims Expenses]],AN_TME23[[#All],[Insurance Category Code]],3,AN_TME23[[#All],[Advanced Network/Insurance Carrier Org ID]],B55)/S55)</f>
        <v>NA</v>
      </c>
      <c r="AF55" s="165" t="str">
        <f>IF(S55=0,"NA",SUMIFS(AN_TME23[[#All],[TOTAL Non-Truncated Unadjusted Expenses (A21 + A23)]],AN_TME23[[#All],[Insurance Category Code]],3,AN_TME23[[#All],[Advanced Network/Insurance Carrier Org ID]],B55)/S55)</f>
        <v>NA</v>
      </c>
      <c r="AG55" s="156" t="str">
        <f>IF(S55=0,"NA",SUMIFS(AN_TME23[[#All],[TOTAL Truncated Unadjusted Expenses (A22 + A23)]],AN_TME23[[#All],[Insurance Category Code]],3,AN_TME23[[#All],[Advanced Network/Insurance Carrier Org ID]],B55)/S55)</f>
        <v>NA</v>
      </c>
      <c r="AH55" s="478" t="str">
        <f t="shared" si="90"/>
        <v>NA</v>
      </c>
      <c r="AI55" s="479" t="str">
        <f t="shared" si="91"/>
        <v>NA</v>
      </c>
      <c r="AJ55" s="480" t="str">
        <f t="shared" si="92"/>
        <v>NA</v>
      </c>
      <c r="AK55" s="480" t="str">
        <f t="shared" si="93"/>
        <v>NA</v>
      </c>
      <c r="AL55" s="480" t="str">
        <f t="shared" si="94"/>
        <v>NA</v>
      </c>
      <c r="AM55" s="480" t="str">
        <f t="shared" si="95"/>
        <v>NA</v>
      </c>
      <c r="AN55" s="480" t="str">
        <f t="shared" si="96"/>
        <v>NA</v>
      </c>
      <c r="AO55" s="480" t="str">
        <f t="shared" si="97"/>
        <v>NA</v>
      </c>
      <c r="AP55" s="480" t="str">
        <f t="shared" si="98"/>
        <v>NA</v>
      </c>
      <c r="AQ55" s="480" t="str">
        <f t="shared" si="99"/>
        <v>NA</v>
      </c>
      <c r="AR55" s="481" t="str">
        <f t="shared" si="100"/>
        <v>NA</v>
      </c>
      <c r="AS55" s="481" t="str">
        <f t="shared" si="101"/>
        <v>NA</v>
      </c>
      <c r="AT55" s="481" t="str">
        <f t="shared" si="102"/>
        <v>NA</v>
      </c>
      <c r="AU55" s="481" t="str">
        <f t="shared" si="103"/>
        <v>NA</v>
      </c>
      <c r="AV55" s="482" t="str">
        <f t="shared" si="104"/>
        <v>NA</v>
      </c>
    </row>
    <row r="56" spans="1:48" ht="15" customHeight="1" x14ac:dyDescent="0.25">
      <c r="A56" s="164"/>
      <c r="B56" s="166">
        <v>111</v>
      </c>
      <c r="C56" s="169" t="str">
        <f>_xlfn.XLOOKUP(B56, LgProvEntOrgIDs[Advanced Network/Insurer Carrier Org ID], LgProvEntOrgIDs[Advanced Network/Insurance Carrier Overall])</f>
        <v>NA</v>
      </c>
      <c r="D56" s="507">
        <f>SUMIFS(AN_TME22[[#All],[Member Months]],AN_TME22[[#All],[Insurance Category Code]],3,AN_TME22[[#All],[Advanced Network/Insurance Carrier Org ID]],B56)</f>
        <v>0</v>
      </c>
      <c r="E56" s="155" t="str">
        <f>IF(D56=0,"NA",SUMIFS(AN_TME22[[#All],[Claims: Hospital Inpatient]],AN_TME22[[#All],[Insurance Category Code]],3,AN_TME22[[#All],[Advanced Network/Insurance Carrier Org ID]],B56)/D56)</f>
        <v>NA</v>
      </c>
      <c r="F56" s="109" t="str">
        <f>IF(D56=0,"NA",SUMIFS(AN_TME22[[#All],[Claims: Hospital Outpatient]],AN_TME22[[#All],[Insurance Category Code]],3,AN_TME22[[#All],[Advanced Network/Insurance Carrier Org ID]],B56)/D56)</f>
        <v>NA</v>
      </c>
      <c r="G56" s="109" t="str">
        <f>IF(D56=0,"NA",SUMIFS(AN_TME22[[#All],[Claims: Professional, Primary Care]],AN_TME22[[#All],[Insurance Category Code]],3,AN_TME22[[#All],[Advanced Network/Insurance Carrier Org ID]],B56)/D56)</f>
        <v>NA</v>
      </c>
      <c r="H56" s="109" t="str">
        <f>IF(D56=0,"NA",SUMIFS(AN_TME22[[#All],[Claims: Professional, Primary Care (for Monitoring Purposes)]],AN_TME22[[#All],[Insurance Category Code]],3,AN_TME22[[#All],[Advanced Network/Insurance Carrier Org ID]],B56)/D56)</f>
        <v>NA</v>
      </c>
      <c r="I56" s="109" t="str">
        <f>IF(D56=0,"NA",SUMIFS(AN_TME22[[#All],[Claims: Professional, Specialty]],AN_TME22[[#All],[Insurance Category Code]],3,AN_TME22[[#All],[Advanced Network/Insurance Carrier Org ID]],B56)/D56)</f>
        <v>NA</v>
      </c>
      <c r="J56" s="109" t="str">
        <f>IF(D56=0,"NA",SUMIFS(AN_TME22[[#All],[Claims: Professional Other]],AN_TME22[[#All],[Insurance Category Code]],3,AN_TME22[[#All],[Advanced Network/Insurance Carrier Org ID]],B56)/D56)</f>
        <v>NA</v>
      </c>
      <c r="K56" s="109" t="str">
        <f>IF(D56=0,"NA",SUMIFS(AN_TME22[[#All],[Claims: Pharmacy]],AN_TME22[[#All],[Insurance Category Code]],3,AN_TME22[[#All],[Advanced Network/Insurance Carrier Org ID]],B56)/D56)</f>
        <v>NA</v>
      </c>
      <c r="L56" s="109" t="str">
        <f>IF(D56=0,"NA",SUMIFS(AN_TME22[[#All],[Claims: Long-Term Care]],AN_TME22[[#All],[Insurance Category Code]],3,AN_TME22[[#All],[Advanced Network/Insurance Carrier Org ID]],B56)/D56)</f>
        <v>NA</v>
      </c>
      <c r="M56" s="109" t="str">
        <f>IF(D56=0,"NA",SUMIFS(AN_TME22[[#All],[Claims: Other]],AN_TME22[[#All],[Insurance Category Code]],3,AN_TME22[[#All],[Advanced Network/Insurance Carrier Org ID]],B56)/D56)</f>
        <v>NA</v>
      </c>
      <c r="N56" s="165" t="str">
        <f>IF(D56=0,"NA",SUMIFS(AN_TME22[[#All],[TOTAL Non-Truncated Unadjusted Claims Expenses]],AN_TME22[[#All],[Insurance Category Code]],3,AN_TME22[[#All],[Advanced Network/Insurance Carrier Org ID]],B56)/D56)</f>
        <v>NA</v>
      </c>
      <c r="O56" s="165" t="str">
        <f>IF(D56=0,"NA",SUMIFS(AN_TME22[[#All],[TOTAL Truncated Unadjusted Claims Expenses (A21 -A19)]],AN_TME22[[#All],[Insurance Category Code]],3,AN_TME22[[#All],[Advanced Network/Insurance Carrier Org ID]],B56)/D56)</f>
        <v>NA</v>
      </c>
      <c r="P56" s="165" t="str">
        <f>IF(D56=0,"NA",SUMIFS(AN_TME22[[#All],[TOTAL Non-Claims Expenses]],AN_TME22[[#All],[Insurance Category Code]],3,AN_TME22[[#All],[Advanced Network/Insurance Carrier Org ID]],B56)/D56)</f>
        <v>NA</v>
      </c>
      <c r="Q56" s="165" t="str">
        <f>IF(D56=0,"NA",SUMIFS(AN_TME22[[#All],[TOTAL Non-Truncated Unadjusted Expenses (A21 + A23)]],AN_TME22[[#All],[Insurance Category Code]],3,AN_TME22[[#All],[Advanced Network/Insurance Carrier Org ID]],B56)/D56)</f>
        <v>NA</v>
      </c>
      <c r="R56" s="165" t="str">
        <f>IF(D56=0,"NA",SUMIFS(AN_TME22[[#All],[TOTAL Truncated Unadjusted Expenses (A22 + A23)]],AN_TME22[[#All],[Insurance Category Code]],3,AN_TME22[[#All],[Advanced Network/Insurance Carrier Org ID]],B56)/D56)</f>
        <v>NA</v>
      </c>
      <c r="S56" s="507">
        <f>SUMIFS(AN_TME23[[#All],[Member Months]],AN_TME23[[#All],[Insurance Category Code]],3,AN_TME23[[#All],[Advanced Network/Insurance Carrier Org ID]],B56)</f>
        <v>0</v>
      </c>
      <c r="T56" s="155" t="str">
        <f>IF(S56=0,"NA",SUMIFS(AN_TME23[[#All],[Claims: Hospital Inpatient]],AN_TME23[[#All],[Insurance Category Code]],3,AN_TME23[[#All],[Advanced Network/Insurance Carrier Org ID]],B56)/S56)</f>
        <v>NA</v>
      </c>
      <c r="U56" s="109" t="str">
        <f>IF(S56=0,"NA",SUMIFS(AN_TME23[[#All],[Claims: Hospital Outpatient]],AN_TME23[[#All],[Insurance Category Code]],3,AN_TME23[[#All],[Advanced Network/Insurance Carrier Org ID]],B56)/S56)</f>
        <v>NA</v>
      </c>
      <c r="V56" s="109" t="str">
        <f>IF(S56=0,"NA",SUMIFS(AN_TME23[[#All],[Claims: Professional, Primary Care]],AN_TME23[[#All],[Insurance Category Code]],3,AN_TME23[[#All],[Advanced Network/Insurance Carrier Org ID]],B56)/S56)</f>
        <v>NA</v>
      </c>
      <c r="W56" s="109" t="str">
        <f>IF(S56=0,"NA",SUMIFS(AN_TME23[[#All],[Claims: Professional, Primary Care (for Monitoring Purposes)]],AN_TME23[[#All],[Insurance Category Code]],3,AN_TME23[[#All],[Advanced Network/Insurance Carrier Org ID]],B56)/S56)</f>
        <v>NA</v>
      </c>
      <c r="X56" s="109" t="str">
        <f>IF(S56=0,"NA",SUMIFS(AN_TME23[[#All],[Claims: Professional, Specialty]],AN_TME23[[#All],[Insurance Category Code]],3,AN_TME23[[#All],[Advanced Network/Insurance Carrier Org ID]],B56)/S56)</f>
        <v>NA</v>
      </c>
      <c r="Y56" s="109" t="str">
        <f>IF(S56=0,"NA",SUMIFS(AN_TME23[[#All],[Claims: Professional Other]],AN_TME23[[#All],[Insurance Category Code]],3,AN_TME23[[#All],[Advanced Network/Insurance Carrier Org ID]],B56)/S56)</f>
        <v>NA</v>
      </c>
      <c r="Z56" s="109" t="str">
        <f>IF(S56=0,"NA",SUMIFS(AN_TME23[[#All],[Claims: Pharmacy]],AN_TME23[[#All],[Insurance Category Code]],3,AN_TME23[[#All],[Advanced Network/Insurance Carrier Org ID]],B56)/S56)</f>
        <v>NA</v>
      </c>
      <c r="AA56" s="109" t="str">
        <f>IF(S56=0,"NA",SUMIFS(AN_TME23[[#All],[Claims: Long-Term Care]],AN_TME23[[#All],[Insurance Category Code]],3,AN_TME23[[#All],[Advanced Network/Insurance Carrier Org ID]],B56)/S56)</f>
        <v>NA</v>
      </c>
      <c r="AB56" s="109" t="str">
        <f>IF(S56=0,"NA",SUMIFS(AN_TME23[[#All],[Claims: Other]],AN_TME23[[#All],[Insurance Category Code]],3,AN_TME23[[#All],[Advanced Network/Insurance Carrier Org ID]],B56)/S56)</f>
        <v>NA</v>
      </c>
      <c r="AC56" s="165" t="str">
        <f>IF(S56=0,"NA",SUMIFS(AN_TME23[[#All],[TOTAL Non-Truncated Unadjusted Claims Expenses]],AN_TME23[[#All],[Insurance Category Code]],3,AN_TME23[[#All],[Advanced Network/Insurance Carrier Org ID]],B56)/S56)</f>
        <v>NA</v>
      </c>
      <c r="AD56" s="165" t="str">
        <f>IF(S56=0,"NA",SUMIFS(AN_TME23[[#All],[TOTAL Truncated Unadjusted Claims Expenses (A21 -A19)]],AN_TME23[[#All],[Insurance Category Code]],3,AN_TME23[[#All],[Advanced Network/Insurance Carrier Org ID]],B56)/S56)</f>
        <v>NA</v>
      </c>
      <c r="AE56" s="165" t="str">
        <f>IF(S56=0,"NA",SUMIFS(AN_TME23[[#All],[TOTAL Non-Claims Expenses]],AN_TME23[[#All],[Insurance Category Code]],3,AN_TME23[[#All],[Advanced Network/Insurance Carrier Org ID]],B56)/S56)</f>
        <v>NA</v>
      </c>
      <c r="AF56" s="165" t="str">
        <f>IF(S56=0,"NA",SUMIFS(AN_TME23[[#All],[TOTAL Non-Truncated Unadjusted Expenses (A21 + A23)]],AN_TME23[[#All],[Insurance Category Code]],3,AN_TME23[[#All],[Advanced Network/Insurance Carrier Org ID]],B56)/S56)</f>
        <v>NA</v>
      </c>
      <c r="AG56" s="156" t="str">
        <f>IF(S56=0,"NA",SUMIFS(AN_TME23[[#All],[TOTAL Truncated Unadjusted Expenses (A22 + A23)]],AN_TME23[[#All],[Insurance Category Code]],3,AN_TME23[[#All],[Advanced Network/Insurance Carrier Org ID]],B56)/S56)</f>
        <v>NA</v>
      </c>
      <c r="AH56" s="478" t="str">
        <f>IF(D56=0,"NA",S56/D56-1)</f>
        <v>NA</v>
      </c>
      <c r="AI56" s="479" t="str">
        <f>IF(D56=0,"NA",T56/E56-1)</f>
        <v>NA</v>
      </c>
      <c r="AJ56" s="480" t="str">
        <f>IF(D56=0,"NA",U56/F56-1)</f>
        <v>NA</v>
      </c>
      <c r="AK56" s="480" t="str">
        <f>IF(D56=0,"NA",V56/G56-1)</f>
        <v>NA</v>
      </c>
      <c r="AL56" s="480" t="str">
        <f>IF(D56=0,"NA",W56/H56-1)</f>
        <v>NA</v>
      </c>
      <c r="AM56" s="480" t="str">
        <f>IF(D56=0,"NA",X56/I56-1)</f>
        <v>NA</v>
      </c>
      <c r="AN56" s="480" t="str">
        <f>IF(D56=0,"NA",Y56/J56-1)</f>
        <v>NA</v>
      </c>
      <c r="AO56" s="480" t="str">
        <f>IF(D56=0,"NA",Z56/K56-1)</f>
        <v>NA</v>
      </c>
      <c r="AP56" s="480" t="str">
        <f>IF(D56=0,"NA",AA56/L56-1)</f>
        <v>NA</v>
      </c>
      <c r="AQ56" s="480" t="str">
        <f>IF(D56=0,"NA",AB56/M56-1)</f>
        <v>NA</v>
      </c>
      <c r="AR56" s="481" t="str">
        <f>IF(D56=0,"NA",AC56/N56-1)</f>
        <v>NA</v>
      </c>
      <c r="AS56" s="481" t="str">
        <f>IF(D56=0,"NA",AD56/O56-1)</f>
        <v>NA</v>
      </c>
      <c r="AT56" s="481" t="str">
        <f>IF(D56=0,"NA",AE56/P56-1)</f>
        <v>NA</v>
      </c>
      <c r="AU56" s="481" t="str">
        <f>IF(D56=0,"NA",AF56/Q56-1)</f>
        <v>NA</v>
      </c>
      <c r="AV56" s="482" t="str">
        <f>IF(D56=0,"NA",AG56/R56-1)</f>
        <v>NA</v>
      </c>
    </row>
    <row r="57" spans="1:48" ht="15" customHeight="1" x14ac:dyDescent="0.25">
      <c r="A57" s="164"/>
      <c r="B57" s="166">
        <v>112</v>
      </c>
      <c r="C57" s="169" t="str">
        <f>_xlfn.XLOOKUP(B57, LgProvEntOrgIDs[Advanced Network/Insurer Carrier Org ID], LgProvEntOrgIDs[Advanced Network/Insurance Carrier Overall])</f>
        <v>Charter Oak Health Center</v>
      </c>
      <c r="D57" s="507">
        <f>SUMIFS(AN_TME22[[#All],[Member Months]],AN_TME22[[#All],[Insurance Category Code]],3,AN_TME22[[#All],[Advanced Network/Insurance Carrier Org ID]],B57)</f>
        <v>0</v>
      </c>
      <c r="E57" s="155" t="str">
        <f>IF(D57=0,"NA",SUMIFS(AN_TME22[[#All],[Claims: Hospital Inpatient]],AN_TME22[[#All],[Insurance Category Code]],3,AN_TME22[[#All],[Advanced Network/Insurance Carrier Org ID]],B57)/D57)</f>
        <v>NA</v>
      </c>
      <c r="F57" s="109" t="str">
        <f>IF(D57=0,"NA",SUMIFS(AN_TME22[[#All],[Claims: Hospital Outpatient]],AN_TME22[[#All],[Insurance Category Code]],3,AN_TME22[[#All],[Advanced Network/Insurance Carrier Org ID]],B57)/D57)</f>
        <v>NA</v>
      </c>
      <c r="G57" s="109" t="str">
        <f>IF(D57=0,"NA",SUMIFS(AN_TME22[[#All],[Claims: Professional, Primary Care]],AN_TME22[[#All],[Insurance Category Code]],3,AN_TME22[[#All],[Advanced Network/Insurance Carrier Org ID]],B57)/D57)</f>
        <v>NA</v>
      </c>
      <c r="H57" s="109" t="str">
        <f>IF(D57=0,"NA",SUMIFS(AN_TME22[[#All],[Claims: Professional, Primary Care (for Monitoring Purposes)]],AN_TME22[[#All],[Insurance Category Code]],3,AN_TME22[[#All],[Advanced Network/Insurance Carrier Org ID]],B57)/D57)</f>
        <v>NA</v>
      </c>
      <c r="I57" s="109" t="str">
        <f>IF(D57=0,"NA",SUMIFS(AN_TME22[[#All],[Claims: Professional, Specialty]],AN_TME22[[#All],[Insurance Category Code]],3,AN_TME22[[#All],[Advanced Network/Insurance Carrier Org ID]],B57)/D57)</f>
        <v>NA</v>
      </c>
      <c r="J57" s="109" t="str">
        <f>IF(D57=0,"NA",SUMIFS(AN_TME22[[#All],[Claims: Professional Other]],AN_TME22[[#All],[Insurance Category Code]],3,AN_TME22[[#All],[Advanced Network/Insurance Carrier Org ID]],B57)/D57)</f>
        <v>NA</v>
      </c>
      <c r="K57" s="109" t="str">
        <f>IF(D57=0,"NA",SUMIFS(AN_TME22[[#All],[Claims: Pharmacy]],AN_TME22[[#All],[Insurance Category Code]],3,AN_TME22[[#All],[Advanced Network/Insurance Carrier Org ID]],B57)/D57)</f>
        <v>NA</v>
      </c>
      <c r="L57" s="109" t="str">
        <f>IF(D57=0,"NA",SUMIFS(AN_TME22[[#All],[Claims: Long-Term Care]],AN_TME22[[#All],[Insurance Category Code]],3,AN_TME22[[#All],[Advanced Network/Insurance Carrier Org ID]],B57)/D57)</f>
        <v>NA</v>
      </c>
      <c r="M57" s="109" t="str">
        <f>IF(D57=0,"NA",SUMIFS(AN_TME22[[#All],[Claims: Other]],AN_TME22[[#All],[Insurance Category Code]],3,AN_TME22[[#All],[Advanced Network/Insurance Carrier Org ID]],B57)/D57)</f>
        <v>NA</v>
      </c>
      <c r="N57" s="165" t="str">
        <f>IF(D57=0,"NA",SUMIFS(AN_TME22[[#All],[TOTAL Non-Truncated Unadjusted Claims Expenses]],AN_TME22[[#All],[Insurance Category Code]],3,AN_TME22[[#All],[Advanced Network/Insurance Carrier Org ID]],B57)/D57)</f>
        <v>NA</v>
      </c>
      <c r="O57" s="165" t="str">
        <f>IF(D57=0,"NA",SUMIFS(AN_TME22[[#All],[TOTAL Truncated Unadjusted Claims Expenses (A21 -A19)]],AN_TME22[[#All],[Insurance Category Code]],3,AN_TME22[[#All],[Advanced Network/Insurance Carrier Org ID]],B57)/D57)</f>
        <v>NA</v>
      </c>
      <c r="P57" s="165" t="str">
        <f>IF(D57=0,"NA",SUMIFS(AN_TME22[[#All],[TOTAL Non-Claims Expenses]],AN_TME22[[#All],[Insurance Category Code]],3,AN_TME22[[#All],[Advanced Network/Insurance Carrier Org ID]],B57)/D57)</f>
        <v>NA</v>
      </c>
      <c r="Q57" s="165" t="str">
        <f>IF(D57=0,"NA",SUMIFS(AN_TME22[[#All],[TOTAL Non-Truncated Unadjusted Expenses (A21 + A23)]],AN_TME22[[#All],[Insurance Category Code]],3,AN_TME22[[#All],[Advanced Network/Insurance Carrier Org ID]],B57)/D57)</f>
        <v>NA</v>
      </c>
      <c r="R57" s="165" t="str">
        <f>IF(D57=0,"NA",SUMIFS(AN_TME22[[#All],[TOTAL Truncated Unadjusted Expenses (A22 + A23)]],AN_TME22[[#All],[Insurance Category Code]],3,AN_TME22[[#All],[Advanced Network/Insurance Carrier Org ID]],B57)/D57)</f>
        <v>NA</v>
      </c>
      <c r="S57" s="507">
        <f>SUMIFS(AN_TME23[[#All],[Member Months]],AN_TME23[[#All],[Insurance Category Code]],3,AN_TME23[[#All],[Advanced Network/Insurance Carrier Org ID]],B57)</f>
        <v>0</v>
      </c>
      <c r="T57" s="155" t="str">
        <f>IF(S57=0,"NA",SUMIFS(AN_TME23[[#All],[Claims: Hospital Inpatient]],AN_TME23[[#All],[Insurance Category Code]],3,AN_TME23[[#All],[Advanced Network/Insurance Carrier Org ID]],B57)/S57)</f>
        <v>NA</v>
      </c>
      <c r="U57" s="109" t="str">
        <f>IF(S57=0,"NA",SUMIFS(AN_TME23[[#All],[Claims: Hospital Outpatient]],AN_TME23[[#All],[Insurance Category Code]],3,AN_TME23[[#All],[Advanced Network/Insurance Carrier Org ID]],B57)/S57)</f>
        <v>NA</v>
      </c>
      <c r="V57" s="109" t="str">
        <f>IF(S57=0,"NA",SUMIFS(AN_TME23[[#All],[Claims: Professional, Primary Care]],AN_TME23[[#All],[Insurance Category Code]],3,AN_TME23[[#All],[Advanced Network/Insurance Carrier Org ID]],B57)/S57)</f>
        <v>NA</v>
      </c>
      <c r="W57" s="109" t="str">
        <f>IF(S57=0,"NA",SUMIFS(AN_TME23[[#All],[Claims: Professional, Primary Care (for Monitoring Purposes)]],AN_TME23[[#All],[Insurance Category Code]],3,AN_TME23[[#All],[Advanced Network/Insurance Carrier Org ID]],B57)/S57)</f>
        <v>NA</v>
      </c>
      <c r="X57" s="109" t="str">
        <f>IF(S57=0,"NA",SUMIFS(AN_TME23[[#All],[Claims: Professional, Specialty]],AN_TME23[[#All],[Insurance Category Code]],3,AN_TME23[[#All],[Advanced Network/Insurance Carrier Org ID]],B57)/S57)</f>
        <v>NA</v>
      </c>
      <c r="Y57" s="109" t="str">
        <f>IF(S57=0,"NA",SUMIFS(AN_TME23[[#All],[Claims: Professional Other]],AN_TME23[[#All],[Insurance Category Code]],3,AN_TME23[[#All],[Advanced Network/Insurance Carrier Org ID]],B57)/S57)</f>
        <v>NA</v>
      </c>
      <c r="Z57" s="109" t="str">
        <f>IF(S57=0,"NA",SUMIFS(AN_TME23[[#All],[Claims: Pharmacy]],AN_TME23[[#All],[Insurance Category Code]],3,AN_TME23[[#All],[Advanced Network/Insurance Carrier Org ID]],B57)/S57)</f>
        <v>NA</v>
      </c>
      <c r="AA57" s="109" t="str">
        <f>IF(S57=0,"NA",SUMIFS(AN_TME23[[#All],[Claims: Long-Term Care]],AN_TME23[[#All],[Insurance Category Code]],3,AN_TME23[[#All],[Advanced Network/Insurance Carrier Org ID]],B57)/S57)</f>
        <v>NA</v>
      </c>
      <c r="AB57" s="109" t="str">
        <f>IF(S57=0,"NA",SUMIFS(AN_TME23[[#All],[Claims: Other]],AN_TME23[[#All],[Insurance Category Code]],3,AN_TME23[[#All],[Advanced Network/Insurance Carrier Org ID]],B57)/S57)</f>
        <v>NA</v>
      </c>
      <c r="AC57" s="165" t="str">
        <f>IF(S57=0,"NA",SUMIFS(AN_TME23[[#All],[TOTAL Non-Truncated Unadjusted Claims Expenses]],AN_TME23[[#All],[Insurance Category Code]],3,AN_TME23[[#All],[Advanced Network/Insurance Carrier Org ID]],B57)/S57)</f>
        <v>NA</v>
      </c>
      <c r="AD57" s="165" t="str">
        <f>IF(S57=0,"NA",SUMIFS(AN_TME23[[#All],[TOTAL Truncated Unadjusted Claims Expenses (A21 -A19)]],AN_TME23[[#All],[Insurance Category Code]],3,AN_TME23[[#All],[Advanced Network/Insurance Carrier Org ID]],B57)/S57)</f>
        <v>NA</v>
      </c>
      <c r="AE57" s="165" t="str">
        <f>IF(S57=0,"NA",SUMIFS(AN_TME23[[#All],[TOTAL Non-Claims Expenses]],AN_TME23[[#All],[Insurance Category Code]],3,AN_TME23[[#All],[Advanced Network/Insurance Carrier Org ID]],B57)/S57)</f>
        <v>NA</v>
      </c>
      <c r="AF57" s="165" t="str">
        <f>IF(S57=0,"NA",SUMIFS(AN_TME23[[#All],[TOTAL Non-Truncated Unadjusted Expenses (A21 + A23)]],AN_TME23[[#All],[Insurance Category Code]],3,AN_TME23[[#All],[Advanced Network/Insurance Carrier Org ID]],B57)/S57)</f>
        <v>NA</v>
      </c>
      <c r="AG57" s="156" t="str">
        <f>IF(S57=0,"NA",SUMIFS(AN_TME23[[#All],[TOTAL Truncated Unadjusted Expenses (A22 + A23)]],AN_TME23[[#All],[Insurance Category Code]],3,AN_TME23[[#All],[Advanced Network/Insurance Carrier Org ID]],B57)/S57)</f>
        <v>NA</v>
      </c>
      <c r="AH57" s="478" t="str">
        <f t="shared" ref="AH57:AH76" si="105">IF(D57=0,"NA",S57/D57-1)</f>
        <v>NA</v>
      </c>
      <c r="AI57" s="479" t="str">
        <f t="shared" ref="AI57:AI76" si="106">IF(D57=0,"NA",T57/E57-1)</f>
        <v>NA</v>
      </c>
      <c r="AJ57" s="480" t="str">
        <f t="shared" ref="AJ57:AJ76" si="107">IF(D57=0,"NA",U57/F57-1)</f>
        <v>NA</v>
      </c>
      <c r="AK57" s="480" t="str">
        <f t="shared" ref="AK57:AK76" si="108">IF(D57=0,"NA",V57/G57-1)</f>
        <v>NA</v>
      </c>
      <c r="AL57" s="480" t="str">
        <f t="shared" ref="AL57:AL76" si="109">IF(D57=0,"NA",W57/H57-1)</f>
        <v>NA</v>
      </c>
      <c r="AM57" s="480" t="str">
        <f t="shared" ref="AM57:AM76" si="110">IF(D57=0,"NA",X57/I57-1)</f>
        <v>NA</v>
      </c>
      <c r="AN57" s="480" t="str">
        <f t="shared" ref="AN57:AN76" si="111">IF(D57=0,"NA",Y57/J57-1)</f>
        <v>NA</v>
      </c>
      <c r="AO57" s="480" t="str">
        <f t="shared" ref="AO57:AO76" si="112">IF(D57=0,"NA",Z57/K57-1)</f>
        <v>NA</v>
      </c>
      <c r="AP57" s="480" t="str">
        <f t="shared" ref="AP57:AP76" si="113">IF(D57=0,"NA",AA57/L57-1)</f>
        <v>NA</v>
      </c>
      <c r="AQ57" s="480" t="str">
        <f t="shared" ref="AQ57:AQ76" si="114">IF(D57=0,"NA",AB57/M57-1)</f>
        <v>NA</v>
      </c>
      <c r="AR57" s="481" t="str">
        <f t="shared" ref="AR57:AR76" si="115">IF(D57=0,"NA",AC57/N57-1)</f>
        <v>NA</v>
      </c>
      <c r="AS57" s="481" t="str">
        <f t="shared" ref="AS57:AS76" si="116">IF(D57=0,"NA",AD57/O57-1)</f>
        <v>NA</v>
      </c>
      <c r="AT57" s="481" t="str">
        <f t="shared" ref="AT57:AT76" si="117">IF(D57=0,"NA",AE57/P57-1)</f>
        <v>NA</v>
      </c>
      <c r="AU57" s="481" t="str">
        <f t="shared" ref="AU57:AU76" si="118">IF(D57=0,"NA",AF57/Q57-1)</f>
        <v>NA</v>
      </c>
      <c r="AV57" s="482" t="str">
        <f t="shared" ref="AV57:AV76" si="119">IF(D57=0,"NA",AG57/R57-1)</f>
        <v>NA</v>
      </c>
    </row>
    <row r="58" spans="1:48" ht="15" customHeight="1" x14ac:dyDescent="0.25">
      <c r="A58" s="164"/>
      <c r="B58" s="166">
        <v>113</v>
      </c>
      <c r="C58" s="169" t="str">
        <f>_xlfn.XLOOKUP(B58, LgProvEntOrgIDs[Advanced Network/Insurer Carrier Org ID], LgProvEntOrgIDs[Advanced Network/Insurance Carrier Overall])</f>
        <v>CIFC Greater Danbury Community Health Center</v>
      </c>
      <c r="D58" s="507">
        <f>SUMIFS(AN_TME22[[#All],[Member Months]],AN_TME22[[#All],[Insurance Category Code]],3,AN_TME22[[#All],[Advanced Network/Insurance Carrier Org ID]],B58)</f>
        <v>0</v>
      </c>
      <c r="E58" s="155" t="str">
        <f>IF(D58=0,"NA",SUMIFS(AN_TME22[[#All],[Claims: Hospital Inpatient]],AN_TME22[[#All],[Insurance Category Code]],3,AN_TME22[[#All],[Advanced Network/Insurance Carrier Org ID]],B58)/D58)</f>
        <v>NA</v>
      </c>
      <c r="F58" s="109" t="str">
        <f>IF(D58=0,"NA",SUMIFS(AN_TME22[[#All],[Claims: Hospital Outpatient]],AN_TME22[[#All],[Insurance Category Code]],3,AN_TME22[[#All],[Advanced Network/Insurance Carrier Org ID]],B58)/D58)</f>
        <v>NA</v>
      </c>
      <c r="G58" s="109" t="str">
        <f>IF(D58=0,"NA",SUMIFS(AN_TME22[[#All],[Claims: Professional, Primary Care]],AN_TME22[[#All],[Insurance Category Code]],3,AN_TME22[[#All],[Advanced Network/Insurance Carrier Org ID]],B58)/D58)</f>
        <v>NA</v>
      </c>
      <c r="H58" s="109" t="str">
        <f>IF(D58=0,"NA",SUMIFS(AN_TME22[[#All],[Claims: Professional, Primary Care (for Monitoring Purposes)]],AN_TME22[[#All],[Insurance Category Code]],3,AN_TME22[[#All],[Advanced Network/Insurance Carrier Org ID]],B58)/D58)</f>
        <v>NA</v>
      </c>
      <c r="I58" s="109" t="str">
        <f>IF(D58=0,"NA",SUMIFS(AN_TME22[[#All],[Claims: Professional, Specialty]],AN_TME22[[#All],[Insurance Category Code]],3,AN_TME22[[#All],[Advanced Network/Insurance Carrier Org ID]],B58)/D58)</f>
        <v>NA</v>
      </c>
      <c r="J58" s="109" t="str">
        <f>IF(D58=0,"NA",SUMIFS(AN_TME22[[#All],[Claims: Professional Other]],AN_TME22[[#All],[Insurance Category Code]],3,AN_TME22[[#All],[Advanced Network/Insurance Carrier Org ID]],B58)/D58)</f>
        <v>NA</v>
      </c>
      <c r="K58" s="109" t="str">
        <f>IF(D58=0,"NA",SUMIFS(AN_TME22[[#All],[Claims: Pharmacy]],AN_TME22[[#All],[Insurance Category Code]],3,AN_TME22[[#All],[Advanced Network/Insurance Carrier Org ID]],B58)/D58)</f>
        <v>NA</v>
      </c>
      <c r="L58" s="109" t="str">
        <f>IF(D58=0,"NA",SUMIFS(AN_TME22[[#All],[Claims: Long-Term Care]],AN_TME22[[#All],[Insurance Category Code]],3,AN_TME22[[#All],[Advanced Network/Insurance Carrier Org ID]],B58)/D58)</f>
        <v>NA</v>
      </c>
      <c r="M58" s="109" t="str">
        <f>IF(D58=0,"NA",SUMIFS(AN_TME22[[#All],[Claims: Other]],AN_TME22[[#All],[Insurance Category Code]],3,AN_TME22[[#All],[Advanced Network/Insurance Carrier Org ID]],B58)/D58)</f>
        <v>NA</v>
      </c>
      <c r="N58" s="165" t="str">
        <f>IF(D58=0,"NA",SUMIFS(AN_TME22[[#All],[TOTAL Non-Truncated Unadjusted Claims Expenses]],AN_TME22[[#All],[Insurance Category Code]],3,AN_TME22[[#All],[Advanced Network/Insurance Carrier Org ID]],B58)/D58)</f>
        <v>NA</v>
      </c>
      <c r="O58" s="165" t="str">
        <f>IF(D58=0,"NA",SUMIFS(AN_TME22[[#All],[TOTAL Truncated Unadjusted Claims Expenses (A21 -A19)]],AN_TME22[[#All],[Insurance Category Code]],3,AN_TME22[[#All],[Advanced Network/Insurance Carrier Org ID]],B58)/D58)</f>
        <v>NA</v>
      </c>
      <c r="P58" s="165" t="str">
        <f>IF(D58=0,"NA",SUMIFS(AN_TME22[[#All],[TOTAL Non-Claims Expenses]],AN_TME22[[#All],[Insurance Category Code]],3,AN_TME22[[#All],[Advanced Network/Insurance Carrier Org ID]],B58)/D58)</f>
        <v>NA</v>
      </c>
      <c r="Q58" s="165" t="str">
        <f>IF(D58=0,"NA",SUMIFS(AN_TME22[[#All],[TOTAL Non-Truncated Unadjusted Expenses (A21 + A23)]],AN_TME22[[#All],[Insurance Category Code]],3,AN_TME22[[#All],[Advanced Network/Insurance Carrier Org ID]],B58)/D58)</f>
        <v>NA</v>
      </c>
      <c r="R58" s="165" t="str">
        <f>IF(D58=0,"NA",SUMIFS(AN_TME22[[#All],[TOTAL Truncated Unadjusted Expenses (A22 + A23)]],AN_TME22[[#All],[Insurance Category Code]],3,AN_TME22[[#All],[Advanced Network/Insurance Carrier Org ID]],B58)/D58)</f>
        <v>NA</v>
      </c>
      <c r="S58" s="507">
        <f>SUMIFS(AN_TME23[[#All],[Member Months]],AN_TME23[[#All],[Insurance Category Code]],3,AN_TME23[[#All],[Advanced Network/Insurance Carrier Org ID]],B58)</f>
        <v>0</v>
      </c>
      <c r="T58" s="155" t="str">
        <f>IF(S58=0,"NA",SUMIFS(AN_TME23[[#All],[Claims: Hospital Inpatient]],AN_TME23[[#All],[Insurance Category Code]],3,AN_TME23[[#All],[Advanced Network/Insurance Carrier Org ID]],B58)/S58)</f>
        <v>NA</v>
      </c>
      <c r="U58" s="109" t="str">
        <f>IF(S58=0,"NA",SUMIFS(AN_TME23[[#All],[Claims: Hospital Outpatient]],AN_TME23[[#All],[Insurance Category Code]],3,AN_TME23[[#All],[Advanced Network/Insurance Carrier Org ID]],B58)/S58)</f>
        <v>NA</v>
      </c>
      <c r="V58" s="109" t="str">
        <f>IF(S58=0,"NA",SUMIFS(AN_TME23[[#All],[Claims: Professional, Primary Care]],AN_TME23[[#All],[Insurance Category Code]],3,AN_TME23[[#All],[Advanced Network/Insurance Carrier Org ID]],B58)/S58)</f>
        <v>NA</v>
      </c>
      <c r="W58" s="109" t="str">
        <f>IF(S58=0,"NA",SUMIFS(AN_TME23[[#All],[Claims: Professional, Primary Care (for Monitoring Purposes)]],AN_TME23[[#All],[Insurance Category Code]],3,AN_TME23[[#All],[Advanced Network/Insurance Carrier Org ID]],B58)/S58)</f>
        <v>NA</v>
      </c>
      <c r="X58" s="109" t="str">
        <f>IF(S58=0,"NA",SUMIFS(AN_TME23[[#All],[Claims: Professional, Specialty]],AN_TME23[[#All],[Insurance Category Code]],3,AN_TME23[[#All],[Advanced Network/Insurance Carrier Org ID]],B58)/S58)</f>
        <v>NA</v>
      </c>
      <c r="Y58" s="109" t="str">
        <f>IF(S58=0,"NA",SUMIFS(AN_TME23[[#All],[Claims: Professional Other]],AN_TME23[[#All],[Insurance Category Code]],3,AN_TME23[[#All],[Advanced Network/Insurance Carrier Org ID]],B58)/S58)</f>
        <v>NA</v>
      </c>
      <c r="Z58" s="109" t="str">
        <f>IF(S58=0,"NA",SUMIFS(AN_TME23[[#All],[Claims: Pharmacy]],AN_TME23[[#All],[Insurance Category Code]],3,AN_TME23[[#All],[Advanced Network/Insurance Carrier Org ID]],B58)/S58)</f>
        <v>NA</v>
      </c>
      <c r="AA58" s="109" t="str">
        <f>IF(S58=0,"NA",SUMIFS(AN_TME23[[#All],[Claims: Long-Term Care]],AN_TME23[[#All],[Insurance Category Code]],3,AN_TME23[[#All],[Advanced Network/Insurance Carrier Org ID]],B58)/S58)</f>
        <v>NA</v>
      </c>
      <c r="AB58" s="109" t="str">
        <f>IF(S58=0,"NA",SUMIFS(AN_TME23[[#All],[Claims: Other]],AN_TME23[[#All],[Insurance Category Code]],3,AN_TME23[[#All],[Advanced Network/Insurance Carrier Org ID]],B58)/S58)</f>
        <v>NA</v>
      </c>
      <c r="AC58" s="165" t="str">
        <f>IF(S58=0,"NA",SUMIFS(AN_TME23[[#All],[TOTAL Non-Truncated Unadjusted Claims Expenses]],AN_TME23[[#All],[Insurance Category Code]],3,AN_TME23[[#All],[Advanced Network/Insurance Carrier Org ID]],B58)/S58)</f>
        <v>NA</v>
      </c>
      <c r="AD58" s="165" t="str">
        <f>IF(S58=0,"NA",SUMIFS(AN_TME23[[#All],[TOTAL Truncated Unadjusted Claims Expenses (A21 -A19)]],AN_TME23[[#All],[Insurance Category Code]],3,AN_TME23[[#All],[Advanced Network/Insurance Carrier Org ID]],B58)/S58)</f>
        <v>NA</v>
      </c>
      <c r="AE58" s="165" t="str">
        <f>IF(S58=0,"NA",SUMIFS(AN_TME23[[#All],[TOTAL Non-Claims Expenses]],AN_TME23[[#All],[Insurance Category Code]],3,AN_TME23[[#All],[Advanced Network/Insurance Carrier Org ID]],B58)/S58)</f>
        <v>NA</v>
      </c>
      <c r="AF58" s="165" t="str">
        <f>IF(S58=0,"NA",SUMIFS(AN_TME23[[#All],[TOTAL Non-Truncated Unadjusted Expenses (A21 + A23)]],AN_TME23[[#All],[Insurance Category Code]],3,AN_TME23[[#All],[Advanced Network/Insurance Carrier Org ID]],B58)/S58)</f>
        <v>NA</v>
      </c>
      <c r="AG58" s="156" t="str">
        <f>IF(S58=0,"NA",SUMIFS(AN_TME23[[#All],[TOTAL Truncated Unadjusted Expenses (A22 + A23)]],AN_TME23[[#All],[Insurance Category Code]],3,AN_TME23[[#All],[Advanced Network/Insurance Carrier Org ID]],B58)/S58)</f>
        <v>NA</v>
      </c>
      <c r="AH58" s="478" t="str">
        <f t="shared" si="105"/>
        <v>NA</v>
      </c>
      <c r="AI58" s="479" t="str">
        <f t="shared" si="106"/>
        <v>NA</v>
      </c>
      <c r="AJ58" s="480" t="str">
        <f t="shared" si="107"/>
        <v>NA</v>
      </c>
      <c r="AK58" s="480" t="str">
        <f t="shared" si="108"/>
        <v>NA</v>
      </c>
      <c r="AL58" s="480" t="str">
        <f t="shared" si="109"/>
        <v>NA</v>
      </c>
      <c r="AM58" s="480" t="str">
        <f t="shared" si="110"/>
        <v>NA</v>
      </c>
      <c r="AN58" s="480" t="str">
        <f t="shared" si="111"/>
        <v>NA</v>
      </c>
      <c r="AO58" s="480" t="str">
        <f t="shared" si="112"/>
        <v>NA</v>
      </c>
      <c r="AP58" s="480" t="str">
        <f t="shared" si="113"/>
        <v>NA</v>
      </c>
      <c r="AQ58" s="480" t="str">
        <f t="shared" si="114"/>
        <v>NA</v>
      </c>
      <c r="AR58" s="481" t="str">
        <f t="shared" si="115"/>
        <v>NA</v>
      </c>
      <c r="AS58" s="481" t="str">
        <f t="shared" si="116"/>
        <v>NA</v>
      </c>
      <c r="AT58" s="481" t="str">
        <f t="shared" si="117"/>
        <v>NA</v>
      </c>
      <c r="AU58" s="481" t="str">
        <f t="shared" si="118"/>
        <v>NA</v>
      </c>
      <c r="AV58" s="482" t="str">
        <f t="shared" si="119"/>
        <v>NA</v>
      </c>
    </row>
    <row r="59" spans="1:48" ht="15" customHeight="1" x14ac:dyDescent="0.25">
      <c r="A59" s="164"/>
      <c r="B59" s="166">
        <v>114</v>
      </c>
      <c r="C59" s="169" t="str">
        <f>_xlfn.XLOOKUP(B59, LgProvEntOrgIDs[Advanced Network/Insurer Carrier Org ID], LgProvEntOrgIDs[Advanced Network/Insurance Carrier Overall])</f>
        <v>Community Health and Wellness Center of Greater Torrington</v>
      </c>
      <c r="D59" s="507">
        <f>SUMIFS(AN_TME22[[#All],[Member Months]],AN_TME22[[#All],[Insurance Category Code]],3,AN_TME22[[#All],[Advanced Network/Insurance Carrier Org ID]],B59)</f>
        <v>0</v>
      </c>
      <c r="E59" s="155" t="str">
        <f>IF(D59=0,"NA",SUMIFS(AN_TME22[[#All],[Claims: Hospital Inpatient]],AN_TME22[[#All],[Insurance Category Code]],3,AN_TME22[[#All],[Advanced Network/Insurance Carrier Org ID]],B59)/D59)</f>
        <v>NA</v>
      </c>
      <c r="F59" s="109" t="str">
        <f>IF(D59=0,"NA",SUMIFS(AN_TME22[[#All],[Claims: Hospital Outpatient]],AN_TME22[[#All],[Insurance Category Code]],3,AN_TME22[[#All],[Advanced Network/Insurance Carrier Org ID]],B59)/D59)</f>
        <v>NA</v>
      </c>
      <c r="G59" s="109" t="str">
        <f>IF(D59=0,"NA",SUMIFS(AN_TME22[[#All],[Claims: Professional, Primary Care]],AN_TME22[[#All],[Insurance Category Code]],3,AN_TME22[[#All],[Advanced Network/Insurance Carrier Org ID]],B59)/D59)</f>
        <v>NA</v>
      </c>
      <c r="H59" s="109" t="str">
        <f>IF(D59=0,"NA",SUMIFS(AN_TME22[[#All],[Claims: Professional, Primary Care (for Monitoring Purposes)]],AN_TME22[[#All],[Insurance Category Code]],3,AN_TME22[[#All],[Advanced Network/Insurance Carrier Org ID]],B59)/D59)</f>
        <v>NA</v>
      </c>
      <c r="I59" s="109" t="str">
        <f>IF(D59=0,"NA",SUMIFS(AN_TME22[[#All],[Claims: Professional, Specialty]],AN_TME22[[#All],[Insurance Category Code]],3,AN_TME22[[#All],[Advanced Network/Insurance Carrier Org ID]],B59)/D59)</f>
        <v>NA</v>
      </c>
      <c r="J59" s="109" t="str">
        <f>IF(D59=0,"NA",SUMIFS(AN_TME22[[#All],[Claims: Professional Other]],AN_TME22[[#All],[Insurance Category Code]],3,AN_TME22[[#All],[Advanced Network/Insurance Carrier Org ID]],B59)/D59)</f>
        <v>NA</v>
      </c>
      <c r="K59" s="109" t="str">
        <f>IF(D59=0,"NA",SUMIFS(AN_TME22[[#All],[Claims: Pharmacy]],AN_TME22[[#All],[Insurance Category Code]],3,AN_TME22[[#All],[Advanced Network/Insurance Carrier Org ID]],B59)/D59)</f>
        <v>NA</v>
      </c>
      <c r="L59" s="109" t="str">
        <f>IF(D59=0,"NA",SUMIFS(AN_TME22[[#All],[Claims: Long-Term Care]],AN_TME22[[#All],[Insurance Category Code]],3,AN_TME22[[#All],[Advanced Network/Insurance Carrier Org ID]],B59)/D59)</f>
        <v>NA</v>
      </c>
      <c r="M59" s="109" t="str">
        <f>IF(D59=0,"NA",SUMIFS(AN_TME22[[#All],[Claims: Other]],AN_TME22[[#All],[Insurance Category Code]],3,AN_TME22[[#All],[Advanced Network/Insurance Carrier Org ID]],B59)/D59)</f>
        <v>NA</v>
      </c>
      <c r="N59" s="165" t="str">
        <f>IF(D59=0,"NA",SUMIFS(AN_TME22[[#All],[TOTAL Non-Truncated Unadjusted Claims Expenses]],AN_TME22[[#All],[Insurance Category Code]],3,AN_TME22[[#All],[Advanced Network/Insurance Carrier Org ID]],B59)/D59)</f>
        <v>NA</v>
      </c>
      <c r="O59" s="165" t="str">
        <f>IF(D59=0,"NA",SUMIFS(AN_TME22[[#All],[TOTAL Truncated Unadjusted Claims Expenses (A21 -A19)]],AN_TME22[[#All],[Insurance Category Code]],3,AN_TME22[[#All],[Advanced Network/Insurance Carrier Org ID]],B59)/D59)</f>
        <v>NA</v>
      </c>
      <c r="P59" s="165" t="str">
        <f>IF(D59=0,"NA",SUMIFS(AN_TME22[[#All],[TOTAL Non-Claims Expenses]],AN_TME22[[#All],[Insurance Category Code]],3,AN_TME22[[#All],[Advanced Network/Insurance Carrier Org ID]],B59)/D59)</f>
        <v>NA</v>
      </c>
      <c r="Q59" s="165" t="str">
        <f>IF(D59=0,"NA",SUMIFS(AN_TME22[[#All],[TOTAL Non-Truncated Unadjusted Expenses (A21 + A23)]],AN_TME22[[#All],[Insurance Category Code]],3,AN_TME22[[#All],[Advanced Network/Insurance Carrier Org ID]],B59)/D59)</f>
        <v>NA</v>
      </c>
      <c r="R59" s="165" t="str">
        <f>IF(D59=0,"NA",SUMIFS(AN_TME22[[#All],[TOTAL Truncated Unadjusted Expenses (A22 + A23)]],AN_TME22[[#All],[Insurance Category Code]],3,AN_TME22[[#All],[Advanced Network/Insurance Carrier Org ID]],B59)/D59)</f>
        <v>NA</v>
      </c>
      <c r="S59" s="507">
        <f>SUMIFS(AN_TME23[[#All],[Member Months]],AN_TME23[[#All],[Insurance Category Code]],3,AN_TME23[[#All],[Advanced Network/Insurance Carrier Org ID]],B59)</f>
        <v>0</v>
      </c>
      <c r="T59" s="155" t="str">
        <f>IF(S59=0,"NA",SUMIFS(AN_TME23[[#All],[Claims: Hospital Inpatient]],AN_TME23[[#All],[Insurance Category Code]],3,AN_TME23[[#All],[Advanced Network/Insurance Carrier Org ID]],B59)/S59)</f>
        <v>NA</v>
      </c>
      <c r="U59" s="109" t="str">
        <f>IF(S59=0,"NA",SUMIFS(AN_TME23[[#All],[Claims: Hospital Outpatient]],AN_TME23[[#All],[Insurance Category Code]],3,AN_TME23[[#All],[Advanced Network/Insurance Carrier Org ID]],B59)/S59)</f>
        <v>NA</v>
      </c>
      <c r="V59" s="109" t="str">
        <f>IF(S59=0,"NA",SUMIFS(AN_TME23[[#All],[Claims: Professional, Primary Care]],AN_TME23[[#All],[Insurance Category Code]],3,AN_TME23[[#All],[Advanced Network/Insurance Carrier Org ID]],B59)/S59)</f>
        <v>NA</v>
      </c>
      <c r="W59" s="109" t="str">
        <f>IF(S59=0,"NA",SUMIFS(AN_TME23[[#All],[Claims: Professional, Primary Care (for Monitoring Purposes)]],AN_TME23[[#All],[Insurance Category Code]],3,AN_TME23[[#All],[Advanced Network/Insurance Carrier Org ID]],B59)/S59)</f>
        <v>NA</v>
      </c>
      <c r="X59" s="109" t="str">
        <f>IF(S59=0,"NA",SUMIFS(AN_TME23[[#All],[Claims: Professional, Specialty]],AN_TME23[[#All],[Insurance Category Code]],3,AN_TME23[[#All],[Advanced Network/Insurance Carrier Org ID]],B59)/S59)</f>
        <v>NA</v>
      </c>
      <c r="Y59" s="109" t="str">
        <f>IF(S59=0,"NA",SUMIFS(AN_TME23[[#All],[Claims: Professional Other]],AN_TME23[[#All],[Insurance Category Code]],3,AN_TME23[[#All],[Advanced Network/Insurance Carrier Org ID]],B59)/S59)</f>
        <v>NA</v>
      </c>
      <c r="Z59" s="109" t="str">
        <f>IF(S59=0,"NA",SUMIFS(AN_TME23[[#All],[Claims: Pharmacy]],AN_TME23[[#All],[Insurance Category Code]],3,AN_TME23[[#All],[Advanced Network/Insurance Carrier Org ID]],B59)/S59)</f>
        <v>NA</v>
      </c>
      <c r="AA59" s="109" t="str">
        <f>IF(S59=0,"NA",SUMIFS(AN_TME23[[#All],[Claims: Long-Term Care]],AN_TME23[[#All],[Insurance Category Code]],3,AN_TME23[[#All],[Advanced Network/Insurance Carrier Org ID]],B59)/S59)</f>
        <v>NA</v>
      </c>
      <c r="AB59" s="109" t="str">
        <f>IF(S59=0,"NA",SUMIFS(AN_TME23[[#All],[Claims: Other]],AN_TME23[[#All],[Insurance Category Code]],3,AN_TME23[[#All],[Advanced Network/Insurance Carrier Org ID]],B59)/S59)</f>
        <v>NA</v>
      </c>
      <c r="AC59" s="165" t="str">
        <f>IF(S59=0,"NA",SUMIFS(AN_TME23[[#All],[TOTAL Non-Truncated Unadjusted Claims Expenses]],AN_TME23[[#All],[Insurance Category Code]],3,AN_TME23[[#All],[Advanced Network/Insurance Carrier Org ID]],B59)/S59)</f>
        <v>NA</v>
      </c>
      <c r="AD59" s="165" t="str">
        <f>IF(S59=0,"NA",SUMIFS(AN_TME23[[#All],[TOTAL Truncated Unadjusted Claims Expenses (A21 -A19)]],AN_TME23[[#All],[Insurance Category Code]],3,AN_TME23[[#All],[Advanced Network/Insurance Carrier Org ID]],B59)/S59)</f>
        <v>NA</v>
      </c>
      <c r="AE59" s="165" t="str">
        <f>IF(S59=0,"NA",SUMIFS(AN_TME23[[#All],[TOTAL Non-Claims Expenses]],AN_TME23[[#All],[Insurance Category Code]],3,AN_TME23[[#All],[Advanced Network/Insurance Carrier Org ID]],B59)/S59)</f>
        <v>NA</v>
      </c>
      <c r="AF59" s="165" t="str">
        <f>IF(S59=0,"NA",SUMIFS(AN_TME23[[#All],[TOTAL Non-Truncated Unadjusted Expenses (A21 + A23)]],AN_TME23[[#All],[Insurance Category Code]],3,AN_TME23[[#All],[Advanced Network/Insurance Carrier Org ID]],B59)/S59)</f>
        <v>NA</v>
      </c>
      <c r="AG59" s="156" t="str">
        <f>IF(S59=0,"NA",SUMIFS(AN_TME23[[#All],[TOTAL Truncated Unadjusted Expenses (A22 + A23)]],AN_TME23[[#All],[Insurance Category Code]],3,AN_TME23[[#All],[Advanced Network/Insurance Carrier Org ID]],B59)/S59)</f>
        <v>NA</v>
      </c>
      <c r="AH59" s="478" t="str">
        <f t="shared" si="105"/>
        <v>NA</v>
      </c>
      <c r="AI59" s="479" t="str">
        <f t="shared" si="106"/>
        <v>NA</v>
      </c>
      <c r="AJ59" s="480" t="str">
        <f t="shared" si="107"/>
        <v>NA</v>
      </c>
      <c r="AK59" s="480" t="str">
        <f t="shared" si="108"/>
        <v>NA</v>
      </c>
      <c r="AL59" s="480" t="str">
        <f t="shared" si="109"/>
        <v>NA</v>
      </c>
      <c r="AM59" s="480" t="str">
        <f t="shared" si="110"/>
        <v>NA</v>
      </c>
      <c r="AN59" s="480" t="str">
        <f t="shared" si="111"/>
        <v>NA</v>
      </c>
      <c r="AO59" s="480" t="str">
        <f t="shared" si="112"/>
        <v>NA</v>
      </c>
      <c r="AP59" s="480" t="str">
        <f t="shared" si="113"/>
        <v>NA</v>
      </c>
      <c r="AQ59" s="480" t="str">
        <f t="shared" si="114"/>
        <v>NA</v>
      </c>
      <c r="AR59" s="481" t="str">
        <f t="shared" si="115"/>
        <v>NA</v>
      </c>
      <c r="AS59" s="481" t="str">
        <f t="shared" si="116"/>
        <v>NA</v>
      </c>
      <c r="AT59" s="481" t="str">
        <f t="shared" si="117"/>
        <v>NA</v>
      </c>
      <c r="AU59" s="481" t="str">
        <f t="shared" si="118"/>
        <v>NA</v>
      </c>
      <c r="AV59" s="482" t="str">
        <f t="shared" si="119"/>
        <v>NA</v>
      </c>
    </row>
    <row r="60" spans="1:48" ht="15" customHeight="1" x14ac:dyDescent="0.25">
      <c r="A60" s="164"/>
      <c r="B60" s="166">
        <v>115</v>
      </c>
      <c r="C60" s="169" t="str">
        <f>_xlfn.XLOOKUP(B60, LgProvEntOrgIDs[Advanced Network/Insurer Carrier Org ID], LgProvEntOrgIDs[Advanced Network/Insurance Carrier Overall])</f>
        <v>Community Health Center</v>
      </c>
      <c r="D60" s="507">
        <f>SUMIFS(AN_TME22[[#All],[Member Months]],AN_TME22[[#All],[Insurance Category Code]],3,AN_TME22[[#All],[Advanced Network/Insurance Carrier Org ID]],B60)</f>
        <v>0</v>
      </c>
      <c r="E60" s="155" t="str">
        <f>IF(D60=0,"NA",SUMIFS(AN_TME22[[#All],[Claims: Hospital Inpatient]],AN_TME22[[#All],[Insurance Category Code]],3,AN_TME22[[#All],[Advanced Network/Insurance Carrier Org ID]],B60)/D60)</f>
        <v>NA</v>
      </c>
      <c r="F60" s="109" t="str">
        <f>IF(D60=0,"NA",SUMIFS(AN_TME22[[#All],[Claims: Hospital Outpatient]],AN_TME22[[#All],[Insurance Category Code]],3,AN_TME22[[#All],[Advanced Network/Insurance Carrier Org ID]],B60)/D60)</f>
        <v>NA</v>
      </c>
      <c r="G60" s="109" t="str">
        <f>IF(D60=0,"NA",SUMIFS(AN_TME22[[#All],[Claims: Professional, Primary Care]],AN_TME22[[#All],[Insurance Category Code]],3,AN_TME22[[#All],[Advanced Network/Insurance Carrier Org ID]],B60)/D60)</f>
        <v>NA</v>
      </c>
      <c r="H60" s="109" t="str">
        <f>IF(D60=0,"NA",SUMIFS(AN_TME22[[#All],[Claims: Professional, Primary Care (for Monitoring Purposes)]],AN_TME22[[#All],[Insurance Category Code]],3,AN_TME22[[#All],[Advanced Network/Insurance Carrier Org ID]],B60)/D60)</f>
        <v>NA</v>
      </c>
      <c r="I60" s="109" t="str">
        <f>IF(D60=0,"NA",SUMIFS(AN_TME22[[#All],[Claims: Professional, Specialty]],AN_TME22[[#All],[Insurance Category Code]],3,AN_TME22[[#All],[Advanced Network/Insurance Carrier Org ID]],B60)/D60)</f>
        <v>NA</v>
      </c>
      <c r="J60" s="109" t="str">
        <f>IF(D60=0,"NA",SUMIFS(AN_TME22[[#All],[Claims: Professional Other]],AN_TME22[[#All],[Insurance Category Code]],3,AN_TME22[[#All],[Advanced Network/Insurance Carrier Org ID]],B60)/D60)</f>
        <v>NA</v>
      </c>
      <c r="K60" s="109" t="str">
        <f>IF(D60=0,"NA",SUMIFS(AN_TME22[[#All],[Claims: Pharmacy]],AN_TME22[[#All],[Insurance Category Code]],3,AN_TME22[[#All],[Advanced Network/Insurance Carrier Org ID]],B60)/D60)</f>
        <v>NA</v>
      </c>
      <c r="L60" s="109" t="str">
        <f>IF(D60=0,"NA",SUMIFS(AN_TME22[[#All],[Claims: Long-Term Care]],AN_TME22[[#All],[Insurance Category Code]],3,AN_TME22[[#All],[Advanced Network/Insurance Carrier Org ID]],B60)/D60)</f>
        <v>NA</v>
      </c>
      <c r="M60" s="109" t="str">
        <f>IF(D60=0,"NA",SUMIFS(AN_TME22[[#All],[Claims: Other]],AN_TME22[[#All],[Insurance Category Code]],3,AN_TME22[[#All],[Advanced Network/Insurance Carrier Org ID]],B60)/D60)</f>
        <v>NA</v>
      </c>
      <c r="N60" s="165" t="str">
        <f>IF(D60=0,"NA",SUMIFS(AN_TME22[[#All],[TOTAL Non-Truncated Unadjusted Claims Expenses]],AN_TME22[[#All],[Insurance Category Code]],3,AN_TME22[[#All],[Advanced Network/Insurance Carrier Org ID]],B60)/D60)</f>
        <v>NA</v>
      </c>
      <c r="O60" s="165" t="str">
        <f>IF(D60=0,"NA",SUMIFS(AN_TME22[[#All],[TOTAL Truncated Unadjusted Claims Expenses (A21 -A19)]],AN_TME22[[#All],[Insurance Category Code]],3,AN_TME22[[#All],[Advanced Network/Insurance Carrier Org ID]],B60)/D60)</f>
        <v>NA</v>
      </c>
      <c r="P60" s="165" t="str">
        <f>IF(D60=0,"NA",SUMIFS(AN_TME22[[#All],[TOTAL Non-Claims Expenses]],AN_TME22[[#All],[Insurance Category Code]],3,AN_TME22[[#All],[Advanced Network/Insurance Carrier Org ID]],B60)/D60)</f>
        <v>NA</v>
      </c>
      <c r="Q60" s="165" t="str">
        <f>IF(D60=0,"NA",SUMIFS(AN_TME22[[#All],[TOTAL Non-Truncated Unadjusted Expenses (A21 + A23)]],AN_TME22[[#All],[Insurance Category Code]],3,AN_TME22[[#All],[Advanced Network/Insurance Carrier Org ID]],B60)/D60)</f>
        <v>NA</v>
      </c>
      <c r="R60" s="165" t="str">
        <f>IF(D60=0,"NA",SUMIFS(AN_TME22[[#All],[TOTAL Truncated Unadjusted Expenses (A22 + A23)]],AN_TME22[[#All],[Insurance Category Code]],3,AN_TME22[[#All],[Advanced Network/Insurance Carrier Org ID]],B60)/D60)</f>
        <v>NA</v>
      </c>
      <c r="S60" s="507">
        <f>SUMIFS(AN_TME23[[#All],[Member Months]],AN_TME23[[#All],[Insurance Category Code]],3,AN_TME23[[#All],[Advanced Network/Insurance Carrier Org ID]],B60)</f>
        <v>0</v>
      </c>
      <c r="T60" s="155" t="str">
        <f>IF(S60=0,"NA",SUMIFS(AN_TME23[[#All],[Claims: Hospital Inpatient]],AN_TME23[[#All],[Insurance Category Code]],3,AN_TME23[[#All],[Advanced Network/Insurance Carrier Org ID]],B60)/S60)</f>
        <v>NA</v>
      </c>
      <c r="U60" s="109" t="str">
        <f>IF(S60=0,"NA",SUMIFS(AN_TME23[[#All],[Claims: Hospital Outpatient]],AN_TME23[[#All],[Insurance Category Code]],3,AN_TME23[[#All],[Advanced Network/Insurance Carrier Org ID]],B60)/S60)</f>
        <v>NA</v>
      </c>
      <c r="V60" s="109" t="str">
        <f>IF(S60=0,"NA",SUMIFS(AN_TME23[[#All],[Claims: Professional, Primary Care]],AN_TME23[[#All],[Insurance Category Code]],3,AN_TME23[[#All],[Advanced Network/Insurance Carrier Org ID]],B60)/S60)</f>
        <v>NA</v>
      </c>
      <c r="W60" s="109" t="str">
        <f>IF(S60=0,"NA",SUMIFS(AN_TME23[[#All],[Claims: Professional, Primary Care (for Monitoring Purposes)]],AN_TME23[[#All],[Insurance Category Code]],3,AN_TME23[[#All],[Advanced Network/Insurance Carrier Org ID]],B60)/S60)</f>
        <v>NA</v>
      </c>
      <c r="X60" s="109" t="str">
        <f>IF(S60=0,"NA",SUMIFS(AN_TME23[[#All],[Claims: Professional, Specialty]],AN_TME23[[#All],[Insurance Category Code]],3,AN_TME23[[#All],[Advanced Network/Insurance Carrier Org ID]],B60)/S60)</f>
        <v>NA</v>
      </c>
      <c r="Y60" s="109" t="str">
        <f>IF(S60=0,"NA",SUMIFS(AN_TME23[[#All],[Claims: Professional Other]],AN_TME23[[#All],[Insurance Category Code]],3,AN_TME23[[#All],[Advanced Network/Insurance Carrier Org ID]],B60)/S60)</f>
        <v>NA</v>
      </c>
      <c r="Z60" s="109" t="str">
        <f>IF(S60=0,"NA",SUMIFS(AN_TME23[[#All],[Claims: Pharmacy]],AN_TME23[[#All],[Insurance Category Code]],3,AN_TME23[[#All],[Advanced Network/Insurance Carrier Org ID]],B60)/S60)</f>
        <v>NA</v>
      </c>
      <c r="AA60" s="109" t="str">
        <f>IF(S60=0,"NA",SUMIFS(AN_TME23[[#All],[Claims: Long-Term Care]],AN_TME23[[#All],[Insurance Category Code]],3,AN_TME23[[#All],[Advanced Network/Insurance Carrier Org ID]],B60)/S60)</f>
        <v>NA</v>
      </c>
      <c r="AB60" s="109" t="str">
        <f>IF(S60=0,"NA",SUMIFS(AN_TME23[[#All],[Claims: Other]],AN_TME23[[#All],[Insurance Category Code]],3,AN_TME23[[#All],[Advanced Network/Insurance Carrier Org ID]],B60)/S60)</f>
        <v>NA</v>
      </c>
      <c r="AC60" s="165" t="str">
        <f>IF(S60=0,"NA",SUMIFS(AN_TME23[[#All],[TOTAL Non-Truncated Unadjusted Claims Expenses]],AN_TME23[[#All],[Insurance Category Code]],3,AN_TME23[[#All],[Advanced Network/Insurance Carrier Org ID]],B60)/S60)</f>
        <v>NA</v>
      </c>
      <c r="AD60" s="165" t="str">
        <f>IF(S60=0,"NA",SUMIFS(AN_TME23[[#All],[TOTAL Truncated Unadjusted Claims Expenses (A21 -A19)]],AN_TME23[[#All],[Insurance Category Code]],3,AN_TME23[[#All],[Advanced Network/Insurance Carrier Org ID]],B60)/S60)</f>
        <v>NA</v>
      </c>
      <c r="AE60" s="165" t="str">
        <f>IF(S60=0,"NA",SUMIFS(AN_TME23[[#All],[TOTAL Non-Claims Expenses]],AN_TME23[[#All],[Insurance Category Code]],3,AN_TME23[[#All],[Advanced Network/Insurance Carrier Org ID]],B60)/S60)</f>
        <v>NA</v>
      </c>
      <c r="AF60" s="165" t="str">
        <f>IF(S60=0,"NA",SUMIFS(AN_TME23[[#All],[TOTAL Non-Truncated Unadjusted Expenses (A21 + A23)]],AN_TME23[[#All],[Insurance Category Code]],3,AN_TME23[[#All],[Advanced Network/Insurance Carrier Org ID]],B60)/S60)</f>
        <v>NA</v>
      </c>
      <c r="AG60" s="156" t="str">
        <f>IF(S60=0,"NA",SUMIFS(AN_TME23[[#All],[TOTAL Truncated Unadjusted Expenses (A22 + A23)]],AN_TME23[[#All],[Insurance Category Code]],3,AN_TME23[[#All],[Advanced Network/Insurance Carrier Org ID]],B60)/S60)</f>
        <v>NA</v>
      </c>
      <c r="AH60" s="478" t="str">
        <f t="shared" si="105"/>
        <v>NA</v>
      </c>
      <c r="AI60" s="479" t="str">
        <f t="shared" si="106"/>
        <v>NA</v>
      </c>
      <c r="AJ60" s="480" t="str">
        <f t="shared" si="107"/>
        <v>NA</v>
      </c>
      <c r="AK60" s="480" t="str">
        <f t="shared" si="108"/>
        <v>NA</v>
      </c>
      <c r="AL60" s="480" t="str">
        <f t="shared" si="109"/>
        <v>NA</v>
      </c>
      <c r="AM60" s="480" t="str">
        <f t="shared" si="110"/>
        <v>NA</v>
      </c>
      <c r="AN60" s="480" t="str">
        <f t="shared" si="111"/>
        <v>NA</v>
      </c>
      <c r="AO60" s="480" t="str">
        <f t="shared" si="112"/>
        <v>NA</v>
      </c>
      <c r="AP60" s="480" t="str">
        <f t="shared" si="113"/>
        <v>NA</v>
      </c>
      <c r="AQ60" s="480" t="str">
        <f t="shared" si="114"/>
        <v>NA</v>
      </c>
      <c r="AR60" s="481" t="str">
        <f t="shared" si="115"/>
        <v>NA</v>
      </c>
      <c r="AS60" s="481" t="str">
        <f t="shared" si="116"/>
        <v>NA</v>
      </c>
      <c r="AT60" s="481" t="str">
        <f t="shared" si="117"/>
        <v>NA</v>
      </c>
      <c r="AU60" s="481" t="str">
        <f t="shared" si="118"/>
        <v>NA</v>
      </c>
      <c r="AV60" s="482" t="str">
        <f t="shared" si="119"/>
        <v>NA</v>
      </c>
    </row>
    <row r="61" spans="1:48" ht="15" customHeight="1" x14ac:dyDescent="0.25">
      <c r="A61" s="164"/>
      <c r="B61" s="166">
        <v>116</v>
      </c>
      <c r="C61" s="169" t="str">
        <f>_xlfn.XLOOKUP(B61, LgProvEntOrgIDs[Advanced Network/Insurer Carrier Org ID], LgProvEntOrgIDs[Advanced Network/Insurance Carrier Overall])</f>
        <v>Community Health Services</v>
      </c>
      <c r="D61" s="507">
        <f>SUMIFS(AN_TME22[[#All],[Member Months]],AN_TME22[[#All],[Insurance Category Code]],3,AN_TME22[[#All],[Advanced Network/Insurance Carrier Org ID]],B61)</f>
        <v>0</v>
      </c>
      <c r="E61" s="155" t="str">
        <f>IF(D61=0,"NA",SUMIFS(AN_TME22[[#All],[Claims: Hospital Inpatient]],AN_TME22[[#All],[Insurance Category Code]],3,AN_TME22[[#All],[Advanced Network/Insurance Carrier Org ID]],B61)/D61)</f>
        <v>NA</v>
      </c>
      <c r="F61" s="109" t="str">
        <f>IF(D61=0,"NA",SUMIFS(AN_TME22[[#All],[Claims: Hospital Outpatient]],AN_TME22[[#All],[Insurance Category Code]],3,AN_TME22[[#All],[Advanced Network/Insurance Carrier Org ID]],B61)/D61)</f>
        <v>NA</v>
      </c>
      <c r="G61" s="109" t="str">
        <f>IF(D61=0,"NA",SUMIFS(AN_TME22[[#All],[Claims: Professional, Primary Care]],AN_TME22[[#All],[Insurance Category Code]],3,AN_TME22[[#All],[Advanced Network/Insurance Carrier Org ID]],B61)/D61)</f>
        <v>NA</v>
      </c>
      <c r="H61" s="109" t="str">
        <f>IF(D61=0,"NA",SUMIFS(AN_TME22[[#All],[Claims: Professional, Primary Care (for Monitoring Purposes)]],AN_TME22[[#All],[Insurance Category Code]],3,AN_TME22[[#All],[Advanced Network/Insurance Carrier Org ID]],B61)/D61)</f>
        <v>NA</v>
      </c>
      <c r="I61" s="109" t="str">
        <f>IF(D61=0,"NA",SUMIFS(AN_TME22[[#All],[Claims: Professional, Specialty]],AN_TME22[[#All],[Insurance Category Code]],3,AN_TME22[[#All],[Advanced Network/Insurance Carrier Org ID]],B61)/D61)</f>
        <v>NA</v>
      </c>
      <c r="J61" s="109" t="str">
        <f>IF(D61=0,"NA",SUMIFS(AN_TME22[[#All],[Claims: Professional Other]],AN_TME22[[#All],[Insurance Category Code]],3,AN_TME22[[#All],[Advanced Network/Insurance Carrier Org ID]],B61)/D61)</f>
        <v>NA</v>
      </c>
      <c r="K61" s="109" t="str">
        <f>IF(D61=0,"NA",SUMIFS(AN_TME22[[#All],[Claims: Pharmacy]],AN_TME22[[#All],[Insurance Category Code]],3,AN_TME22[[#All],[Advanced Network/Insurance Carrier Org ID]],B61)/D61)</f>
        <v>NA</v>
      </c>
      <c r="L61" s="109" t="str">
        <f>IF(D61=0,"NA",SUMIFS(AN_TME22[[#All],[Claims: Long-Term Care]],AN_TME22[[#All],[Insurance Category Code]],3,AN_TME22[[#All],[Advanced Network/Insurance Carrier Org ID]],B61)/D61)</f>
        <v>NA</v>
      </c>
      <c r="M61" s="109" t="str">
        <f>IF(D61=0,"NA",SUMIFS(AN_TME22[[#All],[Claims: Other]],AN_TME22[[#All],[Insurance Category Code]],3,AN_TME22[[#All],[Advanced Network/Insurance Carrier Org ID]],B61)/D61)</f>
        <v>NA</v>
      </c>
      <c r="N61" s="165" t="str">
        <f>IF(D61=0,"NA",SUMIFS(AN_TME22[[#All],[TOTAL Non-Truncated Unadjusted Claims Expenses]],AN_TME22[[#All],[Insurance Category Code]],3,AN_TME22[[#All],[Advanced Network/Insurance Carrier Org ID]],B61)/D61)</f>
        <v>NA</v>
      </c>
      <c r="O61" s="165" t="str">
        <f>IF(D61=0,"NA",SUMIFS(AN_TME22[[#All],[TOTAL Truncated Unadjusted Claims Expenses (A21 -A19)]],AN_TME22[[#All],[Insurance Category Code]],3,AN_TME22[[#All],[Advanced Network/Insurance Carrier Org ID]],B61)/D61)</f>
        <v>NA</v>
      </c>
      <c r="P61" s="165" t="str">
        <f>IF(D61=0,"NA",SUMIFS(AN_TME22[[#All],[TOTAL Non-Claims Expenses]],AN_TME22[[#All],[Insurance Category Code]],3,AN_TME22[[#All],[Advanced Network/Insurance Carrier Org ID]],B61)/D61)</f>
        <v>NA</v>
      </c>
      <c r="Q61" s="165" t="str">
        <f>IF(D61=0,"NA",SUMIFS(AN_TME22[[#All],[TOTAL Non-Truncated Unadjusted Expenses (A21 + A23)]],AN_TME22[[#All],[Insurance Category Code]],3,AN_TME22[[#All],[Advanced Network/Insurance Carrier Org ID]],B61)/D61)</f>
        <v>NA</v>
      </c>
      <c r="R61" s="165" t="str">
        <f>IF(D61=0,"NA",SUMIFS(AN_TME22[[#All],[TOTAL Truncated Unadjusted Expenses (A22 + A23)]],AN_TME22[[#All],[Insurance Category Code]],3,AN_TME22[[#All],[Advanced Network/Insurance Carrier Org ID]],B61)/D61)</f>
        <v>NA</v>
      </c>
      <c r="S61" s="507">
        <f>SUMIFS(AN_TME23[[#All],[Member Months]],AN_TME23[[#All],[Insurance Category Code]],3,AN_TME23[[#All],[Advanced Network/Insurance Carrier Org ID]],B61)</f>
        <v>0</v>
      </c>
      <c r="T61" s="155" t="str">
        <f>IF(S61=0,"NA",SUMIFS(AN_TME23[[#All],[Claims: Hospital Inpatient]],AN_TME23[[#All],[Insurance Category Code]],3,AN_TME23[[#All],[Advanced Network/Insurance Carrier Org ID]],B61)/S61)</f>
        <v>NA</v>
      </c>
      <c r="U61" s="109" t="str">
        <f>IF(S61=0,"NA",SUMIFS(AN_TME23[[#All],[Claims: Hospital Outpatient]],AN_TME23[[#All],[Insurance Category Code]],3,AN_TME23[[#All],[Advanced Network/Insurance Carrier Org ID]],B61)/S61)</f>
        <v>NA</v>
      </c>
      <c r="V61" s="109" t="str">
        <f>IF(S61=0,"NA",SUMIFS(AN_TME23[[#All],[Claims: Professional, Primary Care]],AN_TME23[[#All],[Insurance Category Code]],3,AN_TME23[[#All],[Advanced Network/Insurance Carrier Org ID]],B61)/S61)</f>
        <v>NA</v>
      </c>
      <c r="W61" s="109" t="str">
        <f>IF(S61=0,"NA",SUMIFS(AN_TME23[[#All],[Claims: Professional, Primary Care (for Monitoring Purposes)]],AN_TME23[[#All],[Insurance Category Code]],3,AN_TME23[[#All],[Advanced Network/Insurance Carrier Org ID]],B61)/S61)</f>
        <v>NA</v>
      </c>
      <c r="X61" s="109" t="str">
        <f>IF(S61=0,"NA",SUMIFS(AN_TME23[[#All],[Claims: Professional, Specialty]],AN_TME23[[#All],[Insurance Category Code]],3,AN_TME23[[#All],[Advanced Network/Insurance Carrier Org ID]],B61)/S61)</f>
        <v>NA</v>
      </c>
      <c r="Y61" s="109" t="str">
        <f>IF(S61=0,"NA",SUMIFS(AN_TME23[[#All],[Claims: Professional Other]],AN_TME23[[#All],[Insurance Category Code]],3,AN_TME23[[#All],[Advanced Network/Insurance Carrier Org ID]],B61)/S61)</f>
        <v>NA</v>
      </c>
      <c r="Z61" s="109" t="str">
        <f>IF(S61=0,"NA",SUMIFS(AN_TME23[[#All],[Claims: Pharmacy]],AN_TME23[[#All],[Insurance Category Code]],3,AN_TME23[[#All],[Advanced Network/Insurance Carrier Org ID]],B61)/S61)</f>
        <v>NA</v>
      </c>
      <c r="AA61" s="109" t="str">
        <f>IF(S61=0,"NA",SUMIFS(AN_TME23[[#All],[Claims: Long-Term Care]],AN_TME23[[#All],[Insurance Category Code]],3,AN_TME23[[#All],[Advanced Network/Insurance Carrier Org ID]],B61)/S61)</f>
        <v>NA</v>
      </c>
      <c r="AB61" s="109" t="str">
        <f>IF(S61=0,"NA",SUMIFS(AN_TME23[[#All],[Claims: Other]],AN_TME23[[#All],[Insurance Category Code]],3,AN_TME23[[#All],[Advanced Network/Insurance Carrier Org ID]],B61)/S61)</f>
        <v>NA</v>
      </c>
      <c r="AC61" s="165" t="str">
        <f>IF(S61=0,"NA",SUMIFS(AN_TME23[[#All],[TOTAL Non-Truncated Unadjusted Claims Expenses]],AN_TME23[[#All],[Insurance Category Code]],3,AN_TME23[[#All],[Advanced Network/Insurance Carrier Org ID]],B61)/S61)</f>
        <v>NA</v>
      </c>
      <c r="AD61" s="165" t="str">
        <f>IF(S61=0,"NA",SUMIFS(AN_TME23[[#All],[TOTAL Truncated Unadjusted Claims Expenses (A21 -A19)]],AN_TME23[[#All],[Insurance Category Code]],3,AN_TME23[[#All],[Advanced Network/Insurance Carrier Org ID]],B61)/S61)</f>
        <v>NA</v>
      </c>
      <c r="AE61" s="165" t="str">
        <f>IF(S61=0,"NA",SUMIFS(AN_TME23[[#All],[TOTAL Non-Claims Expenses]],AN_TME23[[#All],[Insurance Category Code]],3,AN_TME23[[#All],[Advanced Network/Insurance Carrier Org ID]],B61)/S61)</f>
        <v>NA</v>
      </c>
      <c r="AF61" s="165" t="str">
        <f>IF(S61=0,"NA",SUMIFS(AN_TME23[[#All],[TOTAL Non-Truncated Unadjusted Expenses (A21 + A23)]],AN_TME23[[#All],[Insurance Category Code]],3,AN_TME23[[#All],[Advanced Network/Insurance Carrier Org ID]],B61)/S61)</f>
        <v>NA</v>
      </c>
      <c r="AG61" s="156" t="str">
        <f>IF(S61=0,"NA",SUMIFS(AN_TME23[[#All],[TOTAL Truncated Unadjusted Expenses (A22 + A23)]],AN_TME23[[#All],[Insurance Category Code]],3,AN_TME23[[#All],[Advanced Network/Insurance Carrier Org ID]],B61)/S61)</f>
        <v>NA</v>
      </c>
      <c r="AH61" s="478" t="str">
        <f t="shared" si="105"/>
        <v>NA</v>
      </c>
      <c r="AI61" s="479" t="str">
        <f t="shared" si="106"/>
        <v>NA</v>
      </c>
      <c r="AJ61" s="480" t="str">
        <f t="shared" si="107"/>
        <v>NA</v>
      </c>
      <c r="AK61" s="480" t="str">
        <f t="shared" si="108"/>
        <v>NA</v>
      </c>
      <c r="AL61" s="480" t="str">
        <f t="shared" si="109"/>
        <v>NA</v>
      </c>
      <c r="AM61" s="480" t="str">
        <f t="shared" si="110"/>
        <v>NA</v>
      </c>
      <c r="AN61" s="480" t="str">
        <f t="shared" si="111"/>
        <v>NA</v>
      </c>
      <c r="AO61" s="480" t="str">
        <f t="shared" si="112"/>
        <v>NA</v>
      </c>
      <c r="AP61" s="480" t="str">
        <f t="shared" si="113"/>
        <v>NA</v>
      </c>
      <c r="AQ61" s="480" t="str">
        <f t="shared" si="114"/>
        <v>NA</v>
      </c>
      <c r="AR61" s="481" t="str">
        <f t="shared" si="115"/>
        <v>NA</v>
      </c>
      <c r="AS61" s="481" t="str">
        <f t="shared" si="116"/>
        <v>NA</v>
      </c>
      <c r="AT61" s="481" t="str">
        <f t="shared" si="117"/>
        <v>NA</v>
      </c>
      <c r="AU61" s="481" t="str">
        <f t="shared" si="118"/>
        <v>NA</v>
      </c>
      <c r="AV61" s="482" t="str">
        <f t="shared" si="119"/>
        <v>NA</v>
      </c>
    </row>
    <row r="62" spans="1:48" ht="15" customHeight="1" x14ac:dyDescent="0.25">
      <c r="A62" s="164"/>
      <c r="B62" s="166">
        <v>117</v>
      </c>
      <c r="C62" s="169" t="str">
        <f>_xlfn.XLOOKUP(B62, LgProvEntOrgIDs[Advanced Network/Insurer Carrier Org ID], LgProvEntOrgIDs[Advanced Network/Insurance Carrier Overall])</f>
        <v>Cornell Scott Hill Health Center</v>
      </c>
      <c r="D62" s="507">
        <f>SUMIFS(AN_TME22[[#All],[Member Months]],AN_TME22[[#All],[Insurance Category Code]],3,AN_TME22[[#All],[Advanced Network/Insurance Carrier Org ID]],B62)</f>
        <v>0</v>
      </c>
      <c r="E62" s="155" t="str">
        <f>IF(D62=0,"NA",SUMIFS(AN_TME22[[#All],[Claims: Hospital Inpatient]],AN_TME22[[#All],[Insurance Category Code]],3,AN_TME22[[#All],[Advanced Network/Insurance Carrier Org ID]],B62)/D62)</f>
        <v>NA</v>
      </c>
      <c r="F62" s="109" t="str">
        <f>IF(D62=0,"NA",SUMIFS(AN_TME22[[#All],[Claims: Hospital Outpatient]],AN_TME22[[#All],[Insurance Category Code]],3,AN_TME22[[#All],[Advanced Network/Insurance Carrier Org ID]],B62)/D62)</f>
        <v>NA</v>
      </c>
      <c r="G62" s="109" t="str">
        <f>IF(D62=0,"NA",SUMIFS(AN_TME22[[#All],[Claims: Professional, Primary Care]],AN_TME22[[#All],[Insurance Category Code]],3,AN_TME22[[#All],[Advanced Network/Insurance Carrier Org ID]],B62)/D62)</f>
        <v>NA</v>
      </c>
      <c r="H62" s="109" t="str">
        <f>IF(D62=0,"NA",SUMIFS(AN_TME22[[#All],[Claims: Professional, Primary Care (for Monitoring Purposes)]],AN_TME22[[#All],[Insurance Category Code]],3,AN_TME22[[#All],[Advanced Network/Insurance Carrier Org ID]],B62)/D62)</f>
        <v>NA</v>
      </c>
      <c r="I62" s="109" t="str">
        <f>IF(D62=0,"NA",SUMIFS(AN_TME22[[#All],[Claims: Professional, Specialty]],AN_TME22[[#All],[Insurance Category Code]],3,AN_TME22[[#All],[Advanced Network/Insurance Carrier Org ID]],B62)/D62)</f>
        <v>NA</v>
      </c>
      <c r="J62" s="109" t="str">
        <f>IF(D62=0,"NA",SUMIFS(AN_TME22[[#All],[Claims: Professional Other]],AN_TME22[[#All],[Insurance Category Code]],3,AN_TME22[[#All],[Advanced Network/Insurance Carrier Org ID]],B62)/D62)</f>
        <v>NA</v>
      </c>
      <c r="K62" s="109" t="str">
        <f>IF(D62=0,"NA",SUMIFS(AN_TME22[[#All],[Claims: Pharmacy]],AN_TME22[[#All],[Insurance Category Code]],3,AN_TME22[[#All],[Advanced Network/Insurance Carrier Org ID]],B62)/D62)</f>
        <v>NA</v>
      </c>
      <c r="L62" s="109" t="str">
        <f>IF(D62=0,"NA",SUMIFS(AN_TME22[[#All],[Claims: Long-Term Care]],AN_TME22[[#All],[Insurance Category Code]],3,AN_TME22[[#All],[Advanced Network/Insurance Carrier Org ID]],B62)/D62)</f>
        <v>NA</v>
      </c>
      <c r="M62" s="109" t="str">
        <f>IF(D62=0,"NA",SUMIFS(AN_TME22[[#All],[Claims: Other]],AN_TME22[[#All],[Insurance Category Code]],3,AN_TME22[[#All],[Advanced Network/Insurance Carrier Org ID]],B62)/D62)</f>
        <v>NA</v>
      </c>
      <c r="N62" s="165" t="str">
        <f>IF(D62=0,"NA",SUMIFS(AN_TME22[[#All],[TOTAL Non-Truncated Unadjusted Claims Expenses]],AN_TME22[[#All],[Insurance Category Code]],3,AN_TME22[[#All],[Advanced Network/Insurance Carrier Org ID]],B62)/D62)</f>
        <v>NA</v>
      </c>
      <c r="O62" s="165" t="str">
        <f>IF(D62=0,"NA",SUMIFS(AN_TME22[[#All],[TOTAL Truncated Unadjusted Claims Expenses (A21 -A19)]],AN_TME22[[#All],[Insurance Category Code]],3,AN_TME22[[#All],[Advanced Network/Insurance Carrier Org ID]],B62)/D62)</f>
        <v>NA</v>
      </c>
      <c r="P62" s="165" t="str">
        <f>IF(D62=0,"NA",SUMIFS(AN_TME22[[#All],[TOTAL Non-Claims Expenses]],AN_TME22[[#All],[Insurance Category Code]],3,AN_TME22[[#All],[Advanced Network/Insurance Carrier Org ID]],B62)/D62)</f>
        <v>NA</v>
      </c>
      <c r="Q62" s="165" t="str">
        <f>IF(D62=0,"NA",SUMIFS(AN_TME22[[#All],[TOTAL Non-Truncated Unadjusted Expenses (A21 + A23)]],AN_TME22[[#All],[Insurance Category Code]],3,AN_TME22[[#All],[Advanced Network/Insurance Carrier Org ID]],B62)/D62)</f>
        <v>NA</v>
      </c>
      <c r="R62" s="165" t="str">
        <f>IF(D62=0,"NA",SUMIFS(AN_TME22[[#All],[TOTAL Truncated Unadjusted Expenses (A22 + A23)]],AN_TME22[[#All],[Insurance Category Code]],3,AN_TME22[[#All],[Advanced Network/Insurance Carrier Org ID]],B62)/D62)</f>
        <v>NA</v>
      </c>
      <c r="S62" s="507">
        <f>SUMIFS(AN_TME23[[#All],[Member Months]],AN_TME23[[#All],[Insurance Category Code]],3,AN_TME23[[#All],[Advanced Network/Insurance Carrier Org ID]],B62)</f>
        <v>0</v>
      </c>
      <c r="T62" s="155" t="str">
        <f>IF(S62=0,"NA",SUMIFS(AN_TME23[[#All],[Claims: Hospital Inpatient]],AN_TME23[[#All],[Insurance Category Code]],3,AN_TME23[[#All],[Advanced Network/Insurance Carrier Org ID]],B62)/S62)</f>
        <v>NA</v>
      </c>
      <c r="U62" s="109" t="str">
        <f>IF(S62=0,"NA",SUMIFS(AN_TME23[[#All],[Claims: Hospital Outpatient]],AN_TME23[[#All],[Insurance Category Code]],3,AN_TME23[[#All],[Advanced Network/Insurance Carrier Org ID]],B62)/S62)</f>
        <v>NA</v>
      </c>
      <c r="V62" s="109" t="str">
        <f>IF(S62=0,"NA",SUMIFS(AN_TME23[[#All],[Claims: Professional, Primary Care]],AN_TME23[[#All],[Insurance Category Code]],3,AN_TME23[[#All],[Advanced Network/Insurance Carrier Org ID]],B62)/S62)</f>
        <v>NA</v>
      </c>
      <c r="W62" s="109" t="str">
        <f>IF(S62=0,"NA",SUMIFS(AN_TME23[[#All],[Claims: Professional, Primary Care (for Monitoring Purposes)]],AN_TME23[[#All],[Insurance Category Code]],3,AN_TME23[[#All],[Advanced Network/Insurance Carrier Org ID]],B62)/S62)</f>
        <v>NA</v>
      </c>
      <c r="X62" s="109" t="str">
        <f>IF(S62=0,"NA",SUMIFS(AN_TME23[[#All],[Claims: Professional, Specialty]],AN_TME23[[#All],[Insurance Category Code]],3,AN_TME23[[#All],[Advanced Network/Insurance Carrier Org ID]],B62)/S62)</f>
        <v>NA</v>
      </c>
      <c r="Y62" s="109" t="str">
        <f>IF(S62=0,"NA",SUMIFS(AN_TME23[[#All],[Claims: Professional Other]],AN_TME23[[#All],[Insurance Category Code]],3,AN_TME23[[#All],[Advanced Network/Insurance Carrier Org ID]],B62)/S62)</f>
        <v>NA</v>
      </c>
      <c r="Z62" s="109" t="str">
        <f>IF(S62=0,"NA",SUMIFS(AN_TME23[[#All],[Claims: Pharmacy]],AN_TME23[[#All],[Insurance Category Code]],3,AN_TME23[[#All],[Advanced Network/Insurance Carrier Org ID]],B62)/S62)</f>
        <v>NA</v>
      </c>
      <c r="AA62" s="109" t="str">
        <f>IF(S62=0,"NA",SUMIFS(AN_TME23[[#All],[Claims: Long-Term Care]],AN_TME23[[#All],[Insurance Category Code]],3,AN_TME23[[#All],[Advanced Network/Insurance Carrier Org ID]],B62)/S62)</f>
        <v>NA</v>
      </c>
      <c r="AB62" s="109" t="str">
        <f>IF(S62=0,"NA",SUMIFS(AN_TME23[[#All],[Claims: Other]],AN_TME23[[#All],[Insurance Category Code]],3,AN_TME23[[#All],[Advanced Network/Insurance Carrier Org ID]],B62)/S62)</f>
        <v>NA</v>
      </c>
      <c r="AC62" s="165" t="str">
        <f>IF(S62=0,"NA",SUMIFS(AN_TME23[[#All],[TOTAL Non-Truncated Unadjusted Claims Expenses]],AN_TME23[[#All],[Insurance Category Code]],3,AN_TME23[[#All],[Advanced Network/Insurance Carrier Org ID]],B62)/S62)</f>
        <v>NA</v>
      </c>
      <c r="AD62" s="165" t="str">
        <f>IF(S62=0,"NA",SUMIFS(AN_TME23[[#All],[TOTAL Truncated Unadjusted Claims Expenses (A21 -A19)]],AN_TME23[[#All],[Insurance Category Code]],3,AN_TME23[[#All],[Advanced Network/Insurance Carrier Org ID]],B62)/S62)</f>
        <v>NA</v>
      </c>
      <c r="AE62" s="165" t="str">
        <f>IF(S62=0,"NA",SUMIFS(AN_TME23[[#All],[TOTAL Non-Claims Expenses]],AN_TME23[[#All],[Insurance Category Code]],3,AN_TME23[[#All],[Advanced Network/Insurance Carrier Org ID]],B62)/S62)</f>
        <v>NA</v>
      </c>
      <c r="AF62" s="165" t="str">
        <f>IF(S62=0,"NA",SUMIFS(AN_TME23[[#All],[TOTAL Non-Truncated Unadjusted Expenses (A21 + A23)]],AN_TME23[[#All],[Insurance Category Code]],3,AN_TME23[[#All],[Advanced Network/Insurance Carrier Org ID]],B62)/S62)</f>
        <v>NA</v>
      </c>
      <c r="AG62" s="156" t="str">
        <f>IF(S62=0,"NA",SUMIFS(AN_TME23[[#All],[TOTAL Truncated Unadjusted Expenses (A22 + A23)]],AN_TME23[[#All],[Insurance Category Code]],3,AN_TME23[[#All],[Advanced Network/Insurance Carrier Org ID]],B62)/S62)</f>
        <v>NA</v>
      </c>
      <c r="AH62" s="478" t="str">
        <f t="shared" si="105"/>
        <v>NA</v>
      </c>
      <c r="AI62" s="479" t="str">
        <f t="shared" si="106"/>
        <v>NA</v>
      </c>
      <c r="AJ62" s="480" t="str">
        <f t="shared" si="107"/>
        <v>NA</v>
      </c>
      <c r="AK62" s="480" t="str">
        <f t="shared" si="108"/>
        <v>NA</v>
      </c>
      <c r="AL62" s="480" t="str">
        <f t="shared" si="109"/>
        <v>NA</v>
      </c>
      <c r="AM62" s="480" t="str">
        <f t="shared" si="110"/>
        <v>NA</v>
      </c>
      <c r="AN62" s="480" t="str">
        <f t="shared" si="111"/>
        <v>NA</v>
      </c>
      <c r="AO62" s="480" t="str">
        <f t="shared" si="112"/>
        <v>NA</v>
      </c>
      <c r="AP62" s="480" t="str">
        <f t="shared" si="113"/>
        <v>NA</v>
      </c>
      <c r="AQ62" s="480" t="str">
        <f t="shared" si="114"/>
        <v>NA</v>
      </c>
      <c r="AR62" s="481" t="str">
        <f t="shared" si="115"/>
        <v>NA</v>
      </c>
      <c r="AS62" s="481" t="str">
        <f t="shared" si="116"/>
        <v>NA</v>
      </c>
      <c r="AT62" s="481" t="str">
        <f t="shared" si="117"/>
        <v>NA</v>
      </c>
      <c r="AU62" s="481" t="str">
        <f t="shared" si="118"/>
        <v>NA</v>
      </c>
      <c r="AV62" s="482" t="str">
        <f t="shared" si="119"/>
        <v>NA</v>
      </c>
    </row>
    <row r="63" spans="1:48" ht="15" customHeight="1" x14ac:dyDescent="0.25">
      <c r="A63" s="164"/>
      <c r="B63" s="166">
        <v>118</v>
      </c>
      <c r="C63" s="169" t="str">
        <f>_xlfn.XLOOKUP(B63, LgProvEntOrgIDs[Advanced Network/Insurer Carrier Org ID], LgProvEntOrgIDs[Advanced Network/Insurance Carrier Overall])</f>
        <v>Fair Haven Community Health Center</v>
      </c>
      <c r="D63" s="507">
        <f>SUMIFS(AN_TME22[[#All],[Member Months]],AN_TME22[[#All],[Insurance Category Code]],3,AN_TME22[[#All],[Advanced Network/Insurance Carrier Org ID]],B63)</f>
        <v>0</v>
      </c>
      <c r="E63" s="155" t="str">
        <f>IF(D63=0,"NA",SUMIFS(AN_TME22[[#All],[Claims: Hospital Inpatient]],AN_TME22[[#All],[Insurance Category Code]],3,AN_TME22[[#All],[Advanced Network/Insurance Carrier Org ID]],B63)/D63)</f>
        <v>NA</v>
      </c>
      <c r="F63" s="109" t="str">
        <f>IF(D63=0,"NA",SUMIFS(AN_TME22[[#All],[Claims: Hospital Outpatient]],AN_TME22[[#All],[Insurance Category Code]],3,AN_TME22[[#All],[Advanced Network/Insurance Carrier Org ID]],B63)/D63)</f>
        <v>NA</v>
      </c>
      <c r="G63" s="109" t="str">
        <f>IF(D63=0,"NA",SUMIFS(AN_TME22[[#All],[Claims: Professional, Primary Care]],AN_TME22[[#All],[Insurance Category Code]],3,AN_TME22[[#All],[Advanced Network/Insurance Carrier Org ID]],B63)/D63)</f>
        <v>NA</v>
      </c>
      <c r="H63" s="109" t="str">
        <f>IF(D63=0,"NA",SUMIFS(AN_TME22[[#All],[Claims: Professional, Primary Care (for Monitoring Purposes)]],AN_TME22[[#All],[Insurance Category Code]],3,AN_TME22[[#All],[Advanced Network/Insurance Carrier Org ID]],B63)/D63)</f>
        <v>NA</v>
      </c>
      <c r="I63" s="109" t="str">
        <f>IF(D63=0,"NA",SUMIFS(AN_TME22[[#All],[Claims: Professional, Specialty]],AN_TME22[[#All],[Insurance Category Code]],3,AN_TME22[[#All],[Advanced Network/Insurance Carrier Org ID]],B63)/D63)</f>
        <v>NA</v>
      </c>
      <c r="J63" s="109" t="str">
        <f>IF(D63=0,"NA",SUMIFS(AN_TME22[[#All],[Claims: Professional Other]],AN_TME22[[#All],[Insurance Category Code]],3,AN_TME22[[#All],[Advanced Network/Insurance Carrier Org ID]],B63)/D63)</f>
        <v>NA</v>
      </c>
      <c r="K63" s="109" t="str">
        <f>IF(D63=0,"NA",SUMIFS(AN_TME22[[#All],[Claims: Pharmacy]],AN_TME22[[#All],[Insurance Category Code]],3,AN_TME22[[#All],[Advanced Network/Insurance Carrier Org ID]],B63)/D63)</f>
        <v>NA</v>
      </c>
      <c r="L63" s="109" t="str">
        <f>IF(D63=0,"NA",SUMIFS(AN_TME22[[#All],[Claims: Long-Term Care]],AN_TME22[[#All],[Insurance Category Code]],3,AN_TME22[[#All],[Advanced Network/Insurance Carrier Org ID]],B63)/D63)</f>
        <v>NA</v>
      </c>
      <c r="M63" s="109" t="str">
        <f>IF(D63=0,"NA",SUMIFS(AN_TME22[[#All],[Claims: Other]],AN_TME22[[#All],[Insurance Category Code]],3,AN_TME22[[#All],[Advanced Network/Insurance Carrier Org ID]],B63)/D63)</f>
        <v>NA</v>
      </c>
      <c r="N63" s="165" t="str">
        <f>IF(D63=0,"NA",SUMIFS(AN_TME22[[#All],[TOTAL Non-Truncated Unadjusted Claims Expenses]],AN_TME22[[#All],[Insurance Category Code]],3,AN_TME22[[#All],[Advanced Network/Insurance Carrier Org ID]],B63)/D63)</f>
        <v>NA</v>
      </c>
      <c r="O63" s="165" t="str">
        <f>IF(D63=0,"NA",SUMIFS(AN_TME22[[#All],[TOTAL Truncated Unadjusted Claims Expenses (A21 -A19)]],AN_TME22[[#All],[Insurance Category Code]],3,AN_TME22[[#All],[Advanced Network/Insurance Carrier Org ID]],B63)/D63)</f>
        <v>NA</v>
      </c>
      <c r="P63" s="165" t="str">
        <f>IF(D63=0,"NA",SUMIFS(AN_TME22[[#All],[TOTAL Non-Claims Expenses]],AN_TME22[[#All],[Insurance Category Code]],3,AN_TME22[[#All],[Advanced Network/Insurance Carrier Org ID]],B63)/D63)</f>
        <v>NA</v>
      </c>
      <c r="Q63" s="165" t="str">
        <f>IF(D63=0,"NA",SUMIFS(AN_TME22[[#All],[TOTAL Non-Truncated Unadjusted Expenses (A21 + A23)]],AN_TME22[[#All],[Insurance Category Code]],3,AN_TME22[[#All],[Advanced Network/Insurance Carrier Org ID]],B63)/D63)</f>
        <v>NA</v>
      </c>
      <c r="R63" s="165" t="str">
        <f>IF(D63=0,"NA",SUMIFS(AN_TME22[[#All],[TOTAL Truncated Unadjusted Expenses (A22 + A23)]],AN_TME22[[#All],[Insurance Category Code]],3,AN_TME22[[#All],[Advanced Network/Insurance Carrier Org ID]],B63)/D63)</f>
        <v>NA</v>
      </c>
      <c r="S63" s="507">
        <f>SUMIFS(AN_TME23[[#All],[Member Months]],AN_TME23[[#All],[Insurance Category Code]],3,AN_TME23[[#All],[Advanced Network/Insurance Carrier Org ID]],B63)</f>
        <v>0</v>
      </c>
      <c r="T63" s="155" t="str">
        <f>IF(S63=0,"NA",SUMIFS(AN_TME23[[#All],[Claims: Hospital Inpatient]],AN_TME23[[#All],[Insurance Category Code]],3,AN_TME23[[#All],[Advanced Network/Insurance Carrier Org ID]],B63)/S63)</f>
        <v>NA</v>
      </c>
      <c r="U63" s="109" t="str">
        <f>IF(S63=0,"NA",SUMIFS(AN_TME23[[#All],[Claims: Hospital Outpatient]],AN_TME23[[#All],[Insurance Category Code]],3,AN_TME23[[#All],[Advanced Network/Insurance Carrier Org ID]],B63)/S63)</f>
        <v>NA</v>
      </c>
      <c r="V63" s="109" t="str">
        <f>IF(S63=0,"NA",SUMIFS(AN_TME23[[#All],[Claims: Professional, Primary Care]],AN_TME23[[#All],[Insurance Category Code]],3,AN_TME23[[#All],[Advanced Network/Insurance Carrier Org ID]],B63)/S63)</f>
        <v>NA</v>
      </c>
      <c r="W63" s="109" t="str">
        <f>IF(S63=0,"NA",SUMIFS(AN_TME23[[#All],[Claims: Professional, Primary Care (for Monitoring Purposes)]],AN_TME23[[#All],[Insurance Category Code]],3,AN_TME23[[#All],[Advanced Network/Insurance Carrier Org ID]],B63)/S63)</f>
        <v>NA</v>
      </c>
      <c r="X63" s="109" t="str">
        <f>IF(S63=0,"NA",SUMIFS(AN_TME23[[#All],[Claims: Professional, Specialty]],AN_TME23[[#All],[Insurance Category Code]],3,AN_TME23[[#All],[Advanced Network/Insurance Carrier Org ID]],B63)/S63)</f>
        <v>NA</v>
      </c>
      <c r="Y63" s="109" t="str">
        <f>IF(S63=0,"NA",SUMIFS(AN_TME23[[#All],[Claims: Professional Other]],AN_TME23[[#All],[Insurance Category Code]],3,AN_TME23[[#All],[Advanced Network/Insurance Carrier Org ID]],B63)/S63)</f>
        <v>NA</v>
      </c>
      <c r="Z63" s="109" t="str">
        <f>IF(S63=0,"NA",SUMIFS(AN_TME23[[#All],[Claims: Pharmacy]],AN_TME23[[#All],[Insurance Category Code]],3,AN_TME23[[#All],[Advanced Network/Insurance Carrier Org ID]],B63)/S63)</f>
        <v>NA</v>
      </c>
      <c r="AA63" s="109" t="str">
        <f>IF(S63=0,"NA",SUMIFS(AN_TME23[[#All],[Claims: Long-Term Care]],AN_TME23[[#All],[Insurance Category Code]],3,AN_TME23[[#All],[Advanced Network/Insurance Carrier Org ID]],B63)/S63)</f>
        <v>NA</v>
      </c>
      <c r="AB63" s="109" t="str">
        <f>IF(S63=0,"NA",SUMIFS(AN_TME23[[#All],[Claims: Other]],AN_TME23[[#All],[Insurance Category Code]],3,AN_TME23[[#All],[Advanced Network/Insurance Carrier Org ID]],B63)/S63)</f>
        <v>NA</v>
      </c>
      <c r="AC63" s="165" t="str">
        <f>IF(S63=0,"NA",SUMIFS(AN_TME23[[#All],[TOTAL Non-Truncated Unadjusted Claims Expenses]],AN_TME23[[#All],[Insurance Category Code]],3,AN_TME23[[#All],[Advanced Network/Insurance Carrier Org ID]],B63)/S63)</f>
        <v>NA</v>
      </c>
      <c r="AD63" s="165" t="str">
        <f>IF(S63=0,"NA",SUMIFS(AN_TME23[[#All],[TOTAL Truncated Unadjusted Claims Expenses (A21 -A19)]],AN_TME23[[#All],[Insurance Category Code]],3,AN_TME23[[#All],[Advanced Network/Insurance Carrier Org ID]],B63)/S63)</f>
        <v>NA</v>
      </c>
      <c r="AE63" s="165" t="str">
        <f>IF(S63=0,"NA",SUMIFS(AN_TME23[[#All],[TOTAL Non-Claims Expenses]],AN_TME23[[#All],[Insurance Category Code]],3,AN_TME23[[#All],[Advanced Network/Insurance Carrier Org ID]],B63)/S63)</f>
        <v>NA</v>
      </c>
      <c r="AF63" s="165" t="str">
        <f>IF(S63=0,"NA",SUMIFS(AN_TME23[[#All],[TOTAL Non-Truncated Unadjusted Expenses (A21 + A23)]],AN_TME23[[#All],[Insurance Category Code]],3,AN_TME23[[#All],[Advanced Network/Insurance Carrier Org ID]],B63)/S63)</f>
        <v>NA</v>
      </c>
      <c r="AG63" s="156" t="str">
        <f>IF(S63=0,"NA",SUMIFS(AN_TME23[[#All],[TOTAL Truncated Unadjusted Expenses (A22 + A23)]],AN_TME23[[#All],[Insurance Category Code]],3,AN_TME23[[#All],[Advanced Network/Insurance Carrier Org ID]],B63)/S63)</f>
        <v>NA</v>
      </c>
      <c r="AH63" s="478" t="str">
        <f t="shared" si="105"/>
        <v>NA</v>
      </c>
      <c r="AI63" s="479" t="str">
        <f t="shared" si="106"/>
        <v>NA</v>
      </c>
      <c r="AJ63" s="480" t="str">
        <f t="shared" si="107"/>
        <v>NA</v>
      </c>
      <c r="AK63" s="480" t="str">
        <f t="shared" si="108"/>
        <v>NA</v>
      </c>
      <c r="AL63" s="480" t="str">
        <f t="shared" si="109"/>
        <v>NA</v>
      </c>
      <c r="AM63" s="480" t="str">
        <f t="shared" si="110"/>
        <v>NA</v>
      </c>
      <c r="AN63" s="480" t="str">
        <f t="shared" si="111"/>
        <v>NA</v>
      </c>
      <c r="AO63" s="480" t="str">
        <f t="shared" si="112"/>
        <v>NA</v>
      </c>
      <c r="AP63" s="480" t="str">
        <f t="shared" si="113"/>
        <v>NA</v>
      </c>
      <c r="AQ63" s="480" t="str">
        <f t="shared" si="114"/>
        <v>NA</v>
      </c>
      <c r="AR63" s="481" t="str">
        <f t="shared" si="115"/>
        <v>NA</v>
      </c>
      <c r="AS63" s="481" t="str">
        <f t="shared" si="116"/>
        <v>NA</v>
      </c>
      <c r="AT63" s="481" t="str">
        <f t="shared" si="117"/>
        <v>NA</v>
      </c>
      <c r="AU63" s="481" t="str">
        <f t="shared" si="118"/>
        <v>NA</v>
      </c>
      <c r="AV63" s="482" t="str">
        <f t="shared" si="119"/>
        <v>NA</v>
      </c>
    </row>
    <row r="64" spans="1:48" ht="15" customHeight="1" x14ac:dyDescent="0.25">
      <c r="A64" s="164"/>
      <c r="B64" s="166">
        <v>119</v>
      </c>
      <c r="C64" s="169" t="str">
        <f>_xlfn.XLOOKUP(B64, LgProvEntOrgIDs[Advanced Network/Insurer Carrier Org ID], LgProvEntOrgIDs[Advanced Network/Insurance Carrier Overall])</f>
        <v>Family Centers</v>
      </c>
      <c r="D64" s="507">
        <f>SUMIFS(AN_TME22[[#All],[Member Months]],AN_TME22[[#All],[Insurance Category Code]],3,AN_TME22[[#All],[Advanced Network/Insurance Carrier Org ID]],B64)</f>
        <v>0</v>
      </c>
      <c r="E64" s="155" t="str">
        <f>IF(D64=0,"NA",SUMIFS(AN_TME22[[#All],[Claims: Hospital Inpatient]],AN_TME22[[#All],[Insurance Category Code]],3,AN_TME22[[#All],[Advanced Network/Insurance Carrier Org ID]],B64)/D64)</f>
        <v>NA</v>
      </c>
      <c r="F64" s="109" t="str">
        <f>IF(D64=0,"NA",SUMIFS(AN_TME22[[#All],[Claims: Hospital Outpatient]],AN_TME22[[#All],[Insurance Category Code]],3,AN_TME22[[#All],[Advanced Network/Insurance Carrier Org ID]],B64)/D64)</f>
        <v>NA</v>
      </c>
      <c r="G64" s="109" t="str">
        <f>IF(D64=0,"NA",SUMIFS(AN_TME22[[#All],[Claims: Professional, Primary Care]],AN_TME22[[#All],[Insurance Category Code]],3,AN_TME22[[#All],[Advanced Network/Insurance Carrier Org ID]],B64)/D64)</f>
        <v>NA</v>
      </c>
      <c r="H64" s="109" t="str">
        <f>IF(D64=0,"NA",SUMIFS(AN_TME22[[#All],[Claims: Professional, Primary Care (for Monitoring Purposes)]],AN_TME22[[#All],[Insurance Category Code]],3,AN_TME22[[#All],[Advanced Network/Insurance Carrier Org ID]],B64)/D64)</f>
        <v>NA</v>
      </c>
      <c r="I64" s="109" t="str">
        <f>IF(D64=0,"NA",SUMIFS(AN_TME22[[#All],[Claims: Professional, Specialty]],AN_TME22[[#All],[Insurance Category Code]],3,AN_TME22[[#All],[Advanced Network/Insurance Carrier Org ID]],B64)/D64)</f>
        <v>NA</v>
      </c>
      <c r="J64" s="109" t="str">
        <f>IF(D64=0,"NA",SUMIFS(AN_TME22[[#All],[Claims: Professional Other]],AN_TME22[[#All],[Insurance Category Code]],3,AN_TME22[[#All],[Advanced Network/Insurance Carrier Org ID]],B64)/D64)</f>
        <v>NA</v>
      </c>
      <c r="K64" s="109" t="str">
        <f>IF(D64=0,"NA",SUMIFS(AN_TME22[[#All],[Claims: Pharmacy]],AN_TME22[[#All],[Insurance Category Code]],3,AN_TME22[[#All],[Advanced Network/Insurance Carrier Org ID]],B64)/D64)</f>
        <v>NA</v>
      </c>
      <c r="L64" s="109" t="str">
        <f>IF(D64=0,"NA",SUMIFS(AN_TME22[[#All],[Claims: Long-Term Care]],AN_TME22[[#All],[Insurance Category Code]],3,AN_TME22[[#All],[Advanced Network/Insurance Carrier Org ID]],B64)/D64)</f>
        <v>NA</v>
      </c>
      <c r="M64" s="109" t="str">
        <f>IF(D64=0,"NA",SUMIFS(AN_TME22[[#All],[Claims: Other]],AN_TME22[[#All],[Insurance Category Code]],3,AN_TME22[[#All],[Advanced Network/Insurance Carrier Org ID]],B64)/D64)</f>
        <v>NA</v>
      </c>
      <c r="N64" s="165" t="str">
        <f>IF(D64=0,"NA",SUMIFS(AN_TME22[[#All],[TOTAL Non-Truncated Unadjusted Claims Expenses]],AN_TME22[[#All],[Insurance Category Code]],3,AN_TME22[[#All],[Advanced Network/Insurance Carrier Org ID]],B64)/D64)</f>
        <v>NA</v>
      </c>
      <c r="O64" s="165" t="str">
        <f>IF(D64=0,"NA",SUMIFS(AN_TME22[[#All],[TOTAL Truncated Unadjusted Claims Expenses (A21 -A19)]],AN_TME22[[#All],[Insurance Category Code]],3,AN_TME22[[#All],[Advanced Network/Insurance Carrier Org ID]],B64)/D64)</f>
        <v>NA</v>
      </c>
      <c r="P64" s="165" t="str">
        <f>IF(D64=0,"NA",SUMIFS(AN_TME22[[#All],[TOTAL Non-Claims Expenses]],AN_TME22[[#All],[Insurance Category Code]],3,AN_TME22[[#All],[Advanced Network/Insurance Carrier Org ID]],B64)/D64)</f>
        <v>NA</v>
      </c>
      <c r="Q64" s="165" t="str">
        <f>IF(D64=0,"NA",SUMIFS(AN_TME22[[#All],[TOTAL Non-Truncated Unadjusted Expenses (A21 + A23)]],AN_TME22[[#All],[Insurance Category Code]],3,AN_TME22[[#All],[Advanced Network/Insurance Carrier Org ID]],B64)/D64)</f>
        <v>NA</v>
      </c>
      <c r="R64" s="165" t="str">
        <f>IF(D64=0,"NA",SUMIFS(AN_TME22[[#All],[TOTAL Truncated Unadjusted Expenses (A22 + A23)]],AN_TME22[[#All],[Insurance Category Code]],3,AN_TME22[[#All],[Advanced Network/Insurance Carrier Org ID]],B64)/D64)</f>
        <v>NA</v>
      </c>
      <c r="S64" s="507">
        <f>SUMIFS(AN_TME23[[#All],[Member Months]],AN_TME23[[#All],[Insurance Category Code]],3,AN_TME23[[#All],[Advanced Network/Insurance Carrier Org ID]],B64)</f>
        <v>0</v>
      </c>
      <c r="T64" s="155" t="str">
        <f>IF(S64=0,"NA",SUMIFS(AN_TME23[[#All],[Claims: Hospital Inpatient]],AN_TME23[[#All],[Insurance Category Code]],3,AN_TME23[[#All],[Advanced Network/Insurance Carrier Org ID]],B64)/S64)</f>
        <v>NA</v>
      </c>
      <c r="U64" s="109" t="str">
        <f>IF(S64=0,"NA",SUMIFS(AN_TME23[[#All],[Claims: Hospital Outpatient]],AN_TME23[[#All],[Insurance Category Code]],3,AN_TME23[[#All],[Advanced Network/Insurance Carrier Org ID]],B64)/S64)</f>
        <v>NA</v>
      </c>
      <c r="V64" s="109" t="str">
        <f>IF(S64=0,"NA",SUMIFS(AN_TME23[[#All],[Claims: Professional, Primary Care]],AN_TME23[[#All],[Insurance Category Code]],3,AN_TME23[[#All],[Advanced Network/Insurance Carrier Org ID]],B64)/S64)</f>
        <v>NA</v>
      </c>
      <c r="W64" s="109" t="str">
        <f>IF(S64=0,"NA",SUMIFS(AN_TME23[[#All],[Claims: Professional, Primary Care (for Monitoring Purposes)]],AN_TME23[[#All],[Insurance Category Code]],3,AN_TME23[[#All],[Advanced Network/Insurance Carrier Org ID]],B64)/S64)</f>
        <v>NA</v>
      </c>
      <c r="X64" s="109" t="str">
        <f>IF(S64=0,"NA",SUMIFS(AN_TME23[[#All],[Claims: Professional, Specialty]],AN_TME23[[#All],[Insurance Category Code]],3,AN_TME23[[#All],[Advanced Network/Insurance Carrier Org ID]],B64)/S64)</f>
        <v>NA</v>
      </c>
      <c r="Y64" s="109" t="str">
        <f>IF(S64=0,"NA",SUMIFS(AN_TME23[[#All],[Claims: Professional Other]],AN_TME23[[#All],[Insurance Category Code]],3,AN_TME23[[#All],[Advanced Network/Insurance Carrier Org ID]],B64)/S64)</f>
        <v>NA</v>
      </c>
      <c r="Z64" s="109" t="str">
        <f>IF(S64=0,"NA",SUMIFS(AN_TME23[[#All],[Claims: Pharmacy]],AN_TME23[[#All],[Insurance Category Code]],3,AN_TME23[[#All],[Advanced Network/Insurance Carrier Org ID]],B64)/S64)</f>
        <v>NA</v>
      </c>
      <c r="AA64" s="109" t="str">
        <f>IF(S64=0,"NA",SUMIFS(AN_TME23[[#All],[Claims: Long-Term Care]],AN_TME23[[#All],[Insurance Category Code]],3,AN_TME23[[#All],[Advanced Network/Insurance Carrier Org ID]],B64)/S64)</f>
        <v>NA</v>
      </c>
      <c r="AB64" s="109" t="str">
        <f>IF(S64=0,"NA",SUMIFS(AN_TME23[[#All],[Claims: Other]],AN_TME23[[#All],[Insurance Category Code]],3,AN_TME23[[#All],[Advanced Network/Insurance Carrier Org ID]],B64)/S64)</f>
        <v>NA</v>
      </c>
      <c r="AC64" s="165" t="str">
        <f>IF(S64=0,"NA",SUMIFS(AN_TME23[[#All],[TOTAL Non-Truncated Unadjusted Claims Expenses]],AN_TME23[[#All],[Insurance Category Code]],3,AN_TME23[[#All],[Advanced Network/Insurance Carrier Org ID]],B64)/S64)</f>
        <v>NA</v>
      </c>
      <c r="AD64" s="165" t="str">
        <f>IF(S64=0,"NA",SUMIFS(AN_TME23[[#All],[TOTAL Truncated Unadjusted Claims Expenses (A21 -A19)]],AN_TME23[[#All],[Insurance Category Code]],3,AN_TME23[[#All],[Advanced Network/Insurance Carrier Org ID]],B64)/S64)</f>
        <v>NA</v>
      </c>
      <c r="AE64" s="165" t="str">
        <f>IF(S64=0,"NA",SUMIFS(AN_TME23[[#All],[TOTAL Non-Claims Expenses]],AN_TME23[[#All],[Insurance Category Code]],3,AN_TME23[[#All],[Advanced Network/Insurance Carrier Org ID]],B64)/S64)</f>
        <v>NA</v>
      </c>
      <c r="AF64" s="165" t="str">
        <f>IF(S64=0,"NA",SUMIFS(AN_TME23[[#All],[TOTAL Non-Truncated Unadjusted Expenses (A21 + A23)]],AN_TME23[[#All],[Insurance Category Code]],3,AN_TME23[[#All],[Advanced Network/Insurance Carrier Org ID]],B64)/S64)</f>
        <v>NA</v>
      </c>
      <c r="AG64" s="156" t="str">
        <f>IF(S64=0,"NA",SUMIFS(AN_TME23[[#All],[TOTAL Truncated Unadjusted Expenses (A22 + A23)]],AN_TME23[[#All],[Insurance Category Code]],3,AN_TME23[[#All],[Advanced Network/Insurance Carrier Org ID]],B64)/S64)</f>
        <v>NA</v>
      </c>
      <c r="AH64" s="478" t="str">
        <f t="shared" si="105"/>
        <v>NA</v>
      </c>
      <c r="AI64" s="479" t="str">
        <f t="shared" si="106"/>
        <v>NA</v>
      </c>
      <c r="AJ64" s="480" t="str">
        <f t="shared" si="107"/>
        <v>NA</v>
      </c>
      <c r="AK64" s="480" t="str">
        <f t="shared" si="108"/>
        <v>NA</v>
      </c>
      <c r="AL64" s="480" t="str">
        <f t="shared" si="109"/>
        <v>NA</v>
      </c>
      <c r="AM64" s="480" t="str">
        <f t="shared" si="110"/>
        <v>NA</v>
      </c>
      <c r="AN64" s="480" t="str">
        <f t="shared" si="111"/>
        <v>NA</v>
      </c>
      <c r="AO64" s="480" t="str">
        <f t="shared" si="112"/>
        <v>NA</v>
      </c>
      <c r="AP64" s="480" t="str">
        <f t="shared" si="113"/>
        <v>NA</v>
      </c>
      <c r="AQ64" s="480" t="str">
        <f t="shared" si="114"/>
        <v>NA</v>
      </c>
      <c r="AR64" s="481" t="str">
        <f t="shared" si="115"/>
        <v>NA</v>
      </c>
      <c r="AS64" s="481" t="str">
        <f t="shared" si="116"/>
        <v>NA</v>
      </c>
      <c r="AT64" s="481" t="str">
        <f t="shared" si="117"/>
        <v>NA</v>
      </c>
      <c r="AU64" s="481" t="str">
        <f t="shared" si="118"/>
        <v>NA</v>
      </c>
      <c r="AV64" s="482" t="str">
        <f t="shared" si="119"/>
        <v>NA</v>
      </c>
    </row>
    <row r="65" spans="1:48" ht="15" customHeight="1" x14ac:dyDescent="0.25">
      <c r="A65" s="164"/>
      <c r="B65" s="166">
        <v>120</v>
      </c>
      <c r="C65" s="169" t="str">
        <f>_xlfn.XLOOKUP(B65, LgProvEntOrgIDs[Advanced Network/Insurer Carrier Org ID], LgProvEntOrgIDs[Advanced Network/Insurance Carrier Overall])</f>
        <v>First Choice Community Health Centers</v>
      </c>
      <c r="D65" s="507">
        <f>SUMIFS(AN_TME22[[#All],[Member Months]],AN_TME22[[#All],[Insurance Category Code]],3,AN_TME22[[#All],[Advanced Network/Insurance Carrier Org ID]],B65)</f>
        <v>0</v>
      </c>
      <c r="E65" s="155" t="str">
        <f>IF(D65=0,"NA",SUMIFS(AN_TME22[[#All],[Claims: Hospital Inpatient]],AN_TME22[[#All],[Insurance Category Code]],3,AN_TME22[[#All],[Advanced Network/Insurance Carrier Org ID]],B65)/D65)</f>
        <v>NA</v>
      </c>
      <c r="F65" s="109" t="str">
        <f>IF(D65=0,"NA",SUMIFS(AN_TME22[[#All],[Claims: Hospital Outpatient]],AN_TME22[[#All],[Insurance Category Code]],3,AN_TME22[[#All],[Advanced Network/Insurance Carrier Org ID]],B65)/D65)</f>
        <v>NA</v>
      </c>
      <c r="G65" s="109" t="str">
        <f>IF(D65=0,"NA",SUMIFS(AN_TME22[[#All],[Claims: Professional, Primary Care]],AN_TME22[[#All],[Insurance Category Code]],3,AN_TME22[[#All],[Advanced Network/Insurance Carrier Org ID]],B65)/D65)</f>
        <v>NA</v>
      </c>
      <c r="H65" s="109" t="str">
        <f>IF(D65=0,"NA",SUMIFS(AN_TME22[[#All],[Claims: Professional, Primary Care (for Monitoring Purposes)]],AN_TME22[[#All],[Insurance Category Code]],3,AN_TME22[[#All],[Advanced Network/Insurance Carrier Org ID]],B65)/D65)</f>
        <v>NA</v>
      </c>
      <c r="I65" s="109" t="str">
        <f>IF(D65=0,"NA",SUMIFS(AN_TME22[[#All],[Claims: Professional, Specialty]],AN_TME22[[#All],[Insurance Category Code]],3,AN_TME22[[#All],[Advanced Network/Insurance Carrier Org ID]],B65)/D65)</f>
        <v>NA</v>
      </c>
      <c r="J65" s="109" t="str">
        <f>IF(D65=0,"NA",SUMIFS(AN_TME22[[#All],[Claims: Professional Other]],AN_TME22[[#All],[Insurance Category Code]],3,AN_TME22[[#All],[Advanced Network/Insurance Carrier Org ID]],B65)/D65)</f>
        <v>NA</v>
      </c>
      <c r="K65" s="109" t="str">
        <f>IF(D65=0,"NA",SUMIFS(AN_TME22[[#All],[Claims: Pharmacy]],AN_TME22[[#All],[Insurance Category Code]],3,AN_TME22[[#All],[Advanced Network/Insurance Carrier Org ID]],B65)/D65)</f>
        <v>NA</v>
      </c>
      <c r="L65" s="109" t="str">
        <f>IF(D65=0,"NA",SUMIFS(AN_TME22[[#All],[Claims: Long-Term Care]],AN_TME22[[#All],[Insurance Category Code]],3,AN_TME22[[#All],[Advanced Network/Insurance Carrier Org ID]],B65)/D65)</f>
        <v>NA</v>
      </c>
      <c r="M65" s="109" t="str">
        <f>IF(D65=0,"NA",SUMIFS(AN_TME22[[#All],[Claims: Other]],AN_TME22[[#All],[Insurance Category Code]],3,AN_TME22[[#All],[Advanced Network/Insurance Carrier Org ID]],B65)/D65)</f>
        <v>NA</v>
      </c>
      <c r="N65" s="165" t="str">
        <f>IF(D65=0,"NA",SUMIFS(AN_TME22[[#All],[TOTAL Non-Truncated Unadjusted Claims Expenses]],AN_TME22[[#All],[Insurance Category Code]],3,AN_TME22[[#All],[Advanced Network/Insurance Carrier Org ID]],B65)/D65)</f>
        <v>NA</v>
      </c>
      <c r="O65" s="165" t="str">
        <f>IF(D65=0,"NA",SUMIFS(AN_TME22[[#All],[TOTAL Truncated Unadjusted Claims Expenses (A21 -A19)]],AN_TME22[[#All],[Insurance Category Code]],3,AN_TME22[[#All],[Advanced Network/Insurance Carrier Org ID]],B65)/D65)</f>
        <v>NA</v>
      </c>
      <c r="P65" s="165" t="str">
        <f>IF(D65=0,"NA",SUMIFS(AN_TME22[[#All],[TOTAL Non-Claims Expenses]],AN_TME22[[#All],[Insurance Category Code]],3,AN_TME22[[#All],[Advanced Network/Insurance Carrier Org ID]],B65)/D65)</f>
        <v>NA</v>
      </c>
      <c r="Q65" s="165" t="str">
        <f>IF(D65=0,"NA",SUMIFS(AN_TME22[[#All],[TOTAL Non-Truncated Unadjusted Expenses (A21 + A23)]],AN_TME22[[#All],[Insurance Category Code]],3,AN_TME22[[#All],[Advanced Network/Insurance Carrier Org ID]],B65)/D65)</f>
        <v>NA</v>
      </c>
      <c r="R65" s="165" t="str">
        <f>IF(D65=0,"NA",SUMIFS(AN_TME22[[#All],[TOTAL Truncated Unadjusted Expenses (A22 + A23)]],AN_TME22[[#All],[Insurance Category Code]],3,AN_TME22[[#All],[Advanced Network/Insurance Carrier Org ID]],B65)/D65)</f>
        <v>NA</v>
      </c>
      <c r="S65" s="507">
        <f>SUMIFS(AN_TME23[[#All],[Member Months]],AN_TME23[[#All],[Insurance Category Code]],3,AN_TME23[[#All],[Advanced Network/Insurance Carrier Org ID]],B65)</f>
        <v>0</v>
      </c>
      <c r="T65" s="155" t="str">
        <f>IF(S65=0,"NA",SUMIFS(AN_TME23[[#All],[Claims: Hospital Inpatient]],AN_TME23[[#All],[Insurance Category Code]],3,AN_TME23[[#All],[Advanced Network/Insurance Carrier Org ID]],B65)/S65)</f>
        <v>NA</v>
      </c>
      <c r="U65" s="109" t="str">
        <f>IF(S65=0,"NA",SUMIFS(AN_TME23[[#All],[Claims: Hospital Outpatient]],AN_TME23[[#All],[Insurance Category Code]],3,AN_TME23[[#All],[Advanced Network/Insurance Carrier Org ID]],B65)/S65)</f>
        <v>NA</v>
      </c>
      <c r="V65" s="109" t="str">
        <f>IF(S65=0,"NA",SUMIFS(AN_TME23[[#All],[Claims: Professional, Primary Care]],AN_TME23[[#All],[Insurance Category Code]],3,AN_TME23[[#All],[Advanced Network/Insurance Carrier Org ID]],B65)/S65)</f>
        <v>NA</v>
      </c>
      <c r="W65" s="109" t="str">
        <f>IF(S65=0,"NA",SUMIFS(AN_TME23[[#All],[Claims: Professional, Primary Care (for Monitoring Purposes)]],AN_TME23[[#All],[Insurance Category Code]],3,AN_TME23[[#All],[Advanced Network/Insurance Carrier Org ID]],B65)/S65)</f>
        <v>NA</v>
      </c>
      <c r="X65" s="109" t="str">
        <f>IF(S65=0,"NA",SUMIFS(AN_TME23[[#All],[Claims: Professional, Specialty]],AN_TME23[[#All],[Insurance Category Code]],3,AN_TME23[[#All],[Advanced Network/Insurance Carrier Org ID]],B65)/S65)</f>
        <v>NA</v>
      </c>
      <c r="Y65" s="109" t="str">
        <f>IF(S65=0,"NA",SUMIFS(AN_TME23[[#All],[Claims: Professional Other]],AN_TME23[[#All],[Insurance Category Code]],3,AN_TME23[[#All],[Advanced Network/Insurance Carrier Org ID]],B65)/S65)</f>
        <v>NA</v>
      </c>
      <c r="Z65" s="109" t="str">
        <f>IF(S65=0,"NA",SUMIFS(AN_TME23[[#All],[Claims: Pharmacy]],AN_TME23[[#All],[Insurance Category Code]],3,AN_TME23[[#All],[Advanced Network/Insurance Carrier Org ID]],B65)/S65)</f>
        <v>NA</v>
      </c>
      <c r="AA65" s="109" t="str">
        <f>IF(S65=0,"NA",SUMIFS(AN_TME23[[#All],[Claims: Long-Term Care]],AN_TME23[[#All],[Insurance Category Code]],3,AN_TME23[[#All],[Advanced Network/Insurance Carrier Org ID]],B65)/S65)</f>
        <v>NA</v>
      </c>
      <c r="AB65" s="109" t="str">
        <f>IF(S65=0,"NA",SUMIFS(AN_TME23[[#All],[Claims: Other]],AN_TME23[[#All],[Insurance Category Code]],3,AN_TME23[[#All],[Advanced Network/Insurance Carrier Org ID]],B65)/S65)</f>
        <v>NA</v>
      </c>
      <c r="AC65" s="165" t="str">
        <f>IF(S65=0,"NA",SUMIFS(AN_TME23[[#All],[TOTAL Non-Truncated Unadjusted Claims Expenses]],AN_TME23[[#All],[Insurance Category Code]],3,AN_TME23[[#All],[Advanced Network/Insurance Carrier Org ID]],B65)/S65)</f>
        <v>NA</v>
      </c>
      <c r="AD65" s="165" t="str">
        <f>IF(S65=0,"NA",SUMIFS(AN_TME23[[#All],[TOTAL Truncated Unadjusted Claims Expenses (A21 -A19)]],AN_TME23[[#All],[Insurance Category Code]],3,AN_TME23[[#All],[Advanced Network/Insurance Carrier Org ID]],B65)/S65)</f>
        <v>NA</v>
      </c>
      <c r="AE65" s="165" t="str">
        <f>IF(S65=0,"NA",SUMIFS(AN_TME23[[#All],[TOTAL Non-Claims Expenses]],AN_TME23[[#All],[Insurance Category Code]],3,AN_TME23[[#All],[Advanced Network/Insurance Carrier Org ID]],B65)/S65)</f>
        <v>NA</v>
      </c>
      <c r="AF65" s="165" t="str">
        <f>IF(S65=0,"NA",SUMIFS(AN_TME23[[#All],[TOTAL Non-Truncated Unadjusted Expenses (A21 + A23)]],AN_TME23[[#All],[Insurance Category Code]],3,AN_TME23[[#All],[Advanced Network/Insurance Carrier Org ID]],B65)/S65)</f>
        <v>NA</v>
      </c>
      <c r="AG65" s="156" t="str">
        <f>IF(S65=0,"NA",SUMIFS(AN_TME23[[#All],[TOTAL Truncated Unadjusted Expenses (A22 + A23)]],AN_TME23[[#All],[Insurance Category Code]],3,AN_TME23[[#All],[Advanced Network/Insurance Carrier Org ID]],B65)/S65)</f>
        <v>NA</v>
      </c>
      <c r="AH65" s="478" t="str">
        <f t="shared" si="105"/>
        <v>NA</v>
      </c>
      <c r="AI65" s="479" t="str">
        <f t="shared" si="106"/>
        <v>NA</v>
      </c>
      <c r="AJ65" s="480" t="str">
        <f t="shared" si="107"/>
        <v>NA</v>
      </c>
      <c r="AK65" s="480" t="str">
        <f t="shared" si="108"/>
        <v>NA</v>
      </c>
      <c r="AL65" s="480" t="str">
        <f t="shared" si="109"/>
        <v>NA</v>
      </c>
      <c r="AM65" s="480" t="str">
        <f t="shared" si="110"/>
        <v>NA</v>
      </c>
      <c r="AN65" s="480" t="str">
        <f t="shared" si="111"/>
        <v>NA</v>
      </c>
      <c r="AO65" s="480" t="str">
        <f t="shared" si="112"/>
        <v>NA</v>
      </c>
      <c r="AP65" s="480" t="str">
        <f t="shared" si="113"/>
        <v>NA</v>
      </c>
      <c r="AQ65" s="480" t="str">
        <f t="shared" si="114"/>
        <v>NA</v>
      </c>
      <c r="AR65" s="481" t="str">
        <f t="shared" si="115"/>
        <v>NA</v>
      </c>
      <c r="AS65" s="481" t="str">
        <f t="shared" si="116"/>
        <v>NA</v>
      </c>
      <c r="AT65" s="481" t="str">
        <f t="shared" si="117"/>
        <v>NA</v>
      </c>
      <c r="AU65" s="481" t="str">
        <f t="shared" si="118"/>
        <v>NA</v>
      </c>
      <c r="AV65" s="482" t="str">
        <f t="shared" si="119"/>
        <v>NA</v>
      </c>
    </row>
    <row r="66" spans="1:48" ht="15" customHeight="1" x14ac:dyDescent="0.25">
      <c r="A66" s="164"/>
      <c r="B66" s="166">
        <v>121</v>
      </c>
      <c r="C66" s="169" t="str">
        <f>_xlfn.XLOOKUP(B66, LgProvEntOrgIDs[Advanced Network/Insurer Carrier Org ID], LgProvEntOrgIDs[Advanced Network/Insurance Carrier Overall])</f>
        <v>Generations Family Health Center</v>
      </c>
      <c r="D66" s="507">
        <f>SUMIFS(AN_TME22[[#All],[Member Months]],AN_TME22[[#All],[Insurance Category Code]],3,AN_TME22[[#All],[Advanced Network/Insurance Carrier Org ID]],B66)</f>
        <v>0</v>
      </c>
      <c r="E66" s="155" t="str">
        <f>IF(D66=0,"NA",SUMIFS(AN_TME22[[#All],[Claims: Hospital Inpatient]],AN_TME22[[#All],[Insurance Category Code]],3,AN_TME22[[#All],[Advanced Network/Insurance Carrier Org ID]],B66)/D66)</f>
        <v>NA</v>
      </c>
      <c r="F66" s="109" t="str">
        <f>IF(D66=0,"NA",SUMIFS(AN_TME22[[#All],[Claims: Hospital Outpatient]],AN_TME22[[#All],[Insurance Category Code]],3,AN_TME22[[#All],[Advanced Network/Insurance Carrier Org ID]],B66)/D66)</f>
        <v>NA</v>
      </c>
      <c r="G66" s="109" t="str">
        <f>IF(D66=0,"NA",SUMIFS(AN_TME22[[#All],[Claims: Professional, Primary Care]],AN_TME22[[#All],[Insurance Category Code]],3,AN_TME22[[#All],[Advanced Network/Insurance Carrier Org ID]],B66)/D66)</f>
        <v>NA</v>
      </c>
      <c r="H66" s="109" t="str">
        <f>IF(D66=0,"NA",SUMIFS(AN_TME22[[#All],[Claims: Professional, Primary Care (for Monitoring Purposes)]],AN_TME22[[#All],[Insurance Category Code]],3,AN_TME22[[#All],[Advanced Network/Insurance Carrier Org ID]],B66)/D66)</f>
        <v>NA</v>
      </c>
      <c r="I66" s="109" t="str">
        <f>IF(D66=0,"NA",SUMIFS(AN_TME22[[#All],[Claims: Professional, Specialty]],AN_TME22[[#All],[Insurance Category Code]],3,AN_TME22[[#All],[Advanced Network/Insurance Carrier Org ID]],B66)/D66)</f>
        <v>NA</v>
      </c>
      <c r="J66" s="109" t="str">
        <f>IF(D66=0,"NA",SUMIFS(AN_TME22[[#All],[Claims: Professional Other]],AN_TME22[[#All],[Insurance Category Code]],3,AN_TME22[[#All],[Advanced Network/Insurance Carrier Org ID]],B66)/D66)</f>
        <v>NA</v>
      </c>
      <c r="K66" s="109" t="str">
        <f>IF(D66=0,"NA",SUMIFS(AN_TME22[[#All],[Claims: Pharmacy]],AN_TME22[[#All],[Insurance Category Code]],3,AN_TME22[[#All],[Advanced Network/Insurance Carrier Org ID]],B66)/D66)</f>
        <v>NA</v>
      </c>
      <c r="L66" s="109" t="str">
        <f>IF(D66=0,"NA",SUMIFS(AN_TME22[[#All],[Claims: Long-Term Care]],AN_TME22[[#All],[Insurance Category Code]],3,AN_TME22[[#All],[Advanced Network/Insurance Carrier Org ID]],B66)/D66)</f>
        <v>NA</v>
      </c>
      <c r="M66" s="109" t="str">
        <f>IF(D66=0,"NA",SUMIFS(AN_TME22[[#All],[Claims: Other]],AN_TME22[[#All],[Insurance Category Code]],3,AN_TME22[[#All],[Advanced Network/Insurance Carrier Org ID]],B66)/D66)</f>
        <v>NA</v>
      </c>
      <c r="N66" s="165" t="str">
        <f>IF(D66=0,"NA",SUMIFS(AN_TME22[[#All],[TOTAL Non-Truncated Unadjusted Claims Expenses]],AN_TME22[[#All],[Insurance Category Code]],3,AN_TME22[[#All],[Advanced Network/Insurance Carrier Org ID]],B66)/D66)</f>
        <v>NA</v>
      </c>
      <c r="O66" s="165" t="str">
        <f>IF(D66=0,"NA",SUMIFS(AN_TME22[[#All],[TOTAL Truncated Unadjusted Claims Expenses (A21 -A19)]],AN_TME22[[#All],[Insurance Category Code]],3,AN_TME22[[#All],[Advanced Network/Insurance Carrier Org ID]],B66)/D66)</f>
        <v>NA</v>
      </c>
      <c r="P66" s="165" t="str">
        <f>IF(D66=0,"NA",SUMIFS(AN_TME22[[#All],[TOTAL Non-Claims Expenses]],AN_TME22[[#All],[Insurance Category Code]],3,AN_TME22[[#All],[Advanced Network/Insurance Carrier Org ID]],B66)/D66)</f>
        <v>NA</v>
      </c>
      <c r="Q66" s="165" t="str">
        <f>IF(D66=0,"NA",SUMIFS(AN_TME22[[#All],[TOTAL Non-Truncated Unadjusted Expenses (A21 + A23)]],AN_TME22[[#All],[Insurance Category Code]],3,AN_TME22[[#All],[Advanced Network/Insurance Carrier Org ID]],B66)/D66)</f>
        <v>NA</v>
      </c>
      <c r="R66" s="165" t="str">
        <f>IF(D66=0,"NA",SUMIFS(AN_TME22[[#All],[TOTAL Truncated Unadjusted Expenses (A22 + A23)]],AN_TME22[[#All],[Insurance Category Code]],3,AN_TME22[[#All],[Advanced Network/Insurance Carrier Org ID]],B66)/D66)</f>
        <v>NA</v>
      </c>
      <c r="S66" s="507">
        <f>SUMIFS(AN_TME23[[#All],[Member Months]],AN_TME23[[#All],[Insurance Category Code]],3,AN_TME23[[#All],[Advanced Network/Insurance Carrier Org ID]],B66)</f>
        <v>0</v>
      </c>
      <c r="T66" s="155" t="str">
        <f>IF(S66=0,"NA",SUMIFS(AN_TME23[[#All],[Claims: Hospital Inpatient]],AN_TME23[[#All],[Insurance Category Code]],3,AN_TME23[[#All],[Advanced Network/Insurance Carrier Org ID]],B66)/S66)</f>
        <v>NA</v>
      </c>
      <c r="U66" s="109" t="str">
        <f>IF(S66=0,"NA",SUMIFS(AN_TME23[[#All],[Claims: Hospital Outpatient]],AN_TME23[[#All],[Insurance Category Code]],3,AN_TME23[[#All],[Advanced Network/Insurance Carrier Org ID]],B66)/S66)</f>
        <v>NA</v>
      </c>
      <c r="V66" s="109" t="str">
        <f>IF(S66=0,"NA",SUMIFS(AN_TME23[[#All],[Claims: Professional, Primary Care]],AN_TME23[[#All],[Insurance Category Code]],3,AN_TME23[[#All],[Advanced Network/Insurance Carrier Org ID]],B66)/S66)</f>
        <v>NA</v>
      </c>
      <c r="W66" s="109" t="str">
        <f>IF(S66=0,"NA",SUMIFS(AN_TME23[[#All],[Claims: Professional, Primary Care (for Monitoring Purposes)]],AN_TME23[[#All],[Insurance Category Code]],3,AN_TME23[[#All],[Advanced Network/Insurance Carrier Org ID]],B66)/S66)</f>
        <v>NA</v>
      </c>
      <c r="X66" s="109" t="str">
        <f>IF(S66=0,"NA",SUMIFS(AN_TME23[[#All],[Claims: Professional, Specialty]],AN_TME23[[#All],[Insurance Category Code]],3,AN_TME23[[#All],[Advanced Network/Insurance Carrier Org ID]],B66)/S66)</f>
        <v>NA</v>
      </c>
      <c r="Y66" s="109" t="str">
        <f>IF(S66=0,"NA",SUMIFS(AN_TME23[[#All],[Claims: Professional Other]],AN_TME23[[#All],[Insurance Category Code]],3,AN_TME23[[#All],[Advanced Network/Insurance Carrier Org ID]],B66)/S66)</f>
        <v>NA</v>
      </c>
      <c r="Z66" s="109" t="str">
        <f>IF(S66=0,"NA",SUMIFS(AN_TME23[[#All],[Claims: Pharmacy]],AN_TME23[[#All],[Insurance Category Code]],3,AN_TME23[[#All],[Advanced Network/Insurance Carrier Org ID]],B66)/S66)</f>
        <v>NA</v>
      </c>
      <c r="AA66" s="109" t="str">
        <f>IF(S66=0,"NA",SUMIFS(AN_TME23[[#All],[Claims: Long-Term Care]],AN_TME23[[#All],[Insurance Category Code]],3,AN_TME23[[#All],[Advanced Network/Insurance Carrier Org ID]],B66)/S66)</f>
        <v>NA</v>
      </c>
      <c r="AB66" s="109" t="str">
        <f>IF(S66=0,"NA",SUMIFS(AN_TME23[[#All],[Claims: Other]],AN_TME23[[#All],[Insurance Category Code]],3,AN_TME23[[#All],[Advanced Network/Insurance Carrier Org ID]],B66)/S66)</f>
        <v>NA</v>
      </c>
      <c r="AC66" s="165" t="str">
        <f>IF(S66=0,"NA",SUMIFS(AN_TME23[[#All],[TOTAL Non-Truncated Unadjusted Claims Expenses]],AN_TME23[[#All],[Insurance Category Code]],3,AN_TME23[[#All],[Advanced Network/Insurance Carrier Org ID]],B66)/S66)</f>
        <v>NA</v>
      </c>
      <c r="AD66" s="165" t="str">
        <f>IF(S66=0,"NA",SUMIFS(AN_TME23[[#All],[TOTAL Truncated Unadjusted Claims Expenses (A21 -A19)]],AN_TME23[[#All],[Insurance Category Code]],3,AN_TME23[[#All],[Advanced Network/Insurance Carrier Org ID]],B66)/S66)</f>
        <v>NA</v>
      </c>
      <c r="AE66" s="165" t="str">
        <f>IF(S66=0,"NA",SUMIFS(AN_TME23[[#All],[TOTAL Non-Claims Expenses]],AN_TME23[[#All],[Insurance Category Code]],3,AN_TME23[[#All],[Advanced Network/Insurance Carrier Org ID]],B66)/S66)</f>
        <v>NA</v>
      </c>
      <c r="AF66" s="165" t="str">
        <f>IF(S66=0,"NA",SUMIFS(AN_TME23[[#All],[TOTAL Non-Truncated Unadjusted Expenses (A21 + A23)]],AN_TME23[[#All],[Insurance Category Code]],3,AN_TME23[[#All],[Advanced Network/Insurance Carrier Org ID]],B66)/S66)</f>
        <v>NA</v>
      </c>
      <c r="AG66" s="156" t="str">
        <f>IF(S66=0,"NA",SUMIFS(AN_TME23[[#All],[TOTAL Truncated Unadjusted Expenses (A22 + A23)]],AN_TME23[[#All],[Insurance Category Code]],3,AN_TME23[[#All],[Advanced Network/Insurance Carrier Org ID]],B66)/S66)</f>
        <v>NA</v>
      </c>
      <c r="AH66" s="478" t="str">
        <f t="shared" si="105"/>
        <v>NA</v>
      </c>
      <c r="AI66" s="479" t="str">
        <f t="shared" si="106"/>
        <v>NA</v>
      </c>
      <c r="AJ66" s="480" t="str">
        <f t="shared" si="107"/>
        <v>NA</v>
      </c>
      <c r="AK66" s="480" t="str">
        <f t="shared" si="108"/>
        <v>NA</v>
      </c>
      <c r="AL66" s="480" t="str">
        <f t="shared" si="109"/>
        <v>NA</v>
      </c>
      <c r="AM66" s="480" t="str">
        <f t="shared" si="110"/>
        <v>NA</v>
      </c>
      <c r="AN66" s="480" t="str">
        <f t="shared" si="111"/>
        <v>NA</v>
      </c>
      <c r="AO66" s="480" t="str">
        <f t="shared" si="112"/>
        <v>NA</v>
      </c>
      <c r="AP66" s="480" t="str">
        <f t="shared" si="113"/>
        <v>NA</v>
      </c>
      <c r="AQ66" s="480" t="str">
        <f t="shared" si="114"/>
        <v>NA</v>
      </c>
      <c r="AR66" s="481" t="str">
        <f t="shared" si="115"/>
        <v>NA</v>
      </c>
      <c r="AS66" s="481" t="str">
        <f t="shared" si="116"/>
        <v>NA</v>
      </c>
      <c r="AT66" s="481" t="str">
        <f t="shared" si="117"/>
        <v>NA</v>
      </c>
      <c r="AU66" s="481" t="str">
        <f t="shared" si="118"/>
        <v>NA</v>
      </c>
      <c r="AV66" s="482" t="str">
        <f t="shared" si="119"/>
        <v>NA</v>
      </c>
    </row>
    <row r="67" spans="1:48" ht="15" customHeight="1" x14ac:dyDescent="0.25">
      <c r="A67" s="164"/>
      <c r="B67" s="166">
        <v>122</v>
      </c>
      <c r="C67" s="169" t="str">
        <f>_xlfn.XLOOKUP(B67, LgProvEntOrgIDs[Advanced Network/Insurer Carrier Org ID], LgProvEntOrgIDs[Advanced Network/Insurance Carrier Overall])</f>
        <v>Norwalk Community Health Center</v>
      </c>
      <c r="D67" s="507">
        <f>SUMIFS(AN_TME22[[#All],[Member Months]],AN_TME22[[#All],[Insurance Category Code]],3,AN_TME22[[#All],[Advanced Network/Insurance Carrier Org ID]],B67)</f>
        <v>0</v>
      </c>
      <c r="E67" s="155" t="str">
        <f>IF(D67=0,"NA",SUMIFS(AN_TME22[[#All],[Claims: Hospital Inpatient]],AN_TME22[[#All],[Insurance Category Code]],3,AN_TME22[[#All],[Advanced Network/Insurance Carrier Org ID]],B67)/D67)</f>
        <v>NA</v>
      </c>
      <c r="F67" s="109" t="str">
        <f>IF(D67=0,"NA",SUMIFS(AN_TME22[[#All],[Claims: Hospital Outpatient]],AN_TME22[[#All],[Insurance Category Code]],3,AN_TME22[[#All],[Advanced Network/Insurance Carrier Org ID]],B67)/D67)</f>
        <v>NA</v>
      </c>
      <c r="G67" s="109" t="str">
        <f>IF(D67=0,"NA",SUMIFS(AN_TME22[[#All],[Claims: Professional, Primary Care]],AN_TME22[[#All],[Insurance Category Code]],3,AN_TME22[[#All],[Advanced Network/Insurance Carrier Org ID]],B67)/D67)</f>
        <v>NA</v>
      </c>
      <c r="H67" s="109" t="str">
        <f>IF(D67=0,"NA",SUMIFS(AN_TME22[[#All],[Claims: Professional, Primary Care (for Monitoring Purposes)]],AN_TME22[[#All],[Insurance Category Code]],3,AN_TME22[[#All],[Advanced Network/Insurance Carrier Org ID]],B67)/D67)</f>
        <v>NA</v>
      </c>
      <c r="I67" s="109" t="str">
        <f>IF(D67=0,"NA",SUMIFS(AN_TME22[[#All],[Claims: Professional, Specialty]],AN_TME22[[#All],[Insurance Category Code]],3,AN_TME22[[#All],[Advanced Network/Insurance Carrier Org ID]],B67)/D67)</f>
        <v>NA</v>
      </c>
      <c r="J67" s="109" t="str">
        <f>IF(D67=0,"NA",SUMIFS(AN_TME22[[#All],[Claims: Professional Other]],AN_TME22[[#All],[Insurance Category Code]],3,AN_TME22[[#All],[Advanced Network/Insurance Carrier Org ID]],B67)/D67)</f>
        <v>NA</v>
      </c>
      <c r="K67" s="109" t="str">
        <f>IF(D67=0,"NA",SUMIFS(AN_TME22[[#All],[Claims: Pharmacy]],AN_TME22[[#All],[Insurance Category Code]],3,AN_TME22[[#All],[Advanced Network/Insurance Carrier Org ID]],B67)/D67)</f>
        <v>NA</v>
      </c>
      <c r="L67" s="109" t="str">
        <f>IF(D67=0,"NA",SUMIFS(AN_TME22[[#All],[Claims: Long-Term Care]],AN_TME22[[#All],[Insurance Category Code]],3,AN_TME22[[#All],[Advanced Network/Insurance Carrier Org ID]],B67)/D67)</f>
        <v>NA</v>
      </c>
      <c r="M67" s="109" t="str">
        <f>IF(D67=0,"NA",SUMIFS(AN_TME22[[#All],[Claims: Other]],AN_TME22[[#All],[Insurance Category Code]],3,AN_TME22[[#All],[Advanced Network/Insurance Carrier Org ID]],B67)/D67)</f>
        <v>NA</v>
      </c>
      <c r="N67" s="165" t="str">
        <f>IF(D67=0,"NA",SUMIFS(AN_TME22[[#All],[TOTAL Non-Truncated Unadjusted Claims Expenses]],AN_TME22[[#All],[Insurance Category Code]],3,AN_TME22[[#All],[Advanced Network/Insurance Carrier Org ID]],B67)/D67)</f>
        <v>NA</v>
      </c>
      <c r="O67" s="165" t="str">
        <f>IF(D67=0,"NA",SUMIFS(AN_TME22[[#All],[TOTAL Truncated Unadjusted Claims Expenses (A21 -A19)]],AN_TME22[[#All],[Insurance Category Code]],3,AN_TME22[[#All],[Advanced Network/Insurance Carrier Org ID]],B67)/D67)</f>
        <v>NA</v>
      </c>
      <c r="P67" s="165" t="str">
        <f>IF(D67=0,"NA",SUMIFS(AN_TME22[[#All],[TOTAL Non-Claims Expenses]],AN_TME22[[#All],[Insurance Category Code]],3,AN_TME22[[#All],[Advanced Network/Insurance Carrier Org ID]],B67)/D67)</f>
        <v>NA</v>
      </c>
      <c r="Q67" s="165" t="str">
        <f>IF(D67=0,"NA",SUMIFS(AN_TME22[[#All],[TOTAL Non-Truncated Unadjusted Expenses (A21 + A23)]],AN_TME22[[#All],[Insurance Category Code]],3,AN_TME22[[#All],[Advanced Network/Insurance Carrier Org ID]],B67)/D67)</f>
        <v>NA</v>
      </c>
      <c r="R67" s="165" t="str">
        <f>IF(D67=0,"NA",SUMIFS(AN_TME22[[#All],[TOTAL Truncated Unadjusted Expenses (A22 + A23)]],AN_TME22[[#All],[Insurance Category Code]],3,AN_TME22[[#All],[Advanced Network/Insurance Carrier Org ID]],B67)/D67)</f>
        <v>NA</v>
      </c>
      <c r="S67" s="507">
        <f>SUMIFS(AN_TME23[[#All],[Member Months]],AN_TME23[[#All],[Insurance Category Code]],3,AN_TME23[[#All],[Advanced Network/Insurance Carrier Org ID]],B67)</f>
        <v>0</v>
      </c>
      <c r="T67" s="155" t="str">
        <f>IF(S67=0,"NA",SUMIFS(AN_TME23[[#All],[Claims: Hospital Inpatient]],AN_TME23[[#All],[Insurance Category Code]],3,AN_TME23[[#All],[Advanced Network/Insurance Carrier Org ID]],B67)/S67)</f>
        <v>NA</v>
      </c>
      <c r="U67" s="109" t="str">
        <f>IF(S67=0,"NA",SUMIFS(AN_TME23[[#All],[Claims: Hospital Outpatient]],AN_TME23[[#All],[Insurance Category Code]],3,AN_TME23[[#All],[Advanced Network/Insurance Carrier Org ID]],B67)/S67)</f>
        <v>NA</v>
      </c>
      <c r="V67" s="109" t="str">
        <f>IF(S67=0,"NA",SUMIFS(AN_TME23[[#All],[Claims: Professional, Primary Care]],AN_TME23[[#All],[Insurance Category Code]],3,AN_TME23[[#All],[Advanced Network/Insurance Carrier Org ID]],B67)/S67)</f>
        <v>NA</v>
      </c>
      <c r="W67" s="109" t="str">
        <f>IF(S67=0,"NA",SUMIFS(AN_TME23[[#All],[Claims: Professional, Primary Care (for Monitoring Purposes)]],AN_TME23[[#All],[Insurance Category Code]],3,AN_TME23[[#All],[Advanced Network/Insurance Carrier Org ID]],B67)/S67)</f>
        <v>NA</v>
      </c>
      <c r="X67" s="109" t="str">
        <f>IF(S67=0,"NA",SUMIFS(AN_TME23[[#All],[Claims: Professional, Specialty]],AN_TME23[[#All],[Insurance Category Code]],3,AN_TME23[[#All],[Advanced Network/Insurance Carrier Org ID]],B67)/S67)</f>
        <v>NA</v>
      </c>
      <c r="Y67" s="109" t="str">
        <f>IF(S67=0,"NA",SUMIFS(AN_TME23[[#All],[Claims: Professional Other]],AN_TME23[[#All],[Insurance Category Code]],3,AN_TME23[[#All],[Advanced Network/Insurance Carrier Org ID]],B67)/S67)</f>
        <v>NA</v>
      </c>
      <c r="Z67" s="109" t="str">
        <f>IF(S67=0,"NA",SUMIFS(AN_TME23[[#All],[Claims: Pharmacy]],AN_TME23[[#All],[Insurance Category Code]],3,AN_TME23[[#All],[Advanced Network/Insurance Carrier Org ID]],B67)/S67)</f>
        <v>NA</v>
      </c>
      <c r="AA67" s="109" t="str">
        <f>IF(S67=0,"NA",SUMIFS(AN_TME23[[#All],[Claims: Long-Term Care]],AN_TME23[[#All],[Insurance Category Code]],3,AN_TME23[[#All],[Advanced Network/Insurance Carrier Org ID]],B67)/S67)</f>
        <v>NA</v>
      </c>
      <c r="AB67" s="109" t="str">
        <f>IF(S67=0,"NA",SUMIFS(AN_TME23[[#All],[Claims: Other]],AN_TME23[[#All],[Insurance Category Code]],3,AN_TME23[[#All],[Advanced Network/Insurance Carrier Org ID]],B67)/S67)</f>
        <v>NA</v>
      </c>
      <c r="AC67" s="165" t="str">
        <f>IF(S67=0,"NA",SUMIFS(AN_TME23[[#All],[TOTAL Non-Truncated Unadjusted Claims Expenses]],AN_TME23[[#All],[Insurance Category Code]],3,AN_TME23[[#All],[Advanced Network/Insurance Carrier Org ID]],B67)/S67)</f>
        <v>NA</v>
      </c>
      <c r="AD67" s="165" t="str">
        <f>IF(S67=0,"NA",SUMIFS(AN_TME23[[#All],[TOTAL Truncated Unadjusted Claims Expenses (A21 -A19)]],AN_TME23[[#All],[Insurance Category Code]],3,AN_TME23[[#All],[Advanced Network/Insurance Carrier Org ID]],B67)/S67)</f>
        <v>NA</v>
      </c>
      <c r="AE67" s="165" t="str">
        <f>IF(S67=0,"NA",SUMIFS(AN_TME23[[#All],[TOTAL Non-Claims Expenses]],AN_TME23[[#All],[Insurance Category Code]],3,AN_TME23[[#All],[Advanced Network/Insurance Carrier Org ID]],B67)/S67)</f>
        <v>NA</v>
      </c>
      <c r="AF67" s="165" t="str">
        <f>IF(S67=0,"NA",SUMIFS(AN_TME23[[#All],[TOTAL Non-Truncated Unadjusted Expenses (A21 + A23)]],AN_TME23[[#All],[Insurance Category Code]],3,AN_TME23[[#All],[Advanced Network/Insurance Carrier Org ID]],B67)/S67)</f>
        <v>NA</v>
      </c>
      <c r="AG67" s="156" t="str">
        <f>IF(S67=0,"NA",SUMIFS(AN_TME23[[#All],[TOTAL Truncated Unadjusted Expenses (A22 + A23)]],AN_TME23[[#All],[Insurance Category Code]],3,AN_TME23[[#All],[Advanced Network/Insurance Carrier Org ID]],B67)/S67)</f>
        <v>NA</v>
      </c>
      <c r="AH67" s="478" t="str">
        <f t="shared" si="105"/>
        <v>NA</v>
      </c>
      <c r="AI67" s="479" t="str">
        <f t="shared" si="106"/>
        <v>NA</v>
      </c>
      <c r="AJ67" s="480" t="str">
        <f t="shared" si="107"/>
        <v>NA</v>
      </c>
      <c r="AK67" s="480" t="str">
        <f t="shared" si="108"/>
        <v>NA</v>
      </c>
      <c r="AL67" s="480" t="str">
        <f t="shared" si="109"/>
        <v>NA</v>
      </c>
      <c r="AM67" s="480" t="str">
        <f t="shared" si="110"/>
        <v>NA</v>
      </c>
      <c r="AN67" s="480" t="str">
        <f t="shared" si="111"/>
        <v>NA</v>
      </c>
      <c r="AO67" s="480" t="str">
        <f t="shared" si="112"/>
        <v>NA</v>
      </c>
      <c r="AP67" s="480" t="str">
        <f t="shared" si="113"/>
        <v>NA</v>
      </c>
      <c r="AQ67" s="480" t="str">
        <f t="shared" si="114"/>
        <v>NA</v>
      </c>
      <c r="AR67" s="481" t="str">
        <f t="shared" si="115"/>
        <v>NA</v>
      </c>
      <c r="AS67" s="481" t="str">
        <f t="shared" si="116"/>
        <v>NA</v>
      </c>
      <c r="AT67" s="481" t="str">
        <f t="shared" si="117"/>
        <v>NA</v>
      </c>
      <c r="AU67" s="481" t="str">
        <f t="shared" si="118"/>
        <v>NA</v>
      </c>
      <c r="AV67" s="482" t="str">
        <f t="shared" si="119"/>
        <v>NA</v>
      </c>
    </row>
    <row r="68" spans="1:48" ht="15" customHeight="1" x14ac:dyDescent="0.25">
      <c r="A68" s="164"/>
      <c r="B68" s="166">
        <v>123</v>
      </c>
      <c r="C68" s="169" t="str">
        <f>_xlfn.XLOOKUP(B68, LgProvEntOrgIDs[Advanced Network/Insurer Carrier Org ID], LgProvEntOrgIDs[Advanced Network/Insurance Carrier Overall])</f>
        <v>Optimus Health Care, Inc.</v>
      </c>
      <c r="D68" s="507">
        <f>SUMIFS(AN_TME22[[#All],[Member Months]],AN_TME22[[#All],[Insurance Category Code]],3,AN_TME22[[#All],[Advanced Network/Insurance Carrier Org ID]],B68)</f>
        <v>0</v>
      </c>
      <c r="E68" s="155" t="str">
        <f>IF(D68=0,"NA",SUMIFS(AN_TME22[[#All],[Claims: Hospital Inpatient]],AN_TME22[[#All],[Insurance Category Code]],3,AN_TME22[[#All],[Advanced Network/Insurance Carrier Org ID]],B68)/D68)</f>
        <v>NA</v>
      </c>
      <c r="F68" s="109" t="str">
        <f>IF(D68=0,"NA",SUMIFS(AN_TME22[[#All],[Claims: Hospital Outpatient]],AN_TME22[[#All],[Insurance Category Code]],3,AN_TME22[[#All],[Advanced Network/Insurance Carrier Org ID]],B68)/D68)</f>
        <v>NA</v>
      </c>
      <c r="G68" s="109" t="str">
        <f>IF(D68=0,"NA",SUMIFS(AN_TME22[[#All],[Claims: Professional, Primary Care]],AN_TME22[[#All],[Insurance Category Code]],3,AN_TME22[[#All],[Advanced Network/Insurance Carrier Org ID]],B68)/D68)</f>
        <v>NA</v>
      </c>
      <c r="H68" s="109" t="str">
        <f>IF(D68=0,"NA",SUMIFS(AN_TME22[[#All],[Claims: Professional, Primary Care (for Monitoring Purposes)]],AN_TME22[[#All],[Insurance Category Code]],3,AN_TME22[[#All],[Advanced Network/Insurance Carrier Org ID]],B68)/D68)</f>
        <v>NA</v>
      </c>
      <c r="I68" s="109" t="str">
        <f>IF(D68=0,"NA",SUMIFS(AN_TME22[[#All],[Claims: Professional, Specialty]],AN_TME22[[#All],[Insurance Category Code]],3,AN_TME22[[#All],[Advanced Network/Insurance Carrier Org ID]],B68)/D68)</f>
        <v>NA</v>
      </c>
      <c r="J68" s="109" t="str">
        <f>IF(D68=0,"NA",SUMIFS(AN_TME22[[#All],[Claims: Professional Other]],AN_TME22[[#All],[Insurance Category Code]],3,AN_TME22[[#All],[Advanced Network/Insurance Carrier Org ID]],B68)/D68)</f>
        <v>NA</v>
      </c>
      <c r="K68" s="109" t="str">
        <f>IF(D68=0,"NA",SUMIFS(AN_TME22[[#All],[Claims: Pharmacy]],AN_TME22[[#All],[Insurance Category Code]],3,AN_TME22[[#All],[Advanced Network/Insurance Carrier Org ID]],B68)/D68)</f>
        <v>NA</v>
      </c>
      <c r="L68" s="109" t="str">
        <f>IF(D68=0,"NA",SUMIFS(AN_TME22[[#All],[Claims: Long-Term Care]],AN_TME22[[#All],[Insurance Category Code]],3,AN_TME22[[#All],[Advanced Network/Insurance Carrier Org ID]],B68)/D68)</f>
        <v>NA</v>
      </c>
      <c r="M68" s="109" t="str">
        <f>IF(D68=0,"NA",SUMIFS(AN_TME22[[#All],[Claims: Other]],AN_TME22[[#All],[Insurance Category Code]],3,AN_TME22[[#All],[Advanced Network/Insurance Carrier Org ID]],B68)/D68)</f>
        <v>NA</v>
      </c>
      <c r="N68" s="165" t="str">
        <f>IF(D68=0,"NA",SUMIFS(AN_TME22[[#All],[TOTAL Non-Truncated Unadjusted Claims Expenses]],AN_TME22[[#All],[Insurance Category Code]],3,AN_TME22[[#All],[Advanced Network/Insurance Carrier Org ID]],B68)/D68)</f>
        <v>NA</v>
      </c>
      <c r="O68" s="165" t="str">
        <f>IF(D68=0,"NA",SUMIFS(AN_TME22[[#All],[TOTAL Truncated Unadjusted Claims Expenses (A21 -A19)]],AN_TME22[[#All],[Insurance Category Code]],3,AN_TME22[[#All],[Advanced Network/Insurance Carrier Org ID]],B68)/D68)</f>
        <v>NA</v>
      </c>
      <c r="P68" s="165" t="str">
        <f>IF(D68=0,"NA",SUMIFS(AN_TME22[[#All],[TOTAL Non-Claims Expenses]],AN_TME22[[#All],[Insurance Category Code]],3,AN_TME22[[#All],[Advanced Network/Insurance Carrier Org ID]],B68)/D68)</f>
        <v>NA</v>
      </c>
      <c r="Q68" s="165" t="str">
        <f>IF(D68=0,"NA",SUMIFS(AN_TME22[[#All],[TOTAL Non-Truncated Unadjusted Expenses (A21 + A23)]],AN_TME22[[#All],[Insurance Category Code]],3,AN_TME22[[#All],[Advanced Network/Insurance Carrier Org ID]],B68)/D68)</f>
        <v>NA</v>
      </c>
      <c r="R68" s="165" t="str">
        <f>IF(D68=0,"NA",SUMIFS(AN_TME22[[#All],[TOTAL Truncated Unadjusted Expenses (A22 + A23)]],AN_TME22[[#All],[Insurance Category Code]],3,AN_TME22[[#All],[Advanced Network/Insurance Carrier Org ID]],B68)/D68)</f>
        <v>NA</v>
      </c>
      <c r="S68" s="507">
        <f>SUMIFS(AN_TME23[[#All],[Member Months]],AN_TME23[[#All],[Insurance Category Code]],3,AN_TME23[[#All],[Advanced Network/Insurance Carrier Org ID]],B68)</f>
        <v>0</v>
      </c>
      <c r="T68" s="155" t="str">
        <f>IF(S68=0,"NA",SUMIFS(AN_TME23[[#All],[Claims: Hospital Inpatient]],AN_TME23[[#All],[Insurance Category Code]],3,AN_TME23[[#All],[Advanced Network/Insurance Carrier Org ID]],B68)/S68)</f>
        <v>NA</v>
      </c>
      <c r="U68" s="109" t="str">
        <f>IF(S68=0,"NA",SUMIFS(AN_TME23[[#All],[Claims: Hospital Outpatient]],AN_TME23[[#All],[Insurance Category Code]],3,AN_TME23[[#All],[Advanced Network/Insurance Carrier Org ID]],B68)/S68)</f>
        <v>NA</v>
      </c>
      <c r="V68" s="109" t="str">
        <f>IF(S68=0,"NA",SUMIFS(AN_TME23[[#All],[Claims: Professional, Primary Care]],AN_TME23[[#All],[Insurance Category Code]],3,AN_TME23[[#All],[Advanced Network/Insurance Carrier Org ID]],B68)/S68)</f>
        <v>NA</v>
      </c>
      <c r="W68" s="109" t="str">
        <f>IF(S68=0,"NA",SUMIFS(AN_TME23[[#All],[Claims: Professional, Primary Care (for Monitoring Purposes)]],AN_TME23[[#All],[Insurance Category Code]],3,AN_TME23[[#All],[Advanced Network/Insurance Carrier Org ID]],B68)/S68)</f>
        <v>NA</v>
      </c>
      <c r="X68" s="109" t="str">
        <f>IF(S68=0,"NA",SUMIFS(AN_TME23[[#All],[Claims: Professional, Specialty]],AN_TME23[[#All],[Insurance Category Code]],3,AN_TME23[[#All],[Advanced Network/Insurance Carrier Org ID]],B68)/S68)</f>
        <v>NA</v>
      </c>
      <c r="Y68" s="109" t="str">
        <f>IF(S68=0,"NA",SUMIFS(AN_TME23[[#All],[Claims: Professional Other]],AN_TME23[[#All],[Insurance Category Code]],3,AN_TME23[[#All],[Advanced Network/Insurance Carrier Org ID]],B68)/S68)</f>
        <v>NA</v>
      </c>
      <c r="Z68" s="109" t="str">
        <f>IF(S68=0,"NA",SUMIFS(AN_TME23[[#All],[Claims: Pharmacy]],AN_TME23[[#All],[Insurance Category Code]],3,AN_TME23[[#All],[Advanced Network/Insurance Carrier Org ID]],B68)/S68)</f>
        <v>NA</v>
      </c>
      <c r="AA68" s="109" t="str">
        <f>IF(S68=0,"NA",SUMIFS(AN_TME23[[#All],[Claims: Long-Term Care]],AN_TME23[[#All],[Insurance Category Code]],3,AN_TME23[[#All],[Advanced Network/Insurance Carrier Org ID]],B68)/S68)</f>
        <v>NA</v>
      </c>
      <c r="AB68" s="109" t="str">
        <f>IF(S68=0,"NA",SUMIFS(AN_TME23[[#All],[Claims: Other]],AN_TME23[[#All],[Insurance Category Code]],3,AN_TME23[[#All],[Advanced Network/Insurance Carrier Org ID]],B68)/S68)</f>
        <v>NA</v>
      </c>
      <c r="AC68" s="165" t="str">
        <f>IF(S68=0,"NA",SUMIFS(AN_TME23[[#All],[TOTAL Non-Truncated Unadjusted Claims Expenses]],AN_TME23[[#All],[Insurance Category Code]],3,AN_TME23[[#All],[Advanced Network/Insurance Carrier Org ID]],B68)/S68)</f>
        <v>NA</v>
      </c>
      <c r="AD68" s="165" t="str">
        <f>IF(S68=0,"NA",SUMIFS(AN_TME23[[#All],[TOTAL Truncated Unadjusted Claims Expenses (A21 -A19)]],AN_TME23[[#All],[Insurance Category Code]],3,AN_TME23[[#All],[Advanced Network/Insurance Carrier Org ID]],B68)/S68)</f>
        <v>NA</v>
      </c>
      <c r="AE68" s="165" t="str">
        <f>IF(S68=0,"NA",SUMIFS(AN_TME23[[#All],[TOTAL Non-Claims Expenses]],AN_TME23[[#All],[Insurance Category Code]],3,AN_TME23[[#All],[Advanced Network/Insurance Carrier Org ID]],B68)/S68)</f>
        <v>NA</v>
      </c>
      <c r="AF68" s="165" t="str">
        <f>IF(S68=0,"NA",SUMIFS(AN_TME23[[#All],[TOTAL Non-Truncated Unadjusted Expenses (A21 + A23)]],AN_TME23[[#All],[Insurance Category Code]],3,AN_TME23[[#All],[Advanced Network/Insurance Carrier Org ID]],B68)/S68)</f>
        <v>NA</v>
      </c>
      <c r="AG68" s="156" t="str">
        <f>IF(S68=0,"NA",SUMIFS(AN_TME23[[#All],[TOTAL Truncated Unadjusted Expenses (A22 + A23)]],AN_TME23[[#All],[Insurance Category Code]],3,AN_TME23[[#All],[Advanced Network/Insurance Carrier Org ID]],B68)/S68)</f>
        <v>NA</v>
      </c>
      <c r="AH68" s="478" t="str">
        <f t="shared" si="105"/>
        <v>NA</v>
      </c>
      <c r="AI68" s="479" t="str">
        <f t="shared" si="106"/>
        <v>NA</v>
      </c>
      <c r="AJ68" s="480" t="str">
        <f t="shared" si="107"/>
        <v>NA</v>
      </c>
      <c r="AK68" s="480" t="str">
        <f t="shared" si="108"/>
        <v>NA</v>
      </c>
      <c r="AL68" s="480" t="str">
        <f t="shared" si="109"/>
        <v>NA</v>
      </c>
      <c r="AM68" s="480" t="str">
        <f t="shared" si="110"/>
        <v>NA</v>
      </c>
      <c r="AN68" s="480" t="str">
        <f t="shared" si="111"/>
        <v>NA</v>
      </c>
      <c r="AO68" s="480" t="str">
        <f t="shared" si="112"/>
        <v>NA</v>
      </c>
      <c r="AP68" s="480" t="str">
        <f t="shared" si="113"/>
        <v>NA</v>
      </c>
      <c r="AQ68" s="480" t="str">
        <f t="shared" si="114"/>
        <v>NA</v>
      </c>
      <c r="AR68" s="481" t="str">
        <f t="shared" si="115"/>
        <v>NA</v>
      </c>
      <c r="AS68" s="481" t="str">
        <f t="shared" si="116"/>
        <v>NA</v>
      </c>
      <c r="AT68" s="481" t="str">
        <f t="shared" si="117"/>
        <v>NA</v>
      </c>
      <c r="AU68" s="481" t="str">
        <f t="shared" si="118"/>
        <v>NA</v>
      </c>
      <c r="AV68" s="482" t="str">
        <f t="shared" si="119"/>
        <v>NA</v>
      </c>
    </row>
    <row r="69" spans="1:48" ht="15" customHeight="1" x14ac:dyDescent="0.25">
      <c r="A69" s="164"/>
      <c r="B69" s="166">
        <v>124</v>
      </c>
      <c r="C69" s="169" t="str">
        <f>_xlfn.XLOOKUP(B69, LgProvEntOrgIDs[Advanced Network/Insurer Carrier Org ID], LgProvEntOrgIDs[Advanced Network/Insurance Carrier Overall])</f>
        <v>Southwest Community Health Center, Inc.</v>
      </c>
      <c r="D69" s="507">
        <f>SUMIFS(AN_TME22[[#All],[Member Months]],AN_TME22[[#All],[Insurance Category Code]],3,AN_TME22[[#All],[Advanced Network/Insurance Carrier Org ID]],B69)</f>
        <v>0</v>
      </c>
      <c r="E69" s="155" t="str">
        <f>IF(D69=0,"NA",SUMIFS(AN_TME22[[#All],[Claims: Hospital Inpatient]],AN_TME22[[#All],[Insurance Category Code]],3,AN_TME22[[#All],[Advanced Network/Insurance Carrier Org ID]],B69)/D69)</f>
        <v>NA</v>
      </c>
      <c r="F69" s="109" t="str">
        <f>IF(D69=0,"NA",SUMIFS(AN_TME22[[#All],[Claims: Hospital Outpatient]],AN_TME22[[#All],[Insurance Category Code]],3,AN_TME22[[#All],[Advanced Network/Insurance Carrier Org ID]],B69)/D69)</f>
        <v>NA</v>
      </c>
      <c r="G69" s="109" t="str">
        <f>IF(D69=0,"NA",SUMIFS(AN_TME22[[#All],[Claims: Professional, Primary Care]],AN_TME22[[#All],[Insurance Category Code]],3,AN_TME22[[#All],[Advanced Network/Insurance Carrier Org ID]],B69)/D69)</f>
        <v>NA</v>
      </c>
      <c r="H69" s="109" t="str">
        <f>IF(D69=0,"NA",SUMIFS(AN_TME22[[#All],[Claims: Professional, Primary Care (for Monitoring Purposes)]],AN_TME22[[#All],[Insurance Category Code]],3,AN_TME22[[#All],[Advanced Network/Insurance Carrier Org ID]],B69)/D69)</f>
        <v>NA</v>
      </c>
      <c r="I69" s="109" t="str">
        <f>IF(D69=0,"NA",SUMIFS(AN_TME22[[#All],[Claims: Professional, Specialty]],AN_TME22[[#All],[Insurance Category Code]],3,AN_TME22[[#All],[Advanced Network/Insurance Carrier Org ID]],B69)/D69)</f>
        <v>NA</v>
      </c>
      <c r="J69" s="109" t="str">
        <f>IF(D69=0,"NA",SUMIFS(AN_TME22[[#All],[Claims: Professional Other]],AN_TME22[[#All],[Insurance Category Code]],3,AN_TME22[[#All],[Advanced Network/Insurance Carrier Org ID]],B69)/D69)</f>
        <v>NA</v>
      </c>
      <c r="K69" s="109" t="str">
        <f>IF(D69=0,"NA",SUMIFS(AN_TME22[[#All],[Claims: Pharmacy]],AN_TME22[[#All],[Insurance Category Code]],3,AN_TME22[[#All],[Advanced Network/Insurance Carrier Org ID]],B69)/D69)</f>
        <v>NA</v>
      </c>
      <c r="L69" s="109" t="str">
        <f>IF(D69=0,"NA",SUMIFS(AN_TME22[[#All],[Claims: Long-Term Care]],AN_TME22[[#All],[Insurance Category Code]],3,AN_TME22[[#All],[Advanced Network/Insurance Carrier Org ID]],B69)/D69)</f>
        <v>NA</v>
      </c>
      <c r="M69" s="109" t="str">
        <f>IF(D69=0,"NA",SUMIFS(AN_TME22[[#All],[Claims: Other]],AN_TME22[[#All],[Insurance Category Code]],3,AN_TME22[[#All],[Advanced Network/Insurance Carrier Org ID]],B69)/D69)</f>
        <v>NA</v>
      </c>
      <c r="N69" s="165" t="str">
        <f>IF(D69=0,"NA",SUMIFS(AN_TME22[[#All],[TOTAL Non-Truncated Unadjusted Claims Expenses]],AN_TME22[[#All],[Insurance Category Code]],3,AN_TME22[[#All],[Advanced Network/Insurance Carrier Org ID]],B69)/D69)</f>
        <v>NA</v>
      </c>
      <c r="O69" s="165" t="str">
        <f>IF(D69=0,"NA",SUMIFS(AN_TME22[[#All],[TOTAL Truncated Unadjusted Claims Expenses (A21 -A19)]],AN_TME22[[#All],[Insurance Category Code]],3,AN_TME22[[#All],[Advanced Network/Insurance Carrier Org ID]],B69)/D69)</f>
        <v>NA</v>
      </c>
      <c r="P69" s="165" t="str">
        <f>IF(D69=0,"NA",SUMIFS(AN_TME22[[#All],[TOTAL Non-Claims Expenses]],AN_TME22[[#All],[Insurance Category Code]],3,AN_TME22[[#All],[Advanced Network/Insurance Carrier Org ID]],B69)/D69)</f>
        <v>NA</v>
      </c>
      <c r="Q69" s="165" t="str">
        <f>IF(D69=0,"NA",SUMIFS(AN_TME22[[#All],[TOTAL Non-Truncated Unadjusted Expenses (A21 + A23)]],AN_TME22[[#All],[Insurance Category Code]],3,AN_TME22[[#All],[Advanced Network/Insurance Carrier Org ID]],B69)/D69)</f>
        <v>NA</v>
      </c>
      <c r="R69" s="165" t="str">
        <f>IF(D69=0,"NA",SUMIFS(AN_TME22[[#All],[TOTAL Truncated Unadjusted Expenses (A22 + A23)]],AN_TME22[[#All],[Insurance Category Code]],3,AN_TME22[[#All],[Advanced Network/Insurance Carrier Org ID]],B69)/D69)</f>
        <v>NA</v>
      </c>
      <c r="S69" s="507">
        <f>SUMIFS(AN_TME23[[#All],[Member Months]],AN_TME23[[#All],[Insurance Category Code]],3,AN_TME23[[#All],[Advanced Network/Insurance Carrier Org ID]],B69)</f>
        <v>0</v>
      </c>
      <c r="T69" s="155" t="str">
        <f>IF(S69=0,"NA",SUMIFS(AN_TME23[[#All],[Claims: Hospital Inpatient]],AN_TME23[[#All],[Insurance Category Code]],3,AN_TME23[[#All],[Advanced Network/Insurance Carrier Org ID]],B69)/S69)</f>
        <v>NA</v>
      </c>
      <c r="U69" s="109" t="str">
        <f>IF(S69=0,"NA",SUMIFS(AN_TME23[[#All],[Claims: Hospital Outpatient]],AN_TME23[[#All],[Insurance Category Code]],3,AN_TME23[[#All],[Advanced Network/Insurance Carrier Org ID]],B69)/S69)</f>
        <v>NA</v>
      </c>
      <c r="V69" s="109" t="str">
        <f>IF(S69=0,"NA",SUMIFS(AN_TME23[[#All],[Claims: Professional, Primary Care]],AN_TME23[[#All],[Insurance Category Code]],3,AN_TME23[[#All],[Advanced Network/Insurance Carrier Org ID]],B69)/S69)</f>
        <v>NA</v>
      </c>
      <c r="W69" s="109" t="str">
        <f>IF(S69=0,"NA",SUMIFS(AN_TME23[[#All],[Claims: Professional, Primary Care (for Monitoring Purposes)]],AN_TME23[[#All],[Insurance Category Code]],3,AN_TME23[[#All],[Advanced Network/Insurance Carrier Org ID]],B69)/S69)</f>
        <v>NA</v>
      </c>
      <c r="X69" s="109" t="str">
        <f>IF(S69=0,"NA",SUMIFS(AN_TME23[[#All],[Claims: Professional, Specialty]],AN_TME23[[#All],[Insurance Category Code]],3,AN_TME23[[#All],[Advanced Network/Insurance Carrier Org ID]],B69)/S69)</f>
        <v>NA</v>
      </c>
      <c r="Y69" s="109" t="str">
        <f>IF(S69=0,"NA",SUMIFS(AN_TME23[[#All],[Claims: Professional Other]],AN_TME23[[#All],[Insurance Category Code]],3,AN_TME23[[#All],[Advanced Network/Insurance Carrier Org ID]],B69)/S69)</f>
        <v>NA</v>
      </c>
      <c r="Z69" s="109" t="str">
        <f>IF(S69=0,"NA",SUMIFS(AN_TME23[[#All],[Claims: Pharmacy]],AN_TME23[[#All],[Insurance Category Code]],3,AN_TME23[[#All],[Advanced Network/Insurance Carrier Org ID]],B69)/S69)</f>
        <v>NA</v>
      </c>
      <c r="AA69" s="109" t="str">
        <f>IF(S69=0,"NA",SUMIFS(AN_TME23[[#All],[Claims: Long-Term Care]],AN_TME23[[#All],[Insurance Category Code]],3,AN_TME23[[#All],[Advanced Network/Insurance Carrier Org ID]],B69)/S69)</f>
        <v>NA</v>
      </c>
      <c r="AB69" s="109" t="str">
        <f>IF(S69=0,"NA",SUMIFS(AN_TME23[[#All],[Claims: Other]],AN_TME23[[#All],[Insurance Category Code]],3,AN_TME23[[#All],[Advanced Network/Insurance Carrier Org ID]],B69)/S69)</f>
        <v>NA</v>
      </c>
      <c r="AC69" s="165" t="str">
        <f>IF(S69=0,"NA",SUMIFS(AN_TME23[[#All],[TOTAL Non-Truncated Unadjusted Claims Expenses]],AN_TME23[[#All],[Insurance Category Code]],3,AN_TME23[[#All],[Advanced Network/Insurance Carrier Org ID]],B69)/S69)</f>
        <v>NA</v>
      </c>
      <c r="AD69" s="165" t="str">
        <f>IF(S69=0,"NA",SUMIFS(AN_TME23[[#All],[TOTAL Truncated Unadjusted Claims Expenses (A21 -A19)]],AN_TME23[[#All],[Insurance Category Code]],3,AN_TME23[[#All],[Advanced Network/Insurance Carrier Org ID]],B69)/S69)</f>
        <v>NA</v>
      </c>
      <c r="AE69" s="165" t="str">
        <f>IF(S69=0,"NA",SUMIFS(AN_TME23[[#All],[TOTAL Non-Claims Expenses]],AN_TME23[[#All],[Insurance Category Code]],3,AN_TME23[[#All],[Advanced Network/Insurance Carrier Org ID]],B69)/S69)</f>
        <v>NA</v>
      </c>
      <c r="AF69" s="165" t="str">
        <f>IF(S69=0,"NA",SUMIFS(AN_TME23[[#All],[TOTAL Non-Truncated Unadjusted Expenses (A21 + A23)]],AN_TME23[[#All],[Insurance Category Code]],3,AN_TME23[[#All],[Advanced Network/Insurance Carrier Org ID]],B69)/S69)</f>
        <v>NA</v>
      </c>
      <c r="AG69" s="156" t="str">
        <f>IF(S69=0,"NA",SUMIFS(AN_TME23[[#All],[TOTAL Truncated Unadjusted Expenses (A22 + A23)]],AN_TME23[[#All],[Insurance Category Code]],3,AN_TME23[[#All],[Advanced Network/Insurance Carrier Org ID]],B69)/S69)</f>
        <v>NA</v>
      </c>
      <c r="AH69" s="478" t="str">
        <f t="shared" si="105"/>
        <v>NA</v>
      </c>
      <c r="AI69" s="479" t="str">
        <f t="shared" si="106"/>
        <v>NA</v>
      </c>
      <c r="AJ69" s="480" t="str">
        <f t="shared" si="107"/>
        <v>NA</v>
      </c>
      <c r="AK69" s="480" t="str">
        <f t="shared" si="108"/>
        <v>NA</v>
      </c>
      <c r="AL69" s="480" t="str">
        <f t="shared" si="109"/>
        <v>NA</v>
      </c>
      <c r="AM69" s="480" t="str">
        <f t="shared" si="110"/>
        <v>NA</v>
      </c>
      <c r="AN69" s="480" t="str">
        <f t="shared" si="111"/>
        <v>NA</v>
      </c>
      <c r="AO69" s="480" t="str">
        <f t="shared" si="112"/>
        <v>NA</v>
      </c>
      <c r="AP69" s="480" t="str">
        <f t="shared" si="113"/>
        <v>NA</v>
      </c>
      <c r="AQ69" s="480" t="str">
        <f t="shared" si="114"/>
        <v>NA</v>
      </c>
      <c r="AR69" s="481" t="str">
        <f t="shared" si="115"/>
        <v>NA</v>
      </c>
      <c r="AS69" s="481" t="str">
        <f t="shared" si="116"/>
        <v>NA</v>
      </c>
      <c r="AT69" s="481" t="str">
        <f t="shared" si="117"/>
        <v>NA</v>
      </c>
      <c r="AU69" s="481" t="str">
        <f t="shared" si="118"/>
        <v>NA</v>
      </c>
      <c r="AV69" s="482" t="str">
        <f t="shared" si="119"/>
        <v>NA</v>
      </c>
    </row>
    <row r="70" spans="1:48" ht="15" customHeight="1" x14ac:dyDescent="0.25">
      <c r="A70" s="164"/>
      <c r="B70" s="166">
        <v>125</v>
      </c>
      <c r="C70" s="169" t="str">
        <f>_xlfn.XLOOKUP(B70, LgProvEntOrgIDs[Advanced Network/Insurer Carrier Org ID], LgProvEntOrgIDs[Advanced Network/Insurance Carrier Overall])</f>
        <v>Stamford Health Medical Group</v>
      </c>
      <c r="D70" s="507">
        <f>SUMIFS(AN_TME22[[#All],[Member Months]],AN_TME22[[#All],[Insurance Category Code]],3,AN_TME22[[#All],[Advanced Network/Insurance Carrier Org ID]],B70)</f>
        <v>0</v>
      </c>
      <c r="E70" s="155" t="str">
        <f>IF(D70=0,"NA",SUMIFS(AN_TME22[[#All],[Claims: Hospital Inpatient]],AN_TME22[[#All],[Insurance Category Code]],3,AN_TME22[[#All],[Advanced Network/Insurance Carrier Org ID]],B70)/D70)</f>
        <v>NA</v>
      </c>
      <c r="F70" s="109" t="str">
        <f>IF(D70=0,"NA",SUMIFS(AN_TME22[[#All],[Claims: Hospital Outpatient]],AN_TME22[[#All],[Insurance Category Code]],3,AN_TME22[[#All],[Advanced Network/Insurance Carrier Org ID]],B70)/D70)</f>
        <v>NA</v>
      </c>
      <c r="G70" s="109" t="str">
        <f>IF(D70=0,"NA",SUMIFS(AN_TME22[[#All],[Claims: Professional, Primary Care]],AN_TME22[[#All],[Insurance Category Code]],3,AN_TME22[[#All],[Advanced Network/Insurance Carrier Org ID]],B70)/D70)</f>
        <v>NA</v>
      </c>
      <c r="H70" s="109" t="str">
        <f>IF(D70=0,"NA",SUMIFS(AN_TME22[[#All],[Claims: Professional, Primary Care (for Monitoring Purposes)]],AN_TME22[[#All],[Insurance Category Code]],3,AN_TME22[[#All],[Advanced Network/Insurance Carrier Org ID]],B70)/D70)</f>
        <v>NA</v>
      </c>
      <c r="I70" s="109" t="str">
        <f>IF(D70=0,"NA",SUMIFS(AN_TME22[[#All],[Claims: Professional, Specialty]],AN_TME22[[#All],[Insurance Category Code]],3,AN_TME22[[#All],[Advanced Network/Insurance Carrier Org ID]],B70)/D70)</f>
        <v>NA</v>
      </c>
      <c r="J70" s="109" t="str">
        <f>IF(D70=0,"NA",SUMIFS(AN_TME22[[#All],[Claims: Professional Other]],AN_TME22[[#All],[Insurance Category Code]],3,AN_TME22[[#All],[Advanced Network/Insurance Carrier Org ID]],B70)/D70)</f>
        <v>NA</v>
      </c>
      <c r="K70" s="109" t="str">
        <f>IF(D70=0,"NA",SUMIFS(AN_TME22[[#All],[Claims: Pharmacy]],AN_TME22[[#All],[Insurance Category Code]],3,AN_TME22[[#All],[Advanced Network/Insurance Carrier Org ID]],B70)/D70)</f>
        <v>NA</v>
      </c>
      <c r="L70" s="109" t="str">
        <f>IF(D70=0,"NA",SUMIFS(AN_TME22[[#All],[Claims: Long-Term Care]],AN_TME22[[#All],[Insurance Category Code]],3,AN_TME22[[#All],[Advanced Network/Insurance Carrier Org ID]],B70)/D70)</f>
        <v>NA</v>
      </c>
      <c r="M70" s="109" t="str">
        <f>IF(D70=0,"NA",SUMIFS(AN_TME22[[#All],[Claims: Other]],AN_TME22[[#All],[Insurance Category Code]],3,AN_TME22[[#All],[Advanced Network/Insurance Carrier Org ID]],B70)/D70)</f>
        <v>NA</v>
      </c>
      <c r="N70" s="165" t="str">
        <f>IF(D70=0,"NA",SUMIFS(AN_TME22[[#All],[TOTAL Non-Truncated Unadjusted Claims Expenses]],AN_TME22[[#All],[Insurance Category Code]],3,AN_TME22[[#All],[Advanced Network/Insurance Carrier Org ID]],B70)/D70)</f>
        <v>NA</v>
      </c>
      <c r="O70" s="165" t="str">
        <f>IF(D70=0,"NA",SUMIFS(AN_TME22[[#All],[TOTAL Truncated Unadjusted Claims Expenses (A21 -A19)]],AN_TME22[[#All],[Insurance Category Code]],3,AN_TME22[[#All],[Advanced Network/Insurance Carrier Org ID]],B70)/D70)</f>
        <v>NA</v>
      </c>
      <c r="P70" s="165" t="str">
        <f>IF(D70=0,"NA",SUMIFS(AN_TME22[[#All],[TOTAL Non-Claims Expenses]],AN_TME22[[#All],[Insurance Category Code]],3,AN_TME22[[#All],[Advanced Network/Insurance Carrier Org ID]],B70)/D70)</f>
        <v>NA</v>
      </c>
      <c r="Q70" s="165" t="str">
        <f>IF(D70=0,"NA",SUMIFS(AN_TME22[[#All],[TOTAL Non-Truncated Unadjusted Expenses (A21 + A23)]],AN_TME22[[#All],[Insurance Category Code]],3,AN_TME22[[#All],[Advanced Network/Insurance Carrier Org ID]],B70)/D70)</f>
        <v>NA</v>
      </c>
      <c r="R70" s="165" t="str">
        <f>IF(D70=0,"NA",SUMIFS(AN_TME22[[#All],[TOTAL Truncated Unadjusted Expenses (A22 + A23)]],AN_TME22[[#All],[Insurance Category Code]],3,AN_TME22[[#All],[Advanced Network/Insurance Carrier Org ID]],B70)/D70)</f>
        <v>NA</v>
      </c>
      <c r="S70" s="507">
        <f>SUMIFS(AN_TME23[[#All],[Member Months]],AN_TME23[[#All],[Insurance Category Code]],3,AN_TME23[[#All],[Advanced Network/Insurance Carrier Org ID]],B70)</f>
        <v>0</v>
      </c>
      <c r="T70" s="155" t="str">
        <f>IF(S70=0,"NA",SUMIFS(AN_TME23[[#All],[Claims: Hospital Inpatient]],AN_TME23[[#All],[Insurance Category Code]],3,AN_TME23[[#All],[Advanced Network/Insurance Carrier Org ID]],B70)/S70)</f>
        <v>NA</v>
      </c>
      <c r="U70" s="109" t="str">
        <f>IF(S70=0,"NA",SUMIFS(AN_TME23[[#All],[Claims: Hospital Outpatient]],AN_TME23[[#All],[Insurance Category Code]],3,AN_TME23[[#All],[Advanced Network/Insurance Carrier Org ID]],B70)/S70)</f>
        <v>NA</v>
      </c>
      <c r="V70" s="109" t="str">
        <f>IF(S70=0,"NA",SUMIFS(AN_TME23[[#All],[Claims: Professional, Primary Care]],AN_TME23[[#All],[Insurance Category Code]],3,AN_TME23[[#All],[Advanced Network/Insurance Carrier Org ID]],B70)/S70)</f>
        <v>NA</v>
      </c>
      <c r="W70" s="109" t="str">
        <f>IF(S70=0,"NA",SUMIFS(AN_TME23[[#All],[Claims: Professional, Primary Care (for Monitoring Purposes)]],AN_TME23[[#All],[Insurance Category Code]],3,AN_TME23[[#All],[Advanced Network/Insurance Carrier Org ID]],B70)/S70)</f>
        <v>NA</v>
      </c>
      <c r="X70" s="109" t="str">
        <f>IF(S70=0,"NA",SUMIFS(AN_TME23[[#All],[Claims: Professional, Specialty]],AN_TME23[[#All],[Insurance Category Code]],3,AN_TME23[[#All],[Advanced Network/Insurance Carrier Org ID]],B70)/S70)</f>
        <v>NA</v>
      </c>
      <c r="Y70" s="109" t="str">
        <f>IF(S70=0,"NA",SUMIFS(AN_TME23[[#All],[Claims: Professional Other]],AN_TME23[[#All],[Insurance Category Code]],3,AN_TME23[[#All],[Advanced Network/Insurance Carrier Org ID]],B70)/S70)</f>
        <v>NA</v>
      </c>
      <c r="Z70" s="109" t="str">
        <f>IF(S70=0,"NA",SUMIFS(AN_TME23[[#All],[Claims: Pharmacy]],AN_TME23[[#All],[Insurance Category Code]],3,AN_TME23[[#All],[Advanced Network/Insurance Carrier Org ID]],B70)/S70)</f>
        <v>NA</v>
      </c>
      <c r="AA70" s="109" t="str">
        <f>IF(S70=0,"NA",SUMIFS(AN_TME23[[#All],[Claims: Long-Term Care]],AN_TME23[[#All],[Insurance Category Code]],3,AN_TME23[[#All],[Advanced Network/Insurance Carrier Org ID]],B70)/S70)</f>
        <v>NA</v>
      </c>
      <c r="AB70" s="109" t="str">
        <f>IF(S70=0,"NA",SUMIFS(AN_TME23[[#All],[Claims: Other]],AN_TME23[[#All],[Insurance Category Code]],3,AN_TME23[[#All],[Advanced Network/Insurance Carrier Org ID]],B70)/S70)</f>
        <v>NA</v>
      </c>
      <c r="AC70" s="165" t="str">
        <f>IF(S70=0,"NA",SUMIFS(AN_TME23[[#All],[TOTAL Non-Truncated Unadjusted Claims Expenses]],AN_TME23[[#All],[Insurance Category Code]],3,AN_TME23[[#All],[Advanced Network/Insurance Carrier Org ID]],B70)/S70)</f>
        <v>NA</v>
      </c>
      <c r="AD70" s="165" t="str">
        <f>IF(S70=0,"NA",SUMIFS(AN_TME23[[#All],[TOTAL Truncated Unadjusted Claims Expenses (A21 -A19)]],AN_TME23[[#All],[Insurance Category Code]],3,AN_TME23[[#All],[Advanced Network/Insurance Carrier Org ID]],B70)/S70)</f>
        <v>NA</v>
      </c>
      <c r="AE70" s="165" t="str">
        <f>IF(S70=0,"NA",SUMIFS(AN_TME23[[#All],[TOTAL Non-Claims Expenses]],AN_TME23[[#All],[Insurance Category Code]],3,AN_TME23[[#All],[Advanced Network/Insurance Carrier Org ID]],B70)/S70)</f>
        <v>NA</v>
      </c>
      <c r="AF70" s="165" t="str">
        <f>IF(S70=0,"NA",SUMIFS(AN_TME23[[#All],[TOTAL Non-Truncated Unadjusted Expenses (A21 + A23)]],AN_TME23[[#All],[Insurance Category Code]],3,AN_TME23[[#All],[Advanced Network/Insurance Carrier Org ID]],B70)/S70)</f>
        <v>NA</v>
      </c>
      <c r="AG70" s="156" t="str">
        <f>IF(S70=0,"NA",SUMIFS(AN_TME23[[#All],[TOTAL Truncated Unadjusted Expenses (A22 + A23)]],AN_TME23[[#All],[Insurance Category Code]],3,AN_TME23[[#All],[Advanced Network/Insurance Carrier Org ID]],B70)/S70)</f>
        <v>NA</v>
      </c>
      <c r="AH70" s="478" t="str">
        <f t="shared" si="105"/>
        <v>NA</v>
      </c>
      <c r="AI70" s="479" t="str">
        <f t="shared" si="106"/>
        <v>NA</v>
      </c>
      <c r="AJ70" s="480" t="str">
        <f t="shared" si="107"/>
        <v>NA</v>
      </c>
      <c r="AK70" s="480" t="str">
        <f t="shared" si="108"/>
        <v>NA</v>
      </c>
      <c r="AL70" s="480" t="str">
        <f t="shared" si="109"/>
        <v>NA</v>
      </c>
      <c r="AM70" s="480" t="str">
        <f t="shared" si="110"/>
        <v>NA</v>
      </c>
      <c r="AN70" s="480" t="str">
        <f t="shared" si="111"/>
        <v>NA</v>
      </c>
      <c r="AO70" s="480" t="str">
        <f t="shared" si="112"/>
        <v>NA</v>
      </c>
      <c r="AP70" s="480" t="str">
        <f t="shared" si="113"/>
        <v>NA</v>
      </c>
      <c r="AQ70" s="480" t="str">
        <f t="shared" si="114"/>
        <v>NA</v>
      </c>
      <c r="AR70" s="481" t="str">
        <f t="shared" si="115"/>
        <v>NA</v>
      </c>
      <c r="AS70" s="481" t="str">
        <f t="shared" si="116"/>
        <v>NA</v>
      </c>
      <c r="AT70" s="481" t="str">
        <f t="shared" si="117"/>
        <v>NA</v>
      </c>
      <c r="AU70" s="481" t="str">
        <f t="shared" si="118"/>
        <v>NA</v>
      </c>
      <c r="AV70" s="482" t="str">
        <f t="shared" si="119"/>
        <v>NA</v>
      </c>
    </row>
    <row r="71" spans="1:48" ht="15" customHeight="1" x14ac:dyDescent="0.25">
      <c r="A71" s="164"/>
      <c r="B71" s="166">
        <v>126</v>
      </c>
      <c r="C71" s="169" t="str">
        <f>_xlfn.XLOOKUP(B71, LgProvEntOrgIDs[Advanced Network/Insurer Carrier Org ID], LgProvEntOrgIDs[Advanced Network/Insurance Carrier Overall])</f>
        <v>Starling Physicians</v>
      </c>
      <c r="D71" s="507">
        <f>SUMIFS(AN_TME22[[#All],[Member Months]],AN_TME22[[#All],[Insurance Category Code]],3,AN_TME22[[#All],[Advanced Network/Insurance Carrier Org ID]],B71)</f>
        <v>0</v>
      </c>
      <c r="E71" s="155" t="str">
        <f>IF(D71=0,"NA",SUMIFS(AN_TME22[[#All],[Claims: Hospital Inpatient]],AN_TME22[[#All],[Insurance Category Code]],3,AN_TME22[[#All],[Advanced Network/Insurance Carrier Org ID]],B71)/D71)</f>
        <v>NA</v>
      </c>
      <c r="F71" s="109" t="str">
        <f>IF(D71=0,"NA",SUMIFS(AN_TME22[[#All],[Claims: Hospital Outpatient]],AN_TME22[[#All],[Insurance Category Code]],3,AN_TME22[[#All],[Advanced Network/Insurance Carrier Org ID]],B71)/D71)</f>
        <v>NA</v>
      </c>
      <c r="G71" s="109" t="str">
        <f>IF(D71=0,"NA",SUMIFS(AN_TME22[[#All],[Claims: Professional, Primary Care]],AN_TME22[[#All],[Insurance Category Code]],3,AN_TME22[[#All],[Advanced Network/Insurance Carrier Org ID]],B71)/D71)</f>
        <v>NA</v>
      </c>
      <c r="H71" s="109" t="str">
        <f>IF(D71=0,"NA",SUMIFS(AN_TME22[[#All],[Claims: Professional, Primary Care (for Monitoring Purposes)]],AN_TME22[[#All],[Insurance Category Code]],3,AN_TME22[[#All],[Advanced Network/Insurance Carrier Org ID]],B71)/D71)</f>
        <v>NA</v>
      </c>
      <c r="I71" s="109" t="str">
        <f>IF(D71=0,"NA",SUMIFS(AN_TME22[[#All],[Claims: Professional, Specialty]],AN_TME22[[#All],[Insurance Category Code]],3,AN_TME22[[#All],[Advanced Network/Insurance Carrier Org ID]],B71)/D71)</f>
        <v>NA</v>
      </c>
      <c r="J71" s="109" t="str">
        <f>IF(D71=0,"NA",SUMIFS(AN_TME22[[#All],[Claims: Professional Other]],AN_TME22[[#All],[Insurance Category Code]],3,AN_TME22[[#All],[Advanced Network/Insurance Carrier Org ID]],B71)/D71)</f>
        <v>NA</v>
      </c>
      <c r="K71" s="109" t="str">
        <f>IF(D71=0,"NA",SUMIFS(AN_TME22[[#All],[Claims: Pharmacy]],AN_TME22[[#All],[Insurance Category Code]],3,AN_TME22[[#All],[Advanced Network/Insurance Carrier Org ID]],B71)/D71)</f>
        <v>NA</v>
      </c>
      <c r="L71" s="109" t="str">
        <f>IF(D71=0,"NA",SUMIFS(AN_TME22[[#All],[Claims: Long-Term Care]],AN_TME22[[#All],[Insurance Category Code]],3,AN_TME22[[#All],[Advanced Network/Insurance Carrier Org ID]],B71)/D71)</f>
        <v>NA</v>
      </c>
      <c r="M71" s="109" t="str">
        <f>IF(D71=0,"NA",SUMIFS(AN_TME22[[#All],[Claims: Other]],AN_TME22[[#All],[Insurance Category Code]],3,AN_TME22[[#All],[Advanced Network/Insurance Carrier Org ID]],B71)/D71)</f>
        <v>NA</v>
      </c>
      <c r="N71" s="165" t="str">
        <f>IF(D71=0,"NA",SUMIFS(AN_TME22[[#All],[TOTAL Non-Truncated Unadjusted Claims Expenses]],AN_TME22[[#All],[Insurance Category Code]],3,AN_TME22[[#All],[Advanced Network/Insurance Carrier Org ID]],B71)/D71)</f>
        <v>NA</v>
      </c>
      <c r="O71" s="165" t="str">
        <f>IF(D71=0,"NA",SUMIFS(AN_TME22[[#All],[TOTAL Truncated Unadjusted Claims Expenses (A21 -A19)]],AN_TME22[[#All],[Insurance Category Code]],3,AN_TME22[[#All],[Advanced Network/Insurance Carrier Org ID]],B71)/D71)</f>
        <v>NA</v>
      </c>
      <c r="P71" s="165" t="str">
        <f>IF(D71=0,"NA",SUMIFS(AN_TME22[[#All],[TOTAL Non-Claims Expenses]],AN_TME22[[#All],[Insurance Category Code]],3,AN_TME22[[#All],[Advanced Network/Insurance Carrier Org ID]],B71)/D71)</f>
        <v>NA</v>
      </c>
      <c r="Q71" s="165" t="str">
        <f>IF(D71=0,"NA",SUMIFS(AN_TME22[[#All],[TOTAL Non-Truncated Unadjusted Expenses (A21 + A23)]],AN_TME22[[#All],[Insurance Category Code]],3,AN_TME22[[#All],[Advanced Network/Insurance Carrier Org ID]],B71)/D71)</f>
        <v>NA</v>
      </c>
      <c r="R71" s="165" t="str">
        <f>IF(D71=0,"NA",SUMIFS(AN_TME22[[#All],[TOTAL Truncated Unadjusted Expenses (A22 + A23)]],AN_TME22[[#All],[Insurance Category Code]],3,AN_TME22[[#All],[Advanced Network/Insurance Carrier Org ID]],B71)/D71)</f>
        <v>NA</v>
      </c>
      <c r="S71" s="507">
        <f>SUMIFS(AN_TME23[[#All],[Member Months]],AN_TME23[[#All],[Insurance Category Code]],3,AN_TME23[[#All],[Advanced Network/Insurance Carrier Org ID]],B71)</f>
        <v>0</v>
      </c>
      <c r="T71" s="155" t="str">
        <f>IF(S71=0,"NA",SUMIFS(AN_TME23[[#All],[Claims: Hospital Inpatient]],AN_TME23[[#All],[Insurance Category Code]],3,AN_TME23[[#All],[Advanced Network/Insurance Carrier Org ID]],B71)/S71)</f>
        <v>NA</v>
      </c>
      <c r="U71" s="109" t="str">
        <f>IF(S71=0,"NA",SUMIFS(AN_TME23[[#All],[Claims: Hospital Outpatient]],AN_TME23[[#All],[Insurance Category Code]],3,AN_TME23[[#All],[Advanced Network/Insurance Carrier Org ID]],B71)/S71)</f>
        <v>NA</v>
      </c>
      <c r="V71" s="109" t="str">
        <f>IF(S71=0,"NA",SUMIFS(AN_TME23[[#All],[Claims: Professional, Primary Care]],AN_TME23[[#All],[Insurance Category Code]],3,AN_TME23[[#All],[Advanced Network/Insurance Carrier Org ID]],B71)/S71)</f>
        <v>NA</v>
      </c>
      <c r="W71" s="109" t="str">
        <f>IF(S71=0,"NA",SUMIFS(AN_TME23[[#All],[Claims: Professional, Primary Care (for Monitoring Purposes)]],AN_TME23[[#All],[Insurance Category Code]],3,AN_TME23[[#All],[Advanced Network/Insurance Carrier Org ID]],B71)/S71)</f>
        <v>NA</v>
      </c>
      <c r="X71" s="109" t="str">
        <f>IF(S71=0,"NA",SUMIFS(AN_TME23[[#All],[Claims: Professional, Specialty]],AN_TME23[[#All],[Insurance Category Code]],3,AN_TME23[[#All],[Advanced Network/Insurance Carrier Org ID]],B71)/S71)</f>
        <v>NA</v>
      </c>
      <c r="Y71" s="109" t="str">
        <f>IF(S71=0,"NA",SUMIFS(AN_TME23[[#All],[Claims: Professional Other]],AN_TME23[[#All],[Insurance Category Code]],3,AN_TME23[[#All],[Advanced Network/Insurance Carrier Org ID]],B71)/S71)</f>
        <v>NA</v>
      </c>
      <c r="Z71" s="109" t="str">
        <f>IF(S71=0,"NA",SUMIFS(AN_TME23[[#All],[Claims: Pharmacy]],AN_TME23[[#All],[Insurance Category Code]],3,AN_TME23[[#All],[Advanced Network/Insurance Carrier Org ID]],B71)/S71)</f>
        <v>NA</v>
      </c>
      <c r="AA71" s="109" t="str">
        <f>IF(S71=0,"NA",SUMIFS(AN_TME23[[#All],[Claims: Long-Term Care]],AN_TME23[[#All],[Insurance Category Code]],3,AN_TME23[[#All],[Advanced Network/Insurance Carrier Org ID]],B71)/S71)</f>
        <v>NA</v>
      </c>
      <c r="AB71" s="109" t="str">
        <f>IF(S71=0,"NA",SUMIFS(AN_TME23[[#All],[Claims: Other]],AN_TME23[[#All],[Insurance Category Code]],3,AN_TME23[[#All],[Advanced Network/Insurance Carrier Org ID]],B71)/S71)</f>
        <v>NA</v>
      </c>
      <c r="AC71" s="165" t="str">
        <f>IF(S71=0,"NA",SUMIFS(AN_TME23[[#All],[TOTAL Non-Truncated Unadjusted Claims Expenses]],AN_TME23[[#All],[Insurance Category Code]],3,AN_TME23[[#All],[Advanced Network/Insurance Carrier Org ID]],B71)/S71)</f>
        <v>NA</v>
      </c>
      <c r="AD71" s="165" t="str">
        <f>IF(S71=0,"NA",SUMIFS(AN_TME23[[#All],[TOTAL Truncated Unadjusted Claims Expenses (A21 -A19)]],AN_TME23[[#All],[Insurance Category Code]],3,AN_TME23[[#All],[Advanced Network/Insurance Carrier Org ID]],B71)/S71)</f>
        <v>NA</v>
      </c>
      <c r="AE71" s="165" t="str">
        <f>IF(S71=0,"NA",SUMIFS(AN_TME23[[#All],[TOTAL Non-Claims Expenses]],AN_TME23[[#All],[Insurance Category Code]],3,AN_TME23[[#All],[Advanced Network/Insurance Carrier Org ID]],B71)/S71)</f>
        <v>NA</v>
      </c>
      <c r="AF71" s="165" t="str">
        <f>IF(S71=0,"NA",SUMIFS(AN_TME23[[#All],[TOTAL Non-Truncated Unadjusted Expenses (A21 + A23)]],AN_TME23[[#All],[Insurance Category Code]],3,AN_TME23[[#All],[Advanced Network/Insurance Carrier Org ID]],B71)/S71)</f>
        <v>NA</v>
      </c>
      <c r="AG71" s="156" t="str">
        <f>IF(S71=0,"NA",SUMIFS(AN_TME23[[#All],[TOTAL Truncated Unadjusted Expenses (A22 + A23)]],AN_TME23[[#All],[Insurance Category Code]],3,AN_TME23[[#All],[Advanced Network/Insurance Carrier Org ID]],B71)/S71)</f>
        <v>NA</v>
      </c>
      <c r="AH71" s="478" t="str">
        <f t="shared" si="105"/>
        <v>NA</v>
      </c>
      <c r="AI71" s="479" t="str">
        <f t="shared" si="106"/>
        <v>NA</v>
      </c>
      <c r="AJ71" s="480" t="str">
        <f t="shared" si="107"/>
        <v>NA</v>
      </c>
      <c r="AK71" s="480" t="str">
        <f t="shared" si="108"/>
        <v>NA</v>
      </c>
      <c r="AL71" s="480" t="str">
        <f t="shared" si="109"/>
        <v>NA</v>
      </c>
      <c r="AM71" s="480" t="str">
        <f t="shared" si="110"/>
        <v>NA</v>
      </c>
      <c r="AN71" s="480" t="str">
        <f t="shared" si="111"/>
        <v>NA</v>
      </c>
      <c r="AO71" s="480" t="str">
        <f t="shared" si="112"/>
        <v>NA</v>
      </c>
      <c r="AP71" s="480" t="str">
        <f t="shared" si="113"/>
        <v>NA</v>
      </c>
      <c r="AQ71" s="480" t="str">
        <f t="shared" si="114"/>
        <v>NA</v>
      </c>
      <c r="AR71" s="481" t="str">
        <f t="shared" si="115"/>
        <v>NA</v>
      </c>
      <c r="AS71" s="481" t="str">
        <f t="shared" si="116"/>
        <v>NA</v>
      </c>
      <c r="AT71" s="481" t="str">
        <f t="shared" si="117"/>
        <v>NA</v>
      </c>
      <c r="AU71" s="481" t="str">
        <f t="shared" si="118"/>
        <v>NA</v>
      </c>
      <c r="AV71" s="482" t="str">
        <f t="shared" si="119"/>
        <v>NA</v>
      </c>
    </row>
    <row r="72" spans="1:48" ht="15" customHeight="1" x14ac:dyDescent="0.25">
      <c r="A72" s="164"/>
      <c r="B72" s="166">
        <v>127</v>
      </c>
      <c r="C72" s="169" t="str">
        <f>_xlfn.XLOOKUP(B72, LgProvEntOrgIDs[Advanced Network/Insurer Carrier Org ID], LgProvEntOrgIDs[Advanced Network/Insurance Carrier Overall])</f>
        <v>UConn Medical Group</v>
      </c>
      <c r="D72" s="507">
        <f>SUMIFS(AN_TME22[[#All],[Member Months]],AN_TME22[[#All],[Insurance Category Code]],3,AN_TME22[[#All],[Advanced Network/Insurance Carrier Org ID]],B72)</f>
        <v>0</v>
      </c>
      <c r="E72" s="155" t="str">
        <f>IF(D72=0,"NA",SUMIFS(AN_TME22[[#All],[Claims: Hospital Inpatient]],AN_TME22[[#All],[Insurance Category Code]],3,AN_TME22[[#All],[Advanced Network/Insurance Carrier Org ID]],B72)/D72)</f>
        <v>NA</v>
      </c>
      <c r="F72" s="109" t="str">
        <f>IF(D72=0,"NA",SUMIFS(AN_TME22[[#All],[Claims: Hospital Outpatient]],AN_TME22[[#All],[Insurance Category Code]],3,AN_TME22[[#All],[Advanced Network/Insurance Carrier Org ID]],B72)/D72)</f>
        <v>NA</v>
      </c>
      <c r="G72" s="109" t="str">
        <f>IF(D72=0,"NA",SUMIFS(AN_TME22[[#All],[Claims: Professional, Primary Care]],AN_TME22[[#All],[Insurance Category Code]],3,AN_TME22[[#All],[Advanced Network/Insurance Carrier Org ID]],B72)/D72)</f>
        <v>NA</v>
      </c>
      <c r="H72" s="109" t="str">
        <f>IF(D72=0,"NA",SUMIFS(AN_TME22[[#All],[Claims: Professional, Primary Care (for Monitoring Purposes)]],AN_TME22[[#All],[Insurance Category Code]],3,AN_TME22[[#All],[Advanced Network/Insurance Carrier Org ID]],B72)/D72)</f>
        <v>NA</v>
      </c>
      <c r="I72" s="109" t="str">
        <f>IF(D72=0,"NA",SUMIFS(AN_TME22[[#All],[Claims: Professional, Specialty]],AN_TME22[[#All],[Insurance Category Code]],3,AN_TME22[[#All],[Advanced Network/Insurance Carrier Org ID]],B72)/D72)</f>
        <v>NA</v>
      </c>
      <c r="J72" s="109" t="str">
        <f>IF(D72=0,"NA",SUMIFS(AN_TME22[[#All],[Claims: Professional Other]],AN_TME22[[#All],[Insurance Category Code]],3,AN_TME22[[#All],[Advanced Network/Insurance Carrier Org ID]],B72)/D72)</f>
        <v>NA</v>
      </c>
      <c r="K72" s="109" t="str">
        <f>IF(D72=0,"NA",SUMIFS(AN_TME22[[#All],[Claims: Pharmacy]],AN_TME22[[#All],[Insurance Category Code]],3,AN_TME22[[#All],[Advanced Network/Insurance Carrier Org ID]],B72)/D72)</f>
        <v>NA</v>
      </c>
      <c r="L72" s="109" t="str">
        <f>IF(D72=0,"NA",SUMIFS(AN_TME22[[#All],[Claims: Long-Term Care]],AN_TME22[[#All],[Insurance Category Code]],3,AN_TME22[[#All],[Advanced Network/Insurance Carrier Org ID]],B72)/D72)</f>
        <v>NA</v>
      </c>
      <c r="M72" s="109" t="str">
        <f>IF(D72=0,"NA",SUMIFS(AN_TME22[[#All],[Claims: Other]],AN_TME22[[#All],[Insurance Category Code]],3,AN_TME22[[#All],[Advanced Network/Insurance Carrier Org ID]],B72)/D72)</f>
        <v>NA</v>
      </c>
      <c r="N72" s="165" t="str">
        <f>IF(D72=0,"NA",SUMIFS(AN_TME22[[#All],[TOTAL Non-Truncated Unadjusted Claims Expenses]],AN_TME22[[#All],[Insurance Category Code]],3,AN_TME22[[#All],[Advanced Network/Insurance Carrier Org ID]],B72)/D72)</f>
        <v>NA</v>
      </c>
      <c r="O72" s="165" t="str">
        <f>IF(D72=0,"NA",SUMIFS(AN_TME22[[#All],[TOTAL Truncated Unadjusted Claims Expenses (A21 -A19)]],AN_TME22[[#All],[Insurance Category Code]],3,AN_TME22[[#All],[Advanced Network/Insurance Carrier Org ID]],B72)/D72)</f>
        <v>NA</v>
      </c>
      <c r="P72" s="165" t="str">
        <f>IF(D72=0,"NA",SUMIFS(AN_TME22[[#All],[TOTAL Non-Claims Expenses]],AN_TME22[[#All],[Insurance Category Code]],3,AN_TME22[[#All],[Advanced Network/Insurance Carrier Org ID]],B72)/D72)</f>
        <v>NA</v>
      </c>
      <c r="Q72" s="165" t="str">
        <f>IF(D72=0,"NA",SUMIFS(AN_TME22[[#All],[TOTAL Non-Truncated Unadjusted Expenses (A21 + A23)]],AN_TME22[[#All],[Insurance Category Code]],3,AN_TME22[[#All],[Advanced Network/Insurance Carrier Org ID]],B72)/D72)</f>
        <v>NA</v>
      </c>
      <c r="R72" s="165" t="str">
        <f>IF(D72=0,"NA",SUMIFS(AN_TME22[[#All],[TOTAL Truncated Unadjusted Expenses (A22 + A23)]],AN_TME22[[#All],[Insurance Category Code]],3,AN_TME22[[#All],[Advanced Network/Insurance Carrier Org ID]],B72)/D72)</f>
        <v>NA</v>
      </c>
      <c r="S72" s="507">
        <f>SUMIFS(AN_TME23[[#All],[Member Months]],AN_TME23[[#All],[Insurance Category Code]],3,AN_TME23[[#All],[Advanced Network/Insurance Carrier Org ID]],B72)</f>
        <v>0</v>
      </c>
      <c r="T72" s="155" t="str">
        <f>IF(S72=0,"NA",SUMIFS(AN_TME23[[#All],[Claims: Hospital Inpatient]],AN_TME23[[#All],[Insurance Category Code]],3,AN_TME23[[#All],[Advanced Network/Insurance Carrier Org ID]],B72)/S72)</f>
        <v>NA</v>
      </c>
      <c r="U72" s="109" t="str">
        <f>IF(S72=0,"NA",SUMIFS(AN_TME23[[#All],[Claims: Hospital Outpatient]],AN_TME23[[#All],[Insurance Category Code]],3,AN_TME23[[#All],[Advanced Network/Insurance Carrier Org ID]],B72)/S72)</f>
        <v>NA</v>
      </c>
      <c r="V72" s="109" t="str">
        <f>IF(S72=0,"NA",SUMIFS(AN_TME23[[#All],[Claims: Professional, Primary Care]],AN_TME23[[#All],[Insurance Category Code]],3,AN_TME23[[#All],[Advanced Network/Insurance Carrier Org ID]],B72)/S72)</f>
        <v>NA</v>
      </c>
      <c r="W72" s="109" t="str">
        <f>IF(S72=0,"NA",SUMIFS(AN_TME23[[#All],[Claims: Professional, Primary Care (for Monitoring Purposes)]],AN_TME23[[#All],[Insurance Category Code]],3,AN_TME23[[#All],[Advanced Network/Insurance Carrier Org ID]],B72)/S72)</f>
        <v>NA</v>
      </c>
      <c r="X72" s="109" t="str">
        <f>IF(S72=0,"NA",SUMIFS(AN_TME23[[#All],[Claims: Professional, Specialty]],AN_TME23[[#All],[Insurance Category Code]],3,AN_TME23[[#All],[Advanced Network/Insurance Carrier Org ID]],B72)/S72)</f>
        <v>NA</v>
      </c>
      <c r="Y72" s="109" t="str">
        <f>IF(S72=0,"NA",SUMIFS(AN_TME23[[#All],[Claims: Professional Other]],AN_TME23[[#All],[Insurance Category Code]],3,AN_TME23[[#All],[Advanced Network/Insurance Carrier Org ID]],B72)/S72)</f>
        <v>NA</v>
      </c>
      <c r="Z72" s="109" t="str">
        <f>IF(S72=0,"NA",SUMIFS(AN_TME23[[#All],[Claims: Pharmacy]],AN_TME23[[#All],[Insurance Category Code]],3,AN_TME23[[#All],[Advanced Network/Insurance Carrier Org ID]],B72)/S72)</f>
        <v>NA</v>
      </c>
      <c r="AA72" s="109" t="str">
        <f>IF(S72=0,"NA",SUMIFS(AN_TME23[[#All],[Claims: Long-Term Care]],AN_TME23[[#All],[Insurance Category Code]],3,AN_TME23[[#All],[Advanced Network/Insurance Carrier Org ID]],B72)/S72)</f>
        <v>NA</v>
      </c>
      <c r="AB72" s="109" t="str">
        <f>IF(S72=0,"NA",SUMIFS(AN_TME23[[#All],[Claims: Other]],AN_TME23[[#All],[Insurance Category Code]],3,AN_TME23[[#All],[Advanced Network/Insurance Carrier Org ID]],B72)/S72)</f>
        <v>NA</v>
      </c>
      <c r="AC72" s="165" t="str">
        <f>IF(S72=0,"NA",SUMIFS(AN_TME23[[#All],[TOTAL Non-Truncated Unadjusted Claims Expenses]],AN_TME23[[#All],[Insurance Category Code]],3,AN_TME23[[#All],[Advanced Network/Insurance Carrier Org ID]],B72)/S72)</f>
        <v>NA</v>
      </c>
      <c r="AD72" s="165" t="str">
        <f>IF(S72=0,"NA",SUMIFS(AN_TME23[[#All],[TOTAL Truncated Unadjusted Claims Expenses (A21 -A19)]],AN_TME23[[#All],[Insurance Category Code]],3,AN_TME23[[#All],[Advanced Network/Insurance Carrier Org ID]],B72)/S72)</f>
        <v>NA</v>
      </c>
      <c r="AE72" s="165" t="str">
        <f>IF(S72=0,"NA",SUMIFS(AN_TME23[[#All],[TOTAL Non-Claims Expenses]],AN_TME23[[#All],[Insurance Category Code]],3,AN_TME23[[#All],[Advanced Network/Insurance Carrier Org ID]],B72)/S72)</f>
        <v>NA</v>
      </c>
      <c r="AF72" s="165" t="str">
        <f>IF(S72=0,"NA",SUMIFS(AN_TME23[[#All],[TOTAL Non-Truncated Unadjusted Expenses (A21 + A23)]],AN_TME23[[#All],[Insurance Category Code]],3,AN_TME23[[#All],[Advanced Network/Insurance Carrier Org ID]],B72)/S72)</f>
        <v>NA</v>
      </c>
      <c r="AG72" s="156" t="str">
        <f>IF(S72=0,"NA",SUMIFS(AN_TME23[[#All],[TOTAL Truncated Unadjusted Expenses (A22 + A23)]],AN_TME23[[#All],[Insurance Category Code]],3,AN_TME23[[#All],[Advanced Network/Insurance Carrier Org ID]],B72)/S72)</f>
        <v>NA</v>
      </c>
      <c r="AH72" s="478" t="str">
        <f t="shared" si="105"/>
        <v>NA</v>
      </c>
      <c r="AI72" s="479" t="str">
        <f t="shared" si="106"/>
        <v>NA</v>
      </c>
      <c r="AJ72" s="480" t="str">
        <f t="shared" si="107"/>
        <v>NA</v>
      </c>
      <c r="AK72" s="480" t="str">
        <f t="shared" si="108"/>
        <v>NA</v>
      </c>
      <c r="AL72" s="480" t="str">
        <f t="shared" si="109"/>
        <v>NA</v>
      </c>
      <c r="AM72" s="480" t="str">
        <f t="shared" si="110"/>
        <v>NA</v>
      </c>
      <c r="AN72" s="480" t="str">
        <f t="shared" si="111"/>
        <v>NA</v>
      </c>
      <c r="AO72" s="480" t="str">
        <f t="shared" si="112"/>
        <v>NA</v>
      </c>
      <c r="AP72" s="480" t="str">
        <f t="shared" si="113"/>
        <v>NA</v>
      </c>
      <c r="AQ72" s="480" t="str">
        <f t="shared" si="114"/>
        <v>NA</v>
      </c>
      <c r="AR72" s="481" t="str">
        <f t="shared" si="115"/>
        <v>NA</v>
      </c>
      <c r="AS72" s="481" t="str">
        <f t="shared" si="116"/>
        <v>NA</v>
      </c>
      <c r="AT72" s="481" t="str">
        <f t="shared" si="117"/>
        <v>NA</v>
      </c>
      <c r="AU72" s="481" t="str">
        <f t="shared" si="118"/>
        <v>NA</v>
      </c>
      <c r="AV72" s="482" t="str">
        <f t="shared" si="119"/>
        <v>NA</v>
      </c>
    </row>
    <row r="73" spans="1:48" ht="15" customHeight="1" x14ac:dyDescent="0.25">
      <c r="A73" s="164"/>
      <c r="B73" s="166">
        <v>128</v>
      </c>
      <c r="C73" s="169" t="str">
        <f>_xlfn.XLOOKUP(B73, LgProvEntOrgIDs[Advanced Network/Insurer Carrier Org ID], LgProvEntOrgIDs[Advanced Network/Insurance Carrier Overall])</f>
        <v>United Community and Family Services</v>
      </c>
      <c r="D73" s="507">
        <f>SUMIFS(AN_TME22[[#All],[Member Months]],AN_TME22[[#All],[Insurance Category Code]],3,AN_TME22[[#All],[Advanced Network/Insurance Carrier Org ID]],B73)</f>
        <v>0</v>
      </c>
      <c r="E73" s="155" t="str">
        <f>IF(D73=0,"NA",SUMIFS(AN_TME22[[#All],[Claims: Hospital Inpatient]],AN_TME22[[#All],[Insurance Category Code]],3,AN_TME22[[#All],[Advanced Network/Insurance Carrier Org ID]],B73)/D73)</f>
        <v>NA</v>
      </c>
      <c r="F73" s="109" t="str">
        <f>IF(D73=0,"NA",SUMIFS(AN_TME22[[#All],[Claims: Hospital Outpatient]],AN_TME22[[#All],[Insurance Category Code]],3,AN_TME22[[#All],[Advanced Network/Insurance Carrier Org ID]],B73)/D73)</f>
        <v>NA</v>
      </c>
      <c r="G73" s="109" t="str">
        <f>IF(D73=0,"NA",SUMIFS(AN_TME22[[#All],[Claims: Professional, Primary Care]],AN_TME22[[#All],[Insurance Category Code]],3,AN_TME22[[#All],[Advanced Network/Insurance Carrier Org ID]],B73)/D73)</f>
        <v>NA</v>
      </c>
      <c r="H73" s="109" t="str">
        <f>IF(D73=0,"NA",SUMIFS(AN_TME22[[#All],[Claims: Professional, Primary Care (for Monitoring Purposes)]],AN_TME22[[#All],[Insurance Category Code]],3,AN_TME22[[#All],[Advanced Network/Insurance Carrier Org ID]],B73)/D73)</f>
        <v>NA</v>
      </c>
      <c r="I73" s="109" t="str">
        <f>IF(D73=0,"NA",SUMIFS(AN_TME22[[#All],[Claims: Professional, Specialty]],AN_TME22[[#All],[Insurance Category Code]],3,AN_TME22[[#All],[Advanced Network/Insurance Carrier Org ID]],B73)/D73)</f>
        <v>NA</v>
      </c>
      <c r="J73" s="109" t="str">
        <f>IF(D73=0,"NA",SUMIFS(AN_TME22[[#All],[Claims: Professional Other]],AN_TME22[[#All],[Insurance Category Code]],3,AN_TME22[[#All],[Advanced Network/Insurance Carrier Org ID]],B73)/D73)</f>
        <v>NA</v>
      </c>
      <c r="K73" s="109" t="str">
        <f>IF(D73=0,"NA",SUMIFS(AN_TME22[[#All],[Claims: Pharmacy]],AN_TME22[[#All],[Insurance Category Code]],3,AN_TME22[[#All],[Advanced Network/Insurance Carrier Org ID]],B73)/D73)</f>
        <v>NA</v>
      </c>
      <c r="L73" s="109" t="str">
        <f>IF(D73=0,"NA",SUMIFS(AN_TME22[[#All],[Claims: Long-Term Care]],AN_TME22[[#All],[Insurance Category Code]],3,AN_TME22[[#All],[Advanced Network/Insurance Carrier Org ID]],B73)/D73)</f>
        <v>NA</v>
      </c>
      <c r="M73" s="109" t="str">
        <f>IF(D73=0,"NA",SUMIFS(AN_TME22[[#All],[Claims: Other]],AN_TME22[[#All],[Insurance Category Code]],3,AN_TME22[[#All],[Advanced Network/Insurance Carrier Org ID]],B73)/D73)</f>
        <v>NA</v>
      </c>
      <c r="N73" s="165" t="str">
        <f>IF(D73=0,"NA",SUMIFS(AN_TME22[[#All],[TOTAL Non-Truncated Unadjusted Claims Expenses]],AN_TME22[[#All],[Insurance Category Code]],3,AN_TME22[[#All],[Advanced Network/Insurance Carrier Org ID]],B73)/D73)</f>
        <v>NA</v>
      </c>
      <c r="O73" s="165" t="str">
        <f>IF(D73=0,"NA",SUMIFS(AN_TME22[[#All],[TOTAL Truncated Unadjusted Claims Expenses (A21 -A19)]],AN_TME22[[#All],[Insurance Category Code]],3,AN_TME22[[#All],[Advanced Network/Insurance Carrier Org ID]],B73)/D73)</f>
        <v>NA</v>
      </c>
      <c r="P73" s="165" t="str">
        <f>IF(D73=0,"NA",SUMIFS(AN_TME22[[#All],[TOTAL Non-Claims Expenses]],AN_TME22[[#All],[Insurance Category Code]],3,AN_TME22[[#All],[Advanced Network/Insurance Carrier Org ID]],B73)/D73)</f>
        <v>NA</v>
      </c>
      <c r="Q73" s="165" t="str">
        <f>IF(D73=0,"NA",SUMIFS(AN_TME22[[#All],[TOTAL Non-Truncated Unadjusted Expenses (A21 + A23)]],AN_TME22[[#All],[Insurance Category Code]],3,AN_TME22[[#All],[Advanced Network/Insurance Carrier Org ID]],B73)/D73)</f>
        <v>NA</v>
      </c>
      <c r="R73" s="165" t="str">
        <f>IF(D73=0,"NA",SUMIFS(AN_TME22[[#All],[TOTAL Truncated Unadjusted Expenses (A22 + A23)]],AN_TME22[[#All],[Insurance Category Code]],3,AN_TME22[[#All],[Advanced Network/Insurance Carrier Org ID]],B73)/D73)</f>
        <v>NA</v>
      </c>
      <c r="S73" s="507">
        <f>SUMIFS(AN_TME23[[#All],[Member Months]],AN_TME23[[#All],[Insurance Category Code]],3,AN_TME23[[#All],[Advanced Network/Insurance Carrier Org ID]],B73)</f>
        <v>0</v>
      </c>
      <c r="T73" s="155" t="str">
        <f>IF(S73=0,"NA",SUMIFS(AN_TME23[[#All],[Claims: Hospital Inpatient]],AN_TME23[[#All],[Insurance Category Code]],3,AN_TME23[[#All],[Advanced Network/Insurance Carrier Org ID]],B73)/S73)</f>
        <v>NA</v>
      </c>
      <c r="U73" s="109" t="str">
        <f>IF(S73=0,"NA",SUMIFS(AN_TME23[[#All],[Claims: Hospital Outpatient]],AN_TME23[[#All],[Insurance Category Code]],3,AN_TME23[[#All],[Advanced Network/Insurance Carrier Org ID]],B73)/S73)</f>
        <v>NA</v>
      </c>
      <c r="V73" s="109" t="str">
        <f>IF(S73=0,"NA",SUMIFS(AN_TME23[[#All],[Claims: Professional, Primary Care]],AN_TME23[[#All],[Insurance Category Code]],3,AN_TME23[[#All],[Advanced Network/Insurance Carrier Org ID]],B73)/S73)</f>
        <v>NA</v>
      </c>
      <c r="W73" s="109" t="str">
        <f>IF(S73=0,"NA",SUMIFS(AN_TME23[[#All],[Claims: Professional, Primary Care (for Monitoring Purposes)]],AN_TME23[[#All],[Insurance Category Code]],3,AN_TME23[[#All],[Advanced Network/Insurance Carrier Org ID]],B73)/S73)</f>
        <v>NA</v>
      </c>
      <c r="X73" s="109" t="str">
        <f>IF(S73=0,"NA",SUMIFS(AN_TME23[[#All],[Claims: Professional, Specialty]],AN_TME23[[#All],[Insurance Category Code]],3,AN_TME23[[#All],[Advanced Network/Insurance Carrier Org ID]],B73)/S73)</f>
        <v>NA</v>
      </c>
      <c r="Y73" s="109" t="str">
        <f>IF(S73=0,"NA",SUMIFS(AN_TME23[[#All],[Claims: Professional Other]],AN_TME23[[#All],[Insurance Category Code]],3,AN_TME23[[#All],[Advanced Network/Insurance Carrier Org ID]],B73)/S73)</f>
        <v>NA</v>
      </c>
      <c r="Z73" s="109" t="str">
        <f>IF(S73=0,"NA",SUMIFS(AN_TME23[[#All],[Claims: Pharmacy]],AN_TME23[[#All],[Insurance Category Code]],3,AN_TME23[[#All],[Advanced Network/Insurance Carrier Org ID]],B73)/S73)</f>
        <v>NA</v>
      </c>
      <c r="AA73" s="109" t="str">
        <f>IF(S73=0,"NA",SUMIFS(AN_TME23[[#All],[Claims: Long-Term Care]],AN_TME23[[#All],[Insurance Category Code]],3,AN_TME23[[#All],[Advanced Network/Insurance Carrier Org ID]],B73)/S73)</f>
        <v>NA</v>
      </c>
      <c r="AB73" s="109" t="str">
        <f>IF(S73=0,"NA",SUMIFS(AN_TME23[[#All],[Claims: Other]],AN_TME23[[#All],[Insurance Category Code]],3,AN_TME23[[#All],[Advanced Network/Insurance Carrier Org ID]],B73)/S73)</f>
        <v>NA</v>
      </c>
      <c r="AC73" s="165" t="str">
        <f>IF(S73=0,"NA",SUMIFS(AN_TME23[[#All],[TOTAL Non-Truncated Unadjusted Claims Expenses]],AN_TME23[[#All],[Insurance Category Code]],3,AN_TME23[[#All],[Advanced Network/Insurance Carrier Org ID]],B73)/S73)</f>
        <v>NA</v>
      </c>
      <c r="AD73" s="165" t="str">
        <f>IF(S73=0,"NA",SUMIFS(AN_TME23[[#All],[TOTAL Truncated Unadjusted Claims Expenses (A21 -A19)]],AN_TME23[[#All],[Insurance Category Code]],3,AN_TME23[[#All],[Advanced Network/Insurance Carrier Org ID]],B73)/S73)</f>
        <v>NA</v>
      </c>
      <c r="AE73" s="165" t="str">
        <f>IF(S73=0,"NA",SUMIFS(AN_TME23[[#All],[TOTAL Non-Claims Expenses]],AN_TME23[[#All],[Insurance Category Code]],3,AN_TME23[[#All],[Advanced Network/Insurance Carrier Org ID]],B73)/S73)</f>
        <v>NA</v>
      </c>
      <c r="AF73" s="165" t="str">
        <f>IF(S73=0,"NA",SUMIFS(AN_TME23[[#All],[TOTAL Non-Truncated Unadjusted Expenses (A21 + A23)]],AN_TME23[[#All],[Insurance Category Code]],3,AN_TME23[[#All],[Advanced Network/Insurance Carrier Org ID]],B73)/S73)</f>
        <v>NA</v>
      </c>
      <c r="AG73" s="156" t="str">
        <f>IF(S73=0,"NA",SUMIFS(AN_TME23[[#All],[TOTAL Truncated Unadjusted Expenses (A22 + A23)]],AN_TME23[[#All],[Insurance Category Code]],3,AN_TME23[[#All],[Advanced Network/Insurance Carrier Org ID]],B73)/S73)</f>
        <v>NA</v>
      </c>
      <c r="AH73" s="478" t="str">
        <f t="shared" si="105"/>
        <v>NA</v>
      </c>
      <c r="AI73" s="479" t="str">
        <f t="shared" si="106"/>
        <v>NA</v>
      </c>
      <c r="AJ73" s="480" t="str">
        <f t="shared" si="107"/>
        <v>NA</v>
      </c>
      <c r="AK73" s="480" t="str">
        <f t="shared" si="108"/>
        <v>NA</v>
      </c>
      <c r="AL73" s="480" t="str">
        <f t="shared" si="109"/>
        <v>NA</v>
      </c>
      <c r="AM73" s="480" t="str">
        <f t="shared" si="110"/>
        <v>NA</v>
      </c>
      <c r="AN73" s="480" t="str">
        <f t="shared" si="111"/>
        <v>NA</v>
      </c>
      <c r="AO73" s="480" t="str">
        <f t="shared" si="112"/>
        <v>NA</v>
      </c>
      <c r="AP73" s="480" t="str">
        <f t="shared" si="113"/>
        <v>NA</v>
      </c>
      <c r="AQ73" s="480" t="str">
        <f t="shared" si="114"/>
        <v>NA</v>
      </c>
      <c r="AR73" s="481" t="str">
        <f t="shared" si="115"/>
        <v>NA</v>
      </c>
      <c r="AS73" s="481" t="str">
        <f t="shared" si="116"/>
        <v>NA</v>
      </c>
      <c r="AT73" s="481" t="str">
        <f t="shared" si="117"/>
        <v>NA</v>
      </c>
      <c r="AU73" s="481" t="str">
        <f t="shared" si="118"/>
        <v>NA</v>
      </c>
      <c r="AV73" s="482" t="str">
        <f t="shared" si="119"/>
        <v>NA</v>
      </c>
    </row>
    <row r="74" spans="1:48" ht="15" customHeight="1" x14ac:dyDescent="0.25">
      <c r="A74" s="164"/>
      <c r="B74" s="166">
        <v>129</v>
      </c>
      <c r="C74" s="169" t="str">
        <f>_xlfn.XLOOKUP(B74, LgProvEntOrgIDs[Advanced Network/Insurer Carrier Org ID], LgProvEntOrgIDs[Advanced Network/Insurance Carrier Overall])</f>
        <v>Summit Health (formerly WestMed Medical Group)</v>
      </c>
      <c r="D74" s="507">
        <f>SUMIFS(AN_TME22[[#All],[Member Months]],AN_TME22[[#All],[Insurance Category Code]],3,AN_TME22[[#All],[Advanced Network/Insurance Carrier Org ID]],B74)</f>
        <v>0</v>
      </c>
      <c r="E74" s="155" t="str">
        <f>IF(D74=0,"NA",SUMIFS(AN_TME22[[#All],[Claims: Hospital Inpatient]],AN_TME22[[#All],[Insurance Category Code]],3,AN_TME22[[#All],[Advanced Network/Insurance Carrier Org ID]],B74)/D74)</f>
        <v>NA</v>
      </c>
      <c r="F74" s="109" t="str">
        <f>IF(D74=0,"NA",SUMIFS(AN_TME22[[#All],[Claims: Hospital Outpatient]],AN_TME22[[#All],[Insurance Category Code]],3,AN_TME22[[#All],[Advanced Network/Insurance Carrier Org ID]],B74)/D74)</f>
        <v>NA</v>
      </c>
      <c r="G74" s="109" t="str">
        <f>IF(D74=0,"NA",SUMIFS(AN_TME22[[#All],[Claims: Professional, Primary Care]],AN_TME22[[#All],[Insurance Category Code]],3,AN_TME22[[#All],[Advanced Network/Insurance Carrier Org ID]],B74)/D74)</f>
        <v>NA</v>
      </c>
      <c r="H74" s="109" t="str">
        <f>IF(D74=0,"NA",SUMIFS(AN_TME22[[#All],[Claims: Professional, Primary Care (for Monitoring Purposes)]],AN_TME22[[#All],[Insurance Category Code]],3,AN_TME22[[#All],[Advanced Network/Insurance Carrier Org ID]],B74)/D74)</f>
        <v>NA</v>
      </c>
      <c r="I74" s="109" t="str">
        <f>IF(D74=0,"NA",SUMIFS(AN_TME22[[#All],[Claims: Professional, Specialty]],AN_TME22[[#All],[Insurance Category Code]],3,AN_TME22[[#All],[Advanced Network/Insurance Carrier Org ID]],B74)/D74)</f>
        <v>NA</v>
      </c>
      <c r="J74" s="109" t="str">
        <f>IF(D74=0,"NA",SUMIFS(AN_TME22[[#All],[Claims: Professional Other]],AN_TME22[[#All],[Insurance Category Code]],3,AN_TME22[[#All],[Advanced Network/Insurance Carrier Org ID]],B74)/D74)</f>
        <v>NA</v>
      </c>
      <c r="K74" s="109" t="str">
        <f>IF(D74=0,"NA",SUMIFS(AN_TME22[[#All],[Claims: Pharmacy]],AN_TME22[[#All],[Insurance Category Code]],3,AN_TME22[[#All],[Advanced Network/Insurance Carrier Org ID]],B74)/D74)</f>
        <v>NA</v>
      </c>
      <c r="L74" s="109" t="str">
        <f>IF(D74=0,"NA",SUMIFS(AN_TME22[[#All],[Claims: Long-Term Care]],AN_TME22[[#All],[Insurance Category Code]],3,AN_TME22[[#All],[Advanced Network/Insurance Carrier Org ID]],B74)/D74)</f>
        <v>NA</v>
      </c>
      <c r="M74" s="109" t="str">
        <f>IF(D74=0,"NA",SUMIFS(AN_TME22[[#All],[Claims: Other]],AN_TME22[[#All],[Insurance Category Code]],3,AN_TME22[[#All],[Advanced Network/Insurance Carrier Org ID]],B74)/D74)</f>
        <v>NA</v>
      </c>
      <c r="N74" s="165" t="str">
        <f>IF(D74=0,"NA",SUMIFS(AN_TME22[[#All],[TOTAL Non-Truncated Unadjusted Claims Expenses]],AN_TME22[[#All],[Insurance Category Code]],3,AN_TME22[[#All],[Advanced Network/Insurance Carrier Org ID]],B74)/D74)</f>
        <v>NA</v>
      </c>
      <c r="O74" s="165" t="str">
        <f>IF(D74=0,"NA",SUMIFS(AN_TME22[[#All],[TOTAL Truncated Unadjusted Claims Expenses (A21 -A19)]],AN_TME22[[#All],[Insurance Category Code]],3,AN_TME22[[#All],[Advanced Network/Insurance Carrier Org ID]],B74)/D74)</f>
        <v>NA</v>
      </c>
      <c r="P74" s="165" t="str">
        <f>IF(D74=0,"NA",SUMIFS(AN_TME22[[#All],[TOTAL Non-Claims Expenses]],AN_TME22[[#All],[Insurance Category Code]],3,AN_TME22[[#All],[Advanced Network/Insurance Carrier Org ID]],B74)/D74)</f>
        <v>NA</v>
      </c>
      <c r="Q74" s="165" t="str">
        <f>IF(D74=0,"NA",SUMIFS(AN_TME22[[#All],[TOTAL Non-Truncated Unadjusted Expenses (A21 + A23)]],AN_TME22[[#All],[Insurance Category Code]],3,AN_TME22[[#All],[Advanced Network/Insurance Carrier Org ID]],B74)/D74)</f>
        <v>NA</v>
      </c>
      <c r="R74" s="165" t="str">
        <f>IF(D74=0,"NA",SUMIFS(AN_TME22[[#All],[TOTAL Truncated Unadjusted Expenses (A22 + A23)]],AN_TME22[[#All],[Insurance Category Code]],3,AN_TME22[[#All],[Advanced Network/Insurance Carrier Org ID]],B74)/D74)</f>
        <v>NA</v>
      </c>
      <c r="S74" s="507">
        <f>SUMIFS(AN_TME23[[#All],[Member Months]],AN_TME23[[#All],[Insurance Category Code]],3,AN_TME23[[#All],[Advanced Network/Insurance Carrier Org ID]],B74)</f>
        <v>0</v>
      </c>
      <c r="T74" s="155" t="str">
        <f>IF(S74=0,"NA",SUMIFS(AN_TME23[[#All],[Claims: Hospital Inpatient]],AN_TME23[[#All],[Insurance Category Code]],3,AN_TME23[[#All],[Advanced Network/Insurance Carrier Org ID]],B74)/S74)</f>
        <v>NA</v>
      </c>
      <c r="U74" s="109" t="str">
        <f>IF(S74=0,"NA",SUMIFS(AN_TME23[[#All],[Claims: Hospital Outpatient]],AN_TME23[[#All],[Insurance Category Code]],3,AN_TME23[[#All],[Advanced Network/Insurance Carrier Org ID]],B74)/S74)</f>
        <v>NA</v>
      </c>
      <c r="V74" s="109" t="str">
        <f>IF(S74=0,"NA",SUMIFS(AN_TME23[[#All],[Claims: Professional, Primary Care]],AN_TME23[[#All],[Insurance Category Code]],3,AN_TME23[[#All],[Advanced Network/Insurance Carrier Org ID]],B74)/S74)</f>
        <v>NA</v>
      </c>
      <c r="W74" s="109" t="str">
        <f>IF(S74=0,"NA",SUMIFS(AN_TME23[[#All],[Claims: Professional, Primary Care (for Monitoring Purposes)]],AN_TME23[[#All],[Insurance Category Code]],3,AN_TME23[[#All],[Advanced Network/Insurance Carrier Org ID]],B74)/S74)</f>
        <v>NA</v>
      </c>
      <c r="X74" s="109" t="str">
        <f>IF(S74=0,"NA",SUMIFS(AN_TME23[[#All],[Claims: Professional, Specialty]],AN_TME23[[#All],[Insurance Category Code]],3,AN_TME23[[#All],[Advanced Network/Insurance Carrier Org ID]],B74)/S74)</f>
        <v>NA</v>
      </c>
      <c r="Y74" s="109" t="str">
        <f>IF(S74=0,"NA",SUMIFS(AN_TME23[[#All],[Claims: Professional Other]],AN_TME23[[#All],[Insurance Category Code]],3,AN_TME23[[#All],[Advanced Network/Insurance Carrier Org ID]],B74)/S74)</f>
        <v>NA</v>
      </c>
      <c r="Z74" s="109" t="str">
        <f>IF(S74=0,"NA",SUMIFS(AN_TME23[[#All],[Claims: Pharmacy]],AN_TME23[[#All],[Insurance Category Code]],3,AN_TME23[[#All],[Advanced Network/Insurance Carrier Org ID]],B74)/S74)</f>
        <v>NA</v>
      </c>
      <c r="AA74" s="109" t="str">
        <f>IF(S74=0,"NA",SUMIFS(AN_TME23[[#All],[Claims: Long-Term Care]],AN_TME23[[#All],[Insurance Category Code]],3,AN_TME23[[#All],[Advanced Network/Insurance Carrier Org ID]],B74)/S74)</f>
        <v>NA</v>
      </c>
      <c r="AB74" s="109" t="str">
        <f>IF(S74=0,"NA",SUMIFS(AN_TME23[[#All],[Claims: Other]],AN_TME23[[#All],[Insurance Category Code]],3,AN_TME23[[#All],[Advanced Network/Insurance Carrier Org ID]],B74)/S74)</f>
        <v>NA</v>
      </c>
      <c r="AC74" s="165" t="str">
        <f>IF(S74=0,"NA",SUMIFS(AN_TME23[[#All],[TOTAL Non-Truncated Unadjusted Claims Expenses]],AN_TME23[[#All],[Insurance Category Code]],3,AN_TME23[[#All],[Advanced Network/Insurance Carrier Org ID]],B74)/S74)</f>
        <v>NA</v>
      </c>
      <c r="AD74" s="165" t="str">
        <f>IF(S74=0,"NA",SUMIFS(AN_TME23[[#All],[TOTAL Truncated Unadjusted Claims Expenses (A21 -A19)]],AN_TME23[[#All],[Insurance Category Code]],3,AN_TME23[[#All],[Advanced Network/Insurance Carrier Org ID]],B74)/S74)</f>
        <v>NA</v>
      </c>
      <c r="AE74" s="165" t="str">
        <f>IF(S74=0,"NA",SUMIFS(AN_TME23[[#All],[TOTAL Non-Claims Expenses]],AN_TME23[[#All],[Insurance Category Code]],3,AN_TME23[[#All],[Advanced Network/Insurance Carrier Org ID]],B74)/S74)</f>
        <v>NA</v>
      </c>
      <c r="AF74" s="165" t="str">
        <f>IF(S74=0,"NA",SUMIFS(AN_TME23[[#All],[TOTAL Non-Truncated Unadjusted Expenses (A21 + A23)]],AN_TME23[[#All],[Insurance Category Code]],3,AN_TME23[[#All],[Advanced Network/Insurance Carrier Org ID]],B74)/S74)</f>
        <v>NA</v>
      </c>
      <c r="AG74" s="156" t="str">
        <f>IF(S74=0,"NA",SUMIFS(AN_TME23[[#All],[TOTAL Truncated Unadjusted Expenses (A22 + A23)]],AN_TME23[[#All],[Insurance Category Code]],3,AN_TME23[[#All],[Advanced Network/Insurance Carrier Org ID]],B74)/S74)</f>
        <v>NA</v>
      </c>
      <c r="AH74" s="478" t="str">
        <f t="shared" si="105"/>
        <v>NA</v>
      </c>
      <c r="AI74" s="479" t="str">
        <f t="shared" si="106"/>
        <v>NA</v>
      </c>
      <c r="AJ74" s="480" t="str">
        <f t="shared" si="107"/>
        <v>NA</v>
      </c>
      <c r="AK74" s="480" t="str">
        <f t="shared" si="108"/>
        <v>NA</v>
      </c>
      <c r="AL74" s="480" t="str">
        <f t="shared" si="109"/>
        <v>NA</v>
      </c>
      <c r="AM74" s="480" t="str">
        <f t="shared" si="110"/>
        <v>NA</v>
      </c>
      <c r="AN74" s="480" t="str">
        <f t="shared" si="111"/>
        <v>NA</v>
      </c>
      <c r="AO74" s="480" t="str">
        <f t="shared" si="112"/>
        <v>NA</v>
      </c>
      <c r="AP74" s="480" t="str">
        <f t="shared" si="113"/>
        <v>NA</v>
      </c>
      <c r="AQ74" s="480" t="str">
        <f t="shared" si="114"/>
        <v>NA</v>
      </c>
      <c r="AR74" s="481" t="str">
        <f t="shared" si="115"/>
        <v>NA</v>
      </c>
      <c r="AS74" s="481" t="str">
        <f t="shared" si="116"/>
        <v>NA</v>
      </c>
      <c r="AT74" s="481" t="str">
        <f t="shared" si="117"/>
        <v>NA</v>
      </c>
      <c r="AU74" s="481" t="str">
        <f t="shared" si="118"/>
        <v>NA</v>
      </c>
      <c r="AV74" s="482" t="str">
        <f t="shared" si="119"/>
        <v>NA</v>
      </c>
    </row>
    <row r="75" spans="1:48" ht="15" customHeight="1" x14ac:dyDescent="0.25">
      <c r="A75" s="164"/>
      <c r="B75" s="166">
        <v>130</v>
      </c>
      <c r="C75" s="169" t="str">
        <f>_xlfn.XLOOKUP(B75, LgProvEntOrgIDs[Advanced Network/Insurer Carrier Org ID], LgProvEntOrgIDs[Advanced Network/Insurance Carrier Overall])</f>
        <v>Wheeler Clinic</v>
      </c>
      <c r="D75" s="507">
        <f>SUMIFS(AN_TME22[[#All],[Member Months]],AN_TME22[[#All],[Insurance Category Code]],3,AN_TME22[[#All],[Advanced Network/Insurance Carrier Org ID]],B75)</f>
        <v>0</v>
      </c>
      <c r="E75" s="155" t="str">
        <f>IF(D75=0,"NA",SUMIFS(AN_TME22[[#All],[Claims: Hospital Inpatient]],AN_TME22[[#All],[Insurance Category Code]],3,AN_TME22[[#All],[Advanced Network/Insurance Carrier Org ID]],B75)/D75)</f>
        <v>NA</v>
      </c>
      <c r="F75" s="109" t="str">
        <f>IF(D75=0,"NA",SUMIFS(AN_TME22[[#All],[Claims: Hospital Outpatient]],AN_TME22[[#All],[Insurance Category Code]],3,AN_TME22[[#All],[Advanced Network/Insurance Carrier Org ID]],B75)/D75)</f>
        <v>NA</v>
      </c>
      <c r="G75" s="109" t="str">
        <f>IF(D75=0,"NA",SUMIFS(AN_TME22[[#All],[Claims: Professional, Primary Care]],AN_TME22[[#All],[Insurance Category Code]],3,AN_TME22[[#All],[Advanced Network/Insurance Carrier Org ID]],B75)/D75)</f>
        <v>NA</v>
      </c>
      <c r="H75" s="109" t="str">
        <f>IF(D75=0,"NA",SUMIFS(AN_TME22[[#All],[Claims: Professional, Primary Care (for Monitoring Purposes)]],AN_TME22[[#All],[Insurance Category Code]],3,AN_TME22[[#All],[Advanced Network/Insurance Carrier Org ID]],B75)/D75)</f>
        <v>NA</v>
      </c>
      <c r="I75" s="109" t="str">
        <f>IF(D75=0,"NA",SUMIFS(AN_TME22[[#All],[Claims: Professional, Specialty]],AN_TME22[[#All],[Insurance Category Code]],3,AN_TME22[[#All],[Advanced Network/Insurance Carrier Org ID]],B75)/D75)</f>
        <v>NA</v>
      </c>
      <c r="J75" s="109" t="str">
        <f>IF(D75=0,"NA",SUMIFS(AN_TME22[[#All],[Claims: Professional Other]],AN_TME22[[#All],[Insurance Category Code]],3,AN_TME22[[#All],[Advanced Network/Insurance Carrier Org ID]],B75)/D75)</f>
        <v>NA</v>
      </c>
      <c r="K75" s="109" t="str">
        <f>IF(D75=0,"NA",SUMIFS(AN_TME22[[#All],[Claims: Pharmacy]],AN_TME22[[#All],[Insurance Category Code]],3,AN_TME22[[#All],[Advanced Network/Insurance Carrier Org ID]],B75)/D75)</f>
        <v>NA</v>
      </c>
      <c r="L75" s="109" t="str">
        <f>IF(D75=0,"NA",SUMIFS(AN_TME22[[#All],[Claims: Long-Term Care]],AN_TME22[[#All],[Insurance Category Code]],3,AN_TME22[[#All],[Advanced Network/Insurance Carrier Org ID]],B75)/D75)</f>
        <v>NA</v>
      </c>
      <c r="M75" s="109" t="str">
        <f>IF(D75=0,"NA",SUMIFS(AN_TME22[[#All],[Claims: Other]],AN_TME22[[#All],[Insurance Category Code]],3,AN_TME22[[#All],[Advanced Network/Insurance Carrier Org ID]],B75)/D75)</f>
        <v>NA</v>
      </c>
      <c r="N75" s="165" t="str">
        <f>IF(D75=0,"NA",SUMIFS(AN_TME22[[#All],[TOTAL Non-Truncated Unadjusted Claims Expenses]],AN_TME22[[#All],[Insurance Category Code]],3,AN_TME22[[#All],[Advanced Network/Insurance Carrier Org ID]],B75)/D75)</f>
        <v>NA</v>
      </c>
      <c r="O75" s="165" t="str">
        <f>IF(D75=0,"NA",SUMIFS(AN_TME22[[#All],[TOTAL Truncated Unadjusted Claims Expenses (A21 -A19)]],AN_TME22[[#All],[Insurance Category Code]],3,AN_TME22[[#All],[Advanced Network/Insurance Carrier Org ID]],B75)/D75)</f>
        <v>NA</v>
      </c>
      <c r="P75" s="165" t="str">
        <f>IF(D75=0,"NA",SUMIFS(AN_TME22[[#All],[TOTAL Non-Claims Expenses]],AN_TME22[[#All],[Insurance Category Code]],3,AN_TME22[[#All],[Advanced Network/Insurance Carrier Org ID]],B75)/D75)</f>
        <v>NA</v>
      </c>
      <c r="Q75" s="165" t="str">
        <f>IF(D75=0,"NA",SUMIFS(AN_TME22[[#All],[TOTAL Non-Truncated Unadjusted Expenses (A21 + A23)]],AN_TME22[[#All],[Insurance Category Code]],3,AN_TME22[[#All],[Advanced Network/Insurance Carrier Org ID]],B75)/D75)</f>
        <v>NA</v>
      </c>
      <c r="R75" s="165" t="str">
        <f>IF(D75=0,"NA",SUMIFS(AN_TME22[[#All],[TOTAL Truncated Unadjusted Expenses (A22 + A23)]],AN_TME22[[#All],[Insurance Category Code]],3,AN_TME22[[#All],[Advanced Network/Insurance Carrier Org ID]],B75)/D75)</f>
        <v>NA</v>
      </c>
      <c r="S75" s="507">
        <f>SUMIFS(AN_TME23[[#All],[Member Months]],AN_TME23[[#All],[Insurance Category Code]],3,AN_TME23[[#All],[Advanced Network/Insurance Carrier Org ID]],B75)</f>
        <v>0</v>
      </c>
      <c r="T75" s="155" t="str">
        <f>IF(S75=0,"NA",SUMIFS(AN_TME23[[#All],[Claims: Hospital Inpatient]],AN_TME23[[#All],[Insurance Category Code]],3,AN_TME23[[#All],[Advanced Network/Insurance Carrier Org ID]],B75)/S75)</f>
        <v>NA</v>
      </c>
      <c r="U75" s="109" t="str">
        <f>IF(S75=0,"NA",SUMIFS(AN_TME23[[#All],[Claims: Hospital Outpatient]],AN_TME23[[#All],[Insurance Category Code]],3,AN_TME23[[#All],[Advanced Network/Insurance Carrier Org ID]],B75)/S75)</f>
        <v>NA</v>
      </c>
      <c r="V75" s="109" t="str">
        <f>IF(S75=0,"NA",SUMIFS(AN_TME23[[#All],[Claims: Professional, Primary Care]],AN_TME23[[#All],[Insurance Category Code]],3,AN_TME23[[#All],[Advanced Network/Insurance Carrier Org ID]],B75)/S75)</f>
        <v>NA</v>
      </c>
      <c r="W75" s="109" t="str">
        <f>IF(S75=0,"NA",SUMIFS(AN_TME23[[#All],[Claims: Professional, Primary Care (for Monitoring Purposes)]],AN_TME23[[#All],[Insurance Category Code]],3,AN_TME23[[#All],[Advanced Network/Insurance Carrier Org ID]],B75)/S75)</f>
        <v>NA</v>
      </c>
      <c r="X75" s="109" t="str">
        <f>IF(S75=0,"NA",SUMIFS(AN_TME23[[#All],[Claims: Professional, Specialty]],AN_TME23[[#All],[Insurance Category Code]],3,AN_TME23[[#All],[Advanced Network/Insurance Carrier Org ID]],B75)/S75)</f>
        <v>NA</v>
      </c>
      <c r="Y75" s="109" t="str">
        <f>IF(S75=0,"NA",SUMIFS(AN_TME23[[#All],[Claims: Professional Other]],AN_TME23[[#All],[Insurance Category Code]],3,AN_TME23[[#All],[Advanced Network/Insurance Carrier Org ID]],B75)/S75)</f>
        <v>NA</v>
      </c>
      <c r="Z75" s="109" t="str">
        <f>IF(S75=0,"NA",SUMIFS(AN_TME23[[#All],[Claims: Pharmacy]],AN_TME23[[#All],[Insurance Category Code]],3,AN_TME23[[#All],[Advanced Network/Insurance Carrier Org ID]],B75)/S75)</f>
        <v>NA</v>
      </c>
      <c r="AA75" s="109" t="str">
        <f>IF(S75=0,"NA",SUMIFS(AN_TME23[[#All],[Claims: Long-Term Care]],AN_TME23[[#All],[Insurance Category Code]],3,AN_TME23[[#All],[Advanced Network/Insurance Carrier Org ID]],B75)/S75)</f>
        <v>NA</v>
      </c>
      <c r="AB75" s="109" t="str">
        <f>IF(S75=0,"NA",SUMIFS(AN_TME23[[#All],[Claims: Other]],AN_TME23[[#All],[Insurance Category Code]],3,AN_TME23[[#All],[Advanced Network/Insurance Carrier Org ID]],B75)/S75)</f>
        <v>NA</v>
      </c>
      <c r="AC75" s="165" t="str">
        <f>IF(S75=0,"NA",SUMIFS(AN_TME23[[#All],[TOTAL Non-Truncated Unadjusted Claims Expenses]],AN_TME23[[#All],[Insurance Category Code]],3,AN_TME23[[#All],[Advanced Network/Insurance Carrier Org ID]],B75)/S75)</f>
        <v>NA</v>
      </c>
      <c r="AD75" s="165" t="str">
        <f>IF(S75=0,"NA",SUMIFS(AN_TME23[[#All],[TOTAL Truncated Unadjusted Claims Expenses (A21 -A19)]],AN_TME23[[#All],[Insurance Category Code]],3,AN_TME23[[#All],[Advanced Network/Insurance Carrier Org ID]],B75)/S75)</f>
        <v>NA</v>
      </c>
      <c r="AE75" s="165" t="str">
        <f>IF(S75=0,"NA",SUMIFS(AN_TME23[[#All],[TOTAL Non-Claims Expenses]],AN_TME23[[#All],[Insurance Category Code]],3,AN_TME23[[#All],[Advanced Network/Insurance Carrier Org ID]],B75)/S75)</f>
        <v>NA</v>
      </c>
      <c r="AF75" s="165" t="str">
        <f>IF(S75=0,"NA",SUMIFS(AN_TME23[[#All],[TOTAL Non-Truncated Unadjusted Expenses (A21 + A23)]],AN_TME23[[#All],[Insurance Category Code]],3,AN_TME23[[#All],[Advanced Network/Insurance Carrier Org ID]],B75)/S75)</f>
        <v>NA</v>
      </c>
      <c r="AG75" s="156" t="str">
        <f>IF(S75=0,"NA",SUMIFS(AN_TME23[[#All],[TOTAL Truncated Unadjusted Expenses (A22 + A23)]],AN_TME23[[#All],[Insurance Category Code]],3,AN_TME23[[#All],[Advanced Network/Insurance Carrier Org ID]],B75)/S75)</f>
        <v>NA</v>
      </c>
      <c r="AH75" s="478" t="str">
        <f t="shared" si="105"/>
        <v>NA</v>
      </c>
      <c r="AI75" s="479" t="str">
        <f t="shared" si="106"/>
        <v>NA</v>
      </c>
      <c r="AJ75" s="480" t="str">
        <f t="shared" si="107"/>
        <v>NA</v>
      </c>
      <c r="AK75" s="480" t="str">
        <f t="shared" si="108"/>
        <v>NA</v>
      </c>
      <c r="AL75" s="480" t="str">
        <f t="shared" si="109"/>
        <v>NA</v>
      </c>
      <c r="AM75" s="480" t="str">
        <f t="shared" si="110"/>
        <v>NA</v>
      </c>
      <c r="AN75" s="480" t="str">
        <f t="shared" si="111"/>
        <v>NA</v>
      </c>
      <c r="AO75" s="480" t="str">
        <f t="shared" si="112"/>
        <v>NA</v>
      </c>
      <c r="AP75" s="480" t="str">
        <f t="shared" si="113"/>
        <v>NA</v>
      </c>
      <c r="AQ75" s="480" t="str">
        <f t="shared" si="114"/>
        <v>NA</v>
      </c>
      <c r="AR75" s="481" t="str">
        <f t="shared" si="115"/>
        <v>NA</v>
      </c>
      <c r="AS75" s="481" t="str">
        <f t="shared" si="116"/>
        <v>NA</v>
      </c>
      <c r="AT75" s="481" t="str">
        <f t="shared" si="117"/>
        <v>NA</v>
      </c>
      <c r="AU75" s="481" t="str">
        <f t="shared" si="118"/>
        <v>NA</v>
      </c>
      <c r="AV75" s="482" t="str">
        <f t="shared" si="119"/>
        <v>NA</v>
      </c>
    </row>
    <row r="76" spans="1:48" ht="15" customHeight="1" x14ac:dyDescent="0.25">
      <c r="A76" s="164"/>
      <c r="B76" s="166">
        <v>131</v>
      </c>
      <c r="C76" s="169" t="str">
        <f>_xlfn.XLOOKUP(B76, LgProvEntOrgIDs[Advanced Network/Insurer Carrier Org ID], LgProvEntOrgIDs[Advanced Network/Insurance Carrier Overall])</f>
        <v>Yale Medicine</v>
      </c>
      <c r="D76" s="507">
        <f>SUMIFS(AN_TME22[[#All],[Member Months]],AN_TME22[[#All],[Insurance Category Code]],3,AN_TME22[[#All],[Advanced Network/Insurance Carrier Org ID]],B76)</f>
        <v>0</v>
      </c>
      <c r="E76" s="155" t="str">
        <f>IF(D76=0,"NA",SUMIFS(AN_TME22[[#All],[Claims: Hospital Inpatient]],AN_TME22[[#All],[Insurance Category Code]],3,AN_TME22[[#All],[Advanced Network/Insurance Carrier Org ID]],B76)/D76)</f>
        <v>NA</v>
      </c>
      <c r="F76" s="109" t="str">
        <f>IF(D76=0,"NA",SUMIFS(AN_TME22[[#All],[Claims: Hospital Outpatient]],AN_TME22[[#All],[Insurance Category Code]],3,AN_TME22[[#All],[Advanced Network/Insurance Carrier Org ID]],B76)/D76)</f>
        <v>NA</v>
      </c>
      <c r="G76" s="109" t="str">
        <f>IF(D76=0,"NA",SUMIFS(AN_TME22[[#All],[Claims: Professional, Primary Care]],AN_TME22[[#All],[Insurance Category Code]],3,AN_TME22[[#All],[Advanced Network/Insurance Carrier Org ID]],B76)/D76)</f>
        <v>NA</v>
      </c>
      <c r="H76" s="109" t="str">
        <f>IF(D76=0,"NA",SUMIFS(AN_TME22[[#All],[Claims: Professional, Primary Care (for Monitoring Purposes)]],AN_TME22[[#All],[Insurance Category Code]],3,AN_TME22[[#All],[Advanced Network/Insurance Carrier Org ID]],B76)/D76)</f>
        <v>NA</v>
      </c>
      <c r="I76" s="109" t="str">
        <f>IF(D76=0,"NA",SUMIFS(AN_TME22[[#All],[Claims: Professional, Specialty]],AN_TME22[[#All],[Insurance Category Code]],3,AN_TME22[[#All],[Advanced Network/Insurance Carrier Org ID]],B76)/D76)</f>
        <v>NA</v>
      </c>
      <c r="J76" s="109" t="str">
        <f>IF(D76=0,"NA",SUMIFS(AN_TME22[[#All],[Claims: Professional Other]],AN_TME22[[#All],[Insurance Category Code]],3,AN_TME22[[#All],[Advanced Network/Insurance Carrier Org ID]],B76)/D76)</f>
        <v>NA</v>
      </c>
      <c r="K76" s="109" t="str">
        <f>IF(D76=0,"NA",SUMIFS(AN_TME22[[#All],[Claims: Pharmacy]],AN_TME22[[#All],[Insurance Category Code]],3,AN_TME22[[#All],[Advanced Network/Insurance Carrier Org ID]],B76)/D76)</f>
        <v>NA</v>
      </c>
      <c r="L76" s="109" t="str">
        <f>IF(D76=0,"NA",SUMIFS(AN_TME22[[#All],[Claims: Long-Term Care]],AN_TME22[[#All],[Insurance Category Code]],3,AN_TME22[[#All],[Advanced Network/Insurance Carrier Org ID]],B76)/D76)</f>
        <v>NA</v>
      </c>
      <c r="M76" s="109" t="str">
        <f>IF(D76=0,"NA",SUMIFS(AN_TME22[[#All],[Claims: Other]],AN_TME22[[#All],[Insurance Category Code]],3,AN_TME22[[#All],[Advanced Network/Insurance Carrier Org ID]],B76)/D76)</f>
        <v>NA</v>
      </c>
      <c r="N76" s="165" t="str">
        <f>IF(D76=0,"NA",SUMIFS(AN_TME22[[#All],[TOTAL Non-Truncated Unadjusted Claims Expenses]],AN_TME22[[#All],[Insurance Category Code]],3,AN_TME22[[#All],[Advanced Network/Insurance Carrier Org ID]],B76)/D76)</f>
        <v>NA</v>
      </c>
      <c r="O76" s="165" t="str">
        <f>IF(D76=0,"NA",SUMIFS(AN_TME22[[#All],[TOTAL Truncated Unadjusted Claims Expenses (A21 -A19)]],AN_TME22[[#All],[Insurance Category Code]],3,AN_TME22[[#All],[Advanced Network/Insurance Carrier Org ID]],B76)/D76)</f>
        <v>NA</v>
      </c>
      <c r="P76" s="165" t="str">
        <f>IF(D76=0,"NA",SUMIFS(AN_TME22[[#All],[TOTAL Non-Claims Expenses]],AN_TME22[[#All],[Insurance Category Code]],3,AN_TME22[[#All],[Advanced Network/Insurance Carrier Org ID]],B76)/D76)</f>
        <v>NA</v>
      </c>
      <c r="Q76" s="165" t="str">
        <f>IF(D76=0,"NA",SUMIFS(AN_TME22[[#All],[TOTAL Non-Truncated Unadjusted Expenses (A21 + A23)]],AN_TME22[[#All],[Insurance Category Code]],3,AN_TME22[[#All],[Advanced Network/Insurance Carrier Org ID]],B76)/D76)</f>
        <v>NA</v>
      </c>
      <c r="R76" s="165" t="str">
        <f>IF(D76=0,"NA",SUMIFS(AN_TME22[[#All],[TOTAL Truncated Unadjusted Expenses (A22 + A23)]],AN_TME22[[#All],[Insurance Category Code]],3,AN_TME22[[#All],[Advanced Network/Insurance Carrier Org ID]],B76)/D76)</f>
        <v>NA</v>
      </c>
      <c r="S76" s="507">
        <f>SUMIFS(AN_TME23[[#All],[Member Months]],AN_TME23[[#All],[Insurance Category Code]],3,AN_TME23[[#All],[Advanced Network/Insurance Carrier Org ID]],B76)</f>
        <v>0</v>
      </c>
      <c r="T76" s="155" t="str">
        <f>IF(S76=0,"NA",SUMIFS(AN_TME23[[#All],[Claims: Hospital Inpatient]],AN_TME23[[#All],[Insurance Category Code]],3,AN_TME23[[#All],[Advanced Network/Insurance Carrier Org ID]],B76)/S76)</f>
        <v>NA</v>
      </c>
      <c r="U76" s="109" t="str">
        <f>IF(S76=0,"NA",SUMIFS(AN_TME23[[#All],[Claims: Hospital Outpatient]],AN_TME23[[#All],[Insurance Category Code]],3,AN_TME23[[#All],[Advanced Network/Insurance Carrier Org ID]],B76)/S76)</f>
        <v>NA</v>
      </c>
      <c r="V76" s="109" t="str">
        <f>IF(S76=0,"NA",SUMIFS(AN_TME23[[#All],[Claims: Professional, Primary Care]],AN_TME23[[#All],[Insurance Category Code]],3,AN_TME23[[#All],[Advanced Network/Insurance Carrier Org ID]],B76)/S76)</f>
        <v>NA</v>
      </c>
      <c r="W76" s="109" t="str">
        <f>IF(S76=0,"NA",SUMIFS(AN_TME23[[#All],[Claims: Professional, Primary Care (for Monitoring Purposes)]],AN_TME23[[#All],[Insurance Category Code]],3,AN_TME23[[#All],[Advanced Network/Insurance Carrier Org ID]],B76)/S76)</f>
        <v>NA</v>
      </c>
      <c r="X76" s="109" t="str">
        <f>IF(S76=0,"NA",SUMIFS(AN_TME23[[#All],[Claims: Professional, Specialty]],AN_TME23[[#All],[Insurance Category Code]],3,AN_TME23[[#All],[Advanced Network/Insurance Carrier Org ID]],B76)/S76)</f>
        <v>NA</v>
      </c>
      <c r="Y76" s="109" t="str">
        <f>IF(S76=0,"NA",SUMIFS(AN_TME23[[#All],[Claims: Professional Other]],AN_TME23[[#All],[Insurance Category Code]],3,AN_TME23[[#All],[Advanced Network/Insurance Carrier Org ID]],B76)/S76)</f>
        <v>NA</v>
      </c>
      <c r="Z76" s="109" t="str">
        <f>IF(S76=0,"NA",SUMIFS(AN_TME23[[#All],[Claims: Pharmacy]],AN_TME23[[#All],[Insurance Category Code]],3,AN_TME23[[#All],[Advanced Network/Insurance Carrier Org ID]],B76)/S76)</f>
        <v>NA</v>
      </c>
      <c r="AA76" s="109" t="str">
        <f>IF(S76=0,"NA",SUMIFS(AN_TME23[[#All],[Claims: Long-Term Care]],AN_TME23[[#All],[Insurance Category Code]],3,AN_TME23[[#All],[Advanced Network/Insurance Carrier Org ID]],B76)/S76)</f>
        <v>NA</v>
      </c>
      <c r="AB76" s="109" t="str">
        <f>IF(S76=0,"NA",SUMIFS(AN_TME23[[#All],[Claims: Other]],AN_TME23[[#All],[Insurance Category Code]],3,AN_TME23[[#All],[Advanced Network/Insurance Carrier Org ID]],B76)/S76)</f>
        <v>NA</v>
      </c>
      <c r="AC76" s="165" t="str">
        <f>IF(S76=0,"NA",SUMIFS(AN_TME23[[#All],[TOTAL Non-Truncated Unadjusted Claims Expenses]],AN_TME23[[#All],[Insurance Category Code]],3,AN_TME23[[#All],[Advanced Network/Insurance Carrier Org ID]],B76)/S76)</f>
        <v>NA</v>
      </c>
      <c r="AD76" s="165" t="str">
        <f>IF(S76=0,"NA",SUMIFS(AN_TME23[[#All],[TOTAL Truncated Unadjusted Claims Expenses (A21 -A19)]],AN_TME23[[#All],[Insurance Category Code]],3,AN_TME23[[#All],[Advanced Network/Insurance Carrier Org ID]],B76)/S76)</f>
        <v>NA</v>
      </c>
      <c r="AE76" s="165" t="str">
        <f>IF(S76=0,"NA",SUMIFS(AN_TME23[[#All],[TOTAL Non-Claims Expenses]],AN_TME23[[#All],[Insurance Category Code]],3,AN_TME23[[#All],[Advanced Network/Insurance Carrier Org ID]],B76)/S76)</f>
        <v>NA</v>
      </c>
      <c r="AF76" s="165" t="str">
        <f>IF(S76=0,"NA",SUMIFS(AN_TME23[[#All],[TOTAL Non-Truncated Unadjusted Expenses (A21 + A23)]],AN_TME23[[#All],[Insurance Category Code]],3,AN_TME23[[#All],[Advanced Network/Insurance Carrier Org ID]],B76)/S76)</f>
        <v>NA</v>
      </c>
      <c r="AG76" s="156" t="str">
        <f>IF(S76=0,"NA",SUMIFS(AN_TME23[[#All],[TOTAL Truncated Unadjusted Expenses (A22 + A23)]],AN_TME23[[#All],[Insurance Category Code]],3,AN_TME23[[#All],[Advanced Network/Insurance Carrier Org ID]],B76)/S76)</f>
        <v>NA</v>
      </c>
      <c r="AH76" s="478" t="str">
        <f t="shared" si="105"/>
        <v>NA</v>
      </c>
      <c r="AI76" s="479" t="str">
        <f t="shared" si="106"/>
        <v>NA</v>
      </c>
      <c r="AJ76" s="480" t="str">
        <f t="shared" si="107"/>
        <v>NA</v>
      </c>
      <c r="AK76" s="480" t="str">
        <f t="shared" si="108"/>
        <v>NA</v>
      </c>
      <c r="AL76" s="480" t="str">
        <f t="shared" si="109"/>
        <v>NA</v>
      </c>
      <c r="AM76" s="480" t="str">
        <f t="shared" si="110"/>
        <v>NA</v>
      </c>
      <c r="AN76" s="480" t="str">
        <f t="shared" si="111"/>
        <v>NA</v>
      </c>
      <c r="AO76" s="480" t="str">
        <f t="shared" si="112"/>
        <v>NA</v>
      </c>
      <c r="AP76" s="480" t="str">
        <f t="shared" si="113"/>
        <v>NA</v>
      </c>
      <c r="AQ76" s="480" t="str">
        <f t="shared" si="114"/>
        <v>NA</v>
      </c>
      <c r="AR76" s="481" t="str">
        <f t="shared" si="115"/>
        <v>NA</v>
      </c>
      <c r="AS76" s="481" t="str">
        <f t="shared" si="116"/>
        <v>NA</v>
      </c>
      <c r="AT76" s="481" t="str">
        <f t="shared" si="117"/>
        <v>NA</v>
      </c>
      <c r="AU76" s="481" t="str">
        <f t="shared" si="118"/>
        <v>NA</v>
      </c>
      <c r="AV76" s="482" t="str">
        <f t="shared" si="119"/>
        <v>NA</v>
      </c>
    </row>
    <row r="77" spans="1:48" ht="15" customHeight="1" x14ac:dyDescent="0.25">
      <c r="A77" s="164"/>
      <c r="B77" s="166">
        <v>999</v>
      </c>
      <c r="C77" s="169" t="str">
        <f>_xlfn.XLOOKUP(B77, LgProvEntOrgIDs[Advanced Network/Insurer Carrier Org ID], LgProvEntOrgIDs[Advanced Network/Insurance Carrier Overall])</f>
        <v>Members Not Attributed to an Advanced Network</v>
      </c>
      <c r="D77" s="507">
        <f>SUMIFS(AN_TME22[[#All],[Member Months]],AN_TME22[[#All],[Insurance Category Code]],3,AN_TME22[[#All],[Advanced Network/Insurance Carrier Org ID]],B77)</f>
        <v>0</v>
      </c>
      <c r="E77" s="155" t="str">
        <f>IF(D77=0,"NA",SUMIFS(AN_TME22[[#All],[Claims: Hospital Inpatient]],AN_TME22[[#All],[Insurance Category Code]],3,AN_TME22[[#All],[Advanced Network/Insurance Carrier Org ID]],B77)/D77)</f>
        <v>NA</v>
      </c>
      <c r="F77" s="109" t="str">
        <f>IF(D77=0,"NA",SUMIFS(AN_TME22[[#All],[Claims: Hospital Outpatient]],AN_TME22[[#All],[Insurance Category Code]],3,AN_TME22[[#All],[Advanced Network/Insurance Carrier Org ID]],B77)/D77)</f>
        <v>NA</v>
      </c>
      <c r="G77" s="109" t="str">
        <f>IF(D77=0,"NA",SUMIFS(AN_TME22[[#All],[Claims: Professional, Primary Care]],AN_TME22[[#All],[Insurance Category Code]],3,AN_TME22[[#All],[Advanced Network/Insurance Carrier Org ID]],B77)/D77)</f>
        <v>NA</v>
      </c>
      <c r="H77" s="109" t="str">
        <f>IF(D77=0,"NA",SUMIFS(AN_TME22[[#All],[Claims: Professional, Primary Care (for Monitoring Purposes)]],AN_TME22[[#All],[Insurance Category Code]],3,AN_TME22[[#All],[Advanced Network/Insurance Carrier Org ID]],B77)/D77)</f>
        <v>NA</v>
      </c>
      <c r="I77" s="109" t="str">
        <f>IF(D77=0,"NA",SUMIFS(AN_TME22[[#All],[Claims: Professional, Specialty]],AN_TME22[[#All],[Insurance Category Code]],3,AN_TME22[[#All],[Advanced Network/Insurance Carrier Org ID]],B77)/D77)</f>
        <v>NA</v>
      </c>
      <c r="J77" s="109" t="str">
        <f>IF(D77=0,"NA",SUMIFS(AN_TME22[[#All],[Claims: Professional Other]],AN_TME22[[#All],[Insurance Category Code]],3,AN_TME22[[#All],[Advanced Network/Insurance Carrier Org ID]],B77)/D77)</f>
        <v>NA</v>
      </c>
      <c r="K77" s="109" t="str">
        <f>IF(D77=0,"NA",SUMIFS(AN_TME22[[#All],[Claims: Pharmacy]],AN_TME22[[#All],[Insurance Category Code]],3,AN_TME22[[#All],[Advanced Network/Insurance Carrier Org ID]],B77)/D77)</f>
        <v>NA</v>
      </c>
      <c r="L77" s="109" t="str">
        <f>IF(D77=0,"NA",SUMIFS(AN_TME22[[#All],[Claims: Long-Term Care]],AN_TME22[[#All],[Insurance Category Code]],3,AN_TME22[[#All],[Advanced Network/Insurance Carrier Org ID]],B77)/D77)</f>
        <v>NA</v>
      </c>
      <c r="M77" s="109" t="str">
        <f>IF(D77=0,"NA",SUMIFS(AN_TME22[[#All],[Claims: Other]],AN_TME22[[#All],[Insurance Category Code]],3,AN_TME22[[#All],[Advanced Network/Insurance Carrier Org ID]],B77)/D77)</f>
        <v>NA</v>
      </c>
      <c r="N77" s="165" t="str">
        <f>IF(D77=0,"NA",SUMIFS(AN_TME22[[#All],[TOTAL Non-Truncated Unadjusted Claims Expenses]],AN_TME22[[#All],[Insurance Category Code]],3,AN_TME22[[#All],[Advanced Network/Insurance Carrier Org ID]],B77)/D77)</f>
        <v>NA</v>
      </c>
      <c r="O77" s="165" t="str">
        <f>IF(D77=0,"NA",SUMIFS(AN_TME22[[#All],[TOTAL Truncated Unadjusted Claims Expenses (A21 -A19)]],AN_TME22[[#All],[Insurance Category Code]],3,AN_TME22[[#All],[Advanced Network/Insurance Carrier Org ID]],B77)/D77)</f>
        <v>NA</v>
      </c>
      <c r="P77" s="165" t="str">
        <f>IF(D77=0,"NA",SUMIFS(AN_TME22[[#All],[TOTAL Non-Claims Expenses]],AN_TME22[[#All],[Insurance Category Code]],3,AN_TME22[[#All],[Advanced Network/Insurance Carrier Org ID]],B77)/D77)</f>
        <v>NA</v>
      </c>
      <c r="Q77" s="165" t="str">
        <f>IF(D77=0,"NA",SUMIFS(AN_TME22[[#All],[TOTAL Non-Truncated Unadjusted Expenses (A21 + A23)]],AN_TME22[[#All],[Insurance Category Code]],3,AN_TME22[[#All],[Advanced Network/Insurance Carrier Org ID]],B77)/D77)</f>
        <v>NA</v>
      </c>
      <c r="R77" s="165" t="str">
        <f>IF(D77=0,"NA",SUMIFS(AN_TME22[[#All],[TOTAL Truncated Unadjusted Expenses (A22 + A23)]],AN_TME22[[#All],[Insurance Category Code]],3,AN_TME22[[#All],[Advanced Network/Insurance Carrier Org ID]],B77)/D77)</f>
        <v>NA</v>
      </c>
      <c r="S77" s="507">
        <f>SUMIFS(AN_TME23[[#All],[Member Months]],AN_TME23[[#All],[Insurance Category Code]],3,AN_TME23[[#All],[Advanced Network/Insurance Carrier Org ID]],B77)</f>
        <v>0</v>
      </c>
      <c r="T77" s="155" t="str">
        <f>IF(S77=0,"NA",SUMIFS(AN_TME23[[#All],[Claims: Hospital Inpatient]],AN_TME23[[#All],[Insurance Category Code]],3,AN_TME23[[#All],[Advanced Network/Insurance Carrier Org ID]],B77)/S77)</f>
        <v>NA</v>
      </c>
      <c r="U77" s="109" t="str">
        <f>IF(S77=0,"NA",SUMIFS(AN_TME23[[#All],[Claims: Hospital Outpatient]],AN_TME23[[#All],[Insurance Category Code]],3,AN_TME23[[#All],[Advanced Network/Insurance Carrier Org ID]],B77)/S77)</f>
        <v>NA</v>
      </c>
      <c r="V77" s="109" t="str">
        <f>IF(S77=0,"NA",SUMIFS(AN_TME23[[#All],[Claims: Professional, Primary Care]],AN_TME23[[#All],[Insurance Category Code]],3,AN_TME23[[#All],[Advanced Network/Insurance Carrier Org ID]],B77)/S77)</f>
        <v>NA</v>
      </c>
      <c r="W77" s="109" t="str">
        <f>IF(S77=0,"NA",SUMIFS(AN_TME23[[#All],[Claims: Professional, Primary Care (for Monitoring Purposes)]],AN_TME23[[#All],[Insurance Category Code]],3,AN_TME23[[#All],[Advanced Network/Insurance Carrier Org ID]],B77)/S77)</f>
        <v>NA</v>
      </c>
      <c r="X77" s="109" t="str">
        <f>IF(S77=0,"NA",SUMIFS(AN_TME23[[#All],[Claims: Professional, Specialty]],AN_TME23[[#All],[Insurance Category Code]],3,AN_TME23[[#All],[Advanced Network/Insurance Carrier Org ID]],B77)/S77)</f>
        <v>NA</v>
      </c>
      <c r="Y77" s="109" t="str">
        <f>IF(S77=0,"NA",SUMIFS(AN_TME23[[#All],[Claims: Professional Other]],AN_TME23[[#All],[Insurance Category Code]],3,AN_TME23[[#All],[Advanced Network/Insurance Carrier Org ID]],B77)/S77)</f>
        <v>NA</v>
      </c>
      <c r="Z77" s="109" t="str">
        <f>IF(S77=0,"NA",SUMIFS(AN_TME23[[#All],[Claims: Pharmacy]],AN_TME23[[#All],[Insurance Category Code]],3,AN_TME23[[#All],[Advanced Network/Insurance Carrier Org ID]],B77)/S77)</f>
        <v>NA</v>
      </c>
      <c r="AA77" s="109" t="str">
        <f>IF(S77=0,"NA",SUMIFS(AN_TME23[[#All],[Claims: Long-Term Care]],AN_TME23[[#All],[Insurance Category Code]],3,AN_TME23[[#All],[Advanced Network/Insurance Carrier Org ID]],B77)/S77)</f>
        <v>NA</v>
      </c>
      <c r="AB77" s="109" t="str">
        <f>IF(S77=0,"NA",SUMIFS(AN_TME23[[#All],[Claims: Other]],AN_TME23[[#All],[Insurance Category Code]],3,AN_TME23[[#All],[Advanced Network/Insurance Carrier Org ID]],B77)/S77)</f>
        <v>NA</v>
      </c>
      <c r="AC77" s="165" t="str">
        <f>IF(S77=0,"NA",SUMIFS(AN_TME23[[#All],[TOTAL Non-Truncated Unadjusted Claims Expenses]],AN_TME23[[#All],[Insurance Category Code]],3,AN_TME23[[#All],[Advanced Network/Insurance Carrier Org ID]],B77)/S77)</f>
        <v>NA</v>
      </c>
      <c r="AD77" s="165" t="str">
        <f>IF(S77=0,"NA",SUMIFS(AN_TME23[[#All],[TOTAL Truncated Unadjusted Claims Expenses (A21 -A19)]],AN_TME23[[#All],[Insurance Category Code]],3,AN_TME23[[#All],[Advanced Network/Insurance Carrier Org ID]],B77)/S77)</f>
        <v>NA</v>
      </c>
      <c r="AE77" s="165" t="str">
        <f>IF(S77=0,"NA",SUMIFS(AN_TME23[[#All],[TOTAL Non-Claims Expenses]],AN_TME23[[#All],[Insurance Category Code]],3,AN_TME23[[#All],[Advanced Network/Insurance Carrier Org ID]],B77)/S77)</f>
        <v>NA</v>
      </c>
      <c r="AF77" s="165" t="str">
        <f>IF(S77=0,"NA",SUMIFS(AN_TME23[[#All],[TOTAL Non-Truncated Unadjusted Expenses (A21 + A23)]],AN_TME23[[#All],[Insurance Category Code]],3,AN_TME23[[#All],[Advanced Network/Insurance Carrier Org ID]],B77)/S77)</f>
        <v>NA</v>
      </c>
      <c r="AG77" s="156" t="str">
        <f>IF(S77=0,"NA",SUMIFS(AN_TME23[[#All],[TOTAL Truncated Unadjusted Expenses (A22 + A23)]],AN_TME23[[#All],[Insurance Category Code]],3,AN_TME23[[#All],[Advanced Network/Insurance Carrier Org ID]],B77)/S77)</f>
        <v>NA</v>
      </c>
      <c r="AH77" s="478" t="str">
        <f>IF(D77=0,"NA",S77/D77-1)</f>
        <v>NA</v>
      </c>
      <c r="AI77" s="479" t="str">
        <f>IF(D77=0,"NA",T77/E77-1)</f>
        <v>NA</v>
      </c>
      <c r="AJ77" s="480" t="str">
        <f>IF(D77=0,"NA",U77/F77-1)</f>
        <v>NA</v>
      </c>
      <c r="AK77" s="480" t="str">
        <f>IF(D77=0,"NA",V77/G77-1)</f>
        <v>NA</v>
      </c>
      <c r="AL77" s="480" t="str">
        <f>IF(D77=0,"NA",W77/H77-1)</f>
        <v>NA</v>
      </c>
      <c r="AM77" s="480" t="str">
        <f>IF(D77=0,"NA",X77/I77-1)</f>
        <v>NA</v>
      </c>
      <c r="AN77" s="480" t="str">
        <f>IF(D77=0,"NA",Y77/J77-1)</f>
        <v>NA</v>
      </c>
      <c r="AO77" s="480" t="str">
        <f>IF(D77=0,"NA",Z77/K77-1)</f>
        <v>NA</v>
      </c>
      <c r="AP77" s="480" t="str">
        <f>IF(D77=0,"NA",AA77/L77-1)</f>
        <v>NA</v>
      </c>
      <c r="AQ77" s="480" t="str">
        <f>IF(D77=0,"NA",AB77/M77-1)</f>
        <v>NA</v>
      </c>
      <c r="AR77" s="481" t="str">
        <f>IF(D77=0,"NA",AC77/N77-1)</f>
        <v>NA</v>
      </c>
      <c r="AS77" s="481" t="str">
        <f>IF(D77=0,"NA",AD77/O77-1)</f>
        <v>NA</v>
      </c>
      <c r="AT77" s="481" t="str">
        <f>IF(D77=0,"NA",AE77/P77-1)</f>
        <v>NA</v>
      </c>
      <c r="AU77" s="481" t="str">
        <f>IF(D77=0,"NA",AF77/Q77-1)</f>
        <v>NA</v>
      </c>
      <c r="AV77" s="482" t="str">
        <f>IF(D77=0,"NA",AG77/R77-1)</f>
        <v>NA</v>
      </c>
    </row>
    <row r="78" spans="1:48" ht="15" customHeight="1" x14ac:dyDescent="0.25">
      <c r="B78" s="167"/>
      <c r="C78" s="170" t="s">
        <v>319</v>
      </c>
      <c r="D78" s="508">
        <f>SUM(D46:D77)</f>
        <v>0</v>
      </c>
      <c r="E78" s="157" t="str">
        <f>IF(D78=0,"NA",SUMPRODUCT(E46:E77,D46:D77)/D78)</f>
        <v>NA</v>
      </c>
      <c r="F78" s="110" t="str">
        <f>IF(D78=0,"NA",SUMPRODUCT(F46:F77,D46:D77)/D78)</f>
        <v>NA</v>
      </c>
      <c r="G78" s="110" t="str">
        <f>IF(D78=0,"NA",SUMPRODUCT(G46:G77,D46:D77)/D78)</f>
        <v>NA</v>
      </c>
      <c r="H78" s="110" t="str">
        <f>IF(D78=0,"NA",SUMPRODUCT(H46:H77,D46:D77)/D78)</f>
        <v>NA</v>
      </c>
      <c r="I78" s="110" t="str">
        <f>IF(D78=0,"NA",SUMPRODUCT(I46:I77,D46:D77)/D78)</f>
        <v>NA</v>
      </c>
      <c r="J78" s="110" t="str">
        <f>IF(D78=0,"NA",SUMPRODUCT(J46:J77,D46:D77)/D78)</f>
        <v>NA</v>
      </c>
      <c r="K78" s="110" t="str">
        <f>IF(D78=0,"NA",SUMPRODUCT(K46:K77,D46:D77)/D78)</f>
        <v>NA</v>
      </c>
      <c r="L78" s="110" t="str">
        <f>IF(D78=0,"NA",SUMPRODUCT(L46:L77,D46:D77)/D78)</f>
        <v>NA</v>
      </c>
      <c r="M78" s="110" t="str">
        <f>IF(D78=0,"NA",SUMPRODUCT(M46:M77,D46:D77)/D78)</f>
        <v>NA</v>
      </c>
      <c r="N78" s="158" t="str">
        <f>IF(D78=0,"NA",SUMPRODUCT(N46:N77,D46:D77)/D78)</f>
        <v>NA</v>
      </c>
      <c r="O78" s="158" t="str">
        <f>IF(D78=0,"NA",SUMPRODUCT(O46:O77,D46:D77)/D78)</f>
        <v>NA</v>
      </c>
      <c r="P78" s="158" t="str">
        <f>IF(D78=0,"NA",SUMPRODUCT(P46:P77,D46:D77)/D78)</f>
        <v>NA</v>
      </c>
      <c r="Q78" s="158" t="str">
        <f>IF(D78=0,"NA",SUMPRODUCT(Q46:Q77,D46:D77)/D78)</f>
        <v>NA</v>
      </c>
      <c r="R78" s="158" t="str">
        <f>IF(D78=0,"NA",SUMPRODUCT(R46:R77,D46:D77)/D78)</f>
        <v>NA</v>
      </c>
      <c r="S78" s="508">
        <f>SUM(S46:S77)</f>
        <v>0</v>
      </c>
      <c r="T78" s="157" t="str">
        <f>IF(S78=0,"NA",SUMPRODUCT(T46:T77,S46:S77)/S78)</f>
        <v>NA</v>
      </c>
      <c r="U78" s="110" t="str">
        <f>IF(S78=0,"NA",SUMPRODUCT(U46:U77,S46:S77)/S78)</f>
        <v>NA</v>
      </c>
      <c r="V78" s="110" t="str">
        <f>IF(S78=0,"NA",SUMPRODUCT(V46:V77,S46:S77)/S78)</f>
        <v>NA</v>
      </c>
      <c r="W78" s="110" t="str">
        <f>IF(S78=0,"NA",SUMPRODUCT(W46:W77,S46:S77)/S78)</f>
        <v>NA</v>
      </c>
      <c r="X78" s="110" t="str">
        <f>IF(S78=0,"NA",SUMPRODUCT(X46:X77,S46:S77)/S78)</f>
        <v>NA</v>
      </c>
      <c r="Y78" s="110" t="str">
        <f>IF(S78=0,"NA",SUMPRODUCT(Y46:Y77,S46:S77)/S78)</f>
        <v>NA</v>
      </c>
      <c r="Z78" s="110" t="str">
        <f>IF(S78=0,"NA",SUMPRODUCT(Z46:Z77,S46:S77)/S78)</f>
        <v>NA</v>
      </c>
      <c r="AA78" s="110" t="str">
        <f>IF(S78=0,"NA",SUMPRODUCT(AA46:AA77,S46:S77)/S78)</f>
        <v>NA</v>
      </c>
      <c r="AB78" s="110" t="str">
        <f>IF(S78=0,"NA",SUMPRODUCT(AB46:AB77,S46:S77)/S78)</f>
        <v>NA</v>
      </c>
      <c r="AC78" s="158" t="str">
        <f>IF(S78=0,"NA",SUMPRODUCT(AC46:AC77,S46:S77)/S78)</f>
        <v>NA</v>
      </c>
      <c r="AD78" s="158" t="str">
        <f>IF(S78=0,"NA",SUMPRODUCT(AD46:AD77,S46:S77)/S78)</f>
        <v>NA</v>
      </c>
      <c r="AE78" s="158" t="str">
        <f>IF(S78=0,"NA",SUMPRODUCT(AE46:AE77,S46:S77)/S78)</f>
        <v>NA</v>
      </c>
      <c r="AF78" s="158" t="str">
        <f>IF(S78=0,"NA",SUMPRODUCT(AF46:AF77,S46:S77)/S78)</f>
        <v>NA</v>
      </c>
      <c r="AG78" s="159" t="str">
        <f>IF(S78=0,"NA",SUMPRODUCT(AG46:AG77,S46:S77)/S78)</f>
        <v>NA</v>
      </c>
      <c r="AH78" s="483" t="str">
        <f>IF(D78=0,"NA",S78/D78-1)</f>
        <v>NA</v>
      </c>
      <c r="AI78" s="484" t="str">
        <f>IF(D78=0,"NA",T78/E78-1)</f>
        <v>NA</v>
      </c>
      <c r="AJ78" s="485" t="str">
        <f>IF(D78=0,"NA",U78/F78-1)</f>
        <v>NA</v>
      </c>
      <c r="AK78" s="485" t="str">
        <f>IF(D78=0,"NA",V78/G78-1)</f>
        <v>NA</v>
      </c>
      <c r="AL78" s="485" t="str">
        <f>IF(D78=0,"NA",W78/H78-1)</f>
        <v>NA</v>
      </c>
      <c r="AM78" s="485" t="str">
        <f>IF(D78=0,"NA",X78/I78-1)</f>
        <v>NA</v>
      </c>
      <c r="AN78" s="485" t="str">
        <f>IF(D78=0,"NA",Y78/J78-1)</f>
        <v>NA</v>
      </c>
      <c r="AO78" s="485" t="str">
        <f>IF(D78=0,"NA",Z78/K78-1)</f>
        <v>NA</v>
      </c>
      <c r="AP78" s="485" t="str">
        <f>IF(D78=0,"NA",AA78/L78-1)</f>
        <v>NA</v>
      </c>
      <c r="AQ78" s="485" t="str">
        <f>IF(D78=0,"NA",AB78/M78-1)</f>
        <v>NA</v>
      </c>
      <c r="AR78" s="486" t="str">
        <f>IF(D78=0,"NA",AC78/N78-1)</f>
        <v>NA</v>
      </c>
      <c r="AS78" s="486" t="str">
        <f>IF(D78=0,"NA",AD78/O78-1)</f>
        <v>NA</v>
      </c>
      <c r="AT78" s="486" t="str">
        <f>IF(D78=0,"NA",AE78/P78-1)</f>
        <v>NA</v>
      </c>
      <c r="AU78" s="486" t="str">
        <f>IF(D78=0,"NA",AF78/Q78-1)</f>
        <v>NA</v>
      </c>
      <c r="AV78" s="487" t="str">
        <f>IF(D78=0,"NA",AG78/R78-1)</f>
        <v>NA</v>
      </c>
    </row>
    <row r="79" spans="1:48" ht="15.75" customHeight="1" thickBot="1" x14ac:dyDescent="0.3">
      <c r="B79" s="168"/>
      <c r="C79" s="171" t="s">
        <v>320</v>
      </c>
      <c r="D79" s="509">
        <f t="shared" ref="D79:J79" si="120">D78</f>
        <v>0</v>
      </c>
      <c r="E79" s="160" t="str">
        <f t="shared" si="120"/>
        <v>NA</v>
      </c>
      <c r="F79" s="161" t="str">
        <f t="shared" si="120"/>
        <v>NA</v>
      </c>
      <c r="G79" s="161" t="str">
        <f t="shared" si="120"/>
        <v>NA</v>
      </c>
      <c r="H79" s="161" t="str">
        <f t="shared" si="120"/>
        <v>NA</v>
      </c>
      <c r="I79" s="161" t="str">
        <f t="shared" si="120"/>
        <v>NA</v>
      </c>
      <c r="J79" s="161" t="str">
        <f t="shared" si="120"/>
        <v>NA</v>
      </c>
      <c r="K79" s="161" t="str">
        <f>IF(D79=0,"NA",(SUMPRODUCT(K46:K77,D46:D77)-ABS(SUMIF(RX_REBATES22[[#All],[Insurance Category Code]],3,RX_REBATES22[[#All],[Total Pharmacy Rebates]])))/D79)</f>
        <v>NA</v>
      </c>
      <c r="L79" s="161" t="str">
        <f>L78</f>
        <v>NA</v>
      </c>
      <c r="M79" s="161" t="str">
        <f>M78</f>
        <v>NA</v>
      </c>
      <c r="N79" s="162" t="str">
        <f>IF(D79=0,"NA",(SUMPRODUCT(N46:N77,D46:D77)-ABS(SUMIF(RX_REBATES22[[#All],[Insurance Category Code]],3,RX_REBATES22[[#All],[Total Pharmacy Rebates]])))/D79)</f>
        <v>NA</v>
      </c>
      <c r="O79" s="162" t="str">
        <f>IF(D79=0,"NA",(SUMPRODUCT(O46:O77,D46:D77)-ABS(SUMIF(RX_REBATES22[[#All],[Insurance Category Code]],3,RX_REBATES22[[#All],[Total Pharmacy Rebates]])))/D79)</f>
        <v>NA</v>
      </c>
      <c r="P79" s="162" t="str">
        <f>IF(D79=0,"NA",(SUMPRODUCT(P46:P77,D46:D77)-ABS(SUMIF(RX_REBATES22[[#All],[Insurance Category Code]],3,RX_REBATES22[[#All],[Total Pharmacy Rebates]])))/D79)</f>
        <v>NA</v>
      </c>
      <c r="Q79" s="162" t="str">
        <f>IF(D79=0,"NA",(SUMPRODUCT(Q46:Q77,D46:D77)-ABS(SUMIF(RX_REBATES22[[#All],[Insurance Category Code]],3,RX_REBATES22[[#All],[Total Pharmacy Rebates]])))/D79)</f>
        <v>NA</v>
      </c>
      <c r="R79" s="162" t="str">
        <f>IF(D79=0,"NA",(SUMPRODUCT(R46:R77,D46:D77)-ABS(SUMIF(RX_REBATES22[[#All],[Insurance Category Code]],3,RX_REBATES22[[#All],[Total Pharmacy Rebates]])))/D79)</f>
        <v>NA</v>
      </c>
      <c r="S79" s="509">
        <f t="shared" ref="S79:Y79" si="121">S78</f>
        <v>0</v>
      </c>
      <c r="T79" s="160" t="str">
        <f t="shared" si="121"/>
        <v>NA</v>
      </c>
      <c r="U79" s="161" t="str">
        <f t="shared" si="121"/>
        <v>NA</v>
      </c>
      <c r="V79" s="161" t="str">
        <f t="shared" si="121"/>
        <v>NA</v>
      </c>
      <c r="W79" s="161" t="str">
        <f t="shared" si="121"/>
        <v>NA</v>
      </c>
      <c r="X79" s="161" t="str">
        <f t="shared" si="121"/>
        <v>NA</v>
      </c>
      <c r="Y79" s="161" t="str">
        <f t="shared" si="121"/>
        <v>NA</v>
      </c>
      <c r="Z79" s="161" t="str">
        <f>IF(S79=0,"NA",(SUMPRODUCT(Z46:Z77,S46:S77)-ABS(SUMIF(RX_REBATES23[[#All],[Insurance Category Code]],3,RX_REBATES23[[#All],[Total Pharmacy Rebates]])))/S79)</f>
        <v>NA</v>
      </c>
      <c r="AA79" s="161" t="str">
        <f>AA78</f>
        <v>NA</v>
      </c>
      <c r="AB79" s="161" t="str">
        <f>AB78</f>
        <v>NA</v>
      </c>
      <c r="AC79" s="162" t="str">
        <f>IF(S79=0,"NA",(SUMPRODUCT(AC46:AC77,S46:S77)-ABS(SUMIF(RX_REBATES23[[#All],[Insurance Category Code]],3,RX_REBATES23[[#All],[Total Pharmacy Rebates]])))/S79)</f>
        <v>NA</v>
      </c>
      <c r="AD79" s="162" t="str">
        <f>IF(S79=0,"NA",(SUMPRODUCT(AD46:AD77,S46:S77)-ABS(SUMIF(RX_REBATES23[[#All],[Insurance Category Code]],3,RX_REBATES22[[#All],[Total Pharmacy Rebates]])))/S79)</f>
        <v>NA</v>
      </c>
      <c r="AE79" s="162" t="str">
        <f>IF(S79=0,"NA",(SUMPRODUCT(AE46:AE77,S46:S77)-ABS(SUMIF(RX_REBATES23[[#All],[Insurance Category Code]],3,RX_REBATES22[[#All],[Total Pharmacy Rebates]])))/S79)</f>
        <v>NA</v>
      </c>
      <c r="AF79" s="162" t="str">
        <f>IF(S79=0,"NA",(SUMPRODUCT(AF46:AF77,S46:S77)-ABS(SUMIF(RX_REBATES23[[#All],[Insurance Category Code]],3,RX_REBATES22[[#All],[Total Pharmacy Rebates]])))/S79)</f>
        <v>NA</v>
      </c>
      <c r="AG79" s="163" t="str">
        <f>IF(S79=0,"NA",(SUMPRODUCT(AG46:AG77,S46:S77)-ABS(SUMIF(RX_REBATES23[[#All],[Insurance Category Code]],3,RX_REBATES22[[#All],[Total Pharmacy Rebates]])))/S79)</f>
        <v>NA</v>
      </c>
      <c r="AH79" s="488" t="str">
        <f>IF(D79=0,"NA",S79/D79-1)</f>
        <v>NA</v>
      </c>
      <c r="AI79" s="489" t="str">
        <f>IF(D79=0,"NA",T79/E79-1)</f>
        <v>NA</v>
      </c>
      <c r="AJ79" s="490" t="str">
        <f>IF(D79=0,"NA",U79/F79-1)</f>
        <v>NA</v>
      </c>
      <c r="AK79" s="490" t="str">
        <f>IF(D79=0,"NA",V79/G79-1)</f>
        <v>NA</v>
      </c>
      <c r="AL79" s="490" t="str">
        <f>IF(D79=0,"NA",W79/H79-1)</f>
        <v>NA</v>
      </c>
      <c r="AM79" s="490" t="str">
        <f>IF(D79=0,"NA",X79/I79-1)</f>
        <v>NA</v>
      </c>
      <c r="AN79" s="490" t="str">
        <f>IF(D79=0,"NA",Y79/J79-1)</f>
        <v>NA</v>
      </c>
      <c r="AO79" s="490" t="str">
        <f>IF(D79=0,"NA",Z79/K79-1)</f>
        <v>NA</v>
      </c>
      <c r="AP79" s="490" t="str">
        <f>IF(D79=0,"NA",AA79/L79-1)</f>
        <v>NA</v>
      </c>
      <c r="AQ79" s="490" t="str">
        <f>IF(D79=0,"NA",AB79/M79-1)</f>
        <v>NA</v>
      </c>
      <c r="AR79" s="491" t="str">
        <f>IF(D79=0,"NA",AC79/N79-1)</f>
        <v>NA</v>
      </c>
      <c r="AS79" s="491" t="str">
        <f>IF(D79=0,"NA",AD79/O79-1)</f>
        <v>NA</v>
      </c>
      <c r="AT79" s="491" t="str">
        <f>IF(D79=0,"NA",AE79/P79-1)</f>
        <v>NA</v>
      </c>
      <c r="AU79" s="491" t="str">
        <f>IF(D79=0,"NA",AF79/Q79-1)</f>
        <v>NA</v>
      </c>
      <c r="AV79" s="492" t="str">
        <f>IF(D79=0,"NA",AG79/R79-1)</f>
        <v>NA</v>
      </c>
    </row>
    <row r="81" spans="1:48" ht="16.5" thickBot="1" x14ac:dyDescent="0.3">
      <c r="B81" s="54" t="s">
        <v>322</v>
      </c>
      <c r="C81" s="526"/>
    </row>
    <row r="82" spans="1:48" x14ac:dyDescent="0.25">
      <c r="B82" s="588" t="s">
        <v>309</v>
      </c>
      <c r="C82" s="589"/>
      <c r="D82" s="585">
        <v>2022</v>
      </c>
      <c r="E82" s="586"/>
      <c r="F82" s="586"/>
      <c r="G82" s="586"/>
      <c r="H82" s="586"/>
      <c r="I82" s="586"/>
      <c r="J82" s="586"/>
      <c r="K82" s="586"/>
      <c r="L82" s="586"/>
      <c r="M82" s="586"/>
      <c r="N82" s="586"/>
      <c r="O82" s="586"/>
      <c r="P82" s="586"/>
      <c r="Q82" s="586"/>
      <c r="R82" s="586"/>
      <c r="S82" s="585">
        <v>2023</v>
      </c>
      <c r="T82" s="586"/>
      <c r="U82" s="586"/>
      <c r="V82" s="586"/>
      <c r="W82" s="586"/>
      <c r="X82" s="586"/>
      <c r="Y82" s="586"/>
      <c r="Z82" s="586"/>
      <c r="AA82" s="586"/>
      <c r="AB82" s="586"/>
      <c r="AC82" s="586"/>
      <c r="AD82" s="586"/>
      <c r="AE82" s="586"/>
      <c r="AF82" s="586"/>
      <c r="AG82" s="587"/>
      <c r="AH82" s="567" t="s">
        <v>454</v>
      </c>
      <c r="AI82" s="568"/>
      <c r="AJ82" s="569"/>
      <c r="AK82" s="569"/>
      <c r="AL82" s="569"/>
      <c r="AM82" s="569"/>
      <c r="AN82" s="569"/>
      <c r="AO82" s="569"/>
      <c r="AP82" s="569"/>
      <c r="AQ82" s="569"/>
      <c r="AR82" s="570"/>
      <c r="AS82" s="570"/>
      <c r="AT82" s="570"/>
      <c r="AU82" s="570"/>
      <c r="AV82" s="571"/>
    </row>
    <row r="83" spans="1:48" ht="30" x14ac:dyDescent="0.25">
      <c r="B83" s="69" t="s">
        <v>310</v>
      </c>
      <c r="C83" s="70" t="s">
        <v>311</v>
      </c>
      <c r="D83" s="69" t="s">
        <v>211</v>
      </c>
      <c r="E83" s="145" t="s">
        <v>102</v>
      </c>
      <c r="F83" s="64" t="s">
        <v>104</v>
      </c>
      <c r="G83" s="64" t="s">
        <v>106</v>
      </c>
      <c r="H83" s="64" t="s">
        <v>312</v>
      </c>
      <c r="I83" s="64" t="s">
        <v>108</v>
      </c>
      <c r="J83" s="64" t="s">
        <v>109</v>
      </c>
      <c r="K83" s="64" t="s">
        <v>313</v>
      </c>
      <c r="L83" s="64" t="s">
        <v>314</v>
      </c>
      <c r="M83" s="64" t="s">
        <v>115</v>
      </c>
      <c r="N83" s="151" t="s">
        <v>315</v>
      </c>
      <c r="O83" s="151" t="s">
        <v>316</v>
      </c>
      <c r="P83" s="151" t="s">
        <v>214</v>
      </c>
      <c r="Q83" s="151" t="s">
        <v>317</v>
      </c>
      <c r="R83" s="151" t="s">
        <v>318</v>
      </c>
      <c r="S83" s="69" t="s">
        <v>211</v>
      </c>
      <c r="T83" s="145" t="s">
        <v>102</v>
      </c>
      <c r="U83" s="64" t="s">
        <v>104</v>
      </c>
      <c r="V83" s="64" t="s">
        <v>106</v>
      </c>
      <c r="W83" s="64" t="s">
        <v>312</v>
      </c>
      <c r="X83" s="64" t="s">
        <v>108</v>
      </c>
      <c r="Y83" s="64" t="s">
        <v>109</v>
      </c>
      <c r="Z83" s="64" t="s">
        <v>313</v>
      </c>
      <c r="AA83" s="64" t="s">
        <v>314</v>
      </c>
      <c r="AB83" s="64" t="s">
        <v>115</v>
      </c>
      <c r="AC83" s="151" t="s">
        <v>315</v>
      </c>
      <c r="AD83" s="151" t="s">
        <v>316</v>
      </c>
      <c r="AE83" s="151" t="s">
        <v>214</v>
      </c>
      <c r="AF83" s="151" t="s">
        <v>317</v>
      </c>
      <c r="AG83" s="70" t="s">
        <v>318</v>
      </c>
      <c r="AH83" s="69" t="s">
        <v>211</v>
      </c>
      <c r="AI83" s="145" t="s">
        <v>102</v>
      </c>
      <c r="AJ83" s="64" t="s">
        <v>104</v>
      </c>
      <c r="AK83" s="64" t="s">
        <v>106</v>
      </c>
      <c r="AL83" s="64" t="s">
        <v>312</v>
      </c>
      <c r="AM83" s="64" t="s">
        <v>108</v>
      </c>
      <c r="AN83" s="64" t="s">
        <v>109</v>
      </c>
      <c r="AO83" s="64" t="s">
        <v>313</v>
      </c>
      <c r="AP83" s="64" t="s">
        <v>314</v>
      </c>
      <c r="AQ83" s="64" t="s">
        <v>115</v>
      </c>
      <c r="AR83" s="151" t="s">
        <v>315</v>
      </c>
      <c r="AS83" s="151" t="s">
        <v>316</v>
      </c>
      <c r="AT83" s="151" t="s">
        <v>214</v>
      </c>
      <c r="AU83" s="151" t="s">
        <v>317</v>
      </c>
      <c r="AV83" s="70" t="s">
        <v>318</v>
      </c>
    </row>
    <row r="84" spans="1:48" ht="15" customHeight="1" x14ac:dyDescent="0.25">
      <c r="A84" s="164"/>
      <c r="B84" s="166">
        <v>101</v>
      </c>
      <c r="C84" s="169" t="str">
        <f>_xlfn.XLOOKUP(B84, LgProvEntOrgIDs[Advanced Network/Insurer Carrier Org ID], LgProvEntOrgIDs[Advanced Network/Insurance Carrier Overall])</f>
        <v>Privia Quality Network of Connecticut (PQN CT) (formerly Community Medical Group)</v>
      </c>
      <c r="D84" s="507">
        <f>SUMIFS(AN_TME22[[#All],[Member Months]],AN_TME22[[#All],[Insurance Category Code]],4,AN_TME22[[#All],[Advanced Network/Insurance Carrier Org ID]],B84)</f>
        <v>0</v>
      </c>
      <c r="E84" s="155" t="str">
        <f>IF(D84=0,"NA",SUMIFS(AN_TME22[[#All],[Claims: Hospital Inpatient]],AN_TME22[[#All],[Insurance Category Code]],4,AN_TME22[[#All],[Advanced Network/Insurance Carrier Org ID]],B84)/D84)</f>
        <v>NA</v>
      </c>
      <c r="F84" s="109" t="str">
        <f>IF(D84=0,"NA",SUMIFS(AN_TME22[[#All],[Claims: Hospital Outpatient]],AN_TME22[[#All],[Insurance Category Code]],4,AN_TME22[[#All],[Advanced Network/Insurance Carrier Org ID]],B84)/D84)</f>
        <v>NA</v>
      </c>
      <c r="G84" s="109" t="str">
        <f>IF(D84=0,"NA",SUMIFS(AN_TME22[[#All],[Claims: Professional, Primary Care]],AN_TME22[[#All],[Insurance Category Code]],4,AN_TME22[[#All],[Advanced Network/Insurance Carrier Org ID]],B84)/D84)</f>
        <v>NA</v>
      </c>
      <c r="H84" s="109" t="str">
        <f>IF(D84=0,"NA",SUMIFS(AN_TME22[[#All],[Claims: Professional, Primary Care (for Monitoring Purposes)]],AN_TME22[[#All],[Insurance Category Code]],4,AN_TME22[[#All],[Advanced Network/Insurance Carrier Org ID]],B84)/D84)</f>
        <v>NA</v>
      </c>
      <c r="I84" s="109" t="str">
        <f>IF(D84=0,"NA",SUMIFS(AN_TME22[[#All],[Claims: Professional, Specialty]],AN_TME22[[#All],[Insurance Category Code]],4,AN_TME22[[#All],[Advanced Network/Insurance Carrier Org ID]],B84)/D84)</f>
        <v>NA</v>
      </c>
      <c r="J84" s="109" t="str">
        <f>IF(D84=0,"NA",SUMIFS(AN_TME22[[#All],[Claims: Professional Other]],AN_TME22[[#All],[Insurance Category Code]],4,AN_TME22[[#All],[Advanced Network/Insurance Carrier Org ID]],B84)/D84)</f>
        <v>NA</v>
      </c>
      <c r="K84" s="109" t="str">
        <f>IF(D84=0,"NA",SUMIFS(AN_TME22[[#All],[Claims: Pharmacy]],AN_TME22[[#All],[Insurance Category Code]],4,AN_TME22[[#All],[Advanced Network/Insurance Carrier Org ID]],B84)/D84)</f>
        <v>NA</v>
      </c>
      <c r="L84" s="109" t="str">
        <f>IF(D84=0,"NA",SUMIFS(AN_TME22[[#All],[Claims: Long-Term Care]],AN_TME22[[#All],[Insurance Category Code]],4,AN_TME22[[#All],[Advanced Network/Insurance Carrier Org ID]],B84)/D84)</f>
        <v>NA</v>
      </c>
      <c r="M84" s="109" t="str">
        <f>IF(D84=0,"NA",SUMIFS(AN_TME22[[#All],[Claims: Other]],AN_TME22[[#All],[Insurance Category Code]],4,AN_TME22[[#All],[Advanced Network/Insurance Carrier Org ID]],B84)/D84)</f>
        <v>NA</v>
      </c>
      <c r="N84" s="165" t="str">
        <f>IF(D84=0,"NA",SUMIFS(AN_TME22[[#All],[TOTAL Non-Truncated Unadjusted Claims Expenses]],AN_TME22[[#All],[Insurance Category Code]],4,AN_TME22[[#All],[Advanced Network/Insurance Carrier Org ID]],B84)/D84)</f>
        <v>NA</v>
      </c>
      <c r="O84" s="165" t="str">
        <f>IF(D84=0,"NA",SUMIFS(AN_TME22[[#All],[TOTAL Truncated Unadjusted Claims Expenses (A21 -A19)]],AN_TME22[[#All],[Insurance Category Code]],4,AN_TME22[[#All],[Advanced Network/Insurance Carrier Org ID]],B84)/D84)</f>
        <v>NA</v>
      </c>
      <c r="P84" s="165" t="str">
        <f>IF(D84=0,"NA",SUMIFS(AN_TME22[[#All],[TOTAL Non-Claims Expenses]],AN_TME22[[#All],[Insurance Category Code]],4,AN_TME22[[#All],[Advanced Network/Insurance Carrier Org ID]],B84)/D84)</f>
        <v>NA</v>
      </c>
      <c r="Q84" s="165" t="str">
        <f>IF(D84=0,"NA",SUMIFS(AN_TME22[[#All],[TOTAL Non-Truncated Unadjusted Expenses (A21 + A23)]],AN_TME22[[#All],[Insurance Category Code]],4,AN_TME22[[#All],[Advanced Network/Insurance Carrier Org ID]],B84)/D84)</f>
        <v>NA</v>
      </c>
      <c r="R84" s="165" t="str">
        <f>IF(D84=0,"NA",SUMIFS(AN_TME22[[#All],[TOTAL Truncated Unadjusted Expenses (A22 + A23)]],AN_TME22[[#All],[Insurance Category Code]],4,AN_TME22[[#All],[Advanced Network/Insurance Carrier Org ID]],B84)/D84)</f>
        <v>NA</v>
      </c>
      <c r="S84" s="507">
        <f>SUMIFS(AN_TME23[[#All],[Member Months]],AN_TME23[[#All],[Insurance Category Code]],4,AN_TME23[[#All],[Advanced Network/Insurance Carrier Org ID]],B84)</f>
        <v>0</v>
      </c>
      <c r="T84" s="155" t="str">
        <f>IF(S84=0,"NA",SUMIFS(AN_TME23[[#All],[Claims: Hospital Inpatient]],AN_TME23[[#All],[Insurance Category Code]],4,AN_TME23[[#All],[Advanced Network/Insurance Carrier Org ID]],B84)/S84)</f>
        <v>NA</v>
      </c>
      <c r="U84" s="109" t="str">
        <f>IF(S84=0,"NA",SUMIFS(AN_TME23[[#All],[Claims: Hospital Outpatient]],AN_TME23[[#All],[Insurance Category Code]],4,AN_TME23[[#All],[Advanced Network/Insurance Carrier Org ID]],B84)/S84)</f>
        <v>NA</v>
      </c>
      <c r="V84" s="109" t="str">
        <f>IF(S84=0,"NA",SUMIFS(AN_TME23[[#All],[Claims: Professional, Primary Care]],AN_TME23[[#All],[Insurance Category Code]],4,AN_TME23[[#All],[Advanced Network/Insurance Carrier Org ID]],B84)/S84)</f>
        <v>NA</v>
      </c>
      <c r="W84" s="109" t="str">
        <f>IF(S84=0,"NA",SUMIFS(AN_TME23[[#All],[Claims: Professional, Primary Care (for Monitoring Purposes)]],AN_TME23[[#All],[Insurance Category Code]],4,AN_TME23[[#All],[Advanced Network/Insurance Carrier Org ID]],B84)/S84)</f>
        <v>NA</v>
      </c>
      <c r="X84" s="109" t="str">
        <f>IF(S84=0,"NA",SUMIFS(AN_TME23[[#All],[Claims: Professional, Specialty]],AN_TME23[[#All],[Insurance Category Code]],4,AN_TME23[[#All],[Advanced Network/Insurance Carrier Org ID]],B84)/S84)</f>
        <v>NA</v>
      </c>
      <c r="Y84" s="109" t="str">
        <f>IF(S84=0,"NA",SUMIFS(AN_TME23[[#All],[Claims: Professional Other]],AN_TME23[[#All],[Insurance Category Code]],4,AN_TME23[[#All],[Advanced Network/Insurance Carrier Org ID]],B84)/S84)</f>
        <v>NA</v>
      </c>
      <c r="Z84" s="109" t="str">
        <f>IF(S84=0,"NA",SUMIFS(AN_TME23[[#All],[Claims: Pharmacy]],AN_TME23[[#All],[Insurance Category Code]],4,AN_TME23[[#All],[Advanced Network/Insurance Carrier Org ID]],B84)/S84)</f>
        <v>NA</v>
      </c>
      <c r="AA84" s="109" t="str">
        <f>IF(S84=0,"NA",SUMIFS(AN_TME23[[#All],[Claims: Long-Term Care]],AN_TME23[[#All],[Insurance Category Code]],4,AN_TME23[[#All],[Advanced Network/Insurance Carrier Org ID]],B84)/S84)</f>
        <v>NA</v>
      </c>
      <c r="AB84" s="109" t="str">
        <f>IF(S84=0,"NA",SUMIFS(AN_TME23[[#All],[Claims: Other]],AN_TME23[[#All],[Insurance Category Code]],4,AN_TME23[[#All],[Advanced Network/Insurance Carrier Org ID]],B84)/S84)</f>
        <v>NA</v>
      </c>
      <c r="AC84" s="165" t="str">
        <f>IF(S84=0,"NA",SUMIFS(AN_TME23[[#All],[TOTAL Non-Truncated Unadjusted Claims Expenses]],AN_TME23[[#All],[Insurance Category Code]],4,AN_TME23[[#All],[Advanced Network/Insurance Carrier Org ID]],B84)/S84)</f>
        <v>NA</v>
      </c>
      <c r="AD84" s="165" t="str">
        <f>IF(S84=0,"NA",SUMIFS(AN_TME23[[#All],[TOTAL Truncated Unadjusted Claims Expenses (A21 -A19)]],AN_TME23[[#All],[Insurance Category Code]],4,AN_TME23[[#All],[Advanced Network/Insurance Carrier Org ID]],B84)/S84)</f>
        <v>NA</v>
      </c>
      <c r="AE84" s="165" t="str">
        <f>IF(S84=0,"NA",SUMIFS(AN_TME23[[#All],[TOTAL Non-Claims Expenses]],AN_TME23[[#All],[Insurance Category Code]],4,AN_TME23[[#All],[Advanced Network/Insurance Carrier Org ID]],B84)/S84)</f>
        <v>NA</v>
      </c>
      <c r="AF84" s="165" t="str">
        <f>IF(S84=0,"NA",SUMIFS(AN_TME23[[#All],[TOTAL Non-Truncated Unadjusted Expenses (A21 + A23)]],AN_TME23[[#All],[Insurance Category Code]],4,AN_TME23[[#All],[Advanced Network/Insurance Carrier Org ID]],B84)/S84)</f>
        <v>NA</v>
      </c>
      <c r="AG84" s="156" t="str">
        <f>IF(S84=0,"NA",SUMIFS(AN_TME23[[#All],[TOTAL Truncated Unadjusted Expenses (A22 + A23)]],AN_TME23[[#All],[Insurance Category Code]],4,AN_TME23[[#All],[Advanced Network/Insurance Carrier Org ID]],B84)/S84)</f>
        <v>NA</v>
      </c>
      <c r="AH84" s="478" t="str">
        <f>IF(D84=0,"NA",S84/D84-1)</f>
        <v>NA</v>
      </c>
      <c r="AI84" s="479" t="str">
        <f>IF(D84=0,"NA",T84/E84-1)</f>
        <v>NA</v>
      </c>
      <c r="AJ84" s="480" t="str">
        <f>IF(D84=0,"NA",U84/F84-1)</f>
        <v>NA</v>
      </c>
      <c r="AK84" s="480" t="str">
        <f>IF(D84=0,"NA",V84/G84-1)</f>
        <v>NA</v>
      </c>
      <c r="AL84" s="480" t="str">
        <f>IF(D84=0,"NA",W84/H84-1)</f>
        <v>NA</v>
      </c>
      <c r="AM84" s="480" t="str">
        <f>IF(D84=0,"NA",X84/I84-1)</f>
        <v>NA</v>
      </c>
      <c r="AN84" s="480" t="str">
        <f>IF(D84=0,"NA",Y84/J84-1)</f>
        <v>NA</v>
      </c>
      <c r="AO84" s="480" t="str">
        <f>IF(D84=0,"NA",Z84/K84-1)</f>
        <v>NA</v>
      </c>
      <c r="AP84" s="480" t="str">
        <f>IF(D84=0,"NA",AA84/L84-1)</f>
        <v>NA</v>
      </c>
      <c r="AQ84" s="480" t="str">
        <f>IF(D84=0,"NA",AB84/M84-1)</f>
        <v>NA</v>
      </c>
      <c r="AR84" s="481" t="str">
        <f>IF(D84=0,"NA",AC84/N84-1)</f>
        <v>NA</v>
      </c>
      <c r="AS84" s="481" t="str">
        <f>IF(D84=0,"NA",AD84/O84-1)</f>
        <v>NA</v>
      </c>
      <c r="AT84" s="481" t="str">
        <f>IF(D84=0,"NA",AE84/P84-1)</f>
        <v>NA</v>
      </c>
      <c r="AU84" s="481" t="str">
        <f>IF(D84=0,"NA",AF84/Q84-1)</f>
        <v>NA</v>
      </c>
      <c r="AV84" s="482" t="str">
        <f>IF(D84=0,"NA",AG84/R84-1)</f>
        <v>NA</v>
      </c>
    </row>
    <row r="85" spans="1:48" ht="15" customHeight="1" x14ac:dyDescent="0.25">
      <c r="A85" s="164"/>
      <c r="B85" s="166">
        <v>102</v>
      </c>
      <c r="C85" s="169" t="str">
        <f>_xlfn.XLOOKUP(B85, LgProvEntOrgIDs[Advanced Network/Insurer Carrier Org ID], LgProvEntOrgIDs[Advanced Network/Insurance Carrier Overall])</f>
        <v>Connecticut Children's Care Network</v>
      </c>
      <c r="D85" s="507">
        <f>SUMIFS(AN_TME22[[#All],[Member Months]],AN_TME22[[#All],[Insurance Category Code]],4,AN_TME22[[#All],[Advanced Network/Insurance Carrier Org ID]],B85)</f>
        <v>0</v>
      </c>
      <c r="E85" s="155" t="str">
        <f>IF(D85=0,"NA",SUMIFS(AN_TME22[[#All],[Claims: Hospital Inpatient]],AN_TME22[[#All],[Insurance Category Code]],4,AN_TME22[[#All],[Advanced Network/Insurance Carrier Org ID]],B85)/D85)</f>
        <v>NA</v>
      </c>
      <c r="F85" s="109" t="str">
        <f>IF(D85=0,"NA",SUMIFS(AN_TME22[[#All],[Claims: Hospital Outpatient]],AN_TME22[[#All],[Insurance Category Code]],4,AN_TME22[[#All],[Advanced Network/Insurance Carrier Org ID]],B85)/D85)</f>
        <v>NA</v>
      </c>
      <c r="G85" s="109" t="str">
        <f>IF(D85=0,"NA",SUMIFS(AN_TME22[[#All],[Claims: Professional, Primary Care]],AN_TME22[[#All],[Insurance Category Code]],4,AN_TME22[[#All],[Advanced Network/Insurance Carrier Org ID]],B85)/D85)</f>
        <v>NA</v>
      </c>
      <c r="H85" s="109" t="str">
        <f>IF(D85=0,"NA",SUMIFS(AN_TME22[[#All],[Claims: Professional, Primary Care (for Monitoring Purposes)]],AN_TME22[[#All],[Insurance Category Code]],4,AN_TME22[[#All],[Advanced Network/Insurance Carrier Org ID]],B85)/D85)</f>
        <v>NA</v>
      </c>
      <c r="I85" s="109" t="str">
        <f>IF(D85=0,"NA",SUMIFS(AN_TME22[[#All],[Claims: Professional, Specialty]],AN_TME22[[#All],[Insurance Category Code]],4,AN_TME22[[#All],[Advanced Network/Insurance Carrier Org ID]],B85)/D85)</f>
        <v>NA</v>
      </c>
      <c r="J85" s="109" t="str">
        <f>IF(D85=0,"NA",SUMIFS(AN_TME22[[#All],[Claims: Professional Other]],AN_TME22[[#All],[Insurance Category Code]],4,AN_TME22[[#All],[Advanced Network/Insurance Carrier Org ID]],B85)/D85)</f>
        <v>NA</v>
      </c>
      <c r="K85" s="109" t="str">
        <f>IF(D85=0,"NA",SUMIFS(AN_TME22[[#All],[Claims: Pharmacy]],AN_TME22[[#All],[Insurance Category Code]],4,AN_TME22[[#All],[Advanced Network/Insurance Carrier Org ID]],B85)/D85)</f>
        <v>NA</v>
      </c>
      <c r="L85" s="109" t="str">
        <f>IF(D85=0,"NA",SUMIFS(AN_TME22[[#All],[Claims: Long-Term Care]],AN_TME22[[#All],[Insurance Category Code]],4,AN_TME22[[#All],[Advanced Network/Insurance Carrier Org ID]],B85)/D85)</f>
        <v>NA</v>
      </c>
      <c r="M85" s="109" t="str">
        <f>IF(D85=0,"NA",SUMIFS(AN_TME22[[#All],[Claims: Other]],AN_TME22[[#All],[Insurance Category Code]],4,AN_TME22[[#All],[Advanced Network/Insurance Carrier Org ID]],B85)/D85)</f>
        <v>NA</v>
      </c>
      <c r="N85" s="165" t="str">
        <f>IF(D85=0,"NA",SUMIFS(AN_TME22[[#All],[TOTAL Non-Truncated Unadjusted Claims Expenses]],AN_TME22[[#All],[Insurance Category Code]],4,AN_TME22[[#All],[Advanced Network/Insurance Carrier Org ID]],B85)/D85)</f>
        <v>NA</v>
      </c>
      <c r="O85" s="165" t="str">
        <f>IF(D85=0,"NA",SUMIFS(AN_TME22[[#All],[TOTAL Truncated Unadjusted Claims Expenses (A21 -A19)]],AN_TME22[[#All],[Insurance Category Code]],4,AN_TME22[[#All],[Advanced Network/Insurance Carrier Org ID]],B85)/D85)</f>
        <v>NA</v>
      </c>
      <c r="P85" s="165" t="str">
        <f>IF(D85=0,"NA",SUMIFS(AN_TME22[[#All],[TOTAL Non-Claims Expenses]],AN_TME22[[#All],[Insurance Category Code]],4,AN_TME22[[#All],[Advanced Network/Insurance Carrier Org ID]],B85)/D85)</f>
        <v>NA</v>
      </c>
      <c r="Q85" s="165" t="str">
        <f>IF(D85=0,"NA",SUMIFS(AN_TME22[[#All],[TOTAL Non-Truncated Unadjusted Expenses (A21 + A23)]],AN_TME22[[#All],[Insurance Category Code]],4,AN_TME22[[#All],[Advanced Network/Insurance Carrier Org ID]],B85)/D85)</f>
        <v>NA</v>
      </c>
      <c r="R85" s="165" t="str">
        <f>IF(D85=0,"NA",SUMIFS(AN_TME22[[#All],[TOTAL Truncated Unadjusted Expenses (A22 + A23)]],AN_TME22[[#All],[Insurance Category Code]],4,AN_TME22[[#All],[Advanced Network/Insurance Carrier Org ID]],B85)/D85)</f>
        <v>NA</v>
      </c>
      <c r="S85" s="507">
        <f>SUMIFS(AN_TME23[[#All],[Member Months]],AN_TME23[[#All],[Insurance Category Code]],4,AN_TME23[[#All],[Advanced Network/Insurance Carrier Org ID]],B85)</f>
        <v>0</v>
      </c>
      <c r="T85" s="155" t="str">
        <f>IF(S85=0,"NA",SUMIFS(AN_TME23[[#All],[Claims: Hospital Inpatient]],AN_TME23[[#All],[Insurance Category Code]],4,AN_TME23[[#All],[Advanced Network/Insurance Carrier Org ID]],B85)/S85)</f>
        <v>NA</v>
      </c>
      <c r="U85" s="109" t="str">
        <f>IF(S85=0,"NA",SUMIFS(AN_TME23[[#All],[Claims: Hospital Outpatient]],AN_TME23[[#All],[Insurance Category Code]],4,AN_TME23[[#All],[Advanced Network/Insurance Carrier Org ID]],B85)/S85)</f>
        <v>NA</v>
      </c>
      <c r="V85" s="109" t="str">
        <f>IF(S85=0,"NA",SUMIFS(AN_TME23[[#All],[Claims: Professional, Primary Care]],AN_TME23[[#All],[Insurance Category Code]],4,AN_TME23[[#All],[Advanced Network/Insurance Carrier Org ID]],B85)/S85)</f>
        <v>NA</v>
      </c>
      <c r="W85" s="109" t="str">
        <f>IF(S85=0,"NA",SUMIFS(AN_TME23[[#All],[Claims: Professional, Primary Care (for Monitoring Purposes)]],AN_TME23[[#All],[Insurance Category Code]],4,AN_TME23[[#All],[Advanced Network/Insurance Carrier Org ID]],B85)/S85)</f>
        <v>NA</v>
      </c>
      <c r="X85" s="109" t="str">
        <f>IF(S85=0,"NA",SUMIFS(AN_TME23[[#All],[Claims: Professional, Specialty]],AN_TME23[[#All],[Insurance Category Code]],4,AN_TME23[[#All],[Advanced Network/Insurance Carrier Org ID]],B85)/S85)</f>
        <v>NA</v>
      </c>
      <c r="Y85" s="109" t="str">
        <f>IF(S85=0,"NA",SUMIFS(AN_TME23[[#All],[Claims: Professional Other]],AN_TME23[[#All],[Insurance Category Code]],4,AN_TME23[[#All],[Advanced Network/Insurance Carrier Org ID]],B85)/S85)</f>
        <v>NA</v>
      </c>
      <c r="Z85" s="109" t="str">
        <f>IF(S85=0,"NA",SUMIFS(AN_TME23[[#All],[Claims: Pharmacy]],AN_TME23[[#All],[Insurance Category Code]],4,AN_TME23[[#All],[Advanced Network/Insurance Carrier Org ID]],B85)/S85)</f>
        <v>NA</v>
      </c>
      <c r="AA85" s="109" t="str">
        <f>IF(S85=0,"NA",SUMIFS(AN_TME23[[#All],[Claims: Long-Term Care]],AN_TME23[[#All],[Insurance Category Code]],4,AN_TME23[[#All],[Advanced Network/Insurance Carrier Org ID]],B85)/S85)</f>
        <v>NA</v>
      </c>
      <c r="AB85" s="109" t="str">
        <f>IF(S85=0,"NA",SUMIFS(AN_TME23[[#All],[Claims: Other]],AN_TME23[[#All],[Insurance Category Code]],4,AN_TME23[[#All],[Advanced Network/Insurance Carrier Org ID]],B85)/S85)</f>
        <v>NA</v>
      </c>
      <c r="AC85" s="165" t="str">
        <f>IF(S85=0,"NA",SUMIFS(AN_TME23[[#All],[TOTAL Non-Truncated Unadjusted Claims Expenses]],AN_TME23[[#All],[Insurance Category Code]],4,AN_TME23[[#All],[Advanced Network/Insurance Carrier Org ID]],B85)/S85)</f>
        <v>NA</v>
      </c>
      <c r="AD85" s="165" t="str">
        <f>IF(S85=0,"NA",SUMIFS(AN_TME23[[#All],[TOTAL Truncated Unadjusted Claims Expenses (A21 -A19)]],AN_TME23[[#All],[Insurance Category Code]],4,AN_TME23[[#All],[Advanced Network/Insurance Carrier Org ID]],B85)/S85)</f>
        <v>NA</v>
      </c>
      <c r="AE85" s="165" t="str">
        <f>IF(S85=0,"NA",SUMIFS(AN_TME23[[#All],[TOTAL Non-Claims Expenses]],AN_TME23[[#All],[Insurance Category Code]],4,AN_TME23[[#All],[Advanced Network/Insurance Carrier Org ID]],B85)/S85)</f>
        <v>NA</v>
      </c>
      <c r="AF85" s="165" t="str">
        <f>IF(S85=0,"NA",SUMIFS(AN_TME23[[#All],[TOTAL Non-Truncated Unadjusted Expenses (A21 + A23)]],AN_TME23[[#All],[Insurance Category Code]],4,AN_TME23[[#All],[Advanced Network/Insurance Carrier Org ID]],B85)/S85)</f>
        <v>NA</v>
      </c>
      <c r="AG85" s="156" t="str">
        <f>IF(S85=0,"NA",SUMIFS(AN_TME23[[#All],[TOTAL Truncated Unadjusted Expenses (A22 + A23)]],AN_TME23[[#All],[Insurance Category Code]],4,AN_TME23[[#All],[Advanced Network/Insurance Carrier Org ID]],B85)/S85)</f>
        <v>NA</v>
      </c>
      <c r="AH85" s="478" t="str">
        <f t="shared" ref="AH85:AH93" si="122">IF(D85=0,"NA",S85/D85-1)</f>
        <v>NA</v>
      </c>
      <c r="AI85" s="479" t="str">
        <f t="shared" ref="AI85:AI93" si="123">IF(D85=0,"NA",T85/E85-1)</f>
        <v>NA</v>
      </c>
      <c r="AJ85" s="480" t="str">
        <f t="shared" ref="AJ85:AJ93" si="124">IF(D85=0,"NA",U85/F85-1)</f>
        <v>NA</v>
      </c>
      <c r="AK85" s="480" t="str">
        <f t="shared" ref="AK85:AK93" si="125">IF(D85=0,"NA",V85/G85-1)</f>
        <v>NA</v>
      </c>
      <c r="AL85" s="480" t="str">
        <f t="shared" ref="AL85:AL93" si="126">IF(D85=0,"NA",W85/H85-1)</f>
        <v>NA</v>
      </c>
      <c r="AM85" s="480" t="str">
        <f t="shared" ref="AM85:AM93" si="127">IF(D85=0,"NA",X85/I85-1)</f>
        <v>NA</v>
      </c>
      <c r="AN85" s="480" t="str">
        <f t="shared" ref="AN85:AN93" si="128">IF(D85=0,"NA",Y85/J85-1)</f>
        <v>NA</v>
      </c>
      <c r="AO85" s="480" t="str">
        <f t="shared" ref="AO85:AO93" si="129">IF(D85=0,"NA",Z85/K85-1)</f>
        <v>NA</v>
      </c>
      <c r="AP85" s="480" t="str">
        <f t="shared" ref="AP85:AP93" si="130">IF(D85=0,"NA",AA85/L85-1)</f>
        <v>NA</v>
      </c>
      <c r="AQ85" s="480" t="str">
        <f t="shared" ref="AQ85:AQ93" si="131">IF(D85=0,"NA",AB85/M85-1)</f>
        <v>NA</v>
      </c>
      <c r="AR85" s="481" t="str">
        <f t="shared" ref="AR85:AR93" si="132">IF(D85=0,"NA",AC85/N85-1)</f>
        <v>NA</v>
      </c>
      <c r="AS85" s="481" t="str">
        <f t="shared" ref="AS85:AS93" si="133">IF(D85=0,"NA",AD85/O85-1)</f>
        <v>NA</v>
      </c>
      <c r="AT85" s="481" t="str">
        <f t="shared" ref="AT85:AT93" si="134">IF(D85=0,"NA",AE85/P85-1)</f>
        <v>NA</v>
      </c>
      <c r="AU85" s="481" t="str">
        <f t="shared" ref="AU85:AU93" si="135">IF(D85=0,"NA",AF85/Q85-1)</f>
        <v>NA</v>
      </c>
      <c r="AV85" s="482" t="str">
        <f t="shared" ref="AV85:AV93" si="136">IF(D85=0,"NA",AG85/R85-1)</f>
        <v>NA</v>
      </c>
    </row>
    <row r="86" spans="1:48" ht="15" customHeight="1" x14ac:dyDescent="0.25">
      <c r="A86" s="164"/>
      <c r="B86" s="166">
        <v>103</v>
      </c>
      <c r="C86" s="169" t="str">
        <f>_xlfn.XLOOKUP(B86, LgProvEntOrgIDs[Advanced Network/Insurer Carrier Org ID], LgProvEntOrgIDs[Advanced Network/Insurance Carrier Overall])</f>
        <v>Connecticut State Medical Society IPA</v>
      </c>
      <c r="D86" s="507">
        <f>SUMIFS(AN_TME22[[#All],[Member Months]],AN_TME22[[#All],[Insurance Category Code]],4,AN_TME22[[#All],[Advanced Network/Insurance Carrier Org ID]],B86)</f>
        <v>0</v>
      </c>
      <c r="E86" s="155" t="str">
        <f>IF(D86=0,"NA",SUMIFS(AN_TME22[[#All],[Claims: Hospital Inpatient]],AN_TME22[[#All],[Insurance Category Code]],4,AN_TME22[[#All],[Advanced Network/Insurance Carrier Org ID]],B86)/D86)</f>
        <v>NA</v>
      </c>
      <c r="F86" s="109" t="str">
        <f>IF(D86=0,"NA",SUMIFS(AN_TME22[[#All],[Claims: Hospital Outpatient]],AN_TME22[[#All],[Insurance Category Code]],4,AN_TME22[[#All],[Advanced Network/Insurance Carrier Org ID]],B86)/D86)</f>
        <v>NA</v>
      </c>
      <c r="G86" s="109" t="str">
        <f>IF(D86=0,"NA",SUMIFS(AN_TME22[[#All],[Claims: Professional, Primary Care]],AN_TME22[[#All],[Insurance Category Code]],4,AN_TME22[[#All],[Advanced Network/Insurance Carrier Org ID]],B86)/D86)</f>
        <v>NA</v>
      </c>
      <c r="H86" s="109" t="str">
        <f>IF(D86=0,"NA",SUMIFS(AN_TME22[[#All],[Claims: Professional, Primary Care (for Monitoring Purposes)]],AN_TME22[[#All],[Insurance Category Code]],4,AN_TME22[[#All],[Advanced Network/Insurance Carrier Org ID]],B86)/D86)</f>
        <v>NA</v>
      </c>
      <c r="I86" s="109" t="str">
        <f>IF(D86=0,"NA",SUMIFS(AN_TME22[[#All],[Claims: Professional, Specialty]],AN_TME22[[#All],[Insurance Category Code]],4,AN_TME22[[#All],[Advanced Network/Insurance Carrier Org ID]],B86)/D86)</f>
        <v>NA</v>
      </c>
      <c r="J86" s="109" t="str">
        <f>IF(D86=0,"NA",SUMIFS(AN_TME22[[#All],[Claims: Professional Other]],AN_TME22[[#All],[Insurance Category Code]],4,AN_TME22[[#All],[Advanced Network/Insurance Carrier Org ID]],B86)/D86)</f>
        <v>NA</v>
      </c>
      <c r="K86" s="109" t="str">
        <f>IF(D86=0,"NA",SUMIFS(AN_TME22[[#All],[Claims: Pharmacy]],AN_TME22[[#All],[Insurance Category Code]],4,AN_TME22[[#All],[Advanced Network/Insurance Carrier Org ID]],B86)/D86)</f>
        <v>NA</v>
      </c>
      <c r="L86" s="109" t="str">
        <f>IF(D86=0,"NA",SUMIFS(AN_TME22[[#All],[Claims: Long-Term Care]],AN_TME22[[#All],[Insurance Category Code]],4,AN_TME22[[#All],[Advanced Network/Insurance Carrier Org ID]],B86)/D86)</f>
        <v>NA</v>
      </c>
      <c r="M86" s="109" t="str">
        <f>IF(D86=0,"NA",SUMIFS(AN_TME22[[#All],[Claims: Other]],AN_TME22[[#All],[Insurance Category Code]],4,AN_TME22[[#All],[Advanced Network/Insurance Carrier Org ID]],B86)/D86)</f>
        <v>NA</v>
      </c>
      <c r="N86" s="165" t="str">
        <f>IF(D86=0,"NA",SUMIFS(AN_TME22[[#All],[TOTAL Non-Truncated Unadjusted Claims Expenses]],AN_TME22[[#All],[Insurance Category Code]],4,AN_TME22[[#All],[Advanced Network/Insurance Carrier Org ID]],B86)/D86)</f>
        <v>NA</v>
      </c>
      <c r="O86" s="165" t="str">
        <f>IF(D86=0,"NA",SUMIFS(AN_TME22[[#All],[TOTAL Truncated Unadjusted Claims Expenses (A21 -A19)]],AN_TME22[[#All],[Insurance Category Code]],4,AN_TME22[[#All],[Advanced Network/Insurance Carrier Org ID]],B86)/D86)</f>
        <v>NA</v>
      </c>
      <c r="P86" s="165" t="str">
        <f>IF(D86=0,"NA",SUMIFS(AN_TME22[[#All],[TOTAL Non-Claims Expenses]],AN_TME22[[#All],[Insurance Category Code]],4,AN_TME22[[#All],[Advanced Network/Insurance Carrier Org ID]],B86)/D86)</f>
        <v>NA</v>
      </c>
      <c r="Q86" s="165" t="str">
        <f>IF(D86=0,"NA",SUMIFS(AN_TME22[[#All],[TOTAL Non-Truncated Unadjusted Expenses (A21 + A23)]],AN_TME22[[#All],[Insurance Category Code]],4,AN_TME22[[#All],[Advanced Network/Insurance Carrier Org ID]],B86)/D86)</f>
        <v>NA</v>
      </c>
      <c r="R86" s="165" t="str">
        <f>IF(D86=0,"NA",SUMIFS(AN_TME22[[#All],[TOTAL Truncated Unadjusted Expenses (A22 + A23)]],AN_TME22[[#All],[Insurance Category Code]],4,AN_TME22[[#All],[Advanced Network/Insurance Carrier Org ID]],B86)/D86)</f>
        <v>NA</v>
      </c>
      <c r="S86" s="507">
        <f>SUMIFS(AN_TME23[[#All],[Member Months]],AN_TME23[[#All],[Insurance Category Code]],4,AN_TME23[[#All],[Advanced Network/Insurance Carrier Org ID]],B86)</f>
        <v>0</v>
      </c>
      <c r="T86" s="155" t="str">
        <f>IF(S86=0,"NA",SUMIFS(AN_TME23[[#All],[Claims: Hospital Inpatient]],AN_TME23[[#All],[Insurance Category Code]],4,AN_TME23[[#All],[Advanced Network/Insurance Carrier Org ID]],B86)/S86)</f>
        <v>NA</v>
      </c>
      <c r="U86" s="109" t="str">
        <f>IF(S86=0,"NA",SUMIFS(AN_TME23[[#All],[Claims: Hospital Outpatient]],AN_TME23[[#All],[Insurance Category Code]],4,AN_TME23[[#All],[Advanced Network/Insurance Carrier Org ID]],B86)/S86)</f>
        <v>NA</v>
      </c>
      <c r="V86" s="109" t="str">
        <f>IF(S86=0,"NA",SUMIFS(AN_TME23[[#All],[Claims: Professional, Primary Care]],AN_TME23[[#All],[Insurance Category Code]],4,AN_TME23[[#All],[Advanced Network/Insurance Carrier Org ID]],B86)/S86)</f>
        <v>NA</v>
      </c>
      <c r="W86" s="109" t="str">
        <f>IF(S86=0,"NA",SUMIFS(AN_TME23[[#All],[Claims: Professional, Primary Care (for Monitoring Purposes)]],AN_TME23[[#All],[Insurance Category Code]],4,AN_TME23[[#All],[Advanced Network/Insurance Carrier Org ID]],B86)/S86)</f>
        <v>NA</v>
      </c>
      <c r="X86" s="109" t="str">
        <f>IF(S86=0,"NA",SUMIFS(AN_TME23[[#All],[Claims: Professional, Specialty]],AN_TME23[[#All],[Insurance Category Code]],4,AN_TME23[[#All],[Advanced Network/Insurance Carrier Org ID]],B86)/S86)</f>
        <v>NA</v>
      </c>
      <c r="Y86" s="109" t="str">
        <f>IF(S86=0,"NA",SUMIFS(AN_TME23[[#All],[Claims: Professional Other]],AN_TME23[[#All],[Insurance Category Code]],4,AN_TME23[[#All],[Advanced Network/Insurance Carrier Org ID]],B86)/S86)</f>
        <v>NA</v>
      </c>
      <c r="Z86" s="109" t="str">
        <f>IF(S86=0,"NA",SUMIFS(AN_TME23[[#All],[Claims: Pharmacy]],AN_TME23[[#All],[Insurance Category Code]],4,AN_TME23[[#All],[Advanced Network/Insurance Carrier Org ID]],B86)/S86)</f>
        <v>NA</v>
      </c>
      <c r="AA86" s="109" t="str">
        <f>IF(S86=0,"NA",SUMIFS(AN_TME23[[#All],[Claims: Long-Term Care]],AN_TME23[[#All],[Insurance Category Code]],4,AN_TME23[[#All],[Advanced Network/Insurance Carrier Org ID]],B86)/S86)</f>
        <v>NA</v>
      </c>
      <c r="AB86" s="109" t="str">
        <f>IF(S86=0,"NA",SUMIFS(AN_TME23[[#All],[Claims: Other]],AN_TME23[[#All],[Insurance Category Code]],4,AN_TME23[[#All],[Advanced Network/Insurance Carrier Org ID]],B86)/S86)</f>
        <v>NA</v>
      </c>
      <c r="AC86" s="165" t="str">
        <f>IF(S86=0,"NA",SUMIFS(AN_TME23[[#All],[TOTAL Non-Truncated Unadjusted Claims Expenses]],AN_TME23[[#All],[Insurance Category Code]],4,AN_TME23[[#All],[Advanced Network/Insurance Carrier Org ID]],B86)/S86)</f>
        <v>NA</v>
      </c>
      <c r="AD86" s="165" t="str">
        <f>IF(S86=0,"NA",SUMIFS(AN_TME23[[#All],[TOTAL Truncated Unadjusted Claims Expenses (A21 -A19)]],AN_TME23[[#All],[Insurance Category Code]],4,AN_TME23[[#All],[Advanced Network/Insurance Carrier Org ID]],B86)/S86)</f>
        <v>NA</v>
      </c>
      <c r="AE86" s="165" t="str">
        <f>IF(S86=0,"NA",SUMIFS(AN_TME23[[#All],[TOTAL Non-Claims Expenses]],AN_TME23[[#All],[Insurance Category Code]],4,AN_TME23[[#All],[Advanced Network/Insurance Carrier Org ID]],B86)/S86)</f>
        <v>NA</v>
      </c>
      <c r="AF86" s="165" t="str">
        <f>IF(S86=0,"NA",SUMIFS(AN_TME23[[#All],[TOTAL Non-Truncated Unadjusted Expenses (A21 + A23)]],AN_TME23[[#All],[Insurance Category Code]],4,AN_TME23[[#All],[Advanced Network/Insurance Carrier Org ID]],B86)/S86)</f>
        <v>NA</v>
      </c>
      <c r="AG86" s="156" t="str">
        <f>IF(S86=0,"NA",SUMIFS(AN_TME23[[#All],[TOTAL Truncated Unadjusted Expenses (A22 + A23)]],AN_TME23[[#All],[Insurance Category Code]],4,AN_TME23[[#All],[Advanced Network/Insurance Carrier Org ID]],B86)/S86)</f>
        <v>NA</v>
      </c>
      <c r="AH86" s="478" t="str">
        <f t="shared" si="122"/>
        <v>NA</v>
      </c>
      <c r="AI86" s="479" t="str">
        <f t="shared" si="123"/>
        <v>NA</v>
      </c>
      <c r="AJ86" s="480" t="str">
        <f t="shared" si="124"/>
        <v>NA</v>
      </c>
      <c r="AK86" s="480" t="str">
        <f t="shared" si="125"/>
        <v>NA</v>
      </c>
      <c r="AL86" s="480" t="str">
        <f t="shared" si="126"/>
        <v>NA</v>
      </c>
      <c r="AM86" s="480" t="str">
        <f t="shared" si="127"/>
        <v>NA</v>
      </c>
      <c r="AN86" s="480" t="str">
        <f t="shared" si="128"/>
        <v>NA</v>
      </c>
      <c r="AO86" s="480" t="str">
        <f t="shared" si="129"/>
        <v>NA</v>
      </c>
      <c r="AP86" s="480" t="str">
        <f t="shared" si="130"/>
        <v>NA</v>
      </c>
      <c r="AQ86" s="480" t="str">
        <f t="shared" si="131"/>
        <v>NA</v>
      </c>
      <c r="AR86" s="481" t="str">
        <f t="shared" si="132"/>
        <v>NA</v>
      </c>
      <c r="AS86" s="481" t="str">
        <f t="shared" si="133"/>
        <v>NA</v>
      </c>
      <c r="AT86" s="481" t="str">
        <f t="shared" si="134"/>
        <v>NA</v>
      </c>
      <c r="AU86" s="481" t="str">
        <f t="shared" si="135"/>
        <v>NA</v>
      </c>
      <c r="AV86" s="482" t="str">
        <f t="shared" si="136"/>
        <v>NA</v>
      </c>
    </row>
    <row r="87" spans="1:48" ht="15" customHeight="1" x14ac:dyDescent="0.25">
      <c r="A87" s="164"/>
      <c r="B87" s="166">
        <v>104</v>
      </c>
      <c r="C87" s="169" t="str">
        <f>_xlfn.XLOOKUP(B87, LgProvEntOrgIDs[Advanced Network/Insurer Carrier Org ID], LgProvEntOrgIDs[Advanced Network/Insurance Carrier Overall])</f>
        <v>Integrated Care Partners</v>
      </c>
      <c r="D87" s="507">
        <f>SUMIFS(AN_TME22[[#All],[Member Months]],AN_TME22[[#All],[Insurance Category Code]],4,AN_TME22[[#All],[Advanced Network/Insurance Carrier Org ID]],B87)</f>
        <v>0</v>
      </c>
      <c r="E87" s="155" t="str">
        <f>IF(D87=0,"NA",SUMIFS(AN_TME22[[#All],[Claims: Hospital Inpatient]],AN_TME22[[#All],[Insurance Category Code]],4,AN_TME22[[#All],[Advanced Network/Insurance Carrier Org ID]],B87)/D87)</f>
        <v>NA</v>
      </c>
      <c r="F87" s="109" t="str">
        <f>IF(D87=0,"NA",SUMIFS(AN_TME22[[#All],[Claims: Hospital Outpatient]],AN_TME22[[#All],[Insurance Category Code]],4,AN_TME22[[#All],[Advanced Network/Insurance Carrier Org ID]],B87)/D87)</f>
        <v>NA</v>
      </c>
      <c r="G87" s="109" t="str">
        <f>IF(D87=0,"NA",SUMIFS(AN_TME22[[#All],[Claims: Professional, Primary Care]],AN_TME22[[#All],[Insurance Category Code]],4,AN_TME22[[#All],[Advanced Network/Insurance Carrier Org ID]],B87)/D87)</f>
        <v>NA</v>
      </c>
      <c r="H87" s="109" t="str">
        <f>IF(D87=0,"NA",SUMIFS(AN_TME22[[#All],[Claims: Professional, Primary Care (for Monitoring Purposes)]],AN_TME22[[#All],[Insurance Category Code]],4,AN_TME22[[#All],[Advanced Network/Insurance Carrier Org ID]],B87)/D87)</f>
        <v>NA</v>
      </c>
      <c r="I87" s="109" t="str">
        <f>IF(D87=0,"NA",SUMIFS(AN_TME22[[#All],[Claims: Professional, Specialty]],AN_TME22[[#All],[Insurance Category Code]],4,AN_TME22[[#All],[Advanced Network/Insurance Carrier Org ID]],B87)/D87)</f>
        <v>NA</v>
      </c>
      <c r="J87" s="109" t="str">
        <f>IF(D87=0,"NA",SUMIFS(AN_TME22[[#All],[Claims: Professional Other]],AN_TME22[[#All],[Insurance Category Code]],4,AN_TME22[[#All],[Advanced Network/Insurance Carrier Org ID]],B87)/D87)</f>
        <v>NA</v>
      </c>
      <c r="K87" s="109" t="str">
        <f>IF(D87=0,"NA",SUMIFS(AN_TME22[[#All],[Claims: Pharmacy]],AN_TME22[[#All],[Insurance Category Code]],4,AN_TME22[[#All],[Advanced Network/Insurance Carrier Org ID]],B87)/D87)</f>
        <v>NA</v>
      </c>
      <c r="L87" s="109" t="str">
        <f>IF(D87=0,"NA",SUMIFS(AN_TME22[[#All],[Claims: Long-Term Care]],AN_TME22[[#All],[Insurance Category Code]],4,AN_TME22[[#All],[Advanced Network/Insurance Carrier Org ID]],B87)/D87)</f>
        <v>NA</v>
      </c>
      <c r="M87" s="109" t="str">
        <f>IF(D87=0,"NA",SUMIFS(AN_TME22[[#All],[Claims: Other]],AN_TME22[[#All],[Insurance Category Code]],4,AN_TME22[[#All],[Advanced Network/Insurance Carrier Org ID]],B87)/D87)</f>
        <v>NA</v>
      </c>
      <c r="N87" s="165" t="str">
        <f>IF(D87=0,"NA",SUMIFS(AN_TME22[[#All],[TOTAL Non-Truncated Unadjusted Claims Expenses]],AN_TME22[[#All],[Insurance Category Code]],4,AN_TME22[[#All],[Advanced Network/Insurance Carrier Org ID]],B87)/D87)</f>
        <v>NA</v>
      </c>
      <c r="O87" s="165" t="str">
        <f>IF(D87=0,"NA",SUMIFS(AN_TME22[[#All],[TOTAL Truncated Unadjusted Claims Expenses (A21 -A19)]],AN_TME22[[#All],[Insurance Category Code]],4,AN_TME22[[#All],[Advanced Network/Insurance Carrier Org ID]],B87)/D87)</f>
        <v>NA</v>
      </c>
      <c r="P87" s="165" t="str">
        <f>IF(D87=0,"NA",SUMIFS(AN_TME22[[#All],[TOTAL Non-Claims Expenses]],AN_TME22[[#All],[Insurance Category Code]],4,AN_TME22[[#All],[Advanced Network/Insurance Carrier Org ID]],B87)/D87)</f>
        <v>NA</v>
      </c>
      <c r="Q87" s="165" t="str">
        <f>IF(D87=0,"NA",SUMIFS(AN_TME22[[#All],[TOTAL Non-Truncated Unadjusted Expenses (A21 + A23)]],AN_TME22[[#All],[Insurance Category Code]],4,AN_TME22[[#All],[Advanced Network/Insurance Carrier Org ID]],B87)/D87)</f>
        <v>NA</v>
      </c>
      <c r="R87" s="165" t="str">
        <f>IF(D87=0,"NA",SUMIFS(AN_TME22[[#All],[TOTAL Truncated Unadjusted Expenses (A22 + A23)]],AN_TME22[[#All],[Insurance Category Code]],4,AN_TME22[[#All],[Advanced Network/Insurance Carrier Org ID]],B87)/D87)</f>
        <v>NA</v>
      </c>
      <c r="S87" s="507">
        <f>SUMIFS(AN_TME23[[#All],[Member Months]],AN_TME23[[#All],[Insurance Category Code]],4,AN_TME23[[#All],[Advanced Network/Insurance Carrier Org ID]],B87)</f>
        <v>0</v>
      </c>
      <c r="T87" s="155" t="str">
        <f>IF(S87=0,"NA",SUMIFS(AN_TME23[[#All],[Claims: Hospital Inpatient]],AN_TME23[[#All],[Insurance Category Code]],4,AN_TME23[[#All],[Advanced Network/Insurance Carrier Org ID]],B87)/S87)</f>
        <v>NA</v>
      </c>
      <c r="U87" s="109" t="str">
        <f>IF(S87=0,"NA",SUMIFS(AN_TME23[[#All],[Claims: Hospital Outpatient]],AN_TME23[[#All],[Insurance Category Code]],4,AN_TME23[[#All],[Advanced Network/Insurance Carrier Org ID]],B87)/S87)</f>
        <v>NA</v>
      </c>
      <c r="V87" s="109" t="str">
        <f>IF(S87=0,"NA",SUMIFS(AN_TME23[[#All],[Claims: Professional, Primary Care]],AN_TME23[[#All],[Insurance Category Code]],4,AN_TME23[[#All],[Advanced Network/Insurance Carrier Org ID]],B87)/S87)</f>
        <v>NA</v>
      </c>
      <c r="W87" s="109" t="str">
        <f>IF(S87=0,"NA",SUMIFS(AN_TME23[[#All],[Claims: Professional, Primary Care (for Monitoring Purposes)]],AN_TME23[[#All],[Insurance Category Code]],4,AN_TME23[[#All],[Advanced Network/Insurance Carrier Org ID]],B87)/S87)</f>
        <v>NA</v>
      </c>
      <c r="X87" s="109" t="str">
        <f>IF(S87=0,"NA",SUMIFS(AN_TME23[[#All],[Claims: Professional, Specialty]],AN_TME23[[#All],[Insurance Category Code]],4,AN_TME23[[#All],[Advanced Network/Insurance Carrier Org ID]],B87)/S87)</f>
        <v>NA</v>
      </c>
      <c r="Y87" s="109" t="str">
        <f>IF(S87=0,"NA",SUMIFS(AN_TME23[[#All],[Claims: Professional Other]],AN_TME23[[#All],[Insurance Category Code]],4,AN_TME23[[#All],[Advanced Network/Insurance Carrier Org ID]],B87)/S87)</f>
        <v>NA</v>
      </c>
      <c r="Z87" s="109" t="str">
        <f>IF(S87=0,"NA",SUMIFS(AN_TME23[[#All],[Claims: Pharmacy]],AN_TME23[[#All],[Insurance Category Code]],4,AN_TME23[[#All],[Advanced Network/Insurance Carrier Org ID]],B87)/S87)</f>
        <v>NA</v>
      </c>
      <c r="AA87" s="109" t="str">
        <f>IF(S87=0,"NA",SUMIFS(AN_TME23[[#All],[Claims: Long-Term Care]],AN_TME23[[#All],[Insurance Category Code]],4,AN_TME23[[#All],[Advanced Network/Insurance Carrier Org ID]],B87)/S87)</f>
        <v>NA</v>
      </c>
      <c r="AB87" s="109" t="str">
        <f>IF(S87=0,"NA",SUMIFS(AN_TME23[[#All],[Claims: Other]],AN_TME23[[#All],[Insurance Category Code]],4,AN_TME23[[#All],[Advanced Network/Insurance Carrier Org ID]],B87)/S87)</f>
        <v>NA</v>
      </c>
      <c r="AC87" s="165" t="str">
        <f>IF(S87=0,"NA",SUMIFS(AN_TME23[[#All],[TOTAL Non-Truncated Unadjusted Claims Expenses]],AN_TME23[[#All],[Insurance Category Code]],4,AN_TME23[[#All],[Advanced Network/Insurance Carrier Org ID]],B87)/S87)</f>
        <v>NA</v>
      </c>
      <c r="AD87" s="165" t="str">
        <f>IF(S87=0,"NA",SUMIFS(AN_TME23[[#All],[TOTAL Truncated Unadjusted Claims Expenses (A21 -A19)]],AN_TME23[[#All],[Insurance Category Code]],4,AN_TME23[[#All],[Advanced Network/Insurance Carrier Org ID]],B87)/S87)</f>
        <v>NA</v>
      </c>
      <c r="AE87" s="165" t="str">
        <f>IF(S87=0,"NA",SUMIFS(AN_TME23[[#All],[TOTAL Non-Claims Expenses]],AN_TME23[[#All],[Insurance Category Code]],4,AN_TME23[[#All],[Advanced Network/Insurance Carrier Org ID]],B87)/S87)</f>
        <v>NA</v>
      </c>
      <c r="AF87" s="165" t="str">
        <f>IF(S87=0,"NA",SUMIFS(AN_TME23[[#All],[TOTAL Non-Truncated Unadjusted Expenses (A21 + A23)]],AN_TME23[[#All],[Insurance Category Code]],4,AN_TME23[[#All],[Advanced Network/Insurance Carrier Org ID]],B87)/S87)</f>
        <v>NA</v>
      </c>
      <c r="AG87" s="156" t="str">
        <f>IF(S87=0,"NA",SUMIFS(AN_TME23[[#All],[TOTAL Truncated Unadjusted Expenses (A22 + A23)]],AN_TME23[[#All],[Insurance Category Code]],4,AN_TME23[[#All],[Advanced Network/Insurance Carrier Org ID]],B87)/S87)</f>
        <v>NA</v>
      </c>
      <c r="AH87" s="478" t="str">
        <f t="shared" si="122"/>
        <v>NA</v>
      </c>
      <c r="AI87" s="479" t="str">
        <f t="shared" si="123"/>
        <v>NA</v>
      </c>
      <c r="AJ87" s="480" t="str">
        <f t="shared" si="124"/>
        <v>NA</v>
      </c>
      <c r="AK87" s="480" t="str">
        <f t="shared" si="125"/>
        <v>NA</v>
      </c>
      <c r="AL87" s="480" t="str">
        <f t="shared" si="126"/>
        <v>NA</v>
      </c>
      <c r="AM87" s="480" t="str">
        <f t="shared" si="127"/>
        <v>NA</v>
      </c>
      <c r="AN87" s="480" t="str">
        <f t="shared" si="128"/>
        <v>NA</v>
      </c>
      <c r="AO87" s="480" t="str">
        <f t="shared" si="129"/>
        <v>NA</v>
      </c>
      <c r="AP87" s="480" t="str">
        <f t="shared" si="130"/>
        <v>NA</v>
      </c>
      <c r="AQ87" s="480" t="str">
        <f t="shared" si="131"/>
        <v>NA</v>
      </c>
      <c r="AR87" s="481" t="str">
        <f t="shared" si="132"/>
        <v>NA</v>
      </c>
      <c r="AS87" s="481" t="str">
        <f t="shared" si="133"/>
        <v>NA</v>
      </c>
      <c r="AT87" s="481" t="str">
        <f t="shared" si="134"/>
        <v>NA</v>
      </c>
      <c r="AU87" s="481" t="str">
        <f t="shared" si="135"/>
        <v>NA</v>
      </c>
      <c r="AV87" s="482" t="str">
        <f t="shared" si="136"/>
        <v>NA</v>
      </c>
    </row>
    <row r="88" spans="1:48" ht="15" customHeight="1" x14ac:dyDescent="0.25">
      <c r="A88" s="164"/>
      <c r="B88" s="166">
        <v>105</v>
      </c>
      <c r="C88" s="169" t="str">
        <f>_xlfn.XLOOKUP(B88, LgProvEntOrgIDs[Advanced Network/Insurer Carrier Org ID], LgProvEntOrgIDs[Advanced Network/Insurance Carrier Overall])</f>
        <v>NA</v>
      </c>
      <c r="D88" s="507">
        <f>SUMIFS(AN_TME22[[#All],[Member Months]],AN_TME22[[#All],[Insurance Category Code]],4,AN_TME22[[#All],[Advanced Network/Insurance Carrier Org ID]],B88)</f>
        <v>0</v>
      </c>
      <c r="E88" s="155" t="str">
        <f>IF(D88=0,"NA",SUMIFS(AN_TME22[[#All],[Claims: Hospital Inpatient]],AN_TME22[[#All],[Insurance Category Code]],4,AN_TME22[[#All],[Advanced Network/Insurance Carrier Org ID]],B88)/D88)</f>
        <v>NA</v>
      </c>
      <c r="F88" s="109" t="str">
        <f>IF(D88=0,"NA",SUMIFS(AN_TME22[[#All],[Claims: Hospital Outpatient]],AN_TME22[[#All],[Insurance Category Code]],4,AN_TME22[[#All],[Advanced Network/Insurance Carrier Org ID]],B88)/D88)</f>
        <v>NA</v>
      </c>
      <c r="G88" s="109" t="str">
        <f>IF(D88=0,"NA",SUMIFS(AN_TME22[[#All],[Claims: Professional, Primary Care]],AN_TME22[[#All],[Insurance Category Code]],4,AN_TME22[[#All],[Advanced Network/Insurance Carrier Org ID]],B88)/D88)</f>
        <v>NA</v>
      </c>
      <c r="H88" s="109" t="str">
        <f>IF(D88=0,"NA",SUMIFS(AN_TME22[[#All],[Claims: Professional, Primary Care (for Monitoring Purposes)]],AN_TME22[[#All],[Insurance Category Code]],4,AN_TME22[[#All],[Advanced Network/Insurance Carrier Org ID]],B88)/D88)</f>
        <v>NA</v>
      </c>
      <c r="I88" s="109" t="str">
        <f>IF(D88=0,"NA",SUMIFS(AN_TME22[[#All],[Claims: Professional, Specialty]],AN_TME22[[#All],[Insurance Category Code]],4,AN_TME22[[#All],[Advanced Network/Insurance Carrier Org ID]],B88)/D88)</f>
        <v>NA</v>
      </c>
      <c r="J88" s="109" t="str">
        <f>IF(D88=0,"NA",SUMIFS(AN_TME22[[#All],[Claims: Professional Other]],AN_TME22[[#All],[Insurance Category Code]],4,AN_TME22[[#All],[Advanced Network/Insurance Carrier Org ID]],B88)/D88)</f>
        <v>NA</v>
      </c>
      <c r="K88" s="109" t="str">
        <f>IF(D88=0,"NA",SUMIFS(AN_TME22[[#All],[Claims: Pharmacy]],AN_TME22[[#All],[Insurance Category Code]],4,AN_TME22[[#All],[Advanced Network/Insurance Carrier Org ID]],B88)/D88)</f>
        <v>NA</v>
      </c>
      <c r="L88" s="109" t="str">
        <f>IF(D88=0,"NA",SUMIFS(AN_TME22[[#All],[Claims: Long-Term Care]],AN_TME22[[#All],[Insurance Category Code]],4,AN_TME22[[#All],[Advanced Network/Insurance Carrier Org ID]],B88)/D88)</f>
        <v>NA</v>
      </c>
      <c r="M88" s="109" t="str">
        <f>IF(D88=0,"NA",SUMIFS(AN_TME22[[#All],[Claims: Other]],AN_TME22[[#All],[Insurance Category Code]],4,AN_TME22[[#All],[Advanced Network/Insurance Carrier Org ID]],B88)/D88)</f>
        <v>NA</v>
      </c>
      <c r="N88" s="165" t="str">
        <f>IF(D88=0,"NA",SUMIFS(AN_TME22[[#All],[TOTAL Non-Truncated Unadjusted Claims Expenses]],AN_TME22[[#All],[Insurance Category Code]],4,AN_TME22[[#All],[Advanced Network/Insurance Carrier Org ID]],B88)/D88)</f>
        <v>NA</v>
      </c>
      <c r="O88" s="165" t="str">
        <f>IF(D88=0,"NA",SUMIFS(AN_TME22[[#All],[TOTAL Truncated Unadjusted Claims Expenses (A21 -A19)]],AN_TME22[[#All],[Insurance Category Code]],4,AN_TME22[[#All],[Advanced Network/Insurance Carrier Org ID]],B88)/D88)</f>
        <v>NA</v>
      </c>
      <c r="P88" s="165" t="str">
        <f>IF(D88=0,"NA",SUMIFS(AN_TME22[[#All],[TOTAL Non-Claims Expenses]],AN_TME22[[#All],[Insurance Category Code]],4,AN_TME22[[#All],[Advanced Network/Insurance Carrier Org ID]],B88)/D88)</f>
        <v>NA</v>
      </c>
      <c r="Q88" s="165" t="str">
        <f>IF(D88=0,"NA",SUMIFS(AN_TME22[[#All],[TOTAL Non-Truncated Unadjusted Expenses (A21 + A23)]],AN_TME22[[#All],[Insurance Category Code]],4,AN_TME22[[#All],[Advanced Network/Insurance Carrier Org ID]],B88)/D88)</f>
        <v>NA</v>
      </c>
      <c r="R88" s="165" t="str">
        <f>IF(D88=0,"NA",SUMIFS(AN_TME22[[#All],[TOTAL Truncated Unadjusted Expenses (A22 + A23)]],AN_TME22[[#All],[Insurance Category Code]],4,AN_TME22[[#All],[Advanced Network/Insurance Carrier Org ID]],B88)/D88)</f>
        <v>NA</v>
      </c>
      <c r="S88" s="507">
        <f>SUMIFS(AN_TME23[[#All],[Member Months]],AN_TME23[[#All],[Insurance Category Code]],4,AN_TME23[[#All],[Advanced Network/Insurance Carrier Org ID]],B88)</f>
        <v>0</v>
      </c>
      <c r="T88" s="155" t="str">
        <f>IF(S88=0,"NA",SUMIFS(AN_TME23[[#All],[Claims: Hospital Inpatient]],AN_TME23[[#All],[Insurance Category Code]],4,AN_TME23[[#All],[Advanced Network/Insurance Carrier Org ID]],B88)/S88)</f>
        <v>NA</v>
      </c>
      <c r="U88" s="109" t="str">
        <f>IF(S88=0,"NA",SUMIFS(AN_TME23[[#All],[Claims: Hospital Outpatient]],AN_TME23[[#All],[Insurance Category Code]],4,AN_TME23[[#All],[Advanced Network/Insurance Carrier Org ID]],B88)/S88)</f>
        <v>NA</v>
      </c>
      <c r="V88" s="109" t="str">
        <f>IF(S88=0,"NA",SUMIFS(AN_TME23[[#All],[Claims: Professional, Primary Care]],AN_TME23[[#All],[Insurance Category Code]],4,AN_TME23[[#All],[Advanced Network/Insurance Carrier Org ID]],B88)/S88)</f>
        <v>NA</v>
      </c>
      <c r="W88" s="109" t="str">
        <f>IF(S88=0,"NA",SUMIFS(AN_TME23[[#All],[Claims: Professional, Primary Care (for Monitoring Purposes)]],AN_TME23[[#All],[Insurance Category Code]],4,AN_TME23[[#All],[Advanced Network/Insurance Carrier Org ID]],B88)/S88)</f>
        <v>NA</v>
      </c>
      <c r="X88" s="109" t="str">
        <f>IF(S88=0,"NA",SUMIFS(AN_TME23[[#All],[Claims: Professional, Specialty]],AN_TME23[[#All],[Insurance Category Code]],4,AN_TME23[[#All],[Advanced Network/Insurance Carrier Org ID]],B88)/S88)</f>
        <v>NA</v>
      </c>
      <c r="Y88" s="109" t="str">
        <f>IF(S88=0,"NA",SUMIFS(AN_TME23[[#All],[Claims: Professional Other]],AN_TME23[[#All],[Insurance Category Code]],4,AN_TME23[[#All],[Advanced Network/Insurance Carrier Org ID]],B88)/S88)</f>
        <v>NA</v>
      </c>
      <c r="Z88" s="109" t="str">
        <f>IF(S88=0,"NA",SUMIFS(AN_TME23[[#All],[Claims: Pharmacy]],AN_TME23[[#All],[Insurance Category Code]],4,AN_TME23[[#All],[Advanced Network/Insurance Carrier Org ID]],B88)/S88)</f>
        <v>NA</v>
      </c>
      <c r="AA88" s="109" t="str">
        <f>IF(S88=0,"NA",SUMIFS(AN_TME23[[#All],[Claims: Long-Term Care]],AN_TME23[[#All],[Insurance Category Code]],4,AN_TME23[[#All],[Advanced Network/Insurance Carrier Org ID]],B88)/S88)</f>
        <v>NA</v>
      </c>
      <c r="AB88" s="109" t="str">
        <f>IF(S88=0,"NA",SUMIFS(AN_TME23[[#All],[Claims: Other]],AN_TME23[[#All],[Insurance Category Code]],4,AN_TME23[[#All],[Advanced Network/Insurance Carrier Org ID]],B88)/S88)</f>
        <v>NA</v>
      </c>
      <c r="AC88" s="165" t="str">
        <f>IF(S88=0,"NA",SUMIFS(AN_TME23[[#All],[TOTAL Non-Truncated Unadjusted Claims Expenses]],AN_TME23[[#All],[Insurance Category Code]],4,AN_TME23[[#All],[Advanced Network/Insurance Carrier Org ID]],B88)/S88)</f>
        <v>NA</v>
      </c>
      <c r="AD88" s="165" t="str">
        <f>IF(S88=0,"NA",SUMIFS(AN_TME23[[#All],[TOTAL Truncated Unadjusted Claims Expenses (A21 -A19)]],AN_TME23[[#All],[Insurance Category Code]],4,AN_TME23[[#All],[Advanced Network/Insurance Carrier Org ID]],B88)/S88)</f>
        <v>NA</v>
      </c>
      <c r="AE88" s="165" t="str">
        <f>IF(S88=0,"NA",SUMIFS(AN_TME23[[#All],[TOTAL Non-Claims Expenses]],AN_TME23[[#All],[Insurance Category Code]],4,AN_TME23[[#All],[Advanced Network/Insurance Carrier Org ID]],B88)/S88)</f>
        <v>NA</v>
      </c>
      <c r="AF88" s="165" t="str">
        <f>IF(S88=0,"NA",SUMIFS(AN_TME23[[#All],[TOTAL Non-Truncated Unadjusted Expenses (A21 + A23)]],AN_TME23[[#All],[Insurance Category Code]],4,AN_TME23[[#All],[Advanced Network/Insurance Carrier Org ID]],B88)/S88)</f>
        <v>NA</v>
      </c>
      <c r="AG88" s="156" t="str">
        <f>IF(S88=0,"NA",SUMIFS(AN_TME23[[#All],[TOTAL Truncated Unadjusted Expenses (A22 + A23)]],AN_TME23[[#All],[Insurance Category Code]],4,AN_TME23[[#All],[Advanced Network/Insurance Carrier Org ID]],B88)/S88)</f>
        <v>NA</v>
      </c>
      <c r="AH88" s="478" t="str">
        <f t="shared" si="122"/>
        <v>NA</v>
      </c>
      <c r="AI88" s="479" t="str">
        <f t="shared" si="123"/>
        <v>NA</v>
      </c>
      <c r="AJ88" s="480" t="str">
        <f t="shared" si="124"/>
        <v>NA</v>
      </c>
      <c r="AK88" s="480" t="str">
        <f t="shared" si="125"/>
        <v>NA</v>
      </c>
      <c r="AL88" s="480" t="str">
        <f t="shared" si="126"/>
        <v>NA</v>
      </c>
      <c r="AM88" s="480" t="str">
        <f t="shared" si="127"/>
        <v>NA</v>
      </c>
      <c r="AN88" s="480" t="str">
        <f t="shared" si="128"/>
        <v>NA</v>
      </c>
      <c r="AO88" s="480" t="str">
        <f t="shared" si="129"/>
        <v>NA</v>
      </c>
      <c r="AP88" s="480" t="str">
        <f t="shared" si="130"/>
        <v>NA</v>
      </c>
      <c r="AQ88" s="480" t="str">
        <f t="shared" si="131"/>
        <v>NA</v>
      </c>
      <c r="AR88" s="481" t="str">
        <f t="shared" si="132"/>
        <v>NA</v>
      </c>
      <c r="AS88" s="481" t="str">
        <f t="shared" si="133"/>
        <v>NA</v>
      </c>
      <c r="AT88" s="481" t="str">
        <f t="shared" si="134"/>
        <v>NA</v>
      </c>
      <c r="AU88" s="481" t="str">
        <f t="shared" si="135"/>
        <v>NA</v>
      </c>
      <c r="AV88" s="482" t="str">
        <f t="shared" si="136"/>
        <v>NA</v>
      </c>
    </row>
    <row r="89" spans="1:48" ht="15" customHeight="1" x14ac:dyDescent="0.25">
      <c r="A89" s="164"/>
      <c r="B89" s="166">
        <v>106</v>
      </c>
      <c r="C89" s="169" t="str">
        <f>_xlfn.XLOOKUP(B89, LgProvEntOrgIDs[Advanced Network/Insurer Carrier Org ID], LgProvEntOrgIDs[Advanced Network/Insurance Carrier Overall])</f>
        <v>Northeast Medical Group</v>
      </c>
      <c r="D89" s="507">
        <f>SUMIFS(AN_TME22[[#All],[Member Months]],AN_TME22[[#All],[Insurance Category Code]],4,AN_TME22[[#All],[Advanced Network/Insurance Carrier Org ID]],B89)</f>
        <v>0</v>
      </c>
      <c r="E89" s="155" t="str">
        <f>IF(D89=0,"NA",SUMIFS(AN_TME22[[#All],[Claims: Hospital Inpatient]],AN_TME22[[#All],[Insurance Category Code]],4,AN_TME22[[#All],[Advanced Network/Insurance Carrier Org ID]],B89)/D89)</f>
        <v>NA</v>
      </c>
      <c r="F89" s="109" t="str">
        <f>IF(D89=0,"NA",SUMIFS(AN_TME22[[#All],[Claims: Hospital Outpatient]],AN_TME22[[#All],[Insurance Category Code]],4,AN_TME22[[#All],[Advanced Network/Insurance Carrier Org ID]],B89)/D89)</f>
        <v>NA</v>
      </c>
      <c r="G89" s="109" t="str">
        <f>IF(D89=0,"NA",SUMIFS(AN_TME22[[#All],[Claims: Professional, Primary Care]],AN_TME22[[#All],[Insurance Category Code]],4,AN_TME22[[#All],[Advanced Network/Insurance Carrier Org ID]],B89)/D89)</f>
        <v>NA</v>
      </c>
      <c r="H89" s="109" t="str">
        <f>IF(D89=0,"NA",SUMIFS(AN_TME22[[#All],[Claims: Professional, Primary Care (for Monitoring Purposes)]],AN_TME22[[#All],[Insurance Category Code]],4,AN_TME22[[#All],[Advanced Network/Insurance Carrier Org ID]],B89)/D89)</f>
        <v>NA</v>
      </c>
      <c r="I89" s="109" t="str">
        <f>IF(D89=0,"NA",SUMIFS(AN_TME22[[#All],[Claims: Professional, Specialty]],AN_TME22[[#All],[Insurance Category Code]],4,AN_TME22[[#All],[Advanced Network/Insurance Carrier Org ID]],B89)/D89)</f>
        <v>NA</v>
      </c>
      <c r="J89" s="109" t="str">
        <f>IF(D89=0,"NA",SUMIFS(AN_TME22[[#All],[Claims: Professional Other]],AN_TME22[[#All],[Insurance Category Code]],4,AN_TME22[[#All],[Advanced Network/Insurance Carrier Org ID]],B89)/D89)</f>
        <v>NA</v>
      </c>
      <c r="K89" s="109" t="str">
        <f>IF(D89=0,"NA",SUMIFS(AN_TME22[[#All],[Claims: Pharmacy]],AN_TME22[[#All],[Insurance Category Code]],4,AN_TME22[[#All],[Advanced Network/Insurance Carrier Org ID]],B89)/D89)</f>
        <v>NA</v>
      </c>
      <c r="L89" s="109" t="str">
        <f>IF(D89=0,"NA",SUMIFS(AN_TME22[[#All],[Claims: Long-Term Care]],AN_TME22[[#All],[Insurance Category Code]],4,AN_TME22[[#All],[Advanced Network/Insurance Carrier Org ID]],B89)/D89)</f>
        <v>NA</v>
      </c>
      <c r="M89" s="109" t="str">
        <f>IF(D89=0,"NA",SUMIFS(AN_TME22[[#All],[Claims: Other]],AN_TME22[[#All],[Insurance Category Code]],4,AN_TME22[[#All],[Advanced Network/Insurance Carrier Org ID]],B89)/D89)</f>
        <v>NA</v>
      </c>
      <c r="N89" s="165" t="str">
        <f>IF(D89=0,"NA",SUMIFS(AN_TME22[[#All],[TOTAL Non-Truncated Unadjusted Claims Expenses]],AN_TME22[[#All],[Insurance Category Code]],4,AN_TME22[[#All],[Advanced Network/Insurance Carrier Org ID]],B89)/D89)</f>
        <v>NA</v>
      </c>
      <c r="O89" s="165" t="str">
        <f>IF(D89=0,"NA",SUMIFS(AN_TME22[[#All],[TOTAL Truncated Unadjusted Claims Expenses (A21 -A19)]],AN_TME22[[#All],[Insurance Category Code]],4,AN_TME22[[#All],[Advanced Network/Insurance Carrier Org ID]],B89)/D89)</f>
        <v>NA</v>
      </c>
      <c r="P89" s="165" t="str">
        <f>IF(D89=0,"NA",SUMIFS(AN_TME22[[#All],[TOTAL Non-Claims Expenses]],AN_TME22[[#All],[Insurance Category Code]],4,AN_TME22[[#All],[Advanced Network/Insurance Carrier Org ID]],B89)/D89)</f>
        <v>NA</v>
      </c>
      <c r="Q89" s="165" t="str">
        <f>IF(D89=0,"NA",SUMIFS(AN_TME22[[#All],[TOTAL Non-Truncated Unadjusted Expenses (A21 + A23)]],AN_TME22[[#All],[Insurance Category Code]],4,AN_TME22[[#All],[Advanced Network/Insurance Carrier Org ID]],B89)/D89)</f>
        <v>NA</v>
      </c>
      <c r="R89" s="165" t="str">
        <f>IF(D89=0,"NA",SUMIFS(AN_TME22[[#All],[TOTAL Truncated Unadjusted Expenses (A22 + A23)]],AN_TME22[[#All],[Insurance Category Code]],4,AN_TME22[[#All],[Advanced Network/Insurance Carrier Org ID]],B89)/D89)</f>
        <v>NA</v>
      </c>
      <c r="S89" s="507">
        <f>SUMIFS(AN_TME23[[#All],[Member Months]],AN_TME23[[#All],[Insurance Category Code]],4,AN_TME23[[#All],[Advanced Network/Insurance Carrier Org ID]],B89)</f>
        <v>0</v>
      </c>
      <c r="T89" s="155" t="str">
        <f>IF(S89=0,"NA",SUMIFS(AN_TME23[[#All],[Claims: Hospital Inpatient]],AN_TME23[[#All],[Insurance Category Code]],4,AN_TME23[[#All],[Advanced Network/Insurance Carrier Org ID]],B89)/S89)</f>
        <v>NA</v>
      </c>
      <c r="U89" s="109" t="str">
        <f>IF(S89=0,"NA",SUMIFS(AN_TME23[[#All],[Claims: Hospital Outpatient]],AN_TME23[[#All],[Insurance Category Code]],4,AN_TME23[[#All],[Advanced Network/Insurance Carrier Org ID]],B89)/S89)</f>
        <v>NA</v>
      </c>
      <c r="V89" s="109" t="str">
        <f>IF(S89=0,"NA",SUMIFS(AN_TME23[[#All],[Claims: Professional, Primary Care]],AN_TME23[[#All],[Insurance Category Code]],4,AN_TME23[[#All],[Advanced Network/Insurance Carrier Org ID]],B89)/S89)</f>
        <v>NA</v>
      </c>
      <c r="W89" s="109" t="str">
        <f>IF(S89=0,"NA",SUMIFS(AN_TME23[[#All],[Claims: Professional, Primary Care (for Monitoring Purposes)]],AN_TME23[[#All],[Insurance Category Code]],4,AN_TME23[[#All],[Advanced Network/Insurance Carrier Org ID]],B89)/S89)</f>
        <v>NA</v>
      </c>
      <c r="X89" s="109" t="str">
        <f>IF(S89=0,"NA",SUMIFS(AN_TME23[[#All],[Claims: Professional, Specialty]],AN_TME23[[#All],[Insurance Category Code]],4,AN_TME23[[#All],[Advanced Network/Insurance Carrier Org ID]],B89)/S89)</f>
        <v>NA</v>
      </c>
      <c r="Y89" s="109" t="str">
        <f>IF(S89=0,"NA",SUMIFS(AN_TME23[[#All],[Claims: Professional Other]],AN_TME23[[#All],[Insurance Category Code]],4,AN_TME23[[#All],[Advanced Network/Insurance Carrier Org ID]],B89)/S89)</f>
        <v>NA</v>
      </c>
      <c r="Z89" s="109" t="str">
        <f>IF(S89=0,"NA",SUMIFS(AN_TME23[[#All],[Claims: Pharmacy]],AN_TME23[[#All],[Insurance Category Code]],4,AN_TME23[[#All],[Advanced Network/Insurance Carrier Org ID]],B89)/S89)</f>
        <v>NA</v>
      </c>
      <c r="AA89" s="109" t="str">
        <f>IF(S89=0,"NA",SUMIFS(AN_TME23[[#All],[Claims: Long-Term Care]],AN_TME23[[#All],[Insurance Category Code]],4,AN_TME23[[#All],[Advanced Network/Insurance Carrier Org ID]],B89)/S89)</f>
        <v>NA</v>
      </c>
      <c r="AB89" s="109" t="str">
        <f>IF(S89=0,"NA",SUMIFS(AN_TME23[[#All],[Claims: Other]],AN_TME23[[#All],[Insurance Category Code]],4,AN_TME23[[#All],[Advanced Network/Insurance Carrier Org ID]],B89)/S89)</f>
        <v>NA</v>
      </c>
      <c r="AC89" s="165" t="str">
        <f>IF(S89=0,"NA",SUMIFS(AN_TME23[[#All],[TOTAL Non-Truncated Unadjusted Claims Expenses]],AN_TME23[[#All],[Insurance Category Code]],4,AN_TME23[[#All],[Advanced Network/Insurance Carrier Org ID]],B89)/S89)</f>
        <v>NA</v>
      </c>
      <c r="AD89" s="165" t="str">
        <f>IF(S89=0,"NA",SUMIFS(AN_TME23[[#All],[TOTAL Truncated Unadjusted Claims Expenses (A21 -A19)]],AN_TME23[[#All],[Insurance Category Code]],4,AN_TME23[[#All],[Advanced Network/Insurance Carrier Org ID]],B89)/S89)</f>
        <v>NA</v>
      </c>
      <c r="AE89" s="165" t="str">
        <f>IF(S89=0,"NA",SUMIFS(AN_TME23[[#All],[TOTAL Non-Claims Expenses]],AN_TME23[[#All],[Insurance Category Code]],4,AN_TME23[[#All],[Advanced Network/Insurance Carrier Org ID]],B89)/S89)</f>
        <v>NA</v>
      </c>
      <c r="AF89" s="165" t="str">
        <f>IF(S89=0,"NA",SUMIFS(AN_TME23[[#All],[TOTAL Non-Truncated Unadjusted Expenses (A21 + A23)]],AN_TME23[[#All],[Insurance Category Code]],4,AN_TME23[[#All],[Advanced Network/Insurance Carrier Org ID]],B89)/S89)</f>
        <v>NA</v>
      </c>
      <c r="AG89" s="156" t="str">
        <f>IF(S89=0,"NA",SUMIFS(AN_TME23[[#All],[TOTAL Truncated Unadjusted Expenses (A22 + A23)]],AN_TME23[[#All],[Insurance Category Code]],4,AN_TME23[[#All],[Advanced Network/Insurance Carrier Org ID]],B89)/S89)</f>
        <v>NA</v>
      </c>
      <c r="AH89" s="478" t="str">
        <f t="shared" si="122"/>
        <v>NA</v>
      </c>
      <c r="AI89" s="479" t="str">
        <f t="shared" si="123"/>
        <v>NA</v>
      </c>
      <c r="AJ89" s="480" t="str">
        <f t="shared" si="124"/>
        <v>NA</v>
      </c>
      <c r="AK89" s="480" t="str">
        <f t="shared" si="125"/>
        <v>NA</v>
      </c>
      <c r="AL89" s="480" t="str">
        <f t="shared" si="126"/>
        <v>NA</v>
      </c>
      <c r="AM89" s="480" t="str">
        <f t="shared" si="127"/>
        <v>NA</v>
      </c>
      <c r="AN89" s="480" t="str">
        <f t="shared" si="128"/>
        <v>NA</v>
      </c>
      <c r="AO89" s="480" t="str">
        <f t="shared" si="129"/>
        <v>NA</v>
      </c>
      <c r="AP89" s="480" t="str">
        <f t="shared" si="130"/>
        <v>NA</v>
      </c>
      <c r="AQ89" s="480" t="str">
        <f t="shared" si="131"/>
        <v>NA</v>
      </c>
      <c r="AR89" s="481" t="str">
        <f t="shared" si="132"/>
        <v>NA</v>
      </c>
      <c r="AS89" s="481" t="str">
        <f t="shared" si="133"/>
        <v>NA</v>
      </c>
      <c r="AT89" s="481" t="str">
        <f t="shared" si="134"/>
        <v>NA</v>
      </c>
      <c r="AU89" s="481" t="str">
        <f t="shared" si="135"/>
        <v>NA</v>
      </c>
      <c r="AV89" s="482" t="str">
        <f t="shared" si="136"/>
        <v>NA</v>
      </c>
    </row>
    <row r="90" spans="1:48" ht="15" customHeight="1" x14ac:dyDescent="0.25">
      <c r="A90" s="164"/>
      <c r="B90" s="166">
        <v>107</v>
      </c>
      <c r="C90" s="169" t="str">
        <f>_xlfn.XLOOKUP(B90, LgProvEntOrgIDs[Advanced Network/Insurer Carrier Org ID], LgProvEntOrgIDs[Advanced Network/Insurance Carrier Overall])</f>
        <v>OptumCare Network of Connecticut (including ProHealth)</v>
      </c>
      <c r="D90" s="507">
        <f>SUMIFS(AN_TME22[[#All],[Member Months]],AN_TME22[[#All],[Insurance Category Code]],4,AN_TME22[[#All],[Advanced Network/Insurance Carrier Org ID]],B90)</f>
        <v>0</v>
      </c>
      <c r="E90" s="155" t="str">
        <f>IF(D90=0,"NA",SUMIFS(AN_TME22[[#All],[Claims: Hospital Inpatient]],AN_TME22[[#All],[Insurance Category Code]],4,AN_TME22[[#All],[Advanced Network/Insurance Carrier Org ID]],B90)/D90)</f>
        <v>NA</v>
      </c>
      <c r="F90" s="109" t="str">
        <f>IF(D90=0,"NA",SUMIFS(AN_TME22[[#All],[Claims: Hospital Outpatient]],AN_TME22[[#All],[Insurance Category Code]],4,AN_TME22[[#All],[Advanced Network/Insurance Carrier Org ID]],B90)/D90)</f>
        <v>NA</v>
      </c>
      <c r="G90" s="109" t="str">
        <f>IF(D90=0,"NA",SUMIFS(AN_TME22[[#All],[Claims: Professional, Primary Care]],AN_TME22[[#All],[Insurance Category Code]],4,AN_TME22[[#All],[Advanced Network/Insurance Carrier Org ID]],B90)/D90)</f>
        <v>NA</v>
      </c>
      <c r="H90" s="109" t="str">
        <f>IF(D90=0,"NA",SUMIFS(AN_TME22[[#All],[Claims: Professional, Primary Care (for Monitoring Purposes)]],AN_TME22[[#All],[Insurance Category Code]],4,AN_TME22[[#All],[Advanced Network/Insurance Carrier Org ID]],B90)/D90)</f>
        <v>NA</v>
      </c>
      <c r="I90" s="109" t="str">
        <f>IF(D90=0,"NA",SUMIFS(AN_TME22[[#All],[Claims: Professional, Specialty]],AN_TME22[[#All],[Insurance Category Code]],4,AN_TME22[[#All],[Advanced Network/Insurance Carrier Org ID]],B90)/D90)</f>
        <v>NA</v>
      </c>
      <c r="J90" s="109" t="str">
        <f>IF(D90=0,"NA",SUMIFS(AN_TME22[[#All],[Claims: Professional Other]],AN_TME22[[#All],[Insurance Category Code]],4,AN_TME22[[#All],[Advanced Network/Insurance Carrier Org ID]],B90)/D90)</f>
        <v>NA</v>
      </c>
      <c r="K90" s="109" t="str">
        <f>IF(D90=0,"NA",SUMIFS(AN_TME22[[#All],[Claims: Pharmacy]],AN_TME22[[#All],[Insurance Category Code]],4,AN_TME22[[#All],[Advanced Network/Insurance Carrier Org ID]],B90)/D90)</f>
        <v>NA</v>
      </c>
      <c r="L90" s="109" t="str">
        <f>IF(D90=0,"NA",SUMIFS(AN_TME22[[#All],[Claims: Long-Term Care]],AN_TME22[[#All],[Insurance Category Code]],4,AN_TME22[[#All],[Advanced Network/Insurance Carrier Org ID]],B90)/D90)</f>
        <v>NA</v>
      </c>
      <c r="M90" s="109" t="str">
        <f>IF(D90=0,"NA",SUMIFS(AN_TME22[[#All],[Claims: Other]],AN_TME22[[#All],[Insurance Category Code]],4,AN_TME22[[#All],[Advanced Network/Insurance Carrier Org ID]],B90)/D90)</f>
        <v>NA</v>
      </c>
      <c r="N90" s="165" t="str">
        <f>IF(D90=0,"NA",SUMIFS(AN_TME22[[#All],[TOTAL Non-Truncated Unadjusted Claims Expenses]],AN_TME22[[#All],[Insurance Category Code]],4,AN_TME22[[#All],[Advanced Network/Insurance Carrier Org ID]],B90)/D90)</f>
        <v>NA</v>
      </c>
      <c r="O90" s="165" t="str">
        <f>IF(D90=0,"NA",SUMIFS(AN_TME22[[#All],[TOTAL Truncated Unadjusted Claims Expenses (A21 -A19)]],AN_TME22[[#All],[Insurance Category Code]],4,AN_TME22[[#All],[Advanced Network/Insurance Carrier Org ID]],B90)/D90)</f>
        <v>NA</v>
      </c>
      <c r="P90" s="165" t="str">
        <f>IF(D90=0,"NA",SUMIFS(AN_TME22[[#All],[TOTAL Non-Claims Expenses]],AN_TME22[[#All],[Insurance Category Code]],4,AN_TME22[[#All],[Advanced Network/Insurance Carrier Org ID]],B90)/D90)</f>
        <v>NA</v>
      </c>
      <c r="Q90" s="165" t="str">
        <f>IF(D90=0,"NA",SUMIFS(AN_TME22[[#All],[TOTAL Non-Truncated Unadjusted Expenses (A21 + A23)]],AN_TME22[[#All],[Insurance Category Code]],4,AN_TME22[[#All],[Advanced Network/Insurance Carrier Org ID]],B90)/D90)</f>
        <v>NA</v>
      </c>
      <c r="R90" s="165" t="str">
        <f>IF(D90=0,"NA",SUMIFS(AN_TME22[[#All],[TOTAL Truncated Unadjusted Expenses (A22 + A23)]],AN_TME22[[#All],[Insurance Category Code]],4,AN_TME22[[#All],[Advanced Network/Insurance Carrier Org ID]],B90)/D90)</f>
        <v>NA</v>
      </c>
      <c r="S90" s="507">
        <f>SUMIFS(AN_TME23[[#All],[Member Months]],AN_TME23[[#All],[Insurance Category Code]],4,AN_TME23[[#All],[Advanced Network/Insurance Carrier Org ID]],B90)</f>
        <v>0</v>
      </c>
      <c r="T90" s="155" t="str">
        <f>IF(S90=0,"NA",SUMIFS(AN_TME23[[#All],[Claims: Hospital Inpatient]],AN_TME23[[#All],[Insurance Category Code]],4,AN_TME23[[#All],[Advanced Network/Insurance Carrier Org ID]],B90)/S90)</f>
        <v>NA</v>
      </c>
      <c r="U90" s="109" t="str">
        <f>IF(S90=0,"NA",SUMIFS(AN_TME23[[#All],[Claims: Hospital Outpatient]],AN_TME23[[#All],[Insurance Category Code]],4,AN_TME23[[#All],[Advanced Network/Insurance Carrier Org ID]],B90)/S90)</f>
        <v>NA</v>
      </c>
      <c r="V90" s="109" t="str">
        <f>IF(S90=0,"NA",SUMIFS(AN_TME23[[#All],[Claims: Professional, Primary Care]],AN_TME23[[#All],[Insurance Category Code]],4,AN_TME23[[#All],[Advanced Network/Insurance Carrier Org ID]],B90)/S90)</f>
        <v>NA</v>
      </c>
      <c r="W90" s="109" t="str">
        <f>IF(S90=0,"NA",SUMIFS(AN_TME23[[#All],[Claims: Professional, Primary Care (for Monitoring Purposes)]],AN_TME23[[#All],[Insurance Category Code]],4,AN_TME23[[#All],[Advanced Network/Insurance Carrier Org ID]],B90)/S90)</f>
        <v>NA</v>
      </c>
      <c r="X90" s="109" t="str">
        <f>IF(S90=0,"NA",SUMIFS(AN_TME23[[#All],[Claims: Professional, Specialty]],AN_TME23[[#All],[Insurance Category Code]],4,AN_TME23[[#All],[Advanced Network/Insurance Carrier Org ID]],B90)/S90)</f>
        <v>NA</v>
      </c>
      <c r="Y90" s="109" t="str">
        <f>IF(S90=0,"NA",SUMIFS(AN_TME23[[#All],[Claims: Professional Other]],AN_TME23[[#All],[Insurance Category Code]],4,AN_TME23[[#All],[Advanced Network/Insurance Carrier Org ID]],B90)/S90)</f>
        <v>NA</v>
      </c>
      <c r="Z90" s="109" t="str">
        <f>IF(S90=0,"NA",SUMIFS(AN_TME23[[#All],[Claims: Pharmacy]],AN_TME23[[#All],[Insurance Category Code]],4,AN_TME23[[#All],[Advanced Network/Insurance Carrier Org ID]],B90)/S90)</f>
        <v>NA</v>
      </c>
      <c r="AA90" s="109" t="str">
        <f>IF(S90=0,"NA",SUMIFS(AN_TME23[[#All],[Claims: Long-Term Care]],AN_TME23[[#All],[Insurance Category Code]],4,AN_TME23[[#All],[Advanced Network/Insurance Carrier Org ID]],B90)/S90)</f>
        <v>NA</v>
      </c>
      <c r="AB90" s="109" t="str">
        <f>IF(S90=0,"NA",SUMIFS(AN_TME23[[#All],[Claims: Other]],AN_TME23[[#All],[Insurance Category Code]],4,AN_TME23[[#All],[Advanced Network/Insurance Carrier Org ID]],B90)/S90)</f>
        <v>NA</v>
      </c>
      <c r="AC90" s="165" t="str">
        <f>IF(S90=0,"NA",SUMIFS(AN_TME23[[#All],[TOTAL Non-Truncated Unadjusted Claims Expenses]],AN_TME23[[#All],[Insurance Category Code]],4,AN_TME23[[#All],[Advanced Network/Insurance Carrier Org ID]],B90)/S90)</f>
        <v>NA</v>
      </c>
      <c r="AD90" s="165" t="str">
        <f>IF(S90=0,"NA",SUMIFS(AN_TME23[[#All],[TOTAL Truncated Unadjusted Claims Expenses (A21 -A19)]],AN_TME23[[#All],[Insurance Category Code]],4,AN_TME23[[#All],[Advanced Network/Insurance Carrier Org ID]],B90)/S90)</f>
        <v>NA</v>
      </c>
      <c r="AE90" s="165" t="str">
        <f>IF(S90=0,"NA",SUMIFS(AN_TME23[[#All],[TOTAL Non-Claims Expenses]],AN_TME23[[#All],[Insurance Category Code]],4,AN_TME23[[#All],[Advanced Network/Insurance Carrier Org ID]],B90)/S90)</f>
        <v>NA</v>
      </c>
      <c r="AF90" s="165" t="str">
        <f>IF(S90=0,"NA",SUMIFS(AN_TME23[[#All],[TOTAL Non-Truncated Unadjusted Expenses (A21 + A23)]],AN_TME23[[#All],[Insurance Category Code]],4,AN_TME23[[#All],[Advanced Network/Insurance Carrier Org ID]],B90)/S90)</f>
        <v>NA</v>
      </c>
      <c r="AG90" s="156" t="str">
        <f>IF(S90=0,"NA",SUMIFS(AN_TME23[[#All],[TOTAL Truncated Unadjusted Expenses (A22 + A23)]],AN_TME23[[#All],[Insurance Category Code]],4,AN_TME23[[#All],[Advanced Network/Insurance Carrier Org ID]],B90)/S90)</f>
        <v>NA</v>
      </c>
      <c r="AH90" s="478" t="str">
        <f t="shared" si="122"/>
        <v>NA</v>
      </c>
      <c r="AI90" s="479" t="str">
        <f t="shared" si="123"/>
        <v>NA</v>
      </c>
      <c r="AJ90" s="480" t="str">
        <f t="shared" si="124"/>
        <v>NA</v>
      </c>
      <c r="AK90" s="480" t="str">
        <f t="shared" si="125"/>
        <v>NA</v>
      </c>
      <c r="AL90" s="480" t="str">
        <f t="shared" si="126"/>
        <v>NA</v>
      </c>
      <c r="AM90" s="480" t="str">
        <f t="shared" si="127"/>
        <v>NA</v>
      </c>
      <c r="AN90" s="480" t="str">
        <f t="shared" si="128"/>
        <v>NA</v>
      </c>
      <c r="AO90" s="480" t="str">
        <f t="shared" si="129"/>
        <v>NA</v>
      </c>
      <c r="AP90" s="480" t="str">
        <f t="shared" si="130"/>
        <v>NA</v>
      </c>
      <c r="AQ90" s="480" t="str">
        <f t="shared" si="131"/>
        <v>NA</v>
      </c>
      <c r="AR90" s="481" t="str">
        <f t="shared" si="132"/>
        <v>NA</v>
      </c>
      <c r="AS90" s="481" t="str">
        <f t="shared" si="133"/>
        <v>NA</v>
      </c>
      <c r="AT90" s="481" t="str">
        <f t="shared" si="134"/>
        <v>NA</v>
      </c>
      <c r="AU90" s="481" t="str">
        <f t="shared" si="135"/>
        <v>NA</v>
      </c>
      <c r="AV90" s="482" t="str">
        <f t="shared" si="136"/>
        <v>NA</v>
      </c>
    </row>
    <row r="91" spans="1:48" ht="45" customHeight="1" x14ac:dyDescent="0.25">
      <c r="A91" s="164"/>
      <c r="B91" s="166">
        <v>108</v>
      </c>
      <c r="C91" s="169" t="str">
        <f>_xlfn.XLOOKUP(B91, LgProvEntOrgIDs[Advanced Network/Insurer Carrier Org ID], LgProvEntOrgIDs[Advanced Network/Insurance Carrier Overall])</f>
        <v>Prospect Connecticut Medical Foundation Inc. (dba Prospect Medical, Prospect Health Services, Prospect Holdings)</v>
      </c>
      <c r="D91" s="507">
        <f>SUMIFS(AN_TME22[[#All],[Member Months]],AN_TME22[[#All],[Insurance Category Code]],4,AN_TME22[[#All],[Advanced Network/Insurance Carrier Org ID]],B91)</f>
        <v>0</v>
      </c>
      <c r="E91" s="155" t="str">
        <f>IF(D91=0,"NA",SUMIFS(AN_TME22[[#All],[Claims: Hospital Inpatient]],AN_TME22[[#All],[Insurance Category Code]],4,AN_TME22[[#All],[Advanced Network/Insurance Carrier Org ID]],B91)/D91)</f>
        <v>NA</v>
      </c>
      <c r="F91" s="109" t="str">
        <f>IF(D91=0,"NA",SUMIFS(AN_TME22[[#All],[Claims: Hospital Outpatient]],AN_TME22[[#All],[Insurance Category Code]],4,AN_TME22[[#All],[Advanced Network/Insurance Carrier Org ID]],B91)/D91)</f>
        <v>NA</v>
      </c>
      <c r="G91" s="109" t="str">
        <f>IF(D91=0,"NA",SUMIFS(AN_TME22[[#All],[Claims: Professional, Primary Care]],AN_TME22[[#All],[Insurance Category Code]],4,AN_TME22[[#All],[Advanced Network/Insurance Carrier Org ID]],B91)/D91)</f>
        <v>NA</v>
      </c>
      <c r="H91" s="109" t="str">
        <f>IF(D91=0,"NA",SUMIFS(AN_TME22[[#All],[Claims: Professional, Primary Care (for Monitoring Purposes)]],AN_TME22[[#All],[Insurance Category Code]],4,AN_TME22[[#All],[Advanced Network/Insurance Carrier Org ID]],B91)/D91)</f>
        <v>NA</v>
      </c>
      <c r="I91" s="109" t="str">
        <f>IF(D91=0,"NA",SUMIFS(AN_TME22[[#All],[Claims: Professional, Specialty]],AN_TME22[[#All],[Insurance Category Code]],4,AN_TME22[[#All],[Advanced Network/Insurance Carrier Org ID]],B91)/D91)</f>
        <v>NA</v>
      </c>
      <c r="J91" s="109" t="str">
        <f>IF(D91=0,"NA",SUMIFS(AN_TME22[[#All],[Claims: Professional Other]],AN_TME22[[#All],[Insurance Category Code]],4,AN_TME22[[#All],[Advanced Network/Insurance Carrier Org ID]],B91)/D91)</f>
        <v>NA</v>
      </c>
      <c r="K91" s="109" t="str">
        <f>IF(D91=0,"NA",SUMIFS(AN_TME22[[#All],[Claims: Pharmacy]],AN_TME22[[#All],[Insurance Category Code]],4,AN_TME22[[#All],[Advanced Network/Insurance Carrier Org ID]],B91)/D91)</f>
        <v>NA</v>
      </c>
      <c r="L91" s="109" t="str">
        <f>IF(D91=0,"NA",SUMIFS(AN_TME22[[#All],[Claims: Long-Term Care]],AN_TME22[[#All],[Insurance Category Code]],4,AN_TME22[[#All],[Advanced Network/Insurance Carrier Org ID]],B91)/D91)</f>
        <v>NA</v>
      </c>
      <c r="M91" s="109" t="str">
        <f>IF(D91=0,"NA",SUMIFS(AN_TME22[[#All],[Claims: Other]],AN_TME22[[#All],[Insurance Category Code]],4,AN_TME22[[#All],[Advanced Network/Insurance Carrier Org ID]],B91)/D91)</f>
        <v>NA</v>
      </c>
      <c r="N91" s="165" t="str">
        <f>IF(D91=0,"NA",SUMIFS(AN_TME22[[#All],[TOTAL Non-Truncated Unadjusted Claims Expenses]],AN_TME22[[#All],[Insurance Category Code]],4,AN_TME22[[#All],[Advanced Network/Insurance Carrier Org ID]],B91)/D91)</f>
        <v>NA</v>
      </c>
      <c r="O91" s="165" t="str">
        <f>IF(D91=0,"NA",SUMIFS(AN_TME22[[#All],[TOTAL Truncated Unadjusted Claims Expenses (A21 -A19)]],AN_TME22[[#All],[Insurance Category Code]],4,AN_TME22[[#All],[Advanced Network/Insurance Carrier Org ID]],B91)/D91)</f>
        <v>NA</v>
      </c>
      <c r="P91" s="165" t="str">
        <f>IF(D91=0,"NA",SUMIFS(AN_TME22[[#All],[TOTAL Non-Claims Expenses]],AN_TME22[[#All],[Insurance Category Code]],4,AN_TME22[[#All],[Advanced Network/Insurance Carrier Org ID]],B91)/D91)</f>
        <v>NA</v>
      </c>
      <c r="Q91" s="165" t="str">
        <f>IF(D91=0,"NA",SUMIFS(AN_TME22[[#All],[TOTAL Non-Truncated Unadjusted Expenses (A21 + A23)]],AN_TME22[[#All],[Insurance Category Code]],4,AN_TME22[[#All],[Advanced Network/Insurance Carrier Org ID]],B91)/D91)</f>
        <v>NA</v>
      </c>
      <c r="R91" s="165" t="str">
        <f>IF(D91=0,"NA",SUMIFS(AN_TME22[[#All],[TOTAL Truncated Unadjusted Expenses (A22 + A23)]],AN_TME22[[#All],[Insurance Category Code]],4,AN_TME22[[#All],[Advanced Network/Insurance Carrier Org ID]],B91)/D91)</f>
        <v>NA</v>
      </c>
      <c r="S91" s="507">
        <f>SUMIFS(AN_TME23[[#All],[Member Months]],AN_TME23[[#All],[Insurance Category Code]],4,AN_TME23[[#All],[Advanced Network/Insurance Carrier Org ID]],B91)</f>
        <v>0</v>
      </c>
      <c r="T91" s="155" t="str">
        <f>IF(S91=0,"NA",SUMIFS(AN_TME23[[#All],[Claims: Hospital Inpatient]],AN_TME23[[#All],[Insurance Category Code]],4,AN_TME23[[#All],[Advanced Network/Insurance Carrier Org ID]],B91)/S91)</f>
        <v>NA</v>
      </c>
      <c r="U91" s="109" t="str">
        <f>IF(S91=0,"NA",SUMIFS(AN_TME23[[#All],[Claims: Hospital Outpatient]],AN_TME23[[#All],[Insurance Category Code]],4,AN_TME23[[#All],[Advanced Network/Insurance Carrier Org ID]],B91)/S91)</f>
        <v>NA</v>
      </c>
      <c r="V91" s="109" t="str">
        <f>IF(S91=0,"NA",SUMIFS(AN_TME23[[#All],[Claims: Professional, Primary Care]],AN_TME23[[#All],[Insurance Category Code]],4,AN_TME23[[#All],[Advanced Network/Insurance Carrier Org ID]],B91)/S91)</f>
        <v>NA</v>
      </c>
      <c r="W91" s="109" t="str">
        <f>IF(S91=0,"NA",SUMIFS(AN_TME23[[#All],[Claims: Professional, Primary Care (for Monitoring Purposes)]],AN_TME23[[#All],[Insurance Category Code]],4,AN_TME23[[#All],[Advanced Network/Insurance Carrier Org ID]],B91)/S91)</f>
        <v>NA</v>
      </c>
      <c r="X91" s="109" t="str">
        <f>IF(S91=0,"NA",SUMIFS(AN_TME23[[#All],[Claims: Professional, Specialty]],AN_TME23[[#All],[Insurance Category Code]],4,AN_TME23[[#All],[Advanced Network/Insurance Carrier Org ID]],B91)/S91)</f>
        <v>NA</v>
      </c>
      <c r="Y91" s="109" t="str">
        <f>IF(S91=0,"NA",SUMIFS(AN_TME23[[#All],[Claims: Professional Other]],AN_TME23[[#All],[Insurance Category Code]],4,AN_TME23[[#All],[Advanced Network/Insurance Carrier Org ID]],B91)/S91)</f>
        <v>NA</v>
      </c>
      <c r="Z91" s="109" t="str">
        <f>IF(S91=0,"NA",SUMIFS(AN_TME23[[#All],[Claims: Pharmacy]],AN_TME23[[#All],[Insurance Category Code]],4,AN_TME23[[#All],[Advanced Network/Insurance Carrier Org ID]],B91)/S91)</f>
        <v>NA</v>
      </c>
      <c r="AA91" s="109" t="str">
        <f>IF(S91=0,"NA",SUMIFS(AN_TME23[[#All],[Claims: Long-Term Care]],AN_TME23[[#All],[Insurance Category Code]],4,AN_TME23[[#All],[Advanced Network/Insurance Carrier Org ID]],B91)/S91)</f>
        <v>NA</v>
      </c>
      <c r="AB91" s="109" t="str">
        <f>IF(S91=0,"NA",SUMIFS(AN_TME23[[#All],[Claims: Other]],AN_TME23[[#All],[Insurance Category Code]],4,AN_TME23[[#All],[Advanced Network/Insurance Carrier Org ID]],B91)/S91)</f>
        <v>NA</v>
      </c>
      <c r="AC91" s="165" t="str">
        <f>IF(S91=0,"NA",SUMIFS(AN_TME23[[#All],[TOTAL Non-Truncated Unadjusted Claims Expenses]],AN_TME23[[#All],[Insurance Category Code]],4,AN_TME23[[#All],[Advanced Network/Insurance Carrier Org ID]],B91)/S91)</f>
        <v>NA</v>
      </c>
      <c r="AD91" s="165" t="str">
        <f>IF(S91=0,"NA",SUMIFS(AN_TME23[[#All],[TOTAL Truncated Unadjusted Claims Expenses (A21 -A19)]],AN_TME23[[#All],[Insurance Category Code]],4,AN_TME23[[#All],[Advanced Network/Insurance Carrier Org ID]],B91)/S91)</f>
        <v>NA</v>
      </c>
      <c r="AE91" s="165" t="str">
        <f>IF(S91=0,"NA",SUMIFS(AN_TME23[[#All],[TOTAL Non-Claims Expenses]],AN_TME23[[#All],[Insurance Category Code]],4,AN_TME23[[#All],[Advanced Network/Insurance Carrier Org ID]],B91)/S91)</f>
        <v>NA</v>
      </c>
      <c r="AF91" s="165" t="str">
        <f>IF(S91=0,"NA",SUMIFS(AN_TME23[[#All],[TOTAL Non-Truncated Unadjusted Expenses (A21 + A23)]],AN_TME23[[#All],[Insurance Category Code]],4,AN_TME23[[#All],[Advanced Network/Insurance Carrier Org ID]],B91)/S91)</f>
        <v>NA</v>
      </c>
      <c r="AG91" s="156" t="str">
        <f>IF(S91=0,"NA",SUMIFS(AN_TME23[[#All],[TOTAL Truncated Unadjusted Expenses (A22 + A23)]],AN_TME23[[#All],[Insurance Category Code]],4,AN_TME23[[#All],[Advanced Network/Insurance Carrier Org ID]],B91)/S91)</f>
        <v>NA</v>
      </c>
      <c r="AH91" s="478" t="str">
        <f t="shared" si="122"/>
        <v>NA</v>
      </c>
      <c r="AI91" s="479" t="str">
        <f t="shared" si="123"/>
        <v>NA</v>
      </c>
      <c r="AJ91" s="480" t="str">
        <f t="shared" si="124"/>
        <v>NA</v>
      </c>
      <c r="AK91" s="480" t="str">
        <f t="shared" si="125"/>
        <v>NA</v>
      </c>
      <c r="AL91" s="480" t="str">
        <f t="shared" si="126"/>
        <v>NA</v>
      </c>
      <c r="AM91" s="480" t="str">
        <f t="shared" si="127"/>
        <v>NA</v>
      </c>
      <c r="AN91" s="480" t="str">
        <f t="shared" si="128"/>
        <v>NA</v>
      </c>
      <c r="AO91" s="480" t="str">
        <f t="shared" si="129"/>
        <v>NA</v>
      </c>
      <c r="AP91" s="480" t="str">
        <f t="shared" si="130"/>
        <v>NA</v>
      </c>
      <c r="AQ91" s="480" t="str">
        <f t="shared" si="131"/>
        <v>NA</v>
      </c>
      <c r="AR91" s="481" t="str">
        <f t="shared" si="132"/>
        <v>NA</v>
      </c>
      <c r="AS91" s="481" t="str">
        <f t="shared" si="133"/>
        <v>NA</v>
      </c>
      <c r="AT91" s="481" t="str">
        <f t="shared" si="134"/>
        <v>NA</v>
      </c>
      <c r="AU91" s="481" t="str">
        <f t="shared" si="135"/>
        <v>NA</v>
      </c>
      <c r="AV91" s="482" t="str">
        <f t="shared" si="136"/>
        <v>NA</v>
      </c>
    </row>
    <row r="92" spans="1:48" ht="45" customHeight="1" x14ac:dyDescent="0.25">
      <c r="A92" s="164"/>
      <c r="B92" s="166">
        <v>109</v>
      </c>
      <c r="C92" s="169" t="str">
        <f>_xlfn.XLOOKUP(B92, LgProvEntOrgIDs[Advanced Network/Insurer Carrier Org ID], LgProvEntOrgIDs[Advanced Network/Insurance Carrier Overall])</f>
        <v>Southern New England Health Care Organization (aka SOHO Health, Trinity Health of New England ACO, LLC)</v>
      </c>
      <c r="D92" s="507">
        <f>SUMIFS(AN_TME22[[#All],[Member Months]],AN_TME22[[#All],[Insurance Category Code]],4,AN_TME22[[#All],[Advanced Network/Insurance Carrier Org ID]],B92)</f>
        <v>0</v>
      </c>
      <c r="E92" s="155" t="str">
        <f>IF(D92=0,"NA",SUMIFS(AN_TME22[[#All],[Claims: Hospital Inpatient]],AN_TME22[[#All],[Insurance Category Code]],4,AN_TME22[[#All],[Advanced Network/Insurance Carrier Org ID]],B92)/D92)</f>
        <v>NA</v>
      </c>
      <c r="F92" s="109" t="str">
        <f>IF(D92=0,"NA",SUMIFS(AN_TME22[[#All],[Claims: Hospital Outpatient]],AN_TME22[[#All],[Insurance Category Code]],4,AN_TME22[[#All],[Advanced Network/Insurance Carrier Org ID]],B92)/D92)</f>
        <v>NA</v>
      </c>
      <c r="G92" s="109" t="str">
        <f>IF(D92=0,"NA",SUMIFS(AN_TME22[[#All],[Claims: Professional, Primary Care]],AN_TME22[[#All],[Insurance Category Code]],4,AN_TME22[[#All],[Advanced Network/Insurance Carrier Org ID]],B92)/D92)</f>
        <v>NA</v>
      </c>
      <c r="H92" s="109" t="str">
        <f>IF(D92=0,"NA",SUMIFS(AN_TME22[[#All],[Claims: Professional, Primary Care (for Monitoring Purposes)]],AN_TME22[[#All],[Insurance Category Code]],4,AN_TME22[[#All],[Advanced Network/Insurance Carrier Org ID]],B92)/D92)</f>
        <v>NA</v>
      </c>
      <c r="I92" s="109" t="str">
        <f>IF(D92=0,"NA",SUMIFS(AN_TME22[[#All],[Claims: Professional, Specialty]],AN_TME22[[#All],[Insurance Category Code]],4,AN_TME22[[#All],[Advanced Network/Insurance Carrier Org ID]],B92)/D92)</f>
        <v>NA</v>
      </c>
      <c r="J92" s="109" t="str">
        <f>IF(D92=0,"NA",SUMIFS(AN_TME22[[#All],[Claims: Professional Other]],AN_TME22[[#All],[Insurance Category Code]],4,AN_TME22[[#All],[Advanced Network/Insurance Carrier Org ID]],B92)/D92)</f>
        <v>NA</v>
      </c>
      <c r="K92" s="109" t="str">
        <f>IF(D92=0,"NA",SUMIFS(AN_TME22[[#All],[Claims: Pharmacy]],AN_TME22[[#All],[Insurance Category Code]],4,AN_TME22[[#All],[Advanced Network/Insurance Carrier Org ID]],B92)/D92)</f>
        <v>NA</v>
      </c>
      <c r="L92" s="109" t="str">
        <f>IF(D92=0,"NA",SUMIFS(AN_TME22[[#All],[Claims: Long-Term Care]],AN_TME22[[#All],[Insurance Category Code]],4,AN_TME22[[#All],[Advanced Network/Insurance Carrier Org ID]],B92)/D92)</f>
        <v>NA</v>
      </c>
      <c r="M92" s="109" t="str">
        <f>IF(D92=0,"NA",SUMIFS(AN_TME22[[#All],[Claims: Other]],AN_TME22[[#All],[Insurance Category Code]],4,AN_TME22[[#All],[Advanced Network/Insurance Carrier Org ID]],B92)/D92)</f>
        <v>NA</v>
      </c>
      <c r="N92" s="165" t="str">
        <f>IF(D92=0,"NA",SUMIFS(AN_TME22[[#All],[TOTAL Non-Truncated Unadjusted Claims Expenses]],AN_TME22[[#All],[Insurance Category Code]],4,AN_TME22[[#All],[Advanced Network/Insurance Carrier Org ID]],B92)/D92)</f>
        <v>NA</v>
      </c>
      <c r="O92" s="165" t="str">
        <f>IF(D92=0,"NA",SUMIFS(AN_TME22[[#All],[TOTAL Truncated Unadjusted Claims Expenses (A21 -A19)]],AN_TME22[[#All],[Insurance Category Code]],4,AN_TME22[[#All],[Advanced Network/Insurance Carrier Org ID]],B92)/D92)</f>
        <v>NA</v>
      </c>
      <c r="P92" s="165" t="str">
        <f>IF(D92=0,"NA",SUMIFS(AN_TME22[[#All],[TOTAL Non-Claims Expenses]],AN_TME22[[#All],[Insurance Category Code]],4,AN_TME22[[#All],[Advanced Network/Insurance Carrier Org ID]],B92)/D92)</f>
        <v>NA</v>
      </c>
      <c r="Q92" s="165" t="str">
        <f>IF(D92=0,"NA",SUMIFS(AN_TME22[[#All],[TOTAL Non-Truncated Unadjusted Expenses (A21 + A23)]],AN_TME22[[#All],[Insurance Category Code]],4,AN_TME22[[#All],[Advanced Network/Insurance Carrier Org ID]],B92)/D92)</f>
        <v>NA</v>
      </c>
      <c r="R92" s="165" t="str">
        <f>IF(D92=0,"NA",SUMIFS(AN_TME22[[#All],[TOTAL Truncated Unadjusted Expenses (A22 + A23)]],AN_TME22[[#All],[Insurance Category Code]],4,AN_TME22[[#All],[Advanced Network/Insurance Carrier Org ID]],B92)/D92)</f>
        <v>NA</v>
      </c>
      <c r="S92" s="507">
        <f>SUMIFS(AN_TME23[[#All],[Member Months]],AN_TME23[[#All],[Insurance Category Code]],4,AN_TME23[[#All],[Advanced Network/Insurance Carrier Org ID]],B92)</f>
        <v>0</v>
      </c>
      <c r="T92" s="155" t="str">
        <f>IF(S92=0,"NA",SUMIFS(AN_TME23[[#All],[Claims: Hospital Inpatient]],AN_TME23[[#All],[Insurance Category Code]],4,AN_TME23[[#All],[Advanced Network/Insurance Carrier Org ID]],B92)/S92)</f>
        <v>NA</v>
      </c>
      <c r="U92" s="109" t="str">
        <f>IF(S92=0,"NA",SUMIFS(AN_TME23[[#All],[Claims: Hospital Outpatient]],AN_TME23[[#All],[Insurance Category Code]],4,AN_TME23[[#All],[Advanced Network/Insurance Carrier Org ID]],B92)/S92)</f>
        <v>NA</v>
      </c>
      <c r="V92" s="109" t="str">
        <f>IF(S92=0,"NA",SUMIFS(AN_TME23[[#All],[Claims: Professional, Primary Care]],AN_TME23[[#All],[Insurance Category Code]],4,AN_TME23[[#All],[Advanced Network/Insurance Carrier Org ID]],B92)/S92)</f>
        <v>NA</v>
      </c>
      <c r="W92" s="109" t="str">
        <f>IF(S92=0,"NA",SUMIFS(AN_TME23[[#All],[Claims: Professional, Primary Care (for Monitoring Purposes)]],AN_TME23[[#All],[Insurance Category Code]],4,AN_TME23[[#All],[Advanced Network/Insurance Carrier Org ID]],B92)/S92)</f>
        <v>NA</v>
      </c>
      <c r="X92" s="109" t="str">
        <f>IF(S92=0,"NA",SUMIFS(AN_TME23[[#All],[Claims: Professional, Specialty]],AN_TME23[[#All],[Insurance Category Code]],4,AN_TME23[[#All],[Advanced Network/Insurance Carrier Org ID]],B92)/S92)</f>
        <v>NA</v>
      </c>
      <c r="Y92" s="109" t="str">
        <f>IF(S92=0,"NA",SUMIFS(AN_TME23[[#All],[Claims: Professional Other]],AN_TME23[[#All],[Insurance Category Code]],4,AN_TME23[[#All],[Advanced Network/Insurance Carrier Org ID]],B92)/S92)</f>
        <v>NA</v>
      </c>
      <c r="Z92" s="109" t="str">
        <f>IF(S92=0,"NA",SUMIFS(AN_TME23[[#All],[Claims: Pharmacy]],AN_TME23[[#All],[Insurance Category Code]],4,AN_TME23[[#All],[Advanced Network/Insurance Carrier Org ID]],B92)/S92)</f>
        <v>NA</v>
      </c>
      <c r="AA92" s="109" t="str">
        <f>IF(S92=0,"NA",SUMIFS(AN_TME23[[#All],[Claims: Long-Term Care]],AN_TME23[[#All],[Insurance Category Code]],4,AN_TME23[[#All],[Advanced Network/Insurance Carrier Org ID]],B92)/S92)</f>
        <v>NA</v>
      </c>
      <c r="AB92" s="109" t="str">
        <f>IF(S92=0,"NA",SUMIFS(AN_TME23[[#All],[Claims: Other]],AN_TME23[[#All],[Insurance Category Code]],4,AN_TME23[[#All],[Advanced Network/Insurance Carrier Org ID]],B92)/S92)</f>
        <v>NA</v>
      </c>
      <c r="AC92" s="165" t="str">
        <f>IF(S92=0,"NA",SUMIFS(AN_TME23[[#All],[TOTAL Non-Truncated Unadjusted Claims Expenses]],AN_TME23[[#All],[Insurance Category Code]],4,AN_TME23[[#All],[Advanced Network/Insurance Carrier Org ID]],B92)/S92)</f>
        <v>NA</v>
      </c>
      <c r="AD92" s="165" t="str">
        <f>IF(S92=0,"NA",SUMIFS(AN_TME23[[#All],[TOTAL Truncated Unadjusted Claims Expenses (A21 -A19)]],AN_TME23[[#All],[Insurance Category Code]],4,AN_TME23[[#All],[Advanced Network/Insurance Carrier Org ID]],B92)/S92)</f>
        <v>NA</v>
      </c>
      <c r="AE92" s="165" t="str">
        <f>IF(S92=0,"NA",SUMIFS(AN_TME23[[#All],[TOTAL Non-Claims Expenses]],AN_TME23[[#All],[Insurance Category Code]],4,AN_TME23[[#All],[Advanced Network/Insurance Carrier Org ID]],B92)/S92)</f>
        <v>NA</v>
      </c>
      <c r="AF92" s="165" t="str">
        <f>IF(S92=0,"NA",SUMIFS(AN_TME23[[#All],[TOTAL Non-Truncated Unadjusted Expenses (A21 + A23)]],AN_TME23[[#All],[Insurance Category Code]],4,AN_TME23[[#All],[Advanced Network/Insurance Carrier Org ID]],B92)/S92)</f>
        <v>NA</v>
      </c>
      <c r="AG92" s="156" t="str">
        <f>IF(S92=0,"NA",SUMIFS(AN_TME23[[#All],[TOTAL Truncated Unadjusted Expenses (A22 + A23)]],AN_TME23[[#All],[Insurance Category Code]],4,AN_TME23[[#All],[Advanced Network/Insurance Carrier Org ID]],B92)/S92)</f>
        <v>NA</v>
      </c>
      <c r="AH92" s="478" t="str">
        <f t="shared" si="122"/>
        <v>NA</v>
      </c>
      <c r="AI92" s="479" t="str">
        <f t="shared" si="123"/>
        <v>NA</v>
      </c>
      <c r="AJ92" s="480" t="str">
        <f t="shared" si="124"/>
        <v>NA</v>
      </c>
      <c r="AK92" s="480" t="str">
        <f t="shared" si="125"/>
        <v>NA</v>
      </c>
      <c r="AL92" s="480" t="str">
        <f t="shared" si="126"/>
        <v>NA</v>
      </c>
      <c r="AM92" s="480" t="str">
        <f t="shared" si="127"/>
        <v>NA</v>
      </c>
      <c r="AN92" s="480" t="str">
        <f t="shared" si="128"/>
        <v>NA</v>
      </c>
      <c r="AO92" s="480" t="str">
        <f t="shared" si="129"/>
        <v>NA</v>
      </c>
      <c r="AP92" s="480" t="str">
        <f t="shared" si="130"/>
        <v>NA</v>
      </c>
      <c r="AQ92" s="480" t="str">
        <f t="shared" si="131"/>
        <v>NA</v>
      </c>
      <c r="AR92" s="481" t="str">
        <f t="shared" si="132"/>
        <v>NA</v>
      </c>
      <c r="AS92" s="481" t="str">
        <f t="shared" si="133"/>
        <v>NA</v>
      </c>
      <c r="AT92" s="481" t="str">
        <f t="shared" si="134"/>
        <v>NA</v>
      </c>
      <c r="AU92" s="481" t="str">
        <f t="shared" si="135"/>
        <v>NA</v>
      </c>
      <c r="AV92" s="482" t="str">
        <f t="shared" si="136"/>
        <v>NA</v>
      </c>
    </row>
    <row r="93" spans="1:48" ht="15" customHeight="1" x14ac:dyDescent="0.25">
      <c r="A93" s="164"/>
      <c r="B93" s="166">
        <v>110</v>
      </c>
      <c r="C93" s="169" t="str">
        <f>_xlfn.XLOOKUP(B93, LgProvEntOrgIDs[Advanced Network/Insurer Carrier Org ID], LgProvEntOrgIDs[Advanced Network/Insurance Carrier Overall])</f>
        <v>Value Care Alliance</v>
      </c>
      <c r="D93" s="507">
        <f>SUMIFS(AN_TME22[[#All],[Member Months]],AN_TME22[[#All],[Insurance Category Code]],4,AN_TME22[[#All],[Advanced Network/Insurance Carrier Org ID]],B93)</f>
        <v>0</v>
      </c>
      <c r="E93" s="155" t="str">
        <f>IF(D93=0,"NA",SUMIFS(AN_TME22[[#All],[Claims: Hospital Inpatient]],AN_TME22[[#All],[Insurance Category Code]],4,AN_TME22[[#All],[Advanced Network/Insurance Carrier Org ID]],B93)/D93)</f>
        <v>NA</v>
      </c>
      <c r="F93" s="109" t="str">
        <f>IF(D93=0,"NA",SUMIFS(AN_TME22[[#All],[Claims: Hospital Outpatient]],AN_TME22[[#All],[Insurance Category Code]],4,AN_TME22[[#All],[Advanced Network/Insurance Carrier Org ID]],B93)/D93)</f>
        <v>NA</v>
      </c>
      <c r="G93" s="109" t="str">
        <f>IF(D93=0,"NA",SUMIFS(AN_TME22[[#All],[Claims: Professional, Primary Care]],AN_TME22[[#All],[Insurance Category Code]],4,AN_TME22[[#All],[Advanced Network/Insurance Carrier Org ID]],B93)/D93)</f>
        <v>NA</v>
      </c>
      <c r="H93" s="109" t="str">
        <f>IF(D93=0,"NA",SUMIFS(AN_TME22[[#All],[Claims: Professional, Primary Care (for Monitoring Purposes)]],AN_TME22[[#All],[Insurance Category Code]],4,AN_TME22[[#All],[Advanced Network/Insurance Carrier Org ID]],B93)/D93)</f>
        <v>NA</v>
      </c>
      <c r="I93" s="109" t="str">
        <f>IF(D93=0,"NA",SUMIFS(AN_TME22[[#All],[Claims: Professional, Specialty]],AN_TME22[[#All],[Insurance Category Code]],4,AN_TME22[[#All],[Advanced Network/Insurance Carrier Org ID]],B93)/D93)</f>
        <v>NA</v>
      </c>
      <c r="J93" s="109" t="str">
        <f>IF(D93=0,"NA",SUMIFS(AN_TME22[[#All],[Claims: Professional Other]],AN_TME22[[#All],[Insurance Category Code]],4,AN_TME22[[#All],[Advanced Network/Insurance Carrier Org ID]],B93)/D93)</f>
        <v>NA</v>
      </c>
      <c r="K93" s="109" t="str">
        <f>IF(D93=0,"NA",SUMIFS(AN_TME22[[#All],[Claims: Pharmacy]],AN_TME22[[#All],[Insurance Category Code]],4,AN_TME22[[#All],[Advanced Network/Insurance Carrier Org ID]],B93)/D93)</f>
        <v>NA</v>
      </c>
      <c r="L93" s="109" t="str">
        <f>IF(D93=0,"NA",SUMIFS(AN_TME22[[#All],[Claims: Long-Term Care]],AN_TME22[[#All],[Insurance Category Code]],4,AN_TME22[[#All],[Advanced Network/Insurance Carrier Org ID]],B93)/D93)</f>
        <v>NA</v>
      </c>
      <c r="M93" s="109" t="str">
        <f>IF(D93=0,"NA",SUMIFS(AN_TME22[[#All],[Claims: Other]],AN_TME22[[#All],[Insurance Category Code]],4,AN_TME22[[#All],[Advanced Network/Insurance Carrier Org ID]],B93)/D93)</f>
        <v>NA</v>
      </c>
      <c r="N93" s="165" t="str">
        <f>IF(D93=0,"NA",SUMIFS(AN_TME22[[#All],[TOTAL Non-Truncated Unadjusted Claims Expenses]],AN_TME22[[#All],[Insurance Category Code]],4,AN_TME22[[#All],[Advanced Network/Insurance Carrier Org ID]],B93)/D93)</f>
        <v>NA</v>
      </c>
      <c r="O93" s="165" t="str">
        <f>IF(D93=0,"NA",SUMIFS(AN_TME22[[#All],[TOTAL Truncated Unadjusted Claims Expenses (A21 -A19)]],AN_TME22[[#All],[Insurance Category Code]],4,AN_TME22[[#All],[Advanced Network/Insurance Carrier Org ID]],B93)/D93)</f>
        <v>NA</v>
      </c>
      <c r="P93" s="165" t="str">
        <f>IF(D93=0,"NA",SUMIFS(AN_TME22[[#All],[TOTAL Non-Claims Expenses]],AN_TME22[[#All],[Insurance Category Code]],4,AN_TME22[[#All],[Advanced Network/Insurance Carrier Org ID]],B93)/D93)</f>
        <v>NA</v>
      </c>
      <c r="Q93" s="165" t="str">
        <f>IF(D93=0,"NA",SUMIFS(AN_TME22[[#All],[TOTAL Non-Truncated Unadjusted Expenses (A21 + A23)]],AN_TME22[[#All],[Insurance Category Code]],4,AN_TME22[[#All],[Advanced Network/Insurance Carrier Org ID]],B93)/D93)</f>
        <v>NA</v>
      </c>
      <c r="R93" s="165" t="str">
        <f>IF(D93=0,"NA",SUMIFS(AN_TME22[[#All],[TOTAL Truncated Unadjusted Expenses (A22 + A23)]],AN_TME22[[#All],[Insurance Category Code]],4,AN_TME22[[#All],[Advanced Network/Insurance Carrier Org ID]],B93)/D93)</f>
        <v>NA</v>
      </c>
      <c r="S93" s="507">
        <f>SUMIFS(AN_TME23[[#All],[Member Months]],AN_TME23[[#All],[Insurance Category Code]],4,AN_TME23[[#All],[Advanced Network/Insurance Carrier Org ID]],B93)</f>
        <v>0</v>
      </c>
      <c r="T93" s="155" t="str">
        <f>IF(S93=0,"NA",SUMIFS(AN_TME23[[#All],[Claims: Hospital Inpatient]],AN_TME23[[#All],[Insurance Category Code]],4,AN_TME23[[#All],[Advanced Network/Insurance Carrier Org ID]],B93)/S93)</f>
        <v>NA</v>
      </c>
      <c r="U93" s="109" t="str">
        <f>IF(S93=0,"NA",SUMIFS(AN_TME23[[#All],[Claims: Hospital Outpatient]],AN_TME23[[#All],[Insurance Category Code]],4,AN_TME23[[#All],[Advanced Network/Insurance Carrier Org ID]],B93)/S93)</f>
        <v>NA</v>
      </c>
      <c r="V93" s="109" t="str">
        <f>IF(S93=0,"NA",SUMIFS(AN_TME23[[#All],[Claims: Professional, Primary Care]],AN_TME23[[#All],[Insurance Category Code]],4,AN_TME23[[#All],[Advanced Network/Insurance Carrier Org ID]],B93)/S93)</f>
        <v>NA</v>
      </c>
      <c r="W93" s="109" t="str">
        <f>IF(S93=0,"NA",SUMIFS(AN_TME23[[#All],[Claims: Professional, Primary Care (for Monitoring Purposes)]],AN_TME23[[#All],[Insurance Category Code]],4,AN_TME23[[#All],[Advanced Network/Insurance Carrier Org ID]],B93)/S93)</f>
        <v>NA</v>
      </c>
      <c r="X93" s="109" t="str">
        <f>IF(S93=0,"NA",SUMIFS(AN_TME23[[#All],[Claims: Professional, Specialty]],AN_TME23[[#All],[Insurance Category Code]],4,AN_TME23[[#All],[Advanced Network/Insurance Carrier Org ID]],B93)/S93)</f>
        <v>NA</v>
      </c>
      <c r="Y93" s="109" t="str">
        <f>IF(S93=0,"NA",SUMIFS(AN_TME23[[#All],[Claims: Professional Other]],AN_TME23[[#All],[Insurance Category Code]],4,AN_TME23[[#All],[Advanced Network/Insurance Carrier Org ID]],B93)/S93)</f>
        <v>NA</v>
      </c>
      <c r="Z93" s="109" t="str">
        <f>IF(S93=0,"NA",SUMIFS(AN_TME23[[#All],[Claims: Pharmacy]],AN_TME23[[#All],[Insurance Category Code]],4,AN_TME23[[#All],[Advanced Network/Insurance Carrier Org ID]],B93)/S93)</f>
        <v>NA</v>
      </c>
      <c r="AA93" s="109" t="str">
        <f>IF(S93=0,"NA",SUMIFS(AN_TME23[[#All],[Claims: Long-Term Care]],AN_TME23[[#All],[Insurance Category Code]],4,AN_TME23[[#All],[Advanced Network/Insurance Carrier Org ID]],B93)/S93)</f>
        <v>NA</v>
      </c>
      <c r="AB93" s="109" t="str">
        <f>IF(S93=0,"NA",SUMIFS(AN_TME23[[#All],[Claims: Other]],AN_TME23[[#All],[Insurance Category Code]],4,AN_TME23[[#All],[Advanced Network/Insurance Carrier Org ID]],B93)/S93)</f>
        <v>NA</v>
      </c>
      <c r="AC93" s="165" t="str">
        <f>IF(S93=0,"NA",SUMIFS(AN_TME23[[#All],[TOTAL Non-Truncated Unadjusted Claims Expenses]],AN_TME23[[#All],[Insurance Category Code]],4,AN_TME23[[#All],[Advanced Network/Insurance Carrier Org ID]],B93)/S93)</f>
        <v>NA</v>
      </c>
      <c r="AD93" s="165" t="str">
        <f>IF(S93=0,"NA",SUMIFS(AN_TME23[[#All],[TOTAL Truncated Unadjusted Claims Expenses (A21 -A19)]],AN_TME23[[#All],[Insurance Category Code]],4,AN_TME23[[#All],[Advanced Network/Insurance Carrier Org ID]],B93)/S93)</f>
        <v>NA</v>
      </c>
      <c r="AE93" s="165" t="str">
        <f>IF(S93=0,"NA",SUMIFS(AN_TME23[[#All],[TOTAL Non-Claims Expenses]],AN_TME23[[#All],[Insurance Category Code]],4,AN_TME23[[#All],[Advanced Network/Insurance Carrier Org ID]],B93)/S93)</f>
        <v>NA</v>
      </c>
      <c r="AF93" s="165" t="str">
        <f>IF(S93=0,"NA",SUMIFS(AN_TME23[[#All],[TOTAL Non-Truncated Unadjusted Expenses (A21 + A23)]],AN_TME23[[#All],[Insurance Category Code]],4,AN_TME23[[#All],[Advanced Network/Insurance Carrier Org ID]],B93)/S93)</f>
        <v>NA</v>
      </c>
      <c r="AG93" s="156" t="str">
        <f>IF(S93=0,"NA",SUMIFS(AN_TME23[[#All],[TOTAL Truncated Unadjusted Expenses (A22 + A23)]],AN_TME23[[#All],[Insurance Category Code]],4,AN_TME23[[#All],[Advanced Network/Insurance Carrier Org ID]],B93)/S93)</f>
        <v>NA</v>
      </c>
      <c r="AH93" s="478" t="str">
        <f t="shared" si="122"/>
        <v>NA</v>
      </c>
      <c r="AI93" s="479" t="str">
        <f t="shared" si="123"/>
        <v>NA</v>
      </c>
      <c r="AJ93" s="480" t="str">
        <f t="shared" si="124"/>
        <v>NA</v>
      </c>
      <c r="AK93" s="480" t="str">
        <f t="shared" si="125"/>
        <v>NA</v>
      </c>
      <c r="AL93" s="480" t="str">
        <f t="shared" si="126"/>
        <v>NA</v>
      </c>
      <c r="AM93" s="480" t="str">
        <f t="shared" si="127"/>
        <v>NA</v>
      </c>
      <c r="AN93" s="480" t="str">
        <f t="shared" si="128"/>
        <v>NA</v>
      </c>
      <c r="AO93" s="480" t="str">
        <f t="shared" si="129"/>
        <v>NA</v>
      </c>
      <c r="AP93" s="480" t="str">
        <f t="shared" si="130"/>
        <v>NA</v>
      </c>
      <c r="AQ93" s="480" t="str">
        <f t="shared" si="131"/>
        <v>NA</v>
      </c>
      <c r="AR93" s="481" t="str">
        <f t="shared" si="132"/>
        <v>NA</v>
      </c>
      <c r="AS93" s="481" t="str">
        <f t="shared" si="133"/>
        <v>NA</v>
      </c>
      <c r="AT93" s="481" t="str">
        <f t="shared" si="134"/>
        <v>NA</v>
      </c>
      <c r="AU93" s="481" t="str">
        <f t="shared" si="135"/>
        <v>NA</v>
      </c>
      <c r="AV93" s="482" t="str">
        <f t="shared" si="136"/>
        <v>NA</v>
      </c>
    </row>
    <row r="94" spans="1:48" ht="15" customHeight="1" x14ac:dyDescent="0.25">
      <c r="A94" s="164"/>
      <c r="B94" s="166">
        <v>111</v>
      </c>
      <c r="C94" s="169" t="str">
        <f>_xlfn.XLOOKUP(B94, LgProvEntOrgIDs[Advanced Network/Insurer Carrier Org ID], LgProvEntOrgIDs[Advanced Network/Insurance Carrier Overall])</f>
        <v>NA</v>
      </c>
      <c r="D94" s="507">
        <f>SUMIFS(AN_TME22[[#All],[Member Months]],AN_TME22[[#All],[Insurance Category Code]],4,AN_TME22[[#All],[Advanced Network/Insurance Carrier Org ID]],B94)</f>
        <v>0</v>
      </c>
      <c r="E94" s="155" t="str">
        <f>IF(D94=0,"NA",SUMIFS(AN_TME22[[#All],[Claims: Hospital Inpatient]],AN_TME22[[#All],[Insurance Category Code]],4,AN_TME22[[#All],[Advanced Network/Insurance Carrier Org ID]],B94)/D94)</f>
        <v>NA</v>
      </c>
      <c r="F94" s="109" t="str">
        <f>IF(D94=0,"NA",SUMIFS(AN_TME22[[#All],[Claims: Hospital Outpatient]],AN_TME22[[#All],[Insurance Category Code]],4,AN_TME22[[#All],[Advanced Network/Insurance Carrier Org ID]],B94)/D94)</f>
        <v>NA</v>
      </c>
      <c r="G94" s="109" t="str">
        <f>IF(D94=0,"NA",SUMIFS(AN_TME22[[#All],[Claims: Professional, Primary Care]],AN_TME22[[#All],[Insurance Category Code]],4,AN_TME22[[#All],[Advanced Network/Insurance Carrier Org ID]],B94)/D94)</f>
        <v>NA</v>
      </c>
      <c r="H94" s="109" t="str">
        <f>IF(D94=0,"NA",SUMIFS(AN_TME22[[#All],[Claims: Professional, Primary Care (for Monitoring Purposes)]],AN_TME22[[#All],[Insurance Category Code]],4,AN_TME22[[#All],[Advanced Network/Insurance Carrier Org ID]],B94)/D94)</f>
        <v>NA</v>
      </c>
      <c r="I94" s="109" t="str">
        <f>IF(D94=0,"NA",SUMIFS(AN_TME22[[#All],[Claims: Professional, Specialty]],AN_TME22[[#All],[Insurance Category Code]],4,AN_TME22[[#All],[Advanced Network/Insurance Carrier Org ID]],B94)/D94)</f>
        <v>NA</v>
      </c>
      <c r="J94" s="109" t="str">
        <f>IF(D94=0,"NA",SUMIFS(AN_TME22[[#All],[Claims: Professional Other]],AN_TME22[[#All],[Insurance Category Code]],4,AN_TME22[[#All],[Advanced Network/Insurance Carrier Org ID]],B94)/D94)</f>
        <v>NA</v>
      </c>
      <c r="K94" s="109" t="str">
        <f>IF(D94=0,"NA",SUMIFS(AN_TME22[[#All],[Claims: Pharmacy]],AN_TME22[[#All],[Insurance Category Code]],4,AN_TME22[[#All],[Advanced Network/Insurance Carrier Org ID]],B94)/D94)</f>
        <v>NA</v>
      </c>
      <c r="L94" s="109" t="str">
        <f>IF(D94=0,"NA",SUMIFS(AN_TME22[[#All],[Claims: Long-Term Care]],AN_TME22[[#All],[Insurance Category Code]],4,AN_TME22[[#All],[Advanced Network/Insurance Carrier Org ID]],B94)/D94)</f>
        <v>NA</v>
      </c>
      <c r="M94" s="109" t="str">
        <f>IF(D94=0,"NA",SUMIFS(AN_TME22[[#All],[Claims: Other]],AN_TME22[[#All],[Insurance Category Code]],4,AN_TME22[[#All],[Advanced Network/Insurance Carrier Org ID]],B94)/D94)</f>
        <v>NA</v>
      </c>
      <c r="N94" s="165" t="str">
        <f>IF(D94=0,"NA",SUMIFS(AN_TME22[[#All],[TOTAL Non-Truncated Unadjusted Claims Expenses]],AN_TME22[[#All],[Insurance Category Code]],4,AN_TME22[[#All],[Advanced Network/Insurance Carrier Org ID]],B94)/D94)</f>
        <v>NA</v>
      </c>
      <c r="O94" s="165" t="str">
        <f>IF(D94=0,"NA",SUMIFS(AN_TME22[[#All],[TOTAL Truncated Unadjusted Claims Expenses (A21 -A19)]],AN_TME22[[#All],[Insurance Category Code]],4,AN_TME22[[#All],[Advanced Network/Insurance Carrier Org ID]],B94)/D94)</f>
        <v>NA</v>
      </c>
      <c r="P94" s="165" t="str">
        <f>IF(D94=0,"NA",SUMIFS(AN_TME22[[#All],[TOTAL Non-Claims Expenses]],AN_TME22[[#All],[Insurance Category Code]],4,AN_TME22[[#All],[Advanced Network/Insurance Carrier Org ID]],B94)/D94)</f>
        <v>NA</v>
      </c>
      <c r="Q94" s="165" t="str">
        <f>IF(D94=0,"NA",SUMIFS(AN_TME22[[#All],[TOTAL Non-Truncated Unadjusted Expenses (A21 + A23)]],AN_TME22[[#All],[Insurance Category Code]],4,AN_TME22[[#All],[Advanced Network/Insurance Carrier Org ID]],B94)/D94)</f>
        <v>NA</v>
      </c>
      <c r="R94" s="165" t="str">
        <f>IF(D94=0,"NA",SUMIFS(AN_TME22[[#All],[TOTAL Truncated Unadjusted Expenses (A22 + A23)]],AN_TME22[[#All],[Insurance Category Code]],4,AN_TME22[[#All],[Advanced Network/Insurance Carrier Org ID]],B94)/D94)</f>
        <v>NA</v>
      </c>
      <c r="S94" s="507">
        <f>SUMIFS(AN_TME23[[#All],[Member Months]],AN_TME23[[#All],[Insurance Category Code]],4,AN_TME23[[#All],[Advanced Network/Insurance Carrier Org ID]],B94)</f>
        <v>0</v>
      </c>
      <c r="T94" s="155" t="str">
        <f>IF(S94=0,"NA",SUMIFS(AN_TME23[[#All],[Claims: Hospital Inpatient]],AN_TME23[[#All],[Insurance Category Code]],4,AN_TME23[[#All],[Advanced Network/Insurance Carrier Org ID]],B94)/S94)</f>
        <v>NA</v>
      </c>
      <c r="U94" s="109" t="str">
        <f>IF(S94=0,"NA",SUMIFS(AN_TME23[[#All],[Claims: Hospital Outpatient]],AN_TME23[[#All],[Insurance Category Code]],4,AN_TME23[[#All],[Advanced Network/Insurance Carrier Org ID]],B94)/S94)</f>
        <v>NA</v>
      </c>
      <c r="V94" s="109" t="str">
        <f>IF(S94=0,"NA",SUMIFS(AN_TME23[[#All],[Claims: Professional, Primary Care]],AN_TME23[[#All],[Insurance Category Code]],4,AN_TME23[[#All],[Advanced Network/Insurance Carrier Org ID]],B94)/S94)</f>
        <v>NA</v>
      </c>
      <c r="W94" s="109" t="str">
        <f>IF(S94=0,"NA",SUMIFS(AN_TME23[[#All],[Claims: Professional, Primary Care (for Monitoring Purposes)]],AN_TME23[[#All],[Insurance Category Code]],4,AN_TME23[[#All],[Advanced Network/Insurance Carrier Org ID]],B94)/S94)</f>
        <v>NA</v>
      </c>
      <c r="X94" s="109" t="str">
        <f>IF(S94=0,"NA",SUMIFS(AN_TME23[[#All],[Claims: Professional, Specialty]],AN_TME23[[#All],[Insurance Category Code]],4,AN_TME23[[#All],[Advanced Network/Insurance Carrier Org ID]],B94)/S94)</f>
        <v>NA</v>
      </c>
      <c r="Y94" s="109" t="str">
        <f>IF(S94=0,"NA",SUMIFS(AN_TME23[[#All],[Claims: Professional Other]],AN_TME23[[#All],[Insurance Category Code]],4,AN_TME23[[#All],[Advanced Network/Insurance Carrier Org ID]],B94)/S94)</f>
        <v>NA</v>
      </c>
      <c r="Z94" s="109" t="str">
        <f>IF(S94=0,"NA",SUMIFS(AN_TME23[[#All],[Claims: Pharmacy]],AN_TME23[[#All],[Insurance Category Code]],4,AN_TME23[[#All],[Advanced Network/Insurance Carrier Org ID]],B94)/S94)</f>
        <v>NA</v>
      </c>
      <c r="AA94" s="109" t="str">
        <f>IF(S94=0,"NA",SUMIFS(AN_TME23[[#All],[Claims: Long-Term Care]],AN_TME23[[#All],[Insurance Category Code]],4,AN_TME23[[#All],[Advanced Network/Insurance Carrier Org ID]],B94)/S94)</f>
        <v>NA</v>
      </c>
      <c r="AB94" s="109" t="str">
        <f>IF(S94=0,"NA",SUMIFS(AN_TME23[[#All],[Claims: Other]],AN_TME23[[#All],[Insurance Category Code]],4,AN_TME23[[#All],[Advanced Network/Insurance Carrier Org ID]],B94)/S94)</f>
        <v>NA</v>
      </c>
      <c r="AC94" s="165" t="str">
        <f>IF(S94=0,"NA",SUMIFS(AN_TME23[[#All],[TOTAL Non-Truncated Unadjusted Claims Expenses]],AN_TME23[[#All],[Insurance Category Code]],4,AN_TME23[[#All],[Advanced Network/Insurance Carrier Org ID]],B94)/S94)</f>
        <v>NA</v>
      </c>
      <c r="AD94" s="165" t="str">
        <f>IF(S94=0,"NA",SUMIFS(AN_TME23[[#All],[TOTAL Truncated Unadjusted Claims Expenses (A21 -A19)]],AN_TME23[[#All],[Insurance Category Code]],4,AN_TME23[[#All],[Advanced Network/Insurance Carrier Org ID]],B94)/S94)</f>
        <v>NA</v>
      </c>
      <c r="AE94" s="165" t="str">
        <f>IF(S94=0,"NA",SUMIFS(AN_TME23[[#All],[TOTAL Non-Claims Expenses]],AN_TME23[[#All],[Insurance Category Code]],4,AN_TME23[[#All],[Advanced Network/Insurance Carrier Org ID]],B94)/S94)</f>
        <v>NA</v>
      </c>
      <c r="AF94" s="165" t="str">
        <f>IF(S94=0,"NA",SUMIFS(AN_TME23[[#All],[TOTAL Non-Truncated Unadjusted Expenses (A21 + A23)]],AN_TME23[[#All],[Insurance Category Code]],4,AN_TME23[[#All],[Advanced Network/Insurance Carrier Org ID]],B94)/S94)</f>
        <v>NA</v>
      </c>
      <c r="AG94" s="156" t="str">
        <f>IF(S94=0,"NA",SUMIFS(AN_TME23[[#All],[TOTAL Truncated Unadjusted Expenses (A22 + A23)]],AN_TME23[[#All],[Insurance Category Code]],4,AN_TME23[[#All],[Advanced Network/Insurance Carrier Org ID]],B94)/S94)</f>
        <v>NA</v>
      </c>
      <c r="AH94" s="478" t="str">
        <f>IF(D94=0,"NA",S94/D94-1)</f>
        <v>NA</v>
      </c>
      <c r="AI94" s="479" t="str">
        <f>IF(D94=0,"NA",T94/E94-1)</f>
        <v>NA</v>
      </c>
      <c r="AJ94" s="480" t="str">
        <f>IF(D94=0,"NA",U94/F94-1)</f>
        <v>NA</v>
      </c>
      <c r="AK94" s="480" t="str">
        <f>IF(D94=0,"NA",V94/G94-1)</f>
        <v>NA</v>
      </c>
      <c r="AL94" s="480" t="str">
        <f>IF(D94=0,"NA",W94/H94-1)</f>
        <v>NA</v>
      </c>
      <c r="AM94" s="480" t="str">
        <f>IF(D94=0,"NA",X94/I94-1)</f>
        <v>NA</v>
      </c>
      <c r="AN94" s="480" t="str">
        <f>IF(D94=0,"NA",Y94/J94-1)</f>
        <v>NA</v>
      </c>
      <c r="AO94" s="480" t="str">
        <f>IF(D94=0,"NA",Z94/K94-1)</f>
        <v>NA</v>
      </c>
      <c r="AP94" s="480" t="str">
        <f>IF(D94=0,"NA",AA94/L94-1)</f>
        <v>NA</v>
      </c>
      <c r="AQ94" s="480" t="str">
        <f>IF(D94=0,"NA",AB94/M94-1)</f>
        <v>NA</v>
      </c>
      <c r="AR94" s="481" t="str">
        <f>IF(D94=0,"NA",AC94/N94-1)</f>
        <v>NA</v>
      </c>
      <c r="AS94" s="481" t="str">
        <f>IF(D94=0,"NA",AD94/O94-1)</f>
        <v>NA</v>
      </c>
      <c r="AT94" s="481" t="str">
        <f>IF(D94=0,"NA",AE94/P94-1)</f>
        <v>NA</v>
      </c>
      <c r="AU94" s="481" t="str">
        <f>IF(D94=0,"NA",AF94/Q94-1)</f>
        <v>NA</v>
      </c>
      <c r="AV94" s="482" t="str">
        <f>IF(D94=0,"NA",AG94/R94-1)</f>
        <v>NA</v>
      </c>
    </row>
    <row r="95" spans="1:48" ht="15" customHeight="1" x14ac:dyDescent="0.25">
      <c r="A95" s="164"/>
      <c r="B95" s="166">
        <v>112</v>
      </c>
      <c r="C95" s="169" t="str">
        <f>_xlfn.XLOOKUP(B95, LgProvEntOrgIDs[Advanced Network/Insurer Carrier Org ID], LgProvEntOrgIDs[Advanced Network/Insurance Carrier Overall])</f>
        <v>Charter Oak Health Center</v>
      </c>
      <c r="D95" s="507">
        <f>SUMIFS(AN_TME22[[#All],[Member Months]],AN_TME22[[#All],[Insurance Category Code]],4,AN_TME22[[#All],[Advanced Network/Insurance Carrier Org ID]],B95)</f>
        <v>0</v>
      </c>
      <c r="E95" s="155" t="str">
        <f>IF(D95=0,"NA",SUMIFS(AN_TME22[[#All],[Claims: Hospital Inpatient]],AN_TME22[[#All],[Insurance Category Code]],4,AN_TME22[[#All],[Advanced Network/Insurance Carrier Org ID]],B95)/D95)</f>
        <v>NA</v>
      </c>
      <c r="F95" s="109" t="str">
        <f>IF(D95=0,"NA",SUMIFS(AN_TME22[[#All],[Claims: Hospital Outpatient]],AN_TME22[[#All],[Insurance Category Code]],4,AN_TME22[[#All],[Advanced Network/Insurance Carrier Org ID]],B95)/D95)</f>
        <v>NA</v>
      </c>
      <c r="G95" s="109" t="str">
        <f>IF(D95=0,"NA",SUMIFS(AN_TME22[[#All],[Claims: Professional, Primary Care]],AN_TME22[[#All],[Insurance Category Code]],4,AN_TME22[[#All],[Advanced Network/Insurance Carrier Org ID]],B95)/D95)</f>
        <v>NA</v>
      </c>
      <c r="H95" s="109" t="str">
        <f>IF(D95=0,"NA",SUMIFS(AN_TME22[[#All],[Claims: Professional, Primary Care (for Monitoring Purposes)]],AN_TME22[[#All],[Insurance Category Code]],4,AN_TME22[[#All],[Advanced Network/Insurance Carrier Org ID]],B95)/D95)</f>
        <v>NA</v>
      </c>
      <c r="I95" s="109" t="str">
        <f>IF(D95=0,"NA",SUMIFS(AN_TME22[[#All],[Claims: Professional, Specialty]],AN_TME22[[#All],[Insurance Category Code]],4,AN_TME22[[#All],[Advanced Network/Insurance Carrier Org ID]],B95)/D95)</f>
        <v>NA</v>
      </c>
      <c r="J95" s="109" t="str">
        <f>IF(D95=0,"NA",SUMIFS(AN_TME22[[#All],[Claims: Professional Other]],AN_TME22[[#All],[Insurance Category Code]],4,AN_TME22[[#All],[Advanced Network/Insurance Carrier Org ID]],B95)/D95)</f>
        <v>NA</v>
      </c>
      <c r="K95" s="109" t="str">
        <f>IF(D95=0,"NA",SUMIFS(AN_TME22[[#All],[Claims: Pharmacy]],AN_TME22[[#All],[Insurance Category Code]],4,AN_TME22[[#All],[Advanced Network/Insurance Carrier Org ID]],B95)/D95)</f>
        <v>NA</v>
      </c>
      <c r="L95" s="109" t="str">
        <f>IF(D95=0,"NA",SUMIFS(AN_TME22[[#All],[Claims: Long-Term Care]],AN_TME22[[#All],[Insurance Category Code]],4,AN_TME22[[#All],[Advanced Network/Insurance Carrier Org ID]],B95)/D95)</f>
        <v>NA</v>
      </c>
      <c r="M95" s="109" t="str">
        <f>IF(D95=0,"NA",SUMIFS(AN_TME22[[#All],[Claims: Other]],AN_TME22[[#All],[Insurance Category Code]],4,AN_TME22[[#All],[Advanced Network/Insurance Carrier Org ID]],B95)/D95)</f>
        <v>NA</v>
      </c>
      <c r="N95" s="165" t="str">
        <f>IF(D95=0,"NA",SUMIFS(AN_TME22[[#All],[TOTAL Non-Truncated Unadjusted Claims Expenses]],AN_TME22[[#All],[Insurance Category Code]],4,AN_TME22[[#All],[Advanced Network/Insurance Carrier Org ID]],B95)/D95)</f>
        <v>NA</v>
      </c>
      <c r="O95" s="165" t="str">
        <f>IF(D95=0,"NA",SUMIFS(AN_TME22[[#All],[TOTAL Truncated Unadjusted Claims Expenses (A21 -A19)]],AN_TME22[[#All],[Insurance Category Code]],4,AN_TME22[[#All],[Advanced Network/Insurance Carrier Org ID]],B95)/D95)</f>
        <v>NA</v>
      </c>
      <c r="P95" s="165" t="str">
        <f>IF(D95=0,"NA",SUMIFS(AN_TME22[[#All],[TOTAL Non-Claims Expenses]],AN_TME22[[#All],[Insurance Category Code]],4,AN_TME22[[#All],[Advanced Network/Insurance Carrier Org ID]],B95)/D95)</f>
        <v>NA</v>
      </c>
      <c r="Q95" s="165" t="str">
        <f>IF(D95=0,"NA",SUMIFS(AN_TME22[[#All],[TOTAL Non-Truncated Unadjusted Expenses (A21 + A23)]],AN_TME22[[#All],[Insurance Category Code]],4,AN_TME22[[#All],[Advanced Network/Insurance Carrier Org ID]],B95)/D95)</f>
        <v>NA</v>
      </c>
      <c r="R95" s="165" t="str">
        <f>IF(D95=0,"NA",SUMIFS(AN_TME22[[#All],[TOTAL Truncated Unadjusted Expenses (A22 + A23)]],AN_TME22[[#All],[Insurance Category Code]],4,AN_TME22[[#All],[Advanced Network/Insurance Carrier Org ID]],B95)/D95)</f>
        <v>NA</v>
      </c>
      <c r="S95" s="507">
        <f>SUMIFS(AN_TME23[[#All],[Member Months]],AN_TME23[[#All],[Insurance Category Code]],4,AN_TME23[[#All],[Advanced Network/Insurance Carrier Org ID]],B95)</f>
        <v>0</v>
      </c>
      <c r="T95" s="155" t="str">
        <f>IF(S95=0,"NA",SUMIFS(AN_TME23[[#All],[Claims: Hospital Inpatient]],AN_TME23[[#All],[Insurance Category Code]],4,AN_TME23[[#All],[Advanced Network/Insurance Carrier Org ID]],B95)/S95)</f>
        <v>NA</v>
      </c>
      <c r="U95" s="109" t="str">
        <f>IF(S95=0,"NA",SUMIFS(AN_TME23[[#All],[Claims: Hospital Outpatient]],AN_TME23[[#All],[Insurance Category Code]],4,AN_TME23[[#All],[Advanced Network/Insurance Carrier Org ID]],B95)/S95)</f>
        <v>NA</v>
      </c>
      <c r="V95" s="109" t="str">
        <f>IF(S95=0,"NA",SUMIFS(AN_TME23[[#All],[Claims: Professional, Primary Care]],AN_TME23[[#All],[Insurance Category Code]],4,AN_TME23[[#All],[Advanced Network/Insurance Carrier Org ID]],B95)/S95)</f>
        <v>NA</v>
      </c>
      <c r="W95" s="109" t="str">
        <f>IF(S95=0,"NA",SUMIFS(AN_TME23[[#All],[Claims: Professional, Primary Care (for Monitoring Purposes)]],AN_TME23[[#All],[Insurance Category Code]],4,AN_TME23[[#All],[Advanced Network/Insurance Carrier Org ID]],B95)/S95)</f>
        <v>NA</v>
      </c>
      <c r="X95" s="109" t="str">
        <f>IF(S95=0,"NA",SUMIFS(AN_TME23[[#All],[Claims: Professional, Specialty]],AN_TME23[[#All],[Insurance Category Code]],4,AN_TME23[[#All],[Advanced Network/Insurance Carrier Org ID]],B95)/S95)</f>
        <v>NA</v>
      </c>
      <c r="Y95" s="109" t="str">
        <f>IF(S95=0,"NA",SUMIFS(AN_TME23[[#All],[Claims: Professional Other]],AN_TME23[[#All],[Insurance Category Code]],4,AN_TME23[[#All],[Advanced Network/Insurance Carrier Org ID]],B95)/S95)</f>
        <v>NA</v>
      </c>
      <c r="Z95" s="109" t="str">
        <f>IF(S95=0,"NA",SUMIFS(AN_TME23[[#All],[Claims: Pharmacy]],AN_TME23[[#All],[Insurance Category Code]],4,AN_TME23[[#All],[Advanced Network/Insurance Carrier Org ID]],B95)/S95)</f>
        <v>NA</v>
      </c>
      <c r="AA95" s="109" t="str">
        <f>IF(S95=0,"NA",SUMIFS(AN_TME23[[#All],[Claims: Long-Term Care]],AN_TME23[[#All],[Insurance Category Code]],4,AN_TME23[[#All],[Advanced Network/Insurance Carrier Org ID]],B95)/S95)</f>
        <v>NA</v>
      </c>
      <c r="AB95" s="109" t="str">
        <f>IF(S95=0,"NA",SUMIFS(AN_TME23[[#All],[Claims: Other]],AN_TME23[[#All],[Insurance Category Code]],4,AN_TME23[[#All],[Advanced Network/Insurance Carrier Org ID]],B95)/S95)</f>
        <v>NA</v>
      </c>
      <c r="AC95" s="165" t="str">
        <f>IF(S95=0,"NA",SUMIFS(AN_TME23[[#All],[TOTAL Non-Truncated Unadjusted Claims Expenses]],AN_TME23[[#All],[Insurance Category Code]],4,AN_TME23[[#All],[Advanced Network/Insurance Carrier Org ID]],B95)/S95)</f>
        <v>NA</v>
      </c>
      <c r="AD95" s="165" t="str">
        <f>IF(S95=0,"NA",SUMIFS(AN_TME23[[#All],[TOTAL Truncated Unadjusted Claims Expenses (A21 -A19)]],AN_TME23[[#All],[Insurance Category Code]],4,AN_TME23[[#All],[Advanced Network/Insurance Carrier Org ID]],B95)/S95)</f>
        <v>NA</v>
      </c>
      <c r="AE95" s="165" t="str">
        <f>IF(S95=0,"NA",SUMIFS(AN_TME23[[#All],[TOTAL Non-Claims Expenses]],AN_TME23[[#All],[Insurance Category Code]],4,AN_TME23[[#All],[Advanced Network/Insurance Carrier Org ID]],B95)/S95)</f>
        <v>NA</v>
      </c>
      <c r="AF95" s="165" t="str">
        <f>IF(S95=0,"NA",SUMIFS(AN_TME23[[#All],[TOTAL Non-Truncated Unadjusted Expenses (A21 + A23)]],AN_TME23[[#All],[Insurance Category Code]],4,AN_TME23[[#All],[Advanced Network/Insurance Carrier Org ID]],B95)/S95)</f>
        <v>NA</v>
      </c>
      <c r="AG95" s="156" t="str">
        <f>IF(S95=0,"NA",SUMIFS(AN_TME23[[#All],[TOTAL Truncated Unadjusted Expenses (A22 + A23)]],AN_TME23[[#All],[Insurance Category Code]],4,AN_TME23[[#All],[Advanced Network/Insurance Carrier Org ID]],B95)/S95)</f>
        <v>NA</v>
      </c>
      <c r="AH95" s="478" t="str">
        <f t="shared" ref="AH95:AH114" si="137">IF(D95=0,"NA",S95/D95-1)</f>
        <v>NA</v>
      </c>
      <c r="AI95" s="479" t="str">
        <f t="shared" ref="AI95:AI114" si="138">IF(D95=0,"NA",T95/E95-1)</f>
        <v>NA</v>
      </c>
      <c r="AJ95" s="480" t="str">
        <f t="shared" ref="AJ95:AJ114" si="139">IF(D95=0,"NA",U95/F95-1)</f>
        <v>NA</v>
      </c>
      <c r="AK95" s="480" t="str">
        <f t="shared" ref="AK95:AK114" si="140">IF(D95=0,"NA",V95/G95-1)</f>
        <v>NA</v>
      </c>
      <c r="AL95" s="480" t="str">
        <f t="shared" ref="AL95:AL114" si="141">IF(D95=0,"NA",W95/H95-1)</f>
        <v>NA</v>
      </c>
      <c r="AM95" s="480" t="str">
        <f t="shared" ref="AM95:AM114" si="142">IF(D95=0,"NA",X95/I95-1)</f>
        <v>NA</v>
      </c>
      <c r="AN95" s="480" t="str">
        <f t="shared" ref="AN95:AN114" si="143">IF(D95=0,"NA",Y95/J95-1)</f>
        <v>NA</v>
      </c>
      <c r="AO95" s="480" t="str">
        <f t="shared" ref="AO95:AO114" si="144">IF(D95=0,"NA",Z95/K95-1)</f>
        <v>NA</v>
      </c>
      <c r="AP95" s="480" t="str">
        <f t="shared" ref="AP95:AP114" si="145">IF(D95=0,"NA",AA95/L95-1)</f>
        <v>NA</v>
      </c>
      <c r="AQ95" s="480" t="str">
        <f t="shared" ref="AQ95:AQ114" si="146">IF(D95=0,"NA",AB95/M95-1)</f>
        <v>NA</v>
      </c>
      <c r="AR95" s="481" t="str">
        <f t="shared" ref="AR95:AR114" si="147">IF(D95=0,"NA",AC95/N95-1)</f>
        <v>NA</v>
      </c>
      <c r="AS95" s="481" t="str">
        <f t="shared" ref="AS95:AS114" si="148">IF(D95=0,"NA",AD95/O95-1)</f>
        <v>NA</v>
      </c>
      <c r="AT95" s="481" t="str">
        <f t="shared" ref="AT95:AT114" si="149">IF(D95=0,"NA",AE95/P95-1)</f>
        <v>NA</v>
      </c>
      <c r="AU95" s="481" t="str">
        <f t="shared" ref="AU95:AU114" si="150">IF(D95=0,"NA",AF95/Q95-1)</f>
        <v>NA</v>
      </c>
      <c r="AV95" s="482" t="str">
        <f t="shared" ref="AV95:AV114" si="151">IF(D95=0,"NA",AG95/R95-1)</f>
        <v>NA</v>
      </c>
    </row>
    <row r="96" spans="1:48" ht="15" customHeight="1" x14ac:dyDescent="0.25">
      <c r="A96" s="164"/>
      <c r="B96" s="166">
        <v>113</v>
      </c>
      <c r="C96" s="169" t="str">
        <f>_xlfn.XLOOKUP(B96, LgProvEntOrgIDs[Advanced Network/Insurer Carrier Org ID], LgProvEntOrgIDs[Advanced Network/Insurance Carrier Overall])</f>
        <v>CIFC Greater Danbury Community Health Center</v>
      </c>
      <c r="D96" s="507">
        <f>SUMIFS(AN_TME22[[#All],[Member Months]],AN_TME22[[#All],[Insurance Category Code]],4,AN_TME22[[#All],[Advanced Network/Insurance Carrier Org ID]],B96)</f>
        <v>0</v>
      </c>
      <c r="E96" s="155" t="str">
        <f>IF(D96=0,"NA",SUMIFS(AN_TME22[[#All],[Claims: Hospital Inpatient]],AN_TME22[[#All],[Insurance Category Code]],4,AN_TME22[[#All],[Advanced Network/Insurance Carrier Org ID]],B96)/D96)</f>
        <v>NA</v>
      </c>
      <c r="F96" s="109" t="str">
        <f>IF(D96=0,"NA",SUMIFS(AN_TME22[[#All],[Claims: Hospital Outpatient]],AN_TME22[[#All],[Insurance Category Code]],4,AN_TME22[[#All],[Advanced Network/Insurance Carrier Org ID]],B96)/D96)</f>
        <v>NA</v>
      </c>
      <c r="G96" s="109" t="str">
        <f>IF(D96=0,"NA",SUMIFS(AN_TME22[[#All],[Claims: Professional, Primary Care]],AN_TME22[[#All],[Insurance Category Code]],4,AN_TME22[[#All],[Advanced Network/Insurance Carrier Org ID]],B96)/D96)</f>
        <v>NA</v>
      </c>
      <c r="H96" s="109" t="str">
        <f>IF(D96=0,"NA",SUMIFS(AN_TME22[[#All],[Claims: Professional, Primary Care (for Monitoring Purposes)]],AN_TME22[[#All],[Insurance Category Code]],4,AN_TME22[[#All],[Advanced Network/Insurance Carrier Org ID]],B96)/D96)</f>
        <v>NA</v>
      </c>
      <c r="I96" s="109" t="str">
        <f>IF(D96=0,"NA",SUMIFS(AN_TME22[[#All],[Claims: Professional, Specialty]],AN_TME22[[#All],[Insurance Category Code]],4,AN_TME22[[#All],[Advanced Network/Insurance Carrier Org ID]],B96)/D96)</f>
        <v>NA</v>
      </c>
      <c r="J96" s="109" t="str">
        <f>IF(D96=0,"NA",SUMIFS(AN_TME22[[#All],[Claims: Professional Other]],AN_TME22[[#All],[Insurance Category Code]],4,AN_TME22[[#All],[Advanced Network/Insurance Carrier Org ID]],B96)/D96)</f>
        <v>NA</v>
      </c>
      <c r="K96" s="109" t="str">
        <f>IF(D96=0,"NA",SUMIFS(AN_TME22[[#All],[Claims: Pharmacy]],AN_TME22[[#All],[Insurance Category Code]],4,AN_TME22[[#All],[Advanced Network/Insurance Carrier Org ID]],B96)/D96)</f>
        <v>NA</v>
      </c>
      <c r="L96" s="109" t="str">
        <f>IF(D96=0,"NA",SUMIFS(AN_TME22[[#All],[Claims: Long-Term Care]],AN_TME22[[#All],[Insurance Category Code]],4,AN_TME22[[#All],[Advanced Network/Insurance Carrier Org ID]],B96)/D96)</f>
        <v>NA</v>
      </c>
      <c r="M96" s="109" t="str">
        <f>IF(D96=0,"NA",SUMIFS(AN_TME22[[#All],[Claims: Other]],AN_TME22[[#All],[Insurance Category Code]],4,AN_TME22[[#All],[Advanced Network/Insurance Carrier Org ID]],B96)/D96)</f>
        <v>NA</v>
      </c>
      <c r="N96" s="165" t="str">
        <f>IF(D96=0,"NA",SUMIFS(AN_TME22[[#All],[TOTAL Non-Truncated Unadjusted Claims Expenses]],AN_TME22[[#All],[Insurance Category Code]],4,AN_TME22[[#All],[Advanced Network/Insurance Carrier Org ID]],B96)/D96)</f>
        <v>NA</v>
      </c>
      <c r="O96" s="165" t="str">
        <f>IF(D96=0,"NA",SUMIFS(AN_TME22[[#All],[TOTAL Truncated Unadjusted Claims Expenses (A21 -A19)]],AN_TME22[[#All],[Insurance Category Code]],4,AN_TME22[[#All],[Advanced Network/Insurance Carrier Org ID]],B96)/D96)</f>
        <v>NA</v>
      </c>
      <c r="P96" s="165" t="str">
        <f>IF(D96=0,"NA",SUMIFS(AN_TME22[[#All],[TOTAL Non-Claims Expenses]],AN_TME22[[#All],[Insurance Category Code]],4,AN_TME22[[#All],[Advanced Network/Insurance Carrier Org ID]],B96)/D96)</f>
        <v>NA</v>
      </c>
      <c r="Q96" s="165" t="str">
        <f>IF(D96=0,"NA",SUMIFS(AN_TME22[[#All],[TOTAL Non-Truncated Unadjusted Expenses (A21 + A23)]],AN_TME22[[#All],[Insurance Category Code]],4,AN_TME22[[#All],[Advanced Network/Insurance Carrier Org ID]],B96)/D96)</f>
        <v>NA</v>
      </c>
      <c r="R96" s="165" t="str">
        <f>IF(D96=0,"NA",SUMIFS(AN_TME22[[#All],[TOTAL Truncated Unadjusted Expenses (A22 + A23)]],AN_TME22[[#All],[Insurance Category Code]],4,AN_TME22[[#All],[Advanced Network/Insurance Carrier Org ID]],B96)/D96)</f>
        <v>NA</v>
      </c>
      <c r="S96" s="507">
        <f>SUMIFS(AN_TME23[[#All],[Member Months]],AN_TME23[[#All],[Insurance Category Code]],4,AN_TME23[[#All],[Advanced Network/Insurance Carrier Org ID]],B96)</f>
        <v>0</v>
      </c>
      <c r="T96" s="155" t="str">
        <f>IF(S96=0,"NA",SUMIFS(AN_TME23[[#All],[Claims: Hospital Inpatient]],AN_TME23[[#All],[Insurance Category Code]],4,AN_TME23[[#All],[Advanced Network/Insurance Carrier Org ID]],B96)/S96)</f>
        <v>NA</v>
      </c>
      <c r="U96" s="109" t="str">
        <f>IF(S96=0,"NA",SUMIFS(AN_TME23[[#All],[Claims: Hospital Outpatient]],AN_TME23[[#All],[Insurance Category Code]],4,AN_TME23[[#All],[Advanced Network/Insurance Carrier Org ID]],B96)/S96)</f>
        <v>NA</v>
      </c>
      <c r="V96" s="109" t="str">
        <f>IF(S96=0,"NA",SUMIFS(AN_TME23[[#All],[Claims: Professional, Primary Care]],AN_TME23[[#All],[Insurance Category Code]],4,AN_TME23[[#All],[Advanced Network/Insurance Carrier Org ID]],B96)/S96)</f>
        <v>NA</v>
      </c>
      <c r="W96" s="109" t="str">
        <f>IF(S96=0,"NA",SUMIFS(AN_TME23[[#All],[Claims: Professional, Primary Care (for Monitoring Purposes)]],AN_TME23[[#All],[Insurance Category Code]],4,AN_TME23[[#All],[Advanced Network/Insurance Carrier Org ID]],B96)/S96)</f>
        <v>NA</v>
      </c>
      <c r="X96" s="109" t="str">
        <f>IF(S96=0,"NA",SUMIFS(AN_TME23[[#All],[Claims: Professional, Specialty]],AN_TME23[[#All],[Insurance Category Code]],4,AN_TME23[[#All],[Advanced Network/Insurance Carrier Org ID]],B96)/S96)</f>
        <v>NA</v>
      </c>
      <c r="Y96" s="109" t="str">
        <f>IF(S96=0,"NA",SUMIFS(AN_TME23[[#All],[Claims: Professional Other]],AN_TME23[[#All],[Insurance Category Code]],4,AN_TME23[[#All],[Advanced Network/Insurance Carrier Org ID]],B96)/S96)</f>
        <v>NA</v>
      </c>
      <c r="Z96" s="109" t="str">
        <f>IF(S96=0,"NA",SUMIFS(AN_TME23[[#All],[Claims: Pharmacy]],AN_TME23[[#All],[Insurance Category Code]],4,AN_TME23[[#All],[Advanced Network/Insurance Carrier Org ID]],B96)/S96)</f>
        <v>NA</v>
      </c>
      <c r="AA96" s="109" t="str">
        <f>IF(S96=0,"NA",SUMIFS(AN_TME23[[#All],[Claims: Long-Term Care]],AN_TME23[[#All],[Insurance Category Code]],4,AN_TME23[[#All],[Advanced Network/Insurance Carrier Org ID]],B96)/S96)</f>
        <v>NA</v>
      </c>
      <c r="AB96" s="109" t="str">
        <f>IF(S96=0,"NA",SUMIFS(AN_TME23[[#All],[Claims: Other]],AN_TME23[[#All],[Insurance Category Code]],4,AN_TME23[[#All],[Advanced Network/Insurance Carrier Org ID]],B96)/S96)</f>
        <v>NA</v>
      </c>
      <c r="AC96" s="165" t="str">
        <f>IF(S96=0,"NA",SUMIFS(AN_TME23[[#All],[TOTAL Non-Truncated Unadjusted Claims Expenses]],AN_TME23[[#All],[Insurance Category Code]],4,AN_TME23[[#All],[Advanced Network/Insurance Carrier Org ID]],B96)/S96)</f>
        <v>NA</v>
      </c>
      <c r="AD96" s="165" t="str">
        <f>IF(S96=0,"NA",SUMIFS(AN_TME23[[#All],[TOTAL Truncated Unadjusted Claims Expenses (A21 -A19)]],AN_TME23[[#All],[Insurance Category Code]],4,AN_TME23[[#All],[Advanced Network/Insurance Carrier Org ID]],B96)/S96)</f>
        <v>NA</v>
      </c>
      <c r="AE96" s="165" t="str">
        <f>IF(S96=0,"NA",SUMIFS(AN_TME23[[#All],[TOTAL Non-Claims Expenses]],AN_TME23[[#All],[Insurance Category Code]],4,AN_TME23[[#All],[Advanced Network/Insurance Carrier Org ID]],B96)/S96)</f>
        <v>NA</v>
      </c>
      <c r="AF96" s="165" t="str">
        <f>IF(S96=0,"NA",SUMIFS(AN_TME23[[#All],[TOTAL Non-Truncated Unadjusted Expenses (A21 + A23)]],AN_TME23[[#All],[Insurance Category Code]],4,AN_TME23[[#All],[Advanced Network/Insurance Carrier Org ID]],B96)/S96)</f>
        <v>NA</v>
      </c>
      <c r="AG96" s="156" t="str">
        <f>IF(S96=0,"NA",SUMIFS(AN_TME23[[#All],[TOTAL Truncated Unadjusted Expenses (A22 + A23)]],AN_TME23[[#All],[Insurance Category Code]],4,AN_TME23[[#All],[Advanced Network/Insurance Carrier Org ID]],B96)/S96)</f>
        <v>NA</v>
      </c>
      <c r="AH96" s="478" t="str">
        <f t="shared" si="137"/>
        <v>NA</v>
      </c>
      <c r="AI96" s="479" t="str">
        <f t="shared" si="138"/>
        <v>NA</v>
      </c>
      <c r="AJ96" s="480" t="str">
        <f t="shared" si="139"/>
        <v>NA</v>
      </c>
      <c r="AK96" s="480" t="str">
        <f t="shared" si="140"/>
        <v>NA</v>
      </c>
      <c r="AL96" s="480" t="str">
        <f t="shared" si="141"/>
        <v>NA</v>
      </c>
      <c r="AM96" s="480" t="str">
        <f t="shared" si="142"/>
        <v>NA</v>
      </c>
      <c r="AN96" s="480" t="str">
        <f t="shared" si="143"/>
        <v>NA</v>
      </c>
      <c r="AO96" s="480" t="str">
        <f t="shared" si="144"/>
        <v>NA</v>
      </c>
      <c r="AP96" s="480" t="str">
        <f t="shared" si="145"/>
        <v>NA</v>
      </c>
      <c r="AQ96" s="480" t="str">
        <f t="shared" si="146"/>
        <v>NA</v>
      </c>
      <c r="AR96" s="481" t="str">
        <f t="shared" si="147"/>
        <v>NA</v>
      </c>
      <c r="AS96" s="481" t="str">
        <f t="shared" si="148"/>
        <v>NA</v>
      </c>
      <c r="AT96" s="481" t="str">
        <f t="shared" si="149"/>
        <v>NA</v>
      </c>
      <c r="AU96" s="481" t="str">
        <f t="shared" si="150"/>
        <v>NA</v>
      </c>
      <c r="AV96" s="482" t="str">
        <f t="shared" si="151"/>
        <v>NA</v>
      </c>
    </row>
    <row r="97" spans="1:48" ht="15" customHeight="1" x14ac:dyDescent="0.25">
      <c r="A97" s="164"/>
      <c r="B97" s="166">
        <v>114</v>
      </c>
      <c r="C97" s="169" t="str">
        <f>_xlfn.XLOOKUP(B97, LgProvEntOrgIDs[Advanced Network/Insurer Carrier Org ID], LgProvEntOrgIDs[Advanced Network/Insurance Carrier Overall])</f>
        <v>Community Health and Wellness Center of Greater Torrington</v>
      </c>
      <c r="D97" s="507">
        <f>SUMIFS(AN_TME22[[#All],[Member Months]],AN_TME22[[#All],[Insurance Category Code]],4,AN_TME22[[#All],[Advanced Network/Insurance Carrier Org ID]],B97)</f>
        <v>0</v>
      </c>
      <c r="E97" s="155" t="str">
        <f>IF(D97=0,"NA",SUMIFS(AN_TME22[[#All],[Claims: Hospital Inpatient]],AN_TME22[[#All],[Insurance Category Code]],4,AN_TME22[[#All],[Advanced Network/Insurance Carrier Org ID]],B97)/D97)</f>
        <v>NA</v>
      </c>
      <c r="F97" s="109" t="str">
        <f>IF(D97=0,"NA",SUMIFS(AN_TME22[[#All],[Claims: Hospital Outpatient]],AN_TME22[[#All],[Insurance Category Code]],4,AN_TME22[[#All],[Advanced Network/Insurance Carrier Org ID]],B97)/D97)</f>
        <v>NA</v>
      </c>
      <c r="G97" s="109" t="str">
        <f>IF(D97=0,"NA",SUMIFS(AN_TME22[[#All],[Claims: Professional, Primary Care]],AN_TME22[[#All],[Insurance Category Code]],4,AN_TME22[[#All],[Advanced Network/Insurance Carrier Org ID]],B97)/D97)</f>
        <v>NA</v>
      </c>
      <c r="H97" s="109" t="str">
        <f>IF(D97=0,"NA",SUMIFS(AN_TME22[[#All],[Claims: Professional, Primary Care (for Monitoring Purposes)]],AN_TME22[[#All],[Insurance Category Code]],4,AN_TME22[[#All],[Advanced Network/Insurance Carrier Org ID]],B97)/D97)</f>
        <v>NA</v>
      </c>
      <c r="I97" s="109" t="str">
        <f>IF(D97=0,"NA",SUMIFS(AN_TME22[[#All],[Claims: Professional, Specialty]],AN_TME22[[#All],[Insurance Category Code]],4,AN_TME22[[#All],[Advanced Network/Insurance Carrier Org ID]],B97)/D97)</f>
        <v>NA</v>
      </c>
      <c r="J97" s="109" t="str">
        <f>IF(D97=0,"NA",SUMIFS(AN_TME22[[#All],[Claims: Professional Other]],AN_TME22[[#All],[Insurance Category Code]],4,AN_TME22[[#All],[Advanced Network/Insurance Carrier Org ID]],B97)/D97)</f>
        <v>NA</v>
      </c>
      <c r="K97" s="109" t="str">
        <f>IF(D97=0,"NA",SUMIFS(AN_TME22[[#All],[Claims: Pharmacy]],AN_TME22[[#All],[Insurance Category Code]],4,AN_TME22[[#All],[Advanced Network/Insurance Carrier Org ID]],B97)/D97)</f>
        <v>NA</v>
      </c>
      <c r="L97" s="109" t="str">
        <f>IF(D97=0,"NA",SUMIFS(AN_TME22[[#All],[Claims: Long-Term Care]],AN_TME22[[#All],[Insurance Category Code]],4,AN_TME22[[#All],[Advanced Network/Insurance Carrier Org ID]],B97)/D97)</f>
        <v>NA</v>
      </c>
      <c r="M97" s="109" t="str">
        <f>IF(D97=0,"NA",SUMIFS(AN_TME22[[#All],[Claims: Other]],AN_TME22[[#All],[Insurance Category Code]],4,AN_TME22[[#All],[Advanced Network/Insurance Carrier Org ID]],B97)/D97)</f>
        <v>NA</v>
      </c>
      <c r="N97" s="165" t="str">
        <f>IF(D97=0,"NA",SUMIFS(AN_TME22[[#All],[TOTAL Non-Truncated Unadjusted Claims Expenses]],AN_TME22[[#All],[Insurance Category Code]],4,AN_TME22[[#All],[Advanced Network/Insurance Carrier Org ID]],B97)/D97)</f>
        <v>NA</v>
      </c>
      <c r="O97" s="165" t="str">
        <f>IF(D97=0,"NA",SUMIFS(AN_TME22[[#All],[TOTAL Truncated Unadjusted Claims Expenses (A21 -A19)]],AN_TME22[[#All],[Insurance Category Code]],4,AN_TME22[[#All],[Advanced Network/Insurance Carrier Org ID]],B97)/D97)</f>
        <v>NA</v>
      </c>
      <c r="P97" s="165" t="str">
        <f>IF(D97=0,"NA",SUMIFS(AN_TME22[[#All],[TOTAL Non-Claims Expenses]],AN_TME22[[#All],[Insurance Category Code]],4,AN_TME22[[#All],[Advanced Network/Insurance Carrier Org ID]],B97)/D97)</f>
        <v>NA</v>
      </c>
      <c r="Q97" s="165" t="str">
        <f>IF(D97=0,"NA",SUMIFS(AN_TME22[[#All],[TOTAL Non-Truncated Unadjusted Expenses (A21 + A23)]],AN_TME22[[#All],[Insurance Category Code]],4,AN_TME22[[#All],[Advanced Network/Insurance Carrier Org ID]],B97)/D97)</f>
        <v>NA</v>
      </c>
      <c r="R97" s="165" t="str">
        <f>IF(D97=0,"NA",SUMIFS(AN_TME22[[#All],[TOTAL Truncated Unadjusted Expenses (A22 + A23)]],AN_TME22[[#All],[Insurance Category Code]],4,AN_TME22[[#All],[Advanced Network/Insurance Carrier Org ID]],B97)/D97)</f>
        <v>NA</v>
      </c>
      <c r="S97" s="507">
        <f>SUMIFS(AN_TME23[[#All],[Member Months]],AN_TME23[[#All],[Insurance Category Code]],4,AN_TME23[[#All],[Advanced Network/Insurance Carrier Org ID]],B97)</f>
        <v>0</v>
      </c>
      <c r="T97" s="155" t="str">
        <f>IF(S97=0,"NA",SUMIFS(AN_TME23[[#All],[Claims: Hospital Inpatient]],AN_TME23[[#All],[Insurance Category Code]],4,AN_TME23[[#All],[Advanced Network/Insurance Carrier Org ID]],B97)/S97)</f>
        <v>NA</v>
      </c>
      <c r="U97" s="109" t="str">
        <f>IF(S97=0,"NA",SUMIFS(AN_TME23[[#All],[Claims: Hospital Outpatient]],AN_TME23[[#All],[Insurance Category Code]],4,AN_TME23[[#All],[Advanced Network/Insurance Carrier Org ID]],B97)/S97)</f>
        <v>NA</v>
      </c>
      <c r="V97" s="109" t="str">
        <f>IF(S97=0,"NA",SUMIFS(AN_TME23[[#All],[Claims: Professional, Primary Care]],AN_TME23[[#All],[Insurance Category Code]],4,AN_TME23[[#All],[Advanced Network/Insurance Carrier Org ID]],B97)/S97)</f>
        <v>NA</v>
      </c>
      <c r="W97" s="109" t="str">
        <f>IF(S97=0,"NA",SUMIFS(AN_TME23[[#All],[Claims: Professional, Primary Care (for Monitoring Purposes)]],AN_TME23[[#All],[Insurance Category Code]],4,AN_TME23[[#All],[Advanced Network/Insurance Carrier Org ID]],B97)/S97)</f>
        <v>NA</v>
      </c>
      <c r="X97" s="109" t="str">
        <f>IF(S97=0,"NA",SUMIFS(AN_TME23[[#All],[Claims: Professional, Specialty]],AN_TME23[[#All],[Insurance Category Code]],4,AN_TME23[[#All],[Advanced Network/Insurance Carrier Org ID]],B97)/S97)</f>
        <v>NA</v>
      </c>
      <c r="Y97" s="109" t="str">
        <f>IF(S97=0,"NA",SUMIFS(AN_TME23[[#All],[Claims: Professional Other]],AN_TME23[[#All],[Insurance Category Code]],4,AN_TME23[[#All],[Advanced Network/Insurance Carrier Org ID]],B97)/S97)</f>
        <v>NA</v>
      </c>
      <c r="Z97" s="109" t="str">
        <f>IF(S97=0,"NA",SUMIFS(AN_TME23[[#All],[Claims: Pharmacy]],AN_TME23[[#All],[Insurance Category Code]],4,AN_TME23[[#All],[Advanced Network/Insurance Carrier Org ID]],B97)/S97)</f>
        <v>NA</v>
      </c>
      <c r="AA97" s="109" t="str">
        <f>IF(S97=0,"NA",SUMIFS(AN_TME23[[#All],[Claims: Long-Term Care]],AN_TME23[[#All],[Insurance Category Code]],4,AN_TME23[[#All],[Advanced Network/Insurance Carrier Org ID]],B97)/S97)</f>
        <v>NA</v>
      </c>
      <c r="AB97" s="109" t="str">
        <f>IF(S97=0,"NA",SUMIFS(AN_TME23[[#All],[Claims: Other]],AN_TME23[[#All],[Insurance Category Code]],4,AN_TME23[[#All],[Advanced Network/Insurance Carrier Org ID]],B97)/S97)</f>
        <v>NA</v>
      </c>
      <c r="AC97" s="165" t="str">
        <f>IF(S97=0,"NA",SUMIFS(AN_TME23[[#All],[TOTAL Non-Truncated Unadjusted Claims Expenses]],AN_TME23[[#All],[Insurance Category Code]],4,AN_TME23[[#All],[Advanced Network/Insurance Carrier Org ID]],B97)/S97)</f>
        <v>NA</v>
      </c>
      <c r="AD97" s="165" t="str">
        <f>IF(S97=0,"NA",SUMIFS(AN_TME23[[#All],[TOTAL Truncated Unadjusted Claims Expenses (A21 -A19)]],AN_TME23[[#All],[Insurance Category Code]],4,AN_TME23[[#All],[Advanced Network/Insurance Carrier Org ID]],B97)/S97)</f>
        <v>NA</v>
      </c>
      <c r="AE97" s="165" t="str">
        <f>IF(S97=0,"NA",SUMIFS(AN_TME23[[#All],[TOTAL Non-Claims Expenses]],AN_TME23[[#All],[Insurance Category Code]],4,AN_TME23[[#All],[Advanced Network/Insurance Carrier Org ID]],B97)/S97)</f>
        <v>NA</v>
      </c>
      <c r="AF97" s="165" t="str">
        <f>IF(S97=0,"NA",SUMIFS(AN_TME23[[#All],[TOTAL Non-Truncated Unadjusted Expenses (A21 + A23)]],AN_TME23[[#All],[Insurance Category Code]],4,AN_TME23[[#All],[Advanced Network/Insurance Carrier Org ID]],B97)/S97)</f>
        <v>NA</v>
      </c>
      <c r="AG97" s="156" t="str">
        <f>IF(S97=0,"NA",SUMIFS(AN_TME23[[#All],[TOTAL Truncated Unadjusted Expenses (A22 + A23)]],AN_TME23[[#All],[Insurance Category Code]],4,AN_TME23[[#All],[Advanced Network/Insurance Carrier Org ID]],B97)/S97)</f>
        <v>NA</v>
      </c>
      <c r="AH97" s="478" t="str">
        <f t="shared" si="137"/>
        <v>NA</v>
      </c>
      <c r="AI97" s="479" t="str">
        <f t="shared" si="138"/>
        <v>NA</v>
      </c>
      <c r="AJ97" s="480" t="str">
        <f t="shared" si="139"/>
        <v>NA</v>
      </c>
      <c r="AK97" s="480" t="str">
        <f t="shared" si="140"/>
        <v>NA</v>
      </c>
      <c r="AL97" s="480" t="str">
        <f t="shared" si="141"/>
        <v>NA</v>
      </c>
      <c r="AM97" s="480" t="str">
        <f t="shared" si="142"/>
        <v>NA</v>
      </c>
      <c r="AN97" s="480" t="str">
        <f t="shared" si="143"/>
        <v>NA</v>
      </c>
      <c r="AO97" s="480" t="str">
        <f t="shared" si="144"/>
        <v>NA</v>
      </c>
      <c r="AP97" s="480" t="str">
        <f t="shared" si="145"/>
        <v>NA</v>
      </c>
      <c r="AQ97" s="480" t="str">
        <f t="shared" si="146"/>
        <v>NA</v>
      </c>
      <c r="AR97" s="481" t="str">
        <f t="shared" si="147"/>
        <v>NA</v>
      </c>
      <c r="AS97" s="481" t="str">
        <f t="shared" si="148"/>
        <v>NA</v>
      </c>
      <c r="AT97" s="481" t="str">
        <f t="shared" si="149"/>
        <v>NA</v>
      </c>
      <c r="AU97" s="481" t="str">
        <f t="shared" si="150"/>
        <v>NA</v>
      </c>
      <c r="AV97" s="482" t="str">
        <f t="shared" si="151"/>
        <v>NA</v>
      </c>
    </row>
    <row r="98" spans="1:48" ht="15" customHeight="1" x14ac:dyDescent="0.25">
      <c r="A98" s="164"/>
      <c r="B98" s="166">
        <v>115</v>
      </c>
      <c r="C98" s="169" t="str">
        <f>_xlfn.XLOOKUP(B98, LgProvEntOrgIDs[Advanced Network/Insurer Carrier Org ID], LgProvEntOrgIDs[Advanced Network/Insurance Carrier Overall])</f>
        <v>Community Health Center</v>
      </c>
      <c r="D98" s="507">
        <f>SUMIFS(AN_TME22[[#All],[Member Months]],AN_TME22[[#All],[Insurance Category Code]],4,AN_TME22[[#All],[Advanced Network/Insurance Carrier Org ID]],B98)</f>
        <v>0</v>
      </c>
      <c r="E98" s="155" t="str">
        <f>IF(D98=0,"NA",SUMIFS(AN_TME22[[#All],[Claims: Hospital Inpatient]],AN_TME22[[#All],[Insurance Category Code]],4,AN_TME22[[#All],[Advanced Network/Insurance Carrier Org ID]],B98)/D98)</f>
        <v>NA</v>
      </c>
      <c r="F98" s="109" t="str">
        <f>IF(D98=0,"NA",SUMIFS(AN_TME22[[#All],[Claims: Hospital Outpatient]],AN_TME22[[#All],[Insurance Category Code]],4,AN_TME22[[#All],[Advanced Network/Insurance Carrier Org ID]],B98)/D98)</f>
        <v>NA</v>
      </c>
      <c r="G98" s="109" t="str">
        <f>IF(D98=0,"NA",SUMIFS(AN_TME22[[#All],[Claims: Professional, Primary Care]],AN_TME22[[#All],[Insurance Category Code]],4,AN_TME22[[#All],[Advanced Network/Insurance Carrier Org ID]],B98)/D98)</f>
        <v>NA</v>
      </c>
      <c r="H98" s="109" t="str">
        <f>IF(D98=0,"NA",SUMIFS(AN_TME22[[#All],[Claims: Professional, Primary Care (for Monitoring Purposes)]],AN_TME22[[#All],[Insurance Category Code]],4,AN_TME22[[#All],[Advanced Network/Insurance Carrier Org ID]],B98)/D98)</f>
        <v>NA</v>
      </c>
      <c r="I98" s="109" t="str">
        <f>IF(D98=0,"NA",SUMIFS(AN_TME22[[#All],[Claims: Professional, Specialty]],AN_TME22[[#All],[Insurance Category Code]],4,AN_TME22[[#All],[Advanced Network/Insurance Carrier Org ID]],B98)/D98)</f>
        <v>NA</v>
      </c>
      <c r="J98" s="109" t="str">
        <f>IF(D98=0,"NA",SUMIFS(AN_TME22[[#All],[Claims: Professional Other]],AN_TME22[[#All],[Insurance Category Code]],4,AN_TME22[[#All],[Advanced Network/Insurance Carrier Org ID]],B98)/D98)</f>
        <v>NA</v>
      </c>
      <c r="K98" s="109" t="str">
        <f>IF(D98=0,"NA",SUMIFS(AN_TME22[[#All],[Claims: Pharmacy]],AN_TME22[[#All],[Insurance Category Code]],4,AN_TME22[[#All],[Advanced Network/Insurance Carrier Org ID]],B98)/D98)</f>
        <v>NA</v>
      </c>
      <c r="L98" s="109" t="str">
        <f>IF(D98=0,"NA",SUMIFS(AN_TME22[[#All],[Claims: Long-Term Care]],AN_TME22[[#All],[Insurance Category Code]],4,AN_TME22[[#All],[Advanced Network/Insurance Carrier Org ID]],B98)/D98)</f>
        <v>NA</v>
      </c>
      <c r="M98" s="109" t="str">
        <f>IF(D98=0,"NA",SUMIFS(AN_TME22[[#All],[Claims: Other]],AN_TME22[[#All],[Insurance Category Code]],4,AN_TME22[[#All],[Advanced Network/Insurance Carrier Org ID]],B98)/D98)</f>
        <v>NA</v>
      </c>
      <c r="N98" s="165" t="str">
        <f>IF(D98=0,"NA",SUMIFS(AN_TME22[[#All],[TOTAL Non-Truncated Unadjusted Claims Expenses]],AN_TME22[[#All],[Insurance Category Code]],4,AN_TME22[[#All],[Advanced Network/Insurance Carrier Org ID]],B98)/D98)</f>
        <v>NA</v>
      </c>
      <c r="O98" s="165" t="str">
        <f>IF(D98=0,"NA",SUMIFS(AN_TME22[[#All],[TOTAL Truncated Unadjusted Claims Expenses (A21 -A19)]],AN_TME22[[#All],[Insurance Category Code]],4,AN_TME22[[#All],[Advanced Network/Insurance Carrier Org ID]],B98)/D98)</f>
        <v>NA</v>
      </c>
      <c r="P98" s="165" t="str">
        <f>IF(D98=0,"NA",SUMIFS(AN_TME22[[#All],[TOTAL Non-Claims Expenses]],AN_TME22[[#All],[Insurance Category Code]],4,AN_TME22[[#All],[Advanced Network/Insurance Carrier Org ID]],B98)/D98)</f>
        <v>NA</v>
      </c>
      <c r="Q98" s="165" t="str">
        <f>IF(D98=0,"NA",SUMIFS(AN_TME22[[#All],[TOTAL Non-Truncated Unadjusted Expenses (A21 + A23)]],AN_TME22[[#All],[Insurance Category Code]],4,AN_TME22[[#All],[Advanced Network/Insurance Carrier Org ID]],B98)/D98)</f>
        <v>NA</v>
      </c>
      <c r="R98" s="165" t="str">
        <f>IF(D98=0,"NA",SUMIFS(AN_TME22[[#All],[TOTAL Truncated Unadjusted Expenses (A22 + A23)]],AN_TME22[[#All],[Insurance Category Code]],4,AN_TME22[[#All],[Advanced Network/Insurance Carrier Org ID]],B98)/D98)</f>
        <v>NA</v>
      </c>
      <c r="S98" s="507">
        <f>SUMIFS(AN_TME23[[#All],[Member Months]],AN_TME23[[#All],[Insurance Category Code]],4,AN_TME23[[#All],[Advanced Network/Insurance Carrier Org ID]],B98)</f>
        <v>0</v>
      </c>
      <c r="T98" s="155" t="str">
        <f>IF(S98=0,"NA",SUMIFS(AN_TME23[[#All],[Claims: Hospital Inpatient]],AN_TME23[[#All],[Insurance Category Code]],4,AN_TME23[[#All],[Advanced Network/Insurance Carrier Org ID]],B98)/S98)</f>
        <v>NA</v>
      </c>
      <c r="U98" s="109" t="str">
        <f>IF(S98=0,"NA",SUMIFS(AN_TME23[[#All],[Claims: Hospital Outpatient]],AN_TME23[[#All],[Insurance Category Code]],4,AN_TME23[[#All],[Advanced Network/Insurance Carrier Org ID]],B98)/S98)</f>
        <v>NA</v>
      </c>
      <c r="V98" s="109" t="str">
        <f>IF(S98=0,"NA",SUMIFS(AN_TME23[[#All],[Claims: Professional, Primary Care]],AN_TME23[[#All],[Insurance Category Code]],4,AN_TME23[[#All],[Advanced Network/Insurance Carrier Org ID]],B98)/S98)</f>
        <v>NA</v>
      </c>
      <c r="W98" s="109" t="str">
        <f>IF(S98=0,"NA",SUMIFS(AN_TME23[[#All],[Claims: Professional, Primary Care (for Monitoring Purposes)]],AN_TME23[[#All],[Insurance Category Code]],4,AN_TME23[[#All],[Advanced Network/Insurance Carrier Org ID]],B98)/S98)</f>
        <v>NA</v>
      </c>
      <c r="X98" s="109" t="str">
        <f>IF(S98=0,"NA",SUMIFS(AN_TME23[[#All],[Claims: Professional, Specialty]],AN_TME23[[#All],[Insurance Category Code]],4,AN_TME23[[#All],[Advanced Network/Insurance Carrier Org ID]],B98)/S98)</f>
        <v>NA</v>
      </c>
      <c r="Y98" s="109" t="str">
        <f>IF(S98=0,"NA",SUMIFS(AN_TME23[[#All],[Claims: Professional Other]],AN_TME23[[#All],[Insurance Category Code]],4,AN_TME23[[#All],[Advanced Network/Insurance Carrier Org ID]],B98)/S98)</f>
        <v>NA</v>
      </c>
      <c r="Z98" s="109" t="str">
        <f>IF(S98=0,"NA",SUMIFS(AN_TME23[[#All],[Claims: Pharmacy]],AN_TME23[[#All],[Insurance Category Code]],4,AN_TME23[[#All],[Advanced Network/Insurance Carrier Org ID]],B98)/S98)</f>
        <v>NA</v>
      </c>
      <c r="AA98" s="109" t="str">
        <f>IF(S98=0,"NA",SUMIFS(AN_TME23[[#All],[Claims: Long-Term Care]],AN_TME23[[#All],[Insurance Category Code]],4,AN_TME23[[#All],[Advanced Network/Insurance Carrier Org ID]],B98)/S98)</f>
        <v>NA</v>
      </c>
      <c r="AB98" s="109" t="str">
        <f>IF(S98=0,"NA",SUMIFS(AN_TME23[[#All],[Claims: Other]],AN_TME23[[#All],[Insurance Category Code]],4,AN_TME23[[#All],[Advanced Network/Insurance Carrier Org ID]],B98)/S98)</f>
        <v>NA</v>
      </c>
      <c r="AC98" s="165" t="str">
        <f>IF(S98=0,"NA",SUMIFS(AN_TME23[[#All],[TOTAL Non-Truncated Unadjusted Claims Expenses]],AN_TME23[[#All],[Insurance Category Code]],4,AN_TME23[[#All],[Advanced Network/Insurance Carrier Org ID]],B98)/S98)</f>
        <v>NA</v>
      </c>
      <c r="AD98" s="165" t="str">
        <f>IF(S98=0,"NA",SUMIFS(AN_TME23[[#All],[TOTAL Truncated Unadjusted Claims Expenses (A21 -A19)]],AN_TME23[[#All],[Insurance Category Code]],4,AN_TME23[[#All],[Advanced Network/Insurance Carrier Org ID]],B98)/S98)</f>
        <v>NA</v>
      </c>
      <c r="AE98" s="165" t="str">
        <f>IF(S98=0,"NA",SUMIFS(AN_TME23[[#All],[TOTAL Non-Claims Expenses]],AN_TME23[[#All],[Insurance Category Code]],4,AN_TME23[[#All],[Advanced Network/Insurance Carrier Org ID]],B98)/S98)</f>
        <v>NA</v>
      </c>
      <c r="AF98" s="165" t="str">
        <f>IF(S98=0,"NA",SUMIFS(AN_TME23[[#All],[TOTAL Non-Truncated Unadjusted Expenses (A21 + A23)]],AN_TME23[[#All],[Insurance Category Code]],4,AN_TME23[[#All],[Advanced Network/Insurance Carrier Org ID]],B98)/S98)</f>
        <v>NA</v>
      </c>
      <c r="AG98" s="156" t="str">
        <f>IF(S98=0,"NA",SUMIFS(AN_TME23[[#All],[TOTAL Truncated Unadjusted Expenses (A22 + A23)]],AN_TME23[[#All],[Insurance Category Code]],4,AN_TME23[[#All],[Advanced Network/Insurance Carrier Org ID]],B98)/S98)</f>
        <v>NA</v>
      </c>
      <c r="AH98" s="478" t="str">
        <f t="shared" si="137"/>
        <v>NA</v>
      </c>
      <c r="AI98" s="479" t="str">
        <f t="shared" si="138"/>
        <v>NA</v>
      </c>
      <c r="AJ98" s="480" t="str">
        <f t="shared" si="139"/>
        <v>NA</v>
      </c>
      <c r="AK98" s="480" t="str">
        <f t="shared" si="140"/>
        <v>NA</v>
      </c>
      <c r="AL98" s="480" t="str">
        <f t="shared" si="141"/>
        <v>NA</v>
      </c>
      <c r="AM98" s="480" t="str">
        <f t="shared" si="142"/>
        <v>NA</v>
      </c>
      <c r="AN98" s="480" t="str">
        <f t="shared" si="143"/>
        <v>NA</v>
      </c>
      <c r="AO98" s="480" t="str">
        <f t="shared" si="144"/>
        <v>NA</v>
      </c>
      <c r="AP98" s="480" t="str">
        <f t="shared" si="145"/>
        <v>NA</v>
      </c>
      <c r="AQ98" s="480" t="str">
        <f t="shared" si="146"/>
        <v>NA</v>
      </c>
      <c r="AR98" s="481" t="str">
        <f t="shared" si="147"/>
        <v>NA</v>
      </c>
      <c r="AS98" s="481" t="str">
        <f t="shared" si="148"/>
        <v>NA</v>
      </c>
      <c r="AT98" s="481" t="str">
        <f t="shared" si="149"/>
        <v>NA</v>
      </c>
      <c r="AU98" s="481" t="str">
        <f t="shared" si="150"/>
        <v>NA</v>
      </c>
      <c r="AV98" s="482" t="str">
        <f t="shared" si="151"/>
        <v>NA</v>
      </c>
    </row>
    <row r="99" spans="1:48" ht="15" customHeight="1" x14ac:dyDescent="0.25">
      <c r="A99" s="164"/>
      <c r="B99" s="166">
        <v>116</v>
      </c>
      <c r="C99" s="169" t="str">
        <f>_xlfn.XLOOKUP(B99, LgProvEntOrgIDs[Advanced Network/Insurer Carrier Org ID], LgProvEntOrgIDs[Advanced Network/Insurance Carrier Overall])</f>
        <v>Community Health Services</v>
      </c>
      <c r="D99" s="507">
        <f>SUMIFS(AN_TME22[[#All],[Member Months]],AN_TME22[[#All],[Insurance Category Code]],4,AN_TME22[[#All],[Advanced Network/Insurance Carrier Org ID]],B99)</f>
        <v>0</v>
      </c>
      <c r="E99" s="155" t="str">
        <f>IF(D99=0,"NA",SUMIFS(AN_TME22[[#All],[Claims: Hospital Inpatient]],AN_TME22[[#All],[Insurance Category Code]],4,AN_TME22[[#All],[Advanced Network/Insurance Carrier Org ID]],B99)/D99)</f>
        <v>NA</v>
      </c>
      <c r="F99" s="109" t="str">
        <f>IF(D99=0,"NA",SUMIFS(AN_TME22[[#All],[Claims: Hospital Outpatient]],AN_TME22[[#All],[Insurance Category Code]],4,AN_TME22[[#All],[Advanced Network/Insurance Carrier Org ID]],B99)/D99)</f>
        <v>NA</v>
      </c>
      <c r="G99" s="109" t="str">
        <f>IF(D99=0,"NA",SUMIFS(AN_TME22[[#All],[Claims: Professional, Primary Care]],AN_TME22[[#All],[Insurance Category Code]],4,AN_TME22[[#All],[Advanced Network/Insurance Carrier Org ID]],B99)/D99)</f>
        <v>NA</v>
      </c>
      <c r="H99" s="109" t="str">
        <f>IF(D99=0,"NA",SUMIFS(AN_TME22[[#All],[Claims: Professional, Primary Care (for Monitoring Purposes)]],AN_TME22[[#All],[Insurance Category Code]],4,AN_TME22[[#All],[Advanced Network/Insurance Carrier Org ID]],B99)/D99)</f>
        <v>NA</v>
      </c>
      <c r="I99" s="109" t="str">
        <f>IF(D99=0,"NA",SUMIFS(AN_TME22[[#All],[Claims: Professional, Specialty]],AN_TME22[[#All],[Insurance Category Code]],4,AN_TME22[[#All],[Advanced Network/Insurance Carrier Org ID]],B99)/D99)</f>
        <v>NA</v>
      </c>
      <c r="J99" s="109" t="str">
        <f>IF(D99=0,"NA",SUMIFS(AN_TME22[[#All],[Claims: Professional Other]],AN_TME22[[#All],[Insurance Category Code]],4,AN_TME22[[#All],[Advanced Network/Insurance Carrier Org ID]],B99)/D99)</f>
        <v>NA</v>
      </c>
      <c r="K99" s="109" t="str">
        <f>IF(D99=0,"NA",SUMIFS(AN_TME22[[#All],[Claims: Pharmacy]],AN_TME22[[#All],[Insurance Category Code]],4,AN_TME22[[#All],[Advanced Network/Insurance Carrier Org ID]],B99)/D99)</f>
        <v>NA</v>
      </c>
      <c r="L99" s="109" t="str">
        <f>IF(D99=0,"NA",SUMIFS(AN_TME22[[#All],[Claims: Long-Term Care]],AN_TME22[[#All],[Insurance Category Code]],4,AN_TME22[[#All],[Advanced Network/Insurance Carrier Org ID]],B99)/D99)</f>
        <v>NA</v>
      </c>
      <c r="M99" s="109" t="str">
        <f>IF(D99=0,"NA",SUMIFS(AN_TME22[[#All],[Claims: Other]],AN_TME22[[#All],[Insurance Category Code]],4,AN_TME22[[#All],[Advanced Network/Insurance Carrier Org ID]],B99)/D99)</f>
        <v>NA</v>
      </c>
      <c r="N99" s="165" t="str">
        <f>IF(D99=0,"NA",SUMIFS(AN_TME22[[#All],[TOTAL Non-Truncated Unadjusted Claims Expenses]],AN_TME22[[#All],[Insurance Category Code]],4,AN_TME22[[#All],[Advanced Network/Insurance Carrier Org ID]],B99)/D99)</f>
        <v>NA</v>
      </c>
      <c r="O99" s="165" t="str">
        <f>IF(D99=0,"NA",SUMIFS(AN_TME22[[#All],[TOTAL Truncated Unadjusted Claims Expenses (A21 -A19)]],AN_TME22[[#All],[Insurance Category Code]],4,AN_TME22[[#All],[Advanced Network/Insurance Carrier Org ID]],B99)/D99)</f>
        <v>NA</v>
      </c>
      <c r="P99" s="165" t="str">
        <f>IF(D99=0,"NA",SUMIFS(AN_TME22[[#All],[TOTAL Non-Claims Expenses]],AN_TME22[[#All],[Insurance Category Code]],4,AN_TME22[[#All],[Advanced Network/Insurance Carrier Org ID]],B99)/D99)</f>
        <v>NA</v>
      </c>
      <c r="Q99" s="165" t="str">
        <f>IF(D99=0,"NA",SUMIFS(AN_TME22[[#All],[TOTAL Non-Truncated Unadjusted Expenses (A21 + A23)]],AN_TME22[[#All],[Insurance Category Code]],4,AN_TME22[[#All],[Advanced Network/Insurance Carrier Org ID]],B99)/D99)</f>
        <v>NA</v>
      </c>
      <c r="R99" s="165" t="str">
        <f>IF(D99=0,"NA",SUMIFS(AN_TME22[[#All],[TOTAL Truncated Unadjusted Expenses (A22 + A23)]],AN_TME22[[#All],[Insurance Category Code]],4,AN_TME22[[#All],[Advanced Network/Insurance Carrier Org ID]],B99)/D99)</f>
        <v>NA</v>
      </c>
      <c r="S99" s="507">
        <f>SUMIFS(AN_TME23[[#All],[Member Months]],AN_TME23[[#All],[Insurance Category Code]],4,AN_TME23[[#All],[Advanced Network/Insurance Carrier Org ID]],B99)</f>
        <v>0</v>
      </c>
      <c r="T99" s="155" t="str">
        <f>IF(S99=0,"NA",SUMIFS(AN_TME23[[#All],[Claims: Hospital Inpatient]],AN_TME23[[#All],[Insurance Category Code]],4,AN_TME23[[#All],[Advanced Network/Insurance Carrier Org ID]],B99)/S99)</f>
        <v>NA</v>
      </c>
      <c r="U99" s="109" t="str">
        <f>IF(S99=0,"NA",SUMIFS(AN_TME23[[#All],[Claims: Hospital Outpatient]],AN_TME23[[#All],[Insurance Category Code]],4,AN_TME23[[#All],[Advanced Network/Insurance Carrier Org ID]],B99)/S99)</f>
        <v>NA</v>
      </c>
      <c r="V99" s="109" t="str">
        <f>IF(S99=0,"NA",SUMIFS(AN_TME23[[#All],[Claims: Professional, Primary Care]],AN_TME23[[#All],[Insurance Category Code]],4,AN_TME23[[#All],[Advanced Network/Insurance Carrier Org ID]],B99)/S99)</f>
        <v>NA</v>
      </c>
      <c r="W99" s="109" t="str">
        <f>IF(S99=0,"NA",SUMIFS(AN_TME23[[#All],[Claims: Professional, Primary Care (for Monitoring Purposes)]],AN_TME23[[#All],[Insurance Category Code]],4,AN_TME23[[#All],[Advanced Network/Insurance Carrier Org ID]],B99)/S99)</f>
        <v>NA</v>
      </c>
      <c r="X99" s="109" t="str">
        <f>IF(S99=0,"NA",SUMIFS(AN_TME23[[#All],[Claims: Professional, Specialty]],AN_TME23[[#All],[Insurance Category Code]],4,AN_TME23[[#All],[Advanced Network/Insurance Carrier Org ID]],B99)/S99)</f>
        <v>NA</v>
      </c>
      <c r="Y99" s="109" t="str">
        <f>IF(S99=0,"NA",SUMIFS(AN_TME23[[#All],[Claims: Professional Other]],AN_TME23[[#All],[Insurance Category Code]],4,AN_TME23[[#All],[Advanced Network/Insurance Carrier Org ID]],B99)/S99)</f>
        <v>NA</v>
      </c>
      <c r="Z99" s="109" t="str">
        <f>IF(S99=0,"NA",SUMIFS(AN_TME23[[#All],[Claims: Pharmacy]],AN_TME23[[#All],[Insurance Category Code]],4,AN_TME23[[#All],[Advanced Network/Insurance Carrier Org ID]],B99)/S99)</f>
        <v>NA</v>
      </c>
      <c r="AA99" s="109" t="str">
        <f>IF(S99=0,"NA",SUMIFS(AN_TME23[[#All],[Claims: Long-Term Care]],AN_TME23[[#All],[Insurance Category Code]],4,AN_TME23[[#All],[Advanced Network/Insurance Carrier Org ID]],B99)/S99)</f>
        <v>NA</v>
      </c>
      <c r="AB99" s="109" t="str">
        <f>IF(S99=0,"NA",SUMIFS(AN_TME23[[#All],[Claims: Other]],AN_TME23[[#All],[Insurance Category Code]],4,AN_TME23[[#All],[Advanced Network/Insurance Carrier Org ID]],B99)/S99)</f>
        <v>NA</v>
      </c>
      <c r="AC99" s="165" t="str">
        <f>IF(S99=0,"NA",SUMIFS(AN_TME23[[#All],[TOTAL Non-Truncated Unadjusted Claims Expenses]],AN_TME23[[#All],[Insurance Category Code]],4,AN_TME23[[#All],[Advanced Network/Insurance Carrier Org ID]],B99)/S99)</f>
        <v>NA</v>
      </c>
      <c r="AD99" s="165" t="str">
        <f>IF(S99=0,"NA",SUMIFS(AN_TME23[[#All],[TOTAL Truncated Unadjusted Claims Expenses (A21 -A19)]],AN_TME23[[#All],[Insurance Category Code]],4,AN_TME23[[#All],[Advanced Network/Insurance Carrier Org ID]],B99)/S99)</f>
        <v>NA</v>
      </c>
      <c r="AE99" s="165" t="str">
        <f>IF(S99=0,"NA",SUMIFS(AN_TME23[[#All],[TOTAL Non-Claims Expenses]],AN_TME23[[#All],[Insurance Category Code]],4,AN_TME23[[#All],[Advanced Network/Insurance Carrier Org ID]],B99)/S99)</f>
        <v>NA</v>
      </c>
      <c r="AF99" s="165" t="str">
        <f>IF(S99=0,"NA",SUMIFS(AN_TME23[[#All],[TOTAL Non-Truncated Unadjusted Expenses (A21 + A23)]],AN_TME23[[#All],[Insurance Category Code]],4,AN_TME23[[#All],[Advanced Network/Insurance Carrier Org ID]],B99)/S99)</f>
        <v>NA</v>
      </c>
      <c r="AG99" s="156" t="str">
        <f>IF(S99=0,"NA",SUMIFS(AN_TME23[[#All],[TOTAL Truncated Unadjusted Expenses (A22 + A23)]],AN_TME23[[#All],[Insurance Category Code]],4,AN_TME23[[#All],[Advanced Network/Insurance Carrier Org ID]],B99)/S99)</f>
        <v>NA</v>
      </c>
      <c r="AH99" s="478" t="str">
        <f t="shared" si="137"/>
        <v>NA</v>
      </c>
      <c r="AI99" s="479" t="str">
        <f t="shared" si="138"/>
        <v>NA</v>
      </c>
      <c r="AJ99" s="480" t="str">
        <f t="shared" si="139"/>
        <v>NA</v>
      </c>
      <c r="AK99" s="480" t="str">
        <f t="shared" si="140"/>
        <v>NA</v>
      </c>
      <c r="AL99" s="480" t="str">
        <f t="shared" si="141"/>
        <v>NA</v>
      </c>
      <c r="AM99" s="480" t="str">
        <f t="shared" si="142"/>
        <v>NA</v>
      </c>
      <c r="AN99" s="480" t="str">
        <f t="shared" si="143"/>
        <v>NA</v>
      </c>
      <c r="AO99" s="480" t="str">
        <f t="shared" si="144"/>
        <v>NA</v>
      </c>
      <c r="AP99" s="480" t="str">
        <f t="shared" si="145"/>
        <v>NA</v>
      </c>
      <c r="AQ99" s="480" t="str">
        <f t="shared" si="146"/>
        <v>NA</v>
      </c>
      <c r="AR99" s="481" t="str">
        <f t="shared" si="147"/>
        <v>NA</v>
      </c>
      <c r="AS99" s="481" t="str">
        <f t="shared" si="148"/>
        <v>NA</v>
      </c>
      <c r="AT99" s="481" t="str">
        <f t="shared" si="149"/>
        <v>NA</v>
      </c>
      <c r="AU99" s="481" t="str">
        <f t="shared" si="150"/>
        <v>NA</v>
      </c>
      <c r="AV99" s="482" t="str">
        <f t="shared" si="151"/>
        <v>NA</v>
      </c>
    </row>
    <row r="100" spans="1:48" ht="15" customHeight="1" x14ac:dyDescent="0.25">
      <c r="A100" s="164"/>
      <c r="B100" s="166">
        <v>117</v>
      </c>
      <c r="C100" s="169" t="str">
        <f>_xlfn.XLOOKUP(B100, LgProvEntOrgIDs[Advanced Network/Insurer Carrier Org ID], LgProvEntOrgIDs[Advanced Network/Insurance Carrier Overall])</f>
        <v>Cornell Scott Hill Health Center</v>
      </c>
      <c r="D100" s="507">
        <f>SUMIFS(AN_TME22[[#All],[Member Months]],AN_TME22[[#All],[Insurance Category Code]],4,AN_TME22[[#All],[Advanced Network/Insurance Carrier Org ID]],B100)</f>
        <v>0</v>
      </c>
      <c r="E100" s="155" t="str">
        <f>IF(D100=0,"NA",SUMIFS(AN_TME22[[#All],[Claims: Hospital Inpatient]],AN_TME22[[#All],[Insurance Category Code]],4,AN_TME22[[#All],[Advanced Network/Insurance Carrier Org ID]],B100)/D100)</f>
        <v>NA</v>
      </c>
      <c r="F100" s="109" t="str">
        <f>IF(D100=0,"NA",SUMIFS(AN_TME22[[#All],[Claims: Hospital Outpatient]],AN_TME22[[#All],[Insurance Category Code]],4,AN_TME22[[#All],[Advanced Network/Insurance Carrier Org ID]],B100)/D100)</f>
        <v>NA</v>
      </c>
      <c r="G100" s="109" t="str">
        <f>IF(D100=0,"NA",SUMIFS(AN_TME22[[#All],[Claims: Professional, Primary Care]],AN_TME22[[#All],[Insurance Category Code]],4,AN_TME22[[#All],[Advanced Network/Insurance Carrier Org ID]],B100)/D100)</f>
        <v>NA</v>
      </c>
      <c r="H100" s="109" t="str">
        <f>IF(D100=0,"NA",SUMIFS(AN_TME22[[#All],[Claims: Professional, Primary Care (for Monitoring Purposes)]],AN_TME22[[#All],[Insurance Category Code]],4,AN_TME22[[#All],[Advanced Network/Insurance Carrier Org ID]],B100)/D100)</f>
        <v>NA</v>
      </c>
      <c r="I100" s="109" t="str">
        <f>IF(D100=0,"NA",SUMIFS(AN_TME22[[#All],[Claims: Professional, Specialty]],AN_TME22[[#All],[Insurance Category Code]],4,AN_TME22[[#All],[Advanced Network/Insurance Carrier Org ID]],B100)/D100)</f>
        <v>NA</v>
      </c>
      <c r="J100" s="109" t="str">
        <f>IF(D100=0,"NA",SUMIFS(AN_TME22[[#All],[Claims: Professional Other]],AN_TME22[[#All],[Insurance Category Code]],4,AN_TME22[[#All],[Advanced Network/Insurance Carrier Org ID]],B100)/D100)</f>
        <v>NA</v>
      </c>
      <c r="K100" s="109" t="str">
        <f>IF(D100=0,"NA",SUMIFS(AN_TME22[[#All],[Claims: Pharmacy]],AN_TME22[[#All],[Insurance Category Code]],4,AN_TME22[[#All],[Advanced Network/Insurance Carrier Org ID]],B100)/D100)</f>
        <v>NA</v>
      </c>
      <c r="L100" s="109" t="str">
        <f>IF(D100=0,"NA",SUMIFS(AN_TME22[[#All],[Claims: Long-Term Care]],AN_TME22[[#All],[Insurance Category Code]],4,AN_TME22[[#All],[Advanced Network/Insurance Carrier Org ID]],B100)/D100)</f>
        <v>NA</v>
      </c>
      <c r="M100" s="109" t="str">
        <f>IF(D100=0,"NA",SUMIFS(AN_TME22[[#All],[Claims: Other]],AN_TME22[[#All],[Insurance Category Code]],4,AN_TME22[[#All],[Advanced Network/Insurance Carrier Org ID]],B100)/D100)</f>
        <v>NA</v>
      </c>
      <c r="N100" s="165" t="str">
        <f>IF(D100=0,"NA",SUMIFS(AN_TME22[[#All],[TOTAL Non-Truncated Unadjusted Claims Expenses]],AN_TME22[[#All],[Insurance Category Code]],4,AN_TME22[[#All],[Advanced Network/Insurance Carrier Org ID]],B100)/D100)</f>
        <v>NA</v>
      </c>
      <c r="O100" s="165" t="str">
        <f>IF(D100=0,"NA",SUMIFS(AN_TME22[[#All],[TOTAL Truncated Unadjusted Claims Expenses (A21 -A19)]],AN_TME22[[#All],[Insurance Category Code]],4,AN_TME22[[#All],[Advanced Network/Insurance Carrier Org ID]],B100)/D100)</f>
        <v>NA</v>
      </c>
      <c r="P100" s="165" t="str">
        <f>IF(D100=0,"NA",SUMIFS(AN_TME22[[#All],[TOTAL Non-Claims Expenses]],AN_TME22[[#All],[Insurance Category Code]],4,AN_TME22[[#All],[Advanced Network/Insurance Carrier Org ID]],B100)/D100)</f>
        <v>NA</v>
      </c>
      <c r="Q100" s="165" t="str">
        <f>IF(D100=0,"NA",SUMIFS(AN_TME22[[#All],[TOTAL Non-Truncated Unadjusted Expenses (A21 + A23)]],AN_TME22[[#All],[Insurance Category Code]],4,AN_TME22[[#All],[Advanced Network/Insurance Carrier Org ID]],B100)/D100)</f>
        <v>NA</v>
      </c>
      <c r="R100" s="165" t="str">
        <f>IF(D100=0,"NA",SUMIFS(AN_TME22[[#All],[TOTAL Truncated Unadjusted Expenses (A22 + A23)]],AN_TME22[[#All],[Insurance Category Code]],4,AN_TME22[[#All],[Advanced Network/Insurance Carrier Org ID]],B100)/D100)</f>
        <v>NA</v>
      </c>
      <c r="S100" s="507">
        <f>SUMIFS(AN_TME23[[#All],[Member Months]],AN_TME23[[#All],[Insurance Category Code]],4,AN_TME23[[#All],[Advanced Network/Insurance Carrier Org ID]],B100)</f>
        <v>0</v>
      </c>
      <c r="T100" s="155" t="str">
        <f>IF(S100=0,"NA",SUMIFS(AN_TME23[[#All],[Claims: Hospital Inpatient]],AN_TME23[[#All],[Insurance Category Code]],4,AN_TME23[[#All],[Advanced Network/Insurance Carrier Org ID]],B100)/S100)</f>
        <v>NA</v>
      </c>
      <c r="U100" s="109" t="str">
        <f>IF(S100=0,"NA",SUMIFS(AN_TME23[[#All],[Claims: Hospital Outpatient]],AN_TME23[[#All],[Insurance Category Code]],4,AN_TME23[[#All],[Advanced Network/Insurance Carrier Org ID]],B100)/S100)</f>
        <v>NA</v>
      </c>
      <c r="V100" s="109" t="str">
        <f>IF(S100=0,"NA",SUMIFS(AN_TME23[[#All],[Claims: Professional, Primary Care]],AN_TME23[[#All],[Insurance Category Code]],4,AN_TME23[[#All],[Advanced Network/Insurance Carrier Org ID]],B100)/S100)</f>
        <v>NA</v>
      </c>
      <c r="W100" s="109" t="str">
        <f>IF(S100=0,"NA",SUMIFS(AN_TME23[[#All],[Claims: Professional, Primary Care (for Monitoring Purposes)]],AN_TME23[[#All],[Insurance Category Code]],4,AN_TME23[[#All],[Advanced Network/Insurance Carrier Org ID]],B100)/S100)</f>
        <v>NA</v>
      </c>
      <c r="X100" s="109" t="str">
        <f>IF(S100=0,"NA",SUMIFS(AN_TME23[[#All],[Claims: Professional, Specialty]],AN_TME23[[#All],[Insurance Category Code]],4,AN_TME23[[#All],[Advanced Network/Insurance Carrier Org ID]],B100)/S100)</f>
        <v>NA</v>
      </c>
      <c r="Y100" s="109" t="str">
        <f>IF(S100=0,"NA",SUMIFS(AN_TME23[[#All],[Claims: Professional Other]],AN_TME23[[#All],[Insurance Category Code]],4,AN_TME23[[#All],[Advanced Network/Insurance Carrier Org ID]],B100)/S100)</f>
        <v>NA</v>
      </c>
      <c r="Z100" s="109" t="str">
        <f>IF(S100=0,"NA",SUMIFS(AN_TME23[[#All],[Claims: Pharmacy]],AN_TME23[[#All],[Insurance Category Code]],4,AN_TME23[[#All],[Advanced Network/Insurance Carrier Org ID]],B100)/S100)</f>
        <v>NA</v>
      </c>
      <c r="AA100" s="109" t="str">
        <f>IF(S100=0,"NA",SUMIFS(AN_TME23[[#All],[Claims: Long-Term Care]],AN_TME23[[#All],[Insurance Category Code]],4,AN_TME23[[#All],[Advanced Network/Insurance Carrier Org ID]],B100)/S100)</f>
        <v>NA</v>
      </c>
      <c r="AB100" s="109" t="str">
        <f>IF(S100=0,"NA",SUMIFS(AN_TME23[[#All],[Claims: Other]],AN_TME23[[#All],[Insurance Category Code]],4,AN_TME23[[#All],[Advanced Network/Insurance Carrier Org ID]],B100)/S100)</f>
        <v>NA</v>
      </c>
      <c r="AC100" s="165" t="str">
        <f>IF(S100=0,"NA",SUMIFS(AN_TME23[[#All],[TOTAL Non-Truncated Unadjusted Claims Expenses]],AN_TME23[[#All],[Insurance Category Code]],4,AN_TME23[[#All],[Advanced Network/Insurance Carrier Org ID]],B100)/S100)</f>
        <v>NA</v>
      </c>
      <c r="AD100" s="165" t="str">
        <f>IF(S100=0,"NA",SUMIFS(AN_TME23[[#All],[TOTAL Truncated Unadjusted Claims Expenses (A21 -A19)]],AN_TME23[[#All],[Insurance Category Code]],4,AN_TME23[[#All],[Advanced Network/Insurance Carrier Org ID]],B100)/S100)</f>
        <v>NA</v>
      </c>
      <c r="AE100" s="165" t="str">
        <f>IF(S100=0,"NA",SUMIFS(AN_TME23[[#All],[TOTAL Non-Claims Expenses]],AN_TME23[[#All],[Insurance Category Code]],4,AN_TME23[[#All],[Advanced Network/Insurance Carrier Org ID]],B100)/S100)</f>
        <v>NA</v>
      </c>
      <c r="AF100" s="165" t="str">
        <f>IF(S100=0,"NA",SUMIFS(AN_TME23[[#All],[TOTAL Non-Truncated Unadjusted Expenses (A21 + A23)]],AN_TME23[[#All],[Insurance Category Code]],4,AN_TME23[[#All],[Advanced Network/Insurance Carrier Org ID]],B100)/S100)</f>
        <v>NA</v>
      </c>
      <c r="AG100" s="156" t="str">
        <f>IF(S100=0,"NA",SUMIFS(AN_TME23[[#All],[TOTAL Truncated Unadjusted Expenses (A22 + A23)]],AN_TME23[[#All],[Insurance Category Code]],4,AN_TME23[[#All],[Advanced Network/Insurance Carrier Org ID]],B100)/S100)</f>
        <v>NA</v>
      </c>
      <c r="AH100" s="478" t="str">
        <f t="shared" si="137"/>
        <v>NA</v>
      </c>
      <c r="AI100" s="479" t="str">
        <f t="shared" si="138"/>
        <v>NA</v>
      </c>
      <c r="AJ100" s="480" t="str">
        <f t="shared" si="139"/>
        <v>NA</v>
      </c>
      <c r="AK100" s="480" t="str">
        <f t="shared" si="140"/>
        <v>NA</v>
      </c>
      <c r="AL100" s="480" t="str">
        <f t="shared" si="141"/>
        <v>NA</v>
      </c>
      <c r="AM100" s="480" t="str">
        <f t="shared" si="142"/>
        <v>NA</v>
      </c>
      <c r="AN100" s="480" t="str">
        <f t="shared" si="143"/>
        <v>NA</v>
      </c>
      <c r="AO100" s="480" t="str">
        <f t="shared" si="144"/>
        <v>NA</v>
      </c>
      <c r="AP100" s="480" t="str">
        <f t="shared" si="145"/>
        <v>NA</v>
      </c>
      <c r="AQ100" s="480" t="str">
        <f t="shared" si="146"/>
        <v>NA</v>
      </c>
      <c r="AR100" s="481" t="str">
        <f t="shared" si="147"/>
        <v>NA</v>
      </c>
      <c r="AS100" s="481" t="str">
        <f t="shared" si="148"/>
        <v>NA</v>
      </c>
      <c r="AT100" s="481" t="str">
        <f t="shared" si="149"/>
        <v>NA</v>
      </c>
      <c r="AU100" s="481" t="str">
        <f t="shared" si="150"/>
        <v>NA</v>
      </c>
      <c r="AV100" s="482" t="str">
        <f t="shared" si="151"/>
        <v>NA</v>
      </c>
    </row>
    <row r="101" spans="1:48" ht="15" customHeight="1" x14ac:dyDescent="0.25">
      <c r="A101" s="164"/>
      <c r="B101" s="166">
        <v>118</v>
      </c>
      <c r="C101" s="169" t="str">
        <f>_xlfn.XLOOKUP(B101, LgProvEntOrgIDs[Advanced Network/Insurer Carrier Org ID], LgProvEntOrgIDs[Advanced Network/Insurance Carrier Overall])</f>
        <v>Fair Haven Community Health Center</v>
      </c>
      <c r="D101" s="507">
        <f>SUMIFS(AN_TME22[[#All],[Member Months]],AN_TME22[[#All],[Insurance Category Code]],4,AN_TME22[[#All],[Advanced Network/Insurance Carrier Org ID]],B101)</f>
        <v>0</v>
      </c>
      <c r="E101" s="155" t="str">
        <f>IF(D101=0,"NA",SUMIFS(AN_TME22[[#All],[Claims: Hospital Inpatient]],AN_TME22[[#All],[Insurance Category Code]],4,AN_TME22[[#All],[Advanced Network/Insurance Carrier Org ID]],B101)/D101)</f>
        <v>NA</v>
      </c>
      <c r="F101" s="109" t="str">
        <f>IF(D101=0,"NA",SUMIFS(AN_TME22[[#All],[Claims: Hospital Outpatient]],AN_TME22[[#All],[Insurance Category Code]],4,AN_TME22[[#All],[Advanced Network/Insurance Carrier Org ID]],B101)/D101)</f>
        <v>NA</v>
      </c>
      <c r="G101" s="109" t="str">
        <f>IF(D101=0,"NA",SUMIFS(AN_TME22[[#All],[Claims: Professional, Primary Care]],AN_TME22[[#All],[Insurance Category Code]],4,AN_TME22[[#All],[Advanced Network/Insurance Carrier Org ID]],B101)/D101)</f>
        <v>NA</v>
      </c>
      <c r="H101" s="109" t="str">
        <f>IF(D101=0,"NA",SUMIFS(AN_TME22[[#All],[Claims: Professional, Primary Care (for Monitoring Purposes)]],AN_TME22[[#All],[Insurance Category Code]],4,AN_TME22[[#All],[Advanced Network/Insurance Carrier Org ID]],B101)/D101)</f>
        <v>NA</v>
      </c>
      <c r="I101" s="109" t="str">
        <f>IF(D101=0,"NA",SUMIFS(AN_TME22[[#All],[Claims: Professional, Specialty]],AN_TME22[[#All],[Insurance Category Code]],4,AN_TME22[[#All],[Advanced Network/Insurance Carrier Org ID]],B101)/D101)</f>
        <v>NA</v>
      </c>
      <c r="J101" s="109" t="str">
        <f>IF(D101=0,"NA",SUMIFS(AN_TME22[[#All],[Claims: Professional Other]],AN_TME22[[#All],[Insurance Category Code]],4,AN_TME22[[#All],[Advanced Network/Insurance Carrier Org ID]],B101)/D101)</f>
        <v>NA</v>
      </c>
      <c r="K101" s="109" t="str">
        <f>IF(D101=0,"NA",SUMIFS(AN_TME22[[#All],[Claims: Pharmacy]],AN_TME22[[#All],[Insurance Category Code]],4,AN_TME22[[#All],[Advanced Network/Insurance Carrier Org ID]],B101)/D101)</f>
        <v>NA</v>
      </c>
      <c r="L101" s="109" t="str">
        <f>IF(D101=0,"NA",SUMIFS(AN_TME22[[#All],[Claims: Long-Term Care]],AN_TME22[[#All],[Insurance Category Code]],4,AN_TME22[[#All],[Advanced Network/Insurance Carrier Org ID]],B101)/D101)</f>
        <v>NA</v>
      </c>
      <c r="M101" s="109" t="str">
        <f>IF(D101=0,"NA",SUMIFS(AN_TME22[[#All],[Claims: Other]],AN_TME22[[#All],[Insurance Category Code]],4,AN_TME22[[#All],[Advanced Network/Insurance Carrier Org ID]],B101)/D101)</f>
        <v>NA</v>
      </c>
      <c r="N101" s="165" t="str">
        <f>IF(D101=0,"NA",SUMIFS(AN_TME22[[#All],[TOTAL Non-Truncated Unadjusted Claims Expenses]],AN_TME22[[#All],[Insurance Category Code]],4,AN_TME22[[#All],[Advanced Network/Insurance Carrier Org ID]],B101)/D101)</f>
        <v>NA</v>
      </c>
      <c r="O101" s="165" t="str">
        <f>IF(D101=0,"NA",SUMIFS(AN_TME22[[#All],[TOTAL Truncated Unadjusted Claims Expenses (A21 -A19)]],AN_TME22[[#All],[Insurance Category Code]],4,AN_TME22[[#All],[Advanced Network/Insurance Carrier Org ID]],B101)/D101)</f>
        <v>NA</v>
      </c>
      <c r="P101" s="165" t="str">
        <f>IF(D101=0,"NA",SUMIFS(AN_TME22[[#All],[TOTAL Non-Claims Expenses]],AN_TME22[[#All],[Insurance Category Code]],4,AN_TME22[[#All],[Advanced Network/Insurance Carrier Org ID]],B101)/D101)</f>
        <v>NA</v>
      </c>
      <c r="Q101" s="165" t="str">
        <f>IF(D101=0,"NA",SUMIFS(AN_TME22[[#All],[TOTAL Non-Truncated Unadjusted Expenses (A21 + A23)]],AN_TME22[[#All],[Insurance Category Code]],4,AN_TME22[[#All],[Advanced Network/Insurance Carrier Org ID]],B101)/D101)</f>
        <v>NA</v>
      </c>
      <c r="R101" s="165" t="str">
        <f>IF(D101=0,"NA",SUMIFS(AN_TME22[[#All],[TOTAL Truncated Unadjusted Expenses (A22 + A23)]],AN_TME22[[#All],[Insurance Category Code]],4,AN_TME22[[#All],[Advanced Network/Insurance Carrier Org ID]],B101)/D101)</f>
        <v>NA</v>
      </c>
      <c r="S101" s="507">
        <f>SUMIFS(AN_TME23[[#All],[Member Months]],AN_TME23[[#All],[Insurance Category Code]],4,AN_TME23[[#All],[Advanced Network/Insurance Carrier Org ID]],B101)</f>
        <v>0</v>
      </c>
      <c r="T101" s="155" t="str">
        <f>IF(S101=0,"NA",SUMIFS(AN_TME23[[#All],[Claims: Hospital Inpatient]],AN_TME23[[#All],[Insurance Category Code]],4,AN_TME23[[#All],[Advanced Network/Insurance Carrier Org ID]],B101)/S101)</f>
        <v>NA</v>
      </c>
      <c r="U101" s="109" t="str">
        <f>IF(S101=0,"NA",SUMIFS(AN_TME23[[#All],[Claims: Hospital Outpatient]],AN_TME23[[#All],[Insurance Category Code]],4,AN_TME23[[#All],[Advanced Network/Insurance Carrier Org ID]],B101)/S101)</f>
        <v>NA</v>
      </c>
      <c r="V101" s="109" t="str">
        <f>IF(S101=0,"NA",SUMIFS(AN_TME23[[#All],[Claims: Professional, Primary Care]],AN_TME23[[#All],[Insurance Category Code]],4,AN_TME23[[#All],[Advanced Network/Insurance Carrier Org ID]],B101)/S101)</f>
        <v>NA</v>
      </c>
      <c r="W101" s="109" t="str">
        <f>IF(S101=0,"NA",SUMIFS(AN_TME23[[#All],[Claims: Professional, Primary Care (for Monitoring Purposes)]],AN_TME23[[#All],[Insurance Category Code]],4,AN_TME23[[#All],[Advanced Network/Insurance Carrier Org ID]],B101)/S101)</f>
        <v>NA</v>
      </c>
      <c r="X101" s="109" t="str">
        <f>IF(S101=0,"NA",SUMIFS(AN_TME23[[#All],[Claims: Professional, Specialty]],AN_TME23[[#All],[Insurance Category Code]],4,AN_TME23[[#All],[Advanced Network/Insurance Carrier Org ID]],B101)/S101)</f>
        <v>NA</v>
      </c>
      <c r="Y101" s="109" t="str">
        <f>IF(S101=0,"NA",SUMIFS(AN_TME23[[#All],[Claims: Professional Other]],AN_TME23[[#All],[Insurance Category Code]],4,AN_TME23[[#All],[Advanced Network/Insurance Carrier Org ID]],B101)/S101)</f>
        <v>NA</v>
      </c>
      <c r="Z101" s="109" t="str">
        <f>IF(S101=0,"NA",SUMIFS(AN_TME23[[#All],[Claims: Pharmacy]],AN_TME23[[#All],[Insurance Category Code]],4,AN_TME23[[#All],[Advanced Network/Insurance Carrier Org ID]],B101)/S101)</f>
        <v>NA</v>
      </c>
      <c r="AA101" s="109" t="str">
        <f>IF(S101=0,"NA",SUMIFS(AN_TME23[[#All],[Claims: Long-Term Care]],AN_TME23[[#All],[Insurance Category Code]],4,AN_TME23[[#All],[Advanced Network/Insurance Carrier Org ID]],B101)/S101)</f>
        <v>NA</v>
      </c>
      <c r="AB101" s="109" t="str">
        <f>IF(S101=0,"NA",SUMIFS(AN_TME23[[#All],[Claims: Other]],AN_TME23[[#All],[Insurance Category Code]],4,AN_TME23[[#All],[Advanced Network/Insurance Carrier Org ID]],B101)/S101)</f>
        <v>NA</v>
      </c>
      <c r="AC101" s="165" t="str">
        <f>IF(S101=0,"NA",SUMIFS(AN_TME23[[#All],[TOTAL Non-Truncated Unadjusted Claims Expenses]],AN_TME23[[#All],[Insurance Category Code]],4,AN_TME23[[#All],[Advanced Network/Insurance Carrier Org ID]],B101)/S101)</f>
        <v>NA</v>
      </c>
      <c r="AD101" s="165" t="str">
        <f>IF(S101=0,"NA",SUMIFS(AN_TME23[[#All],[TOTAL Truncated Unadjusted Claims Expenses (A21 -A19)]],AN_TME23[[#All],[Insurance Category Code]],4,AN_TME23[[#All],[Advanced Network/Insurance Carrier Org ID]],B101)/S101)</f>
        <v>NA</v>
      </c>
      <c r="AE101" s="165" t="str">
        <f>IF(S101=0,"NA",SUMIFS(AN_TME23[[#All],[TOTAL Non-Claims Expenses]],AN_TME23[[#All],[Insurance Category Code]],4,AN_TME23[[#All],[Advanced Network/Insurance Carrier Org ID]],B101)/S101)</f>
        <v>NA</v>
      </c>
      <c r="AF101" s="165" t="str">
        <f>IF(S101=0,"NA",SUMIFS(AN_TME23[[#All],[TOTAL Non-Truncated Unadjusted Expenses (A21 + A23)]],AN_TME23[[#All],[Insurance Category Code]],4,AN_TME23[[#All],[Advanced Network/Insurance Carrier Org ID]],B101)/S101)</f>
        <v>NA</v>
      </c>
      <c r="AG101" s="156" t="str">
        <f>IF(S101=0,"NA",SUMIFS(AN_TME23[[#All],[TOTAL Truncated Unadjusted Expenses (A22 + A23)]],AN_TME23[[#All],[Insurance Category Code]],4,AN_TME23[[#All],[Advanced Network/Insurance Carrier Org ID]],B101)/S101)</f>
        <v>NA</v>
      </c>
      <c r="AH101" s="478" t="str">
        <f t="shared" si="137"/>
        <v>NA</v>
      </c>
      <c r="AI101" s="479" t="str">
        <f t="shared" si="138"/>
        <v>NA</v>
      </c>
      <c r="AJ101" s="480" t="str">
        <f t="shared" si="139"/>
        <v>NA</v>
      </c>
      <c r="AK101" s="480" t="str">
        <f t="shared" si="140"/>
        <v>NA</v>
      </c>
      <c r="AL101" s="480" t="str">
        <f t="shared" si="141"/>
        <v>NA</v>
      </c>
      <c r="AM101" s="480" t="str">
        <f t="shared" si="142"/>
        <v>NA</v>
      </c>
      <c r="AN101" s="480" t="str">
        <f t="shared" si="143"/>
        <v>NA</v>
      </c>
      <c r="AO101" s="480" t="str">
        <f t="shared" si="144"/>
        <v>NA</v>
      </c>
      <c r="AP101" s="480" t="str">
        <f t="shared" si="145"/>
        <v>NA</v>
      </c>
      <c r="AQ101" s="480" t="str">
        <f t="shared" si="146"/>
        <v>NA</v>
      </c>
      <c r="AR101" s="481" t="str">
        <f t="shared" si="147"/>
        <v>NA</v>
      </c>
      <c r="AS101" s="481" t="str">
        <f t="shared" si="148"/>
        <v>NA</v>
      </c>
      <c r="AT101" s="481" t="str">
        <f t="shared" si="149"/>
        <v>NA</v>
      </c>
      <c r="AU101" s="481" t="str">
        <f t="shared" si="150"/>
        <v>NA</v>
      </c>
      <c r="AV101" s="482" t="str">
        <f t="shared" si="151"/>
        <v>NA</v>
      </c>
    </row>
    <row r="102" spans="1:48" ht="15" customHeight="1" x14ac:dyDescent="0.25">
      <c r="A102" s="164"/>
      <c r="B102" s="166">
        <v>119</v>
      </c>
      <c r="C102" s="169" t="str">
        <f>_xlfn.XLOOKUP(B102, LgProvEntOrgIDs[Advanced Network/Insurer Carrier Org ID], LgProvEntOrgIDs[Advanced Network/Insurance Carrier Overall])</f>
        <v>Family Centers</v>
      </c>
      <c r="D102" s="507">
        <f>SUMIFS(AN_TME22[[#All],[Member Months]],AN_TME22[[#All],[Insurance Category Code]],4,AN_TME22[[#All],[Advanced Network/Insurance Carrier Org ID]],B102)</f>
        <v>0</v>
      </c>
      <c r="E102" s="155" t="str">
        <f>IF(D102=0,"NA",SUMIFS(AN_TME22[[#All],[Claims: Hospital Inpatient]],AN_TME22[[#All],[Insurance Category Code]],4,AN_TME22[[#All],[Advanced Network/Insurance Carrier Org ID]],B102)/D102)</f>
        <v>NA</v>
      </c>
      <c r="F102" s="109" t="str">
        <f>IF(D102=0,"NA",SUMIFS(AN_TME22[[#All],[Claims: Hospital Outpatient]],AN_TME22[[#All],[Insurance Category Code]],4,AN_TME22[[#All],[Advanced Network/Insurance Carrier Org ID]],B102)/D102)</f>
        <v>NA</v>
      </c>
      <c r="G102" s="109" t="str">
        <f>IF(D102=0,"NA",SUMIFS(AN_TME22[[#All],[Claims: Professional, Primary Care]],AN_TME22[[#All],[Insurance Category Code]],4,AN_TME22[[#All],[Advanced Network/Insurance Carrier Org ID]],B102)/D102)</f>
        <v>NA</v>
      </c>
      <c r="H102" s="109" t="str">
        <f>IF(D102=0,"NA",SUMIFS(AN_TME22[[#All],[Claims: Professional, Primary Care (for Monitoring Purposes)]],AN_TME22[[#All],[Insurance Category Code]],4,AN_TME22[[#All],[Advanced Network/Insurance Carrier Org ID]],B102)/D102)</f>
        <v>NA</v>
      </c>
      <c r="I102" s="109" t="str">
        <f>IF(D102=0,"NA",SUMIFS(AN_TME22[[#All],[Claims: Professional, Specialty]],AN_TME22[[#All],[Insurance Category Code]],4,AN_TME22[[#All],[Advanced Network/Insurance Carrier Org ID]],B102)/D102)</f>
        <v>NA</v>
      </c>
      <c r="J102" s="109" t="str">
        <f>IF(D102=0,"NA",SUMIFS(AN_TME22[[#All],[Claims: Professional Other]],AN_TME22[[#All],[Insurance Category Code]],4,AN_TME22[[#All],[Advanced Network/Insurance Carrier Org ID]],B102)/D102)</f>
        <v>NA</v>
      </c>
      <c r="K102" s="109" t="str">
        <f>IF(D102=0,"NA",SUMIFS(AN_TME22[[#All],[Claims: Pharmacy]],AN_TME22[[#All],[Insurance Category Code]],4,AN_TME22[[#All],[Advanced Network/Insurance Carrier Org ID]],B102)/D102)</f>
        <v>NA</v>
      </c>
      <c r="L102" s="109" t="str">
        <f>IF(D102=0,"NA",SUMIFS(AN_TME22[[#All],[Claims: Long-Term Care]],AN_TME22[[#All],[Insurance Category Code]],4,AN_TME22[[#All],[Advanced Network/Insurance Carrier Org ID]],B102)/D102)</f>
        <v>NA</v>
      </c>
      <c r="M102" s="109" t="str">
        <f>IF(D102=0,"NA",SUMIFS(AN_TME22[[#All],[Claims: Other]],AN_TME22[[#All],[Insurance Category Code]],4,AN_TME22[[#All],[Advanced Network/Insurance Carrier Org ID]],B102)/D102)</f>
        <v>NA</v>
      </c>
      <c r="N102" s="165" t="str">
        <f>IF(D102=0,"NA",SUMIFS(AN_TME22[[#All],[TOTAL Non-Truncated Unadjusted Claims Expenses]],AN_TME22[[#All],[Insurance Category Code]],4,AN_TME22[[#All],[Advanced Network/Insurance Carrier Org ID]],B102)/D102)</f>
        <v>NA</v>
      </c>
      <c r="O102" s="165" t="str">
        <f>IF(D102=0,"NA",SUMIFS(AN_TME22[[#All],[TOTAL Truncated Unadjusted Claims Expenses (A21 -A19)]],AN_TME22[[#All],[Insurance Category Code]],4,AN_TME22[[#All],[Advanced Network/Insurance Carrier Org ID]],B102)/D102)</f>
        <v>NA</v>
      </c>
      <c r="P102" s="165" t="str">
        <f>IF(D102=0,"NA",SUMIFS(AN_TME22[[#All],[TOTAL Non-Claims Expenses]],AN_TME22[[#All],[Insurance Category Code]],4,AN_TME22[[#All],[Advanced Network/Insurance Carrier Org ID]],B102)/D102)</f>
        <v>NA</v>
      </c>
      <c r="Q102" s="165" t="str">
        <f>IF(D102=0,"NA",SUMIFS(AN_TME22[[#All],[TOTAL Non-Truncated Unadjusted Expenses (A21 + A23)]],AN_TME22[[#All],[Insurance Category Code]],4,AN_TME22[[#All],[Advanced Network/Insurance Carrier Org ID]],B102)/D102)</f>
        <v>NA</v>
      </c>
      <c r="R102" s="165" t="str">
        <f>IF(D102=0,"NA",SUMIFS(AN_TME22[[#All],[TOTAL Truncated Unadjusted Expenses (A22 + A23)]],AN_TME22[[#All],[Insurance Category Code]],4,AN_TME22[[#All],[Advanced Network/Insurance Carrier Org ID]],B102)/D102)</f>
        <v>NA</v>
      </c>
      <c r="S102" s="507">
        <f>SUMIFS(AN_TME23[[#All],[Member Months]],AN_TME23[[#All],[Insurance Category Code]],4,AN_TME23[[#All],[Advanced Network/Insurance Carrier Org ID]],B102)</f>
        <v>0</v>
      </c>
      <c r="T102" s="155" t="str">
        <f>IF(S102=0,"NA",SUMIFS(AN_TME23[[#All],[Claims: Hospital Inpatient]],AN_TME23[[#All],[Insurance Category Code]],4,AN_TME23[[#All],[Advanced Network/Insurance Carrier Org ID]],B102)/S102)</f>
        <v>NA</v>
      </c>
      <c r="U102" s="109" t="str">
        <f>IF(S102=0,"NA",SUMIFS(AN_TME23[[#All],[Claims: Hospital Outpatient]],AN_TME23[[#All],[Insurance Category Code]],4,AN_TME23[[#All],[Advanced Network/Insurance Carrier Org ID]],B102)/S102)</f>
        <v>NA</v>
      </c>
      <c r="V102" s="109" t="str">
        <f>IF(S102=0,"NA",SUMIFS(AN_TME23[[#All],[Claims: Professional, Primary Care]],AN_TME23[[#All],[Insurance Category Code]],4,AN_TME23[[#All],[Advanced Network/Insurance Carrier Org ID]],B102)/S102)</f>
        <v>NA</v>
      </c>
      <c r="W102" s="109" t="str">
        <f>IF(S102=0,"NA",SUMIFS(AN_TME23[[#All],[Claims: Professional, Primary Care (for Monitoring Purposes)]],AN_TME23[[#All],[Insurance Category Code]],4,AN_TME23[[#All],[Advanced Network/Insurance Carrier Org ID]],B102)/S102)</f>
        <v>NA</v>
      </c>
      <c r="X102" s="109" t="str">
        <f>IF(S102=0,"NA",SUMIFS(AN_TME23[[#All],[Claims: Professional, Specialty]],AN_TME23[[#All],[Insurance Category Code]],4,AN_TME23[[#All],[Advanced Network/Insurance Carrier Org ID]],B102)/S102)</f>
        <v>NA</v>
      </c>
      <c r="Y102" s="109" t="str">
        <f>IF(S102=0,"NA",SUMIFS(AN_TME23[[#All],[Claims: Professional Other]],AN_TME23[[#All],[Insurance Category Code]],4,AN_TME23[[#All],[Advanced Network/Insurance Carrier Org ID]],B102)/S102)</f>
        <v>NA</v>
      </c>
      <c r="Z102" s="109" t="str">
        <f>IF(S102=0,"NA",SUMIFS(AN_TME23[[#All],[Claims: Pharmacy]],AN_TME23[[#All],[Insurance Category Code]],4,AN_TME23[[#All],[Advanced Network/Insurance Carrier Org ID]],B102)/S102)</f>
        <v>NA</v>
      </c>
      <c r="AA102" s="109" t="str">
        <f>IF(S102=0,"NA",SUMIFS(AN_TME23[[#All],[Claims: Long-Term Care]],AN_TME23[[#All],[Insurance Category Code]],4,AN_TME23[[#All],[Advanced Network/Insurance Carrier Org ID]],B102)/S102)</f>
        <v>NA</v>
      </c>
      <c r="AB102" s="109" t="str">
        <f>IF(S102=0,"NA",SUMIFS(AN_TME23[[#All],[Claims: Other]],AN_TME23[[#All],[Insurance Category Code]],4,AN_TME23[[#All],[Advanced Network/Insurance Carrier Org ID]],B102)/S102)</f>
        <v>NA</v>
      </c>
      <c r="AC102" s="165" t="str">
        <f>IF(S102=0,"NA",SUMIFS(AN_TME23[[#All],[TOTAL Non-Truncated Unadjusted Claims Expenses]],AN_TME23[[#All],[Insurance Category Code]],4,AN_TME23[[#All],[Advanced Network/Insurance Carrier Org ID]],B102)/S102)</f>
        <v>NA</v>
      </c>
      <c r="AD102" s="165" t="str">
        <f>IF(S102=0,"NA",SUMIFS(AN_TME23[[#All],[TOTAL Truncated Unadjusted Claims Expenses (A21 -A19)]],AN_TME23[[#All],[Insurance Category Code]],4,AN_TME23[[#All],[Advanced Network/Insurance Carrier Org ID]],B102)/S102)</f>
        <v>NA</v>
      </c>
      <c r="AE102" s="165" t="str">
        <f>IF(S102=0,"NA",SUMIFS(AN_TME23[[#All],[TOTAL Non-Claims Expenses]],AN_TME23[[#All],[Insurance Category Code]],4,AN_TME23[[#All],[Advanced Network/Insurance Carrier Org ID]],B102)/S102)</f>
        <v>NA</v>
      </c>
      <c r="AF102" s="165" t="str">
        <f>IF(S102=0,"NA",SUMIFS(AN_TME23[[#All],[TOTAL Non-Truncated Unadjusted Expenses (A21 + A23)]],AN_TME23[[#All],[Insurance Category Code]],4,AN_TME23[[#All],[Advanced Network/Insurance Carrier Org ID]],B102)/S102)</f>
        <v>NA</v>
      </c>
      <c r="AG102" s="156" t="str">
        <f>IF(S102=0,"NA",SUMIFS(AN_TME23[[#All],[TOTAL Truncated Unadjusted Expenses (A22 + A23)]],AN_TME23[[#All],[Insurance Category Code]],4,AN_TME23[[#All],[Advanced Network/Insurance Carrier Org ID]],B102)/S102)</f>
        <v>NA</v>
      </c>
      <c r="AH102" s="478" t="str">
        <f t="shared" si="137"/>
        <v>NA</v>
      </c>
      <c r="AI102" s="479" t="str">
        <f t="shared" si="138"/>
        <v>NA</v>
      </c>
      <c r="AJ102" s="480" t="str">
        <f t="shared" si="139"/>
        <v>NA</v>
      </c>
      <c r="AK102" s="480" t="str">
        <f t="shared" si="140"/>
        <v>NA</v>
      </c>
      <c r="AL102" s="480" t="str">
        <f t="shared" si="141"/>
        <v>NA</v>
      </c>
      <c r="AM102" s="480" t="str">
        <f t="shared" si="142"/>
        <v>NA</v>
      </c>
      <c r="AN102" s="480" t="str">
        <f t="shared" si="143"/>
        <v>NA</v>
      </c>
      <c r="AO102" s="480" t="str">
        <f t="shared" si="144"/>
        <v>NA</v>
      </c>
      <c r="AP102" s="480" t="str">
        <f t="shared" si="145"/>
        <v>NA</v>
      </c>
      <c r="AQ102" s="480" t="str">
        <f t="shared" si="146"/>
        <v>NA</v>
      </c>
      <c r="AR102" s="481" t="str">
        <f t="shared" si="147"/>
        <v>NA</v>
      </c>
      <c r="AS102" s="481" t="str">
        <f t="shared" si="148"/>
        <v>NA</v>
      </c>
      <c r="AT102" s="481" t="str">
        <f t="shared" si="149"/>
        <v>NA</v>
      </c>
      <c r="AU102" s="481" t="str">
        <f t="shared" si="150"/>
        <v>NA</v>
      </c>
      <c r="AV102" s="482" t="str">
        <f t="shared" si="151"/>
        <v>NA</v>
      </c>
    </row>
    <row r="103" spans="1:48" ht="15" customHeight="1" x14ac:dyDescent="0.25">
      <c r="A103" s="164"/>
      <c r="B103" s="166">
        <v>120</v>
      </c>
      <c r="C103" s="169" t="str">
        <f>_xlfn.XLOOKUP(B103, LgProvEntOrgIDs[Advanced Network/Insurer Carrier Org ID], LgProvEntOrgIDs[Advanced Network/Insurance Carrier Overall])</f>
        <v>First Choice Community Health Centers</v>
      </c>
      <c r="D103" s="507">
        <f>SUMIFS(AN_TME22[[#All],[Member Months]],AN_TME22[[#All],[Insurance Category Code]],4,AN_TME22[[#All],[Advanced Network/Insurance Carrier Org ID]],B103)</f>
        <v>0</v>
      </c>
      <c r="E103" s="155" t="str">
        <f>IF(D103=0,"NA",SUMIFS(AN_TME22[[#All],[Claims: Hospital Inpatient]],AN_TME22[[#All],[Insurance Category Code]],4,AN_TME22[[#All],[Advanced Network/Insurance Carrier Org ID]],B103)/D103)</f>
        <v>NA</v>
      </c>
      <c r="F103" s="109" t="str">
        <f>IF(D103=0,"NA",SUMIFS(AN_TME22[[#All],[Claims: Hospital Outpatient]],AN_TME22[[#All],[Insurance Category Code]],4,AN_TME22[[#All],[Advanced Network/Insurance Carrier Org ID]],B103)/D103)</f>
        <v>NA</v>
      </c>
      <c r="G103" s="109" t="str">
        <f>IF(D103=0,"NA",SUMIFS(AN_TME22[[#All],[Claims: Professional, Primary Care]],AN_TME22[[#All],[Insurance Category Code]],4,AN_TME22[[#All],[Advanced Network/Insurance Carrier Org ID]],B103)/D103)</f>
        <v>NA</v>
      </c>
      <c r="H103" s="109" t="str">
        <f>IF(D103=0,"NA",SUMIFS(AN_TME22[[#All],[Claims: Professional, Primary Care (for Monitoring Purposes)]],AN_TME22[[#All],[Insurance Category Code]],4,AN_TME22[[#All],[Advanced Network/Insurance Carrier Org ID]],B103)/D103)</f>
        <v>NA</v>
      </c>
      <c r="I103" s="109" t="str">
        <f>IF(D103=0,"NA",SUMIFS(AN_TME22[[#All],[Claims: Professional, Specialty]],AN_TME22[[#All],[Insurance Category Code]],4,AN_TME22[[#All],[Advanced Network/Insurance Carrier Org ID]],B103)/D103)</f>
        <v>NA</v>
      </c>
      <c r="J103" s="109" t="str">
        <f>IF(D103=0,"NA",SUMIFS(AN_TME22[[#All],[Claims: Professional Other]],AN_TME22[[#All],[Insurance Category Code]],4,AN_TME22[[#All],[Advanced Network/Insurance Carrier Org ID]],B103)/D103)</f>
        <v>NA</v>
      </c>
      <c r="K103" s="109" t="str">
        <f>IF(D103=0,"NA",SUMIFS(AN_TME22[[#All],[Claims: Pharmacy]],AN_TME22[[#All],[Insurance Category Code]],4,AN_TME22[[#All],[Advanced Network/Insurance Carrier Org ID]],B103)/D103)</f>
        <v>NA</v>
      </c>
      <c r="L103" s="109" t="str">
        <f>IF(D103=0,"NA",SUMIFS(AN_TME22[[#All],[Claims: Long-Term Care]],AN_TME22[[#All],[Insurance Category Code]],4,AN_TME22[[#All],[Advanced Network/Insurance Carrier Org ID]],B103)/D103)</f>
        <v>NA</v>
      </c>
      <c r="M103" s="109" t="str">
        <f>IF(D103=0,"NA",SUMIFS(AN_TME22[[#All],[Claims: Other]],AN_TME22[[#All],[Insurance Category Code]],4,AN_TME22[[#All],[Advanced Network/Insurance Carrier Org ID]],B103)/D103)</f>
        <v>NA</v>
      </c>
      <c r="N103" s="165" t="str">
        <f>IF(D103=0,"NA",SUMIFS(AN_TME22[[#All],[TOTAL Non-Truncated Unadjusted Claims Expenses]],AN_TME22[[#All],[Insurance Category Code]],4,AN_TME22[[#All],[Advanced Network/Insurance Carrier Org ID]],B103)/D103)</f>
        <v>NA</v>
      </c>
      <c r="O103" s="165" t="str">
        <f>IF(D103=0,"NA",SUMIFS(AN_TME22[[#All],[TOTAL Truncated Unadjusted Claims Expenses (A21 -A19)]],AN_TME22[[#All],[Insurance Category Code]],4,AN_TME22[[#All],[Advanced Network/Insurance Carrier Org ID]],B103)/D103)</f>
        <v>NA</v>
      </c>
      <c r="P103" s="165" t="str">
        <f>IF(D103=0,"NA",SUMIFS(AN_TME22[[#All],[TOTAL Non-Claims Expenses]],AN_TME22[[#All],[Insurance Category Code]],4,AN_TME22[[#All],[Advanced Network/Insurance Carrier Org ID]],B103)/D103)</f>
        <v>NA</v>
      </c>
      <c r="Q103" s="165" t="str">
        <f>IF(D103=0,"NA",SUMIFS(AN_TME22[[#All],[TOTAL Non-Truncated Unadjusted Expenses (A21 + A23)]],AN_TME22[[#All],[Insurance Category Code]],4,AN_TME22[[#All],[Advanced Network/Insurance Carrier Org ID]],B103)/D103)</f>
        <v>NA</v>
      </c>
      <c r="R103" s="165" t="str">
        <f>IF(D103=0,"NA",SUMIFS(AN_TME22[[#All],[TOTAL Truncated Unadjusted Expenses (A22 + A23)]],AN_TME22[[#All],[Insurance Category Code]],4,AN_TME22[[#All],[Advanced Network/Insurance Carrier Org ID]],B103)/D103)</f>
        <v>NA</v>
      </c>
      <c r="S103" s="507">
        <f>SUMIFS(AN_TME23[[#All],[Member Months]],AN_TME23[[#All],[Insurance Category Code]],4,AN_TME23[[#All],[Advanced Network/Insurance Carrier Org ID]],B103)</f>
        <v>0</v>
      </c>
      <c r="T103" s="155" t="str">
        <f>IF(S103=0,"NA",SUMIFS(AN_TME23[[#All],[Claims: Hospital Inpatient]],AN_TME23[[#All],[Insurance Category Code]],4,AN_TME23[[#All],[Advanced Network/Insurance Carrier Org ID]],B103)/S103)</f>
        <v>NA</v>
      </c>
      <c r="U103" s="109" t="str">
        <f>IF(S103=0,"NA",SUMIFS(AN_TME23[[#All],[Claims: Hospital Outpatient]],AN_TME23[[#All],[Insurance Category Code]],4,AN_TME23[[#All],[Advanced Network/Insurance Carrier Org ID]],B103)/S103)</f>
        <v>NA</v>
      </c>
      <c r="V103" s="109" t="str">
        <f>IF(S103=0,"NA",SUMIFS(AN_TME23[[#All],[Claims: Professional, Primary Care]],AN_TME23[[#All],[Insurance Category Code]],4,AN_TME23[[#All],[Advanced Network/Insurance Carrier Org ID]],B103)/S103)</f>
        <v>NA</v>
      </c>
      <c r="W103" s="109" t="str">
        <f>IF(S103=0,"NA",SUMIFS(AN_TME23[[#All],[Claims: Professional, Primary Care (for Monitoring Purposes)]],AN_TME23[[#All],[Insurance Category Code]],4,AN_TME23[[#All],[Advanced Network/Insurance Carrier Org ID]],B103)/S103)</f>
        <v>NA</v>
      </c>
      <c r="X103" s="109" t="str">
        <f>IF(S103=0,"NA",SUMIFS(AN_TME23[[#All],[Claims: Professional, Specialty]],AN_TME23[[#All],[Insurance Category Code]],4,AN_TME23[[#All],[Advanced Network/Insurance Carrier Org ID]],B103)/S103)</f>
        <v>NA</v>
      </c>
      <c r="Y103" s="109" t="str">
        <f>IF(S103=0,"NA",SUMIFS(AN_TME23[[#All],[Claims: Professional Other]],AN_TME23[[#All],[Insurance Category Code]],4,AN_TME23[[#All],[Advanced Network/Insurance Carrier Org ID]],B103)/S103)</f>
        <v>NA</v>
      </c>
      <c r="Z103" s="109" t="str">
        <f>IF(S103=0,"NA",SUMIFS(AN_TME23[[#All],[Claims: Pharmacy]],AN_TME23[[#All],[Insurance Category Code]],4,AN_TME23[[#All],[Advanced Network/Insurance Carrier Org ID]],B103)/S103)</f>
        <v>NA</v>
      </c>
      <c r="AA103" s="109" t="str">
        <f>IF(S103=0,"NA",SUMIFS(AN_TME23[[#All],[Claims: Long-Term Care]],AN_TME23[[#All],[Insurance Category Code]],4,AN_TME23[[#All],[Advanced Network/Insurance Carrier Org ID]],B103)/S103)</f>
        <v>NA</v>
      </c>
      <c r="AB103" s="109" t="str">
        <f>IF(S103=0,"NA",SUMIFS(AN_TME23[[#All],[Claims: Other]],AN_TME23[[#All],[Insurance Category Code]],4,AN_TME23[[#All],[Advanced Network/Insurance Carrier Org ID]],B103)/S103)</f>
        <v>NA</v>
      </c>
      <c r="AC103" s="165" t="str">
        <f>IF(S103=0,"NA",SUMIFS(AN_TME23[[#All],[TOTAL Non-Truncated Unadjusted Claims Expenses]],AN_TME23[[#All],[Insurance Category Code]],4,AN_TME23[[#All],[Advanced Network/Insurance Carrier Org ID]],B103)/S103)</f>
        <v>NA</v>
      </c>
      <c r="AD103" s="165" t="str">
        <f>IF(S103=0,"NA",SUMIFS(AN_TME23[[#All],[TOTAL Truncated Unadjusted Claims Expenses (A21 -A19)]],AN_TME23[[#All],[Insurance Category Code]],4,AN_TME23[[#All],[Advanced Network/Insurance Carrier Org ID]],B103)/S103)</f>
        <v>NA</v>
      </c>
      <c r="AE103" s="165" t="str">
        <f>IF(S103=0,"NA",SUMIFS(AN_TME23[[#All],[TOTAL Non-Claims Expenses]],AN_TME23[[#All],[Insurance Category Code]],4,AN_TME23[[#All],[Advanced Network/Insurance Carrier Org ID]],B103)/S103)</f>
        <v>NA</v>
      </c>
      <c r="AF103" s="165" t="str">
        <f>IF(S103=0,"NA",SUMIFS(AN_TME23[[#All],[TOTAL Non-Truncated Unadjusted Expenses (A21 + A23)]],AN_TME23[[#All],[Insurance Category Code]],4,AN_TME23[[#All],[Advanced Network/Insurance Carrier Org ID]],B103)/S103)</f>
        <v>NA</v>
      </c>
      <c r="AG103" s="156" t="str">
        <f>IF(S103=0,"NA",SUMIFS(AN_TME23[[#All],[TOTAL Truncated Unadjusted Expenses (A22 + A23)]],AN_TME23[[#All],[Insurance Category Code]],4,AN_TME23[[#All],[Advanced Network/Insurance Carrier Org ID]],B103)/S103)</f>
        <v>NA</v>
      </c>
      <c r="AH103" s="478" t="str">
        <f t="shared" si="137"/>
        <v>NA</v>
      </c>
      <c r="AI103" s="479" t="str">
        <f t="shared" si="138"/>
        <v>NA</v>
      </c>
      <c r="AJ103" s="480" t="str">
        <f t="shared" si="139"/>
        <v>NA</v>
      </c>
      <c r="AK103" s="480" t="str">
        <f t="shared" si="140"/>
        <v>NA</v>
      </c>
      <c r="AL103" s="480" t="str">
        <f t="shared" si="141"/>
        <v>NA</v>
      </c>
      <c r="AM103" s="480" t="str">
        <f t="shared" si="142"/>
        <v>NA</v>
      </c>
      <c r="AN103" s="480" t="str">
        <f t="shared" si="143"/>
        <v>NA</v>
      </c>
      <c r="AO103" s="480" t="str">
        <f t="shared" si="144"/>
        <v>NA</v>
      </c>
      <c r="AP103" s="480" t="str">
        <f t="shared" si="145"/>
        <v>NA</v>
      </c>
      <c r="AQ103" s="480" t="str">
        <f t="shared" si="146"/>
        <v>NA</v>
      </c>
      <c r="AR103" s="481" t="str">
        <f t="shared" si="147"/>
        <v>NA</v>
      </c>
      <c r="AS103" s="481" t="str">
        <f t="shared" si="148"/>
        <v>NA</v>
      </c>
      <c r="AT103" s="481" t="str">
        <f t="shared" si="149"/>
        <v>NA</v>
      </c>
      <c r="AU103" s="481" t="str">
        <f t="shared" si="150"/>
        <v>NA</v>
      </c>
      <c r="AV103" s="482" t="str">
        <f t="shared" si="151"/>
        <v>NA</v>
      </c>
    </row>
    <row r="104" spans="1:48" ht="15" customHeight="1" x14ac:dyDescent="0.25">
      <c r="A104" s="164"/>
      <c r="B104" s="166">
        <v>121</v>
      </c>
      <c r="C104" s="169" t="str">
        <f>_xlfn.XLOOKUP(B104, LgProvEntOrgIDs[Advanced Network/Insurer Carrier Org ID], LgProvEntOrgIDs[Advanced Network/Insurance Carrier Overall])</f>
        <v>Generations Family Health Center</v>
      </c>
      <c r="D104" s="507">
        <f>SUMIFS(AN_TME22[[#All],[Member Months]],AN_TME22[[#All],[Insurance Category Code]],4,AN_TME22[[#All],[Advanced Network/Insurance Carrier Org ID]],B104)</f>
        <v>0</v>
      </c>
      <c r="E104" s="155" t="str">
        <f>IF(D104=0,"NA",SUMIFS(AN_TME22[[#All],[Claims: Hospital Inpatient]],AN_TME22[[#All],[Insurance Category Code]],4,AN_TME22[[#All],[Advanced Network/Insurance Carrier Org ID]],B104)/D104)</f>
        <v>NA</v>
      </c>
      <c r="F104" s="109" t="str">
        <f>IF(D104=0,"NA",SUMIFS(AN_TME22[[#All],[Claims: Hospital Outpatient]],AN_TME22[[#All],[Insurance Category Code]],4,AN_TME22[[#All],[Advanced Network/Insurance Carrier Org ID]],B104)/D104)</f>
        <v>NA</v>
      </c>
      <c r="G104" s="109" t="str">
        <f>IF(D104=0,"NA",SUMIFS(AN_TME22[[#All],[Claims: Professional, Primary Care]],AN_TME22[[#All],[Insurance Category Code]],4,AN_TME22[[#All],[Advanced Network/Insurance Carrier Org ID]],B104)/D104)</f>
        <v>NA</v>
      </c>
      <c r="H104" s="109" t="str">
        <f>IF(D104=0,"NA",SUMIFS(AN_TME22[[#All],[Claims: Professional, Primary Care (for Monitoring Purposes)]],AN_TME22[[#All],[Insurance Category Code]],4,AN_TME22[[#All],[Advanced Network/Insurance Carrier Org ID]],B104)/D104)</f>
        <v>NA</v>
      </c>
      <c r="I104" s="109" t="str">
        <f>IF(D104=0,"NA",SUMIFS(AN_TME22[[#All],[Claims: Professional, Specialty]],AN_TME22[[#All],[Insurance Category Code]],4,AN_TME22[[#All],[Advanced Network/Insurance Carrier Org ID]],B104)/D104)</f>
        <v>NA</v>
      </c>
      <c r="J104" s="109" t="str">
        <f>IF(D104=0,"NA",SUMIFS(AN_TME22[[#All],[Claims: Professional Other]],AN_TME22[[#All],[Insurance Category Code]],4,AN_TME22[[#All],[Advanced Network/Insurance Carrier Org ID]],B104)/D104)</f>
        <v>NA</v>
      </c>
      <c r="K104" s="109" t="str">
        <f>IF(D104=0,"NA",SUMIFS(AN_TME22[[#All],[Claims: Pharmacy]],AN_TME22[[#All],[Insurance Category Code]],4,AN_TME22[[#All],[Advanced Network/Insurance Carrier Org ID]],B104)/D104)</f>
        <v>NA</v>
      </c>
      <c r="L104" s="109" t="str">
        <f>IF(D104=0,"NA",SUMIFS(AN_TME22[[#All],[Claims: Long-Term Care]],AN_TME22[[#All],[Insurance Category Code]],4,AN_TME22[[#All],[Advanced Network/Insurance Carrier Org ID]],B104)/D104)</f>
        <v>NA</v>
      </c>
      <c r="M104" s="109" t="str">
        <f>IF(D104=0,"NA",SUMIFS(AN_TME22[[#All],[Claims: Other]],AN_TME22[[#All],[Insurance Category Code]],4,AN_TME22[[#All],[Advanced Network/Insurance Carrier Org ID]],B104)/D104)</f>
        <v>NA</v>
      </c>
      <c r="N104" s="165" t="str">
        <f>IF(D104=0,"NA",SUMIFS(AN_TME22[[#All],[TOTAL Non-Truncated Unadjusted Claims Expenses]],AN_TME22[[#All],[Insurance Category Code]],4,AN_TME22[[#All],[Advanced Network/Insurance Carrier Org ID]],B104)/D104)</f>
        <v>NA</v>
      </c>
      <c r="O104" s="165" t="str">
        <f>IF(D104=0,"NA",SUMIFS(AN_TME22[[#All],[TOTAL Truncated Unadjusted Claims Expenses (A21 -A19)]],AN_TME22[[#All],[Insurance Category Code]],4,AN_TME22[[#All],[Advanced Network/Insurance Carrier Org ID]],B104)/D104)</f>
        <v>NA</v>
      </c>
      <c r="P104" s="165" t="str">
        <f>IF(D104=0,"NA",SUMIFS(AN_TME22[[#All],[TOTAL Non-Claims Expenses]],AN_TME22[[#All],[Insurance Category Code]],4,AN_TME22[[#All],[Advanced Network/Insurance Carrier Org ID]],B104)/D104)</f>
        <v>NA</v>
      </c>
      <c r="Q104" s="165" t="str">
        <f>IF(D104=0,"NA",SUMIFS(AN_TME22[[#All],[TOTAL Non-Truncated Unadjusted Expenses (A21 + A23)]],AN_TME22[[#All],[Insurance Category Code]],4,AN_TME22[[#All],[Advanced Network/Insurance Carrier Org ID]],B104)/D104)</f>
        <v>NA</v>
      </c>
      <c r="R104" s="165" t="str">
        <f>IF(D104=0,"NA",SUMIFS(AN_TME22[[#All],[TOTAL Truncated Unadjusted Expenses (A22 + A23)]],AN_TME22[[#All],[Insurance Category Code]],4,AN_TME22[[#All],[Advanced Network/Insurance Carrier Org ID]],B104)/D104)</f>
        <v>NA</v>
      </c>
      <c r="S104" s="507">
        <f>SUMIFS(AN_TME23[[#All],[Member Months]],AN_TME23[[#All],[Insurance Category Code]],4,AN_TME23[[#All],[Advanced Network/Insurance Carrier Org ID]],B104)</f>
        <v>0</v>
      </c>
      <c r="T104" s="155" t="str">
        <f>IF(S104=0,"NA",SUMIFS(AN_TME23[[#All],[Claims: Hospital Inpatient]],AN_TME23[[#All],[Insurance Category Code]],4,AN_TME23[[#All],[Advanced Network/Insurance Carrier Org ID]],B104)/S104)</f>
        <v>NA</v>
      </c>
      <c r="U104" s="109" t="str">
        <f>IF(S104=0,"NA",SUMIFS(AN_TME23[[#All],[Claims: Hospital Outpatient]],AN_TME23[[#All],[Insurance Category Code]],4,AN_TME23[[#All],[Advanced Network/Insurance Carrier Org ID]],B104)/S104)</f>
        <v>NA</v>
      </c>
      <c r="V104" s="109" t="str">
        <f>IF(S104=0,"NA",SUMIFS(AN_TME23[[#All],[Claims: Professional, Primary Care]],AN_TME23[[#All],[Insurance Category Code]],4,AN_TME23[[#All],[Advanced Network/Insurance Carrier Org ID]],B104)/S104)</f>
        <v>NA</v>
      </c>
      <c r="W104" s="109" t="str">
        <f>IF(S104=0,"NA",SUMIFS(AN_TME23[[#All],[Claims: Professional, Primary Care (for Monitoring Purposes)]],AN_TME23[[#All],[Insurance Category Code]],4,AN_TME23[[#All],[Advanced Network/Insurance Carrier Org ID]],B104)/S104)</f>
        <v>NA</v>
      </c>
      <c r="X104" s="109" t="str">
        <f>IF(S104=0,"NA",SUMIFS(AN_TME23[[#All],[Claims: Professional, Specialty]],AN_TME23[[#All],[Insurance Category Code]],4,AN_TME23[[#All],[Advanced Network/Insurance Carrier Org ID]],B104)/S104)</f>
        <v>NA</v>
      </c>
      <c r="Y104" s="109" t="str">
        <f>IF(S104=0,"NA",SUMIFS(AN_TME23[[#All],[Claims: Professional Other]],AN_TME23[[#All],[Insurance Category Code]],4,AN_TME23[[#All],[Advanced Network/Insurance Carrier Org ID]],B104)/S104)</f>
        <v>NA</v>
      </c>
      <c r="Z104" s="109" t="str">
        <f>IF(S104=0,"NA",SUMIFS(AN_TME23[[#All],[Claims: Pharmacy]],AN_TME23[[#All],[Insurance Category Code]],4,AN_TME23[[#All],[Advanced Network/Insurance Carrier Org ID]],B104)/S104)</f>
        <v>NA</v>
      </c>
      <c r="AA104" s="109" t="str">
        <f>IF(S104=0,"NA",SUMIFS(AN_TME23[[#All],[Claims: Long-Term Care]],AN_TME23[[#All],[Insurance Category Code]],4,AN_TME23[[#All],[Advanced Network/Insurance Carrier Org ID]],B104)/S104)</f>
        <v>NA</v>
      </c>
      <c r="AB104" s="109" t="str">
        <f>IF(S104=0,"NA",SUMIFS(AN_TME23[[#All],[Claims: Other]],AN_TME23[[#All],[Insurance Category Code]],4,AN_TME23[[#All],[Advanced Network/Insurance Carrier Org ID]],B104)/S104)</f>
        <v>NA</v>
      </c>
      <c r="AC104" s="165" t="str">
        <f>IF(S104=0,"NA",SUMIFS(AN_TME23[[#All],[TOTAL Non-Truncated Unadjusted Claims Expenses]],AN_TME23[[#All],[Insurance Category Code]],4,AN_TME23[[#All],[Advanced Network/Insurance Carrier Org ID]],B104)/S104)</f>
        <v>NA</v>
      </c>
      <c r="AD104" s="165" t="str">
        <f>IF(S104=0,"NA",SUMIFS(AN_TME23[[#All],[TOTAL Truncated Unadjusted Claims Expenses (A21 -A19)]],AN_TME23[[#All],[Insurance Category Code]],4,AN_TME23[[#All],[Advanced Network/Insurance Carrier Org ID]],B104)/S104)</f>
        <v>NA</v>
      </c>
      <c r="AE104" s="165" t="str">
        <f>IF(S104=0,"NA",SUMIFS(AN_TME23[[#All],[TOTAL Non-Claims Expenses]],AN_TME23[[#All],[Insurance Category Code]],4,AN_TME23[[#All],[Advanced Network/Insurance Carrier Org ID]],B104)/S104)</f>
        <v>NA</v>
      </c>
      <c r="AF104" s="165" t="str">
        <f>IF(S104=0,"NA",SUMIFS(AN_TME23[[#All],[TOTAL Non-Truncated Unadjusted Expenses (A21 + A23)]],AN_TME23[[#All],[Insurance Category Code]],4,AN_TME23[[#All],[Advanced Network/Insurance Carrier Org ID]],B104)/S104)</f>
        <v>NA</v>
      </c>
      <c r="AG104" s="156" t="str">
        <f>IF(S104=0,"NA",SUMIFS(AN_TME23[[#All],[TOTAL Truncated Unadjusted Expenses (A22 + A23)]],AN_TME23[[#All],[Insurance Category Code]],4,AN_TME23[[#All],[Advanced Network/Insurance Carrier Org ID]],B104)/S104)</f>
        <v>NA</v>
      </c>
      <c r="AH104" s="478" t="str">
        <f t="shared" si="137"/>
        <v>NA</v>
      </c>
      <c r="AI104" s="479" t="str">
        <f t="shared" si="138"/>
        <v>NA</v>
      </c>
      <c r="AJ104" s="480" t="str">
        <f t="shared" si="139"/>
        <v>NA</v>
      </c>
      <c r="AK104" s="480" t="str">
        <f t="shared" si="140"/>
        <v>NA</v>
      </c>
      <c r="AL104" s="480" t="str">
        <f t="shared" si="141"/>
        <v>NA</v>
      </c>
      <c r="AM104" s="480" t="str">
        <f t="shared" si="142"/>
        <v>NA</v>
      </c>
      <c r="AN104" s="480" t="str">
        <f t="shared" si="143"/>
        <v>NA</v>
      </c>
      <c r="AO104" s="480" t="str">
        <f t="shared" si="144"/>
        <v>NA</v>
      </c>
      <c r="AP104" s="480" t="str">
        <f t="shared" si="145"/>
        <v>NA</v>
      </c>
      <c r="AQ104" s="480" t="str">
        <f t="shared" si="146"/>
        <v>NA</v>
      </c>
      <c r="AR104" s="481" t="str">
        <f t="shared" si="147"/>
        <v>NA</v>
      </c>
      <c r="AS104" s="481" t="str">
        <f t="shared" si="148"/>
        <v>NA</v>
      </c>
      <c r="AT104" s="481" t="str">
        <f t="shared" si="149"/>
        <v>NA</v>
      </c>
      <c r="AU104" s="481" t="str">
        <f t="shared" si="150"/>
        <v>NA</v>
      </c>
      <c r="AV104" s="482" t="str">
        <f t="shared" si="151"/>
        <v>NA</v>
      </c>
    </row>
    <row r="105" spans="1:48" ht="15" customHeight="1" x14ac:dyDescent="0.25">
      <c r="A105" s="164"/>
      <c r="B105" s="166">
        <v>122</v>
      </c>
      <c r="C105" s="169" t="str">
        <f>_xlfn.XLOOKUP(B105, LgProvEntOrgIDs[Advanced Network/Insurer Carrier Org ID], LgProvEntOrgIDs[Advanced Network/Insurance Carrier Overall])</f>
        <v>Norwalk Community Health Center</v>
      </c>
      <c r="D105" s="507">
        <f>SUMIFS(AN_TME22[[#All],[Member Months]],AN_TME22[[#All],[Insurance Category Code]],4,AN_TME22[[#All],[Advanced Network/Insurance Carrier Org ID]],B105)</f>
        <v>0</v>
      </c>
      <c r="E105" s="155" t="str">
        <f>IF(D105=0,"NA",SUMIFS(AN_TME22[[#All],[Claims: Hospital Inpatient]],AN_TME22[[#All],[Insurance Category Code]],4,AN_TME22[[#All],[Advanced Network/Insurance Carrier Org ID]],B105)/D105)</f>
        <v>NA</v>
      </c>
      <c r="F105" s="109" t="str">
        <f>IF(D105=0,"NA",SUMIFS(AN_TME22[[#All],[Claims: Hospital Outpatient]],AN_TME22[[#All],[Insurance Category Code]],4,AN_TME22[[#All],[Advanced Network/Insurance Carrier Org ID]],B105)/D105)</f>
        <v>NA</v>
      </c>
      <c r="G105" s="109" t="str">
        <f>IF(D105=0,"NA",SUMIFS(AN_TME22[[#All],[Claims: Professional, Primary Care]],AN_TME22[[#All],[Insurance Category Code]],4,AN_TME22[[#All],[Advanced Network/Insurance Carrier Org ID]],B105)/D105)</f>
        <v>NA</v>
      </c>
      <c r="H105" s="109" t="str">
        <f>IF(D105=0,"NA",SUMIFS(AN_TME22[[#All],[Claims: Professional, Primary Care (for Monitoring Purposes)]],AN_TME22[[#All],[Insurance Category Code]],4,AN_TME22[[#All],[Advanced Network/Insurance Carrier Org ID]],B105)/D105)</f>
        <v>NA</v>
      </c>
      <c r="I105" s="109" t="str">
        <f>IF(D105=0,"NA",SUMIFS(AN_TME22[[#All],[Claims: Professional, Specialty]],AN_TME22[[#All],[Insurance Category Code]],4,AN_TME22[[#All],[Advanced Network/Insurance Carrier Org ID]],B105)/D105)</f>
        <v>NA</v>
      </c>
      <c r="J105" s="109" t="str">
        <f>IF(D105=0,"NA",SUMIFS(AN_TME22[[#All],[Claims: Professional Other]],AN_TME22[[#All],[Insurance Category Code]],4,AN_TME22[[#All],[Advanced Network/Insurance Carrier Org ID]],B105)/D105)</f>
        <v>NA</v>
      </c>
      <c r="K105" s="109" t="str">
        <f>IF(D105=0,"NA",SUMIFS(AN_TME22[[#All],[Claims: Pharmacy]],AN_TME22[[#All],[Insurance Category Code]],4,AN_TME22[[#All],[Advanced Network/Insurance Carrier Org ID]],B105)/D105)</f>
        <v>NA</v>
      </c>
      <c r="L105" s="109" t="str">
        <f>IF(D105=0,"NA",SUMIFS(AN_TME22[[#All],[Claims: Long-Term Care]],AN_TME22[[#All],[Insurance Category Code]],4,AN_TME22[[#All],[Advanced Network/Insurance Carrier Org ID]],B105)/D105)</f>
        <v>NA</v>
      </c>
      <c r="M105" s="109" t="str">
        <f>IF(D105=0,"NA",SUMIFS(AN_TME22[[#All],[Claims: Other]],AN_TME22[[#All],[Insurance Category Code]],4,AN_TME22[[#All],[Advanced Network/Insurance Carrier Org ID]],B105)/D105)</f>
        <v>NA</v>
      </c>
      <c r="N105" s="165" t="str">
        <f>IF(D105=0,"NA",SUMIFS(AN_TME22[[#All],[TOTAL Non-Truncated Unadjusted Claims Expenses]],AN_TME22[[#All],[Insurance Category Code]],4,AN_TME22[[#All],[Advanced Network/Insurance Carrier Org ID]],B105)/D105)</f>
        <v>NA</v>
      </c>
      <c r="O105" s="165" t="str">
        <f>IF(D105=0,"NA",SUMIFS(AN_TME22[[#All],[TOTAL Truncated Unadjusted Claims Expenses (A21 -A19)]],AN_TME22[[#All],[Insurance Category Code]],4,AN_TME22[[#All],[Advanced Network/Insurance Carrier Org ID]],B105)/D105)</f>
        <v>NA</v>
      </c>
      <c r="P105" s="165" t="str">
        <f>IF(D105=0,"NA",SUMIFS(AN_TME22[[#All],[TOTAL Non-Claims Expenses]],AN_TME22[[#All],[Insurance Category Code]],4,AN_TME22[[#All],[Advanced Network/Insurance Carrier Org ID]],B105)/D105)</f>
        <v>NA</v>
      </c>
      <c r="Q105" s="165" t="str">
        <f>IF(D105=0,"NA",SUMIFS(AN_TME22[[#All],[TOTAL Non-Truncated Unadjusted Expenses (A21 + A23)]],AN_TME22[[#All],[Insurance Category Code]],4,AN_TME22[[#All],[Advanced Network/Insurance Carrier Org ID]],B105)/D105)</f>
        <v>NA</v>
      </c>
      <c r="R105" s="165" t="str">
        <f>IF(D105=0,"NA",SUMIFS(AN_TME22[[#All],[TOTAL Truncated Unadjusted Expenses (A22 + A23)]],AN_TME22[[#All],[Insurance Category Code]],4,AN_TME22[[#All],[Advanced Network/Insurance Carrier Org ID]],B105)/D105)</f>
        <v>NA</v>
      </c>
      <c r="S105" s="507">
        <f>SUMIFS(AN_TME23[[#All],[Member Months]],AN_TME23[[#All],[Insurance Category Code]],4,AN_TME23[[#All],[Advanced Network/Insurance Carrier Org ID]],B105)</f>
        <v>0</v>
      </c>
      <c r="T105" s="155" t="str">
        <f>IF(S105=0,"NA",SUMIFS(AN_TME23[[#All],[Claims: Hospital Inpatient]],AN_TME23[[#All],[Insurance Category Code]],4,AN_TME23[[#All],[Advanced Network/Insurance Carrier Org ID]],B105)/S105)</f>
        <v>NA</v>
      </c>
      <c r="U105" s="109" t="str">
        <f>IF(S105=0,"NA",SUMIFS(AN_TME23[[#All],[Claims: Hospital Outpatient]],AN_TME23[[#All],[Insurance Category Code]],4,AN_TME23[[#All],[Advanced Network/Insurance Carrier Org ID]],B105)/S105)</f>
        <v>NA</v>
      </c>
      <c r="V105" s="109" t="str">
        <f>IF(S105=0,"NA",SUMIFS(AN_TME23[[#All],[Claims: Professional, Primary Care]],AN_TME23[[#All],[Insurance Category Code]],4,AN_TME23[[#All],[Advanced Network/Insurance Carrier Org ID]],B105)/S105)</f>
        <v>NA</v>
      </c>
      <c r="W105" s="109" t="str">
        <f>IF(S105=0,"NA",SUMIFS(AN_TME23[[#All],[Claims: Professional, Primary Care (for Monitoring Purposes)]],AN_TME23[[#All],[Insurance Category Code]],4,AN_TME23[[#All],[Advanced Network/Insurance Carrier Org ID]],B105)/S105)</f>
        <v>NA</v>
      </c>
      <c r="X105" s="109" t="str">
        <f>IF(S105=0,"NA",SUMIFS(AN_TME23[[#All],[Claims: Professional, Specialty]],AN_TME23[[#All],[Insurance Category Code]],4,AN_TME23[[#All],[Advanced Network/Insurance Carrier Org ID]],B105)/S105)</f>
        <v>NA</v>
      </c>
      <c r="Y105" s="109" t="str">
        <f>IF(S105=0,"NA",SUMIFS(AN_TME23[[#All],[Claims: Professional Other]],AN_TME23[[#All],[Insurance Category Code]],4,AN_TME23[[#All],[Advanced Network/Insurance Carrier Org ID]],B105)/S105)</f>
        <v>NA</v>
      </c>
      <c r="Z105" s="109" t="str">
        <f>IF(S105=0,"NA",SUMIFS(AN_TME23[[#All],[Claims: Pharmacy]],AN_TME23[[#All],[Insurance Category Code]],4,AN_TME23[[#All],[Advanced Network/Insurance Carrier Org ID]],B105)/S105)</f>
        <v>NA</v>
      </c>
      <c r="AA105" s="109" t="str">
        <f>IF(S105=0,"NA",SUMIFS(AN_TME23[[#All],[Claims: Long-Term Care]],AN_TME23[[#All],[Insurance Category Code]],4,AN_TME23[[#All],[Advanced Network/Insurance Carrier Org ID]],B105)/S105)</f>
        <v>NA</v>
      </c>
      <c r="AB105" s="109" t="str">
        <f>IF(S105=0,"NA",SUMIFS(AN_TME23[[#All],[Claims: Other]],AN_TME23[[#All],[Insurance Category Code]],4,AN_TME23[[#All],[Advanced Network/Insurance Carrier Org ID]],B105)/S105)</f>
        <v>NA</v>
      </c>
      <c r="AC105" s="165" t="str">
        <f>IF(S105=0,"NA",SUMIFS(AN_TME23[[#All],[TOTAL Non-Truncated Unadjusted Claims Expenses]],AN_TME23[[#All],[Insurance Category Code]],4,AN_TME23[[#All],[Advanced Network/Insurance Carrier Org ID]],B105)/S105)</f>
        <v>NA</v>
      </c>
      <c r="AD105" s="165" t="str">
        <f>IF(S105=0,"NA",SUMIFS(AN_TME23[[#All],[TOTAL Truncated Unadjusted Claims Expenses (A21 -A19)]],AN_TME23[[#All],[Insurance Category Code]],4,AN_TME23[[#All],[Advanced Network/Insurance Carrier Org ID]],B105)/S105)</f>
        <v>NA</v>
      </c>
      <c r="AE105" s="165" t="str">
        <f>IF(S105=0,"NA",SUMIFS(AN_TME23[[#All],[TOTAL Non-Claims Expenses]],AN_TME23[[#All],[Insurance Category Code]],4,AN_TME23[[#All],[Advanced Network/Insurance Carrier Org ID]],B105)/S105)</f>
        <v>NA</v>
      </c>
      <c r="AF105" s="165" t="str">
        <f>IF(S105=0,"NA",SUMIFS(AN_TME23[[#All],[TOTAL Non-Truncated Unadjusted Expenses (A21 + A23)]],AN_TME23[[#All],[Insurance Category Code]],4,AN_TME23[[#All],[Advanced Network/Insurance Carrier Org ID]],B105)/S105)</f>
        <v>NA</v>
      </c>
      <c r="AG105" s="156" t="str">
        <f>IF(S105=0,"NA",SUMIFS(AN_TME23[[#All],[TOTAL Truncated Unadjusted Expenses (A22 + A23)]],AN_TME23[[#All],[Insurance Category Code]],4,AN_TME23[[#All],[Advanced Network/Insurance Carrier Org ID]],B105)/S105)</f>
        <v>NA</v>
      </c>
      <c r="AH105" s="478" t="str">
        <f t="shared" si="137"/>
        <v>NA</v>
      </c>
      <c r="AI105" s="479" t="str">
        <f t="shared" si="138"/>
        <v>NA</v>
      </c>
      <c r="AJ105" s="480" t="str">
        <f t="shared" si="139"/>
        <v>NA</v>
      </c>
      <c r="AK105" s="480" t="str">
        <f t="shared" si="140"/>
        <v>NA</v>
      </c>
      <c r="AL105" s="480" t="str">
        <f t="shared" si="141"/>
        <v>NA</v>
      </c>
      <c r="AM105" s="480" t="str">
        <f t="shared" si="142"/>
        <v>NA</v>
      </c>
      <c r="AN105" s="480" t="str">
        <f t="shared" si="143"/>
        <v>NA</v>
      </c>
      <c r="AO105" s="480" t="str">
        <f t="shared" si="144"/>
        <v>NA</v>
      </c>
      <c r="AP105" s="480" t="str">
        <f t="shared" si="145"/>
        <v>NA</v>
      </c>
      <c r="AQ105" s="480" t="str">
        <f t="shared" si="146"/>
        <v>NA</v>
      </c>
      <c r="AR105" s="481" t="str">
        <f t="shared" si="147"/>
        <v>NA</v>
      </c>
      <c r="AS105" s="481" t="str">
        <f t="shared" si="148"/>
        <v>NA</v>
      </c>
      <c r="AT105" s="481" t="str">
        <f t="shared" si="149"/>
        <v>NA</v>
      </c>
      <c r="AU105" s="481" t="str">
        <f t="shared" si="150"/>
        <v>NA</v>
      </c>
      <c r="AV105" s="482" t="str">
        <f t="shared" si="151"/>
        <v>NA</v>
      </c>
    </row>
    <row r="106" spans="1:48" ht="15" customHeight="1" x14ac:dyDescent="0.25">
      <c r="A106" s="164"/>
      <c r="B106" s="166">
        <v>123</v>
      </c>
      <c r="C106" s="169" t="str">
        <f>_xlfn.XLOOKUP(B106, LgProvEntOrgIDs[Advanced Network/Insurer Carrier Org ID], LgProvEntOrgIDs[Advanced Network/Insurance Carrier Overall])</f>
        <v>Optimus Health Care, Inc.</v>
      </c>
      <c r="D106" s="507">
        <f>SUMIFS(AN_TME22[[#All],[Member Months]],AN_TME22[[#All],[Insurance Category Code]],4,AN_TME22[[#All],[Advanced Network/Insurance Carrier Org ID]],B106)</f>
        <v>0</v>
      </c>
      <c r="E106" s="155" t="str">
        <f>IF(D106=0,"NA",SUMIFS(AN_TME22[[#All],[Claims: Hospital Inpatient]],AN_TME22[[#All],[Insurance Category Code]],4,AN_TME22[[#All],[Advanced Network/Insurance Carrier Org ID]],B106)/D106)</f>
        <v>NA</v>
      </c>
      <c r="F106" s="109" t="str">
        <f>IF(D106=0,"NA",SUMIFS(AN_TME22[[#All],[Claims: Hospital Outpatient]],AN_TME22[[#All],[Insurance Category Code]],4,AN_TME22[[#All],[Advanced Network/Insurance Carrier Org ID]],B106)/D106)</f>
        <v>NA</v>
      </c>
      <c r="G106" s="109" t="str">
        <f>IF(D106=0,"NA",SUMIFS(AN_TME22[[#All],[Claims: Professional, Primary Care]],AN_TME22[[#All],[Insurance Category Code]],4,AN_TME22[[#All],[Advanced Network/Insurance Carrier Org ID]],B106)/D106)</f>
        <v>NA</v>
      </c>
      <c r="H106" s="109" t="str">
        <f>IF(D106=0,"NA",SUMIFS(AN_TME22[[#All],[Claims: Professional, Primary Care (for Monitoring Purposes)]],AN_TME22[[#All],[Insurance Category Code]],4,AN_TME22[[#All],[Advanced Network/Insurance Carrier Org ID]],B106)/D106)</f>
        <v>NA</v>
      </c>
      <c r="I106" s="109" t="str">
        <f>IF(D106=0,"NA",SUMIFS(AN_TME22[[#All],[Claims: Professional, Specialty]],AN_TME22[[#All],[Insurance Category Code]],4,AN_TME22[[#All],[Advanced Network/Insurance Carrier Org ID]],B106)/D106)</f>
        <v>NA</v>
      </c>
      <c r="J106" s="109" t="str">
        <f>IF(D106=0,"NA",SUMIFS(AN_TME22[[#All],[Claims: Professional Other]],AN_TME22[[#All],[Insurance Category Code]],4,AN_TME22[[#All],[Advanced Network/Insurance Carrier Org ID]],B106)/D106)</f>
        <v>NA</v>
      </c>
      <c r="K106" s="109" t="str">
        <f>IF(D106=0,"NA",SUMIFS(AN_TME22[[#All],[Claims: Pharmacy]],AN_TME22[[#All],[Insurance Category Code]],4,AN_TME22[[#All],[Advanced Network/Insurance Carrier Org ID]],B106)/D106)</f>
        <v>NA</v>
      </c>
      <c r="L106" s="109" t="str">
        <f>IF(D106=0,"NA",SUMIFS(AN_TME22[[#All],[Claims: Long-Term Care]],AN_TME22[[#All],[Insurance Category Code]],4,AN_TME22[[#All],[Advanced Network/Insurance Carrier Org ID]],B106)/D106)</f>
        <v>NA</v>
      </c>
      <c r="M106" s="109" t="str">
        <f>IF(D106=0,"NA",SUMIFS(AN_TME22[[#All],[Claims: Other]],AN_TME22[[#All],[Insurance Category Code]],4,AN_TME22[[#All],[Advanced Network/Insurance Carrier Org ID]],B106)/D106)</f>
        <v>NA</v>
      </c>
      <c r="N106" s="165" t="str">
        <f>IF(D106=0,"NA",SUMIFS(AN_TME22[[#All],[TOTAL Non-Truncated Unadjusted Claims Expenses]],AN_TME22[[#All],[Insurance Category Code]],4,AN_TME22[[#All],[Advanced Network/Insurance Carrier Org ID]],B106)/D106)</f>
        <v>NA</v>
      </c>
      <c r="O106" s="165" t="str">
        <f>IF(D106=0,"NA",SUMIFS(AN_TME22[[#All],[TOTAL Truncated Unadjusted Claims Expenses (A21 -A19)]],AN_TME22[[#All],[Insurance Category Code]],4,AN_TME22[[#All],[Advanced Network/Insurance Carrier Org ID]],B106)/D106)</f>
        <v>NA</v>
      </c>
      <c r="P106" s="165" t="str">
        <f>IF(D106=0,"NA",SUMIFS(AN_TME22[[#All],[TOTAL Non-Claims Expenses]],AN_TME22[[#All],[Insurance Category Code]],4,AN_TME22[[#All],[Advanced Network/Insurance Carrier Org ID]],B106)/D106)</f>
        <v>NA</v>
      </c>
      <c r="Q106" s="165" t="str">
        <f>IF(D106=0,"NA",SUMIFS(AN_TME22[[#All],[TOTAL Non-Truncated Unadjusted Expenses (A21 + A23)]],AN_TME22[[#All],[Insurance Category Code]],4,AN_TME22[[#All],[Advanced Network/Insurance Carrier Org ID]],B106)/D106)</f>
        <v>NA</v>
      </c>
      <c r="R106" s="165" t="str">
        <f>IF(D106=0,"NA",SUMIFS(AN_TME22[[#All],[TOTAL Truncated Unadjusted Expenses (A22 + A23)]],AN_TME22[[#All],[Insurance Category Code]],4,AN_TME22[[#All],[Advanced Network/Insurance Carrier Org ID]],B106)/D106)</f>
        <v>NA</v>
      </c>
      <c r="S106" s="507">
        <f>SUMIFS(AN_TME23[[#All],[Member Months]],AN_TME23[[#All],[Insurance Category Code]],4,AN_TME23[[#All],[Advanced Network/Insurance Carrier Org ID]],B106)</f>
        <v>0</v>
      </c>
      <c r="T106" s="155" t="str">
        <f>IF(S106=0,"NA",SUMIFS(AN_TME23[[#All],[Claims: Hospital Inpatient]],AN_TME23[[#All],[Insurance Category Code]],4,AN_TME23[[#All],[Advanced Network/Insurance Carrier Org ID]],B106)/S106)</f>
        <v>NA</v>
      </c>
      <c r="U106" s="109" t="str">
        <f>IF(S106=0,"NA",SUMIFS(AN_TME23[[#All],[Claims: Hospital Outpatient]],AN_TME23[[#All],[Insurance Category Code]],4,AN_TME23[[#All],[Advanced Network/Insurance Carrier Org ID]],B106)/S106)</f>
        <v>NA</v>
      </c>
      <c r="V106" s="109" t="str">
        <f>IF(S106=0,"NA",SUMIFS(AN_TME23[[#All],[Claims: Professional, Primary Care]],AN_TME23[[#All],[Insurance Category Code]],4,AN_TME23[[#All],[Advanced Network/Insurance Carrier Org ID]],B106)/S106)</f>
        <v>NA</v>
      </c>
      <c r="W106" s="109" t="str">
        <f>IF(S106=0,"NA",SUMIFS(AN_TME23[[#All],[Claims: Professional, Primary Care (for Monitoring Purposes)]],AN_TME23[[#All],[Insurance Category Code]],4,AN_TME23[[#All],[Advanced Network/Insurance Carrier Org ID]],B106)/S106)</f>
        <v>NA</v>
      </c>
      <c r="X106" s="109" t="str">
        <f>IF(S106=0,"NA",SUMIFS(AN_TME23[[#All],[Claims: Professional, Specialty]],AN_TME23[[#All],[Insurance Category Code]],4,AN_TME23[[#All],[Advanced Network/Insurance Carrier Org ID]],B106)/S106)</f>
        <v>NA</v>
      </c>
      <c r="Y106" s="109" t="str">
        <f>IF(S106=0,"NA",SUMIFS(AN_TME23[[#All],[Claims: Professional Other]],AN_TME23[[#All],[Insurance Category Code]],4,AN_TME23[[#All],[Advanced Network/Insurance Carrier Org ID]],B106)/S106)</f>
        <v>NA</v>
      </c>
      <c r="Z106" s="109" t="str">
        <f>IF(S106=0,"NA",SUMIFS(AN_TME23[[#All],[Claims: Pharmacy]],AN_TME23[[#All],[Insurance Category Code]],4,AN_TME23[[#All],[Advanced Network/Insurance Carrier Org ID]],B106)/S106)</f>
        <v>NA</v>
      </c>
      <c r="AA106" s="109" t="str">
        <f>IF(S106=0,"NA",SUMIFS(AN_TME23[[#All],[Claims: Long-Term Care]],AN_TME23[[#All],[Insurance Category Code]],4,AN_TME23[[#All],[Advanced Network/Insurance Carrier Org ID]],B106)/S106)</f>
        <v>NA</v>
      </c>
      <c r="AB106" s="109" t="str">
        <f>IF(S106=0,"NA",SUMIFS(AN_TME23[[#All],[Claims: Other]],AN_TME23[[#All],[Insurance Category Code]],4,AN_TME23[[#All],[Advanced Network/Insurance Carrier Org ID]],B106)/S106)</f>
        <v>NA</v>
      </c>
      <c r="AC106" s="165" t="str">
        <f>IF(S106=0,"NA",SUMIFS(AN_TME23[[#All],[TOTAL Non-Truncated Unadjusted Claims Expenses]],AN_TME23[[#All],[Insurance Category Code]],4,AN_TME23[[#All],[Advanced Network/Insurance Carrier Org ID]],B106)/S106)</f>
        <v>NA</v>
      </c>
      <c r="AD106" s="165" t="str">
        <f>IF(S106=0,"NA",SUMIFS(AN_TME23[[#All],[TOTAL Truncated Unadjusted Claims Expenses (A21 -A19)]],AN_TME23[[#All],[Insurance Category Code]],4,AN_TME23[[#All],[Advanced Network/Insurance Carrier Org ID]],B106)/S106)</f>
        <v>NA</v>
      </c>
      <c r="AE106" s="165" t="str">
        <f>IF(S106=0,"NA",SUMIFS(AN_TME23[[#All],[TOTAL Non-Claims Expenses]],AN_TME23[[#All],[Insurance Category Code]],4,AN_TME23[[#All],[Advanced Network/Insurance Carrier Org ID]],B106)/S106)</f>
        <v>NA</v>
      </c>
      <c r="AF106" s="165" t="str">
        <f>IF(S106=0,"NA",SUMIFS(AN_TME23[[#All],[TOTAL Non-Truncated Unadjusted Expenses (A21 + A23)]],AN_TME23[[#All],[Insurance Category Code]],4,AN_TME23[[#All],[Advanced Network/Insurance Carrier Org ID]],B106)/S106)</f>
        <v>NA</v>
      </c>
      <c r="AG106" s="156" t="str">
        <f>IF(S106=0,"NA",SUMIFS(AN_TME23[[#All],[TOTAL Truncated Unadjusted Expenses (A22 + A23)]],AN_TME23[[#All],[Insurance Category Code]],4,AN_TME23[[#All],[Advanced Network/Insurance Carrier Org ID]],B106)/S106)</f>
        <v>NA</v>
      </c>
      <c r="AH106" s="478" t="str">
        <f t="shared" si="137"/>
        <v>NA</v>
      </c>
      <c r="AI106" s="479" t="str">
        <f t="shared" si="138"/>
        <v>NA</v>
      </c>
      <c r="AJ106" s="480" t="str">
        <f t="shared" si="139"/>
        <v>NA</v>
      </c>
      <c r="AK106" s="480" t="str">
        <f t="shared" si="140"/>
        <v>NA</v>
      </c>
      <c r="AL106" s="480" t="str">
        <f t="shared" si="141"/>
        <v>NA</v>
      </c>
      <c r="AM106" s="480" t="str">
        <f t="shared" si="142"/>
        <v>NA</v>
      </c>
      <c r="AN106" s="480" t="str">
        <f t="shared" si="143"/>
        <v>NA</v>
      </c>
      <c r="AO106" s="480" t="str">
        <f t="shared" si="144"/>
        <v>NA</v>
      </c>
      <c r="AP106" s="480" t="str">
        <f t="shared" si="145"/>
        <v>NA</v>
      </c>
      <c r="AQ106" s="480" t="str">
        <f t="shared" si="146"/>
        <v>NA</v>
      </c>
      <c r="AR106" s="481" t="str">
        <f t="shared" si="147"/>
        <v>NA</v>
      </c>
      <c r="AS106" s="481" t="str">
        <f t="shared" si="148"/>
        <v>NA</v>
      </c>
      <c r="AT106" s="481" t="str">
        <f t="shared" si="149"/>
        <v>NA</v>
      </c>
      <c r="AU106" s="481" t="str">
        <f t="shared" si="150"/>
        <v>NA</v>
      </c>
      <c r="AV106" s="482" t="str">
        <f t="shared" si="151"/>
        <v>NA</v>
      </c>
    </row>
    <row r="107" spans="1:48" ht="15" customHeight="1" x14ac:dyDescent="0.25">
      <c r="A107" s="164"/>
      <c r="B107" s="166">
        <v>124</v>
      </c>
      <c r="C107" s="169" t="str">
        <f>_xlfn.XLOOKUP(B107, LgProvEntOrgIDs[Advanced Network/Insurer Carrier Org ID], LgProvEntOrgIDs[Advanced Network/Insurance Carrier Overall])</f>
        <v>Southwest Community Health Center, Inc.</v>
      </c>
      <c r="D107" s="507">
        <f>SUMIFS(AN_TME22[[#All],[Member Months]],AN_TME22[[#All],[Insurance Category Code]],4,AN_TME22[[#All],[Advanced Network/Insurance Carrier Org ID]],B107)</f>
        <v>0</v>
      </c>
      <c r="E107" s="155" t="str">
        <f>IF(D107=0,"NA",SUMIFS(AN_TME22[[#All],[Claims: Hospital Inpatient]],AN_TME22[[#All],[Insurance Category Code]],4,AN_TME22[[#All],[Advanced Network/Insurance Carrier Org ID]],B107)/D107)</f>
        <v>NA</v>
      </c>
      <c r="F107" s="109" t="str">
        <f>IF(D107=0,"NA",SUMIFS(AN_TME22[[#All],[Claims: Hospital Outpatient]],AN_TME22[[#All],[Insurance Category Code]],4,AN_TME22[[#All],[Advanced Network/Insurance Carrier Org ID]],B107)/D107)</f>
        <v>NA</v>
      </c>
      <c r="G107" s="109" t="str">
        <f>IF(D107=0,"NA",SUMIFS(AN_TME22[[#All],[Claims: Professional, Primary Care]],AN_TME22[[#All],[Insurance Category Code]],4,AN_TME22[[#All],[Advanced Network/Insurance Carrier Org ID]],B107)/D107)</f>
        <v>NA</v>
      </c>
      <c r="H107" s="109" t="str">
        <f>IF(D107=0,"NA",SUMIFS(AN_TME22[[#All],[Claims: Professional, Primary Care (for Monitoring Purposes)]],AN_TME22[[#All],[Insurance Category Code]],4,AN_TME22[[#All],[Advanced Network/Insurance Carrier Org ID]],B107)/D107)</f>
        <v>NA</v>
      </c>
      <c r="I107" s="109" t="str">
        <f>IF(D107=0,"NA",SUMIFS(AN_TME22[[#All],[Claims: Professional, Specialty]],AN_TME22[[#All],[Insurance Category Code]],4,AN_TME22[[#All],[Advanced Network/Insurance Carrier Org ID]],B107)/D107)</f>
        <v>NA</v>
      </c>
      <c r="J107" s="109" t="str">
        <f>IF(D107=0,"NA",SUMIFS(AN_TME22[[#All],[Claims: Professional Other]],AN_TME22[[#All],[Insurance Category Code]],4,AN_TME22[[#All],[Advanced Network/Insurance Carrier Org ID]],B107)/D107)</f>
        <v>NA</v>
      </c>
      <c r="K107" s="109" t="str">
        <f>IF(D107=0,"NA",SUMIFS(AN_TME22[[#All],[Claims: Pharmacy]],AN_TME22[[#All],[Insurance Category Code]],4,AN_TME22[[#All],[Advanced Network/Insurance Carrier Org ID]],B107)/D107)</f>
        <v>NA</v>
      </c>
      <c r="L107" s="109" t="str">
        <f>IF(D107=0,"NA",SUMIFS(AN_TME22[[#All],[Claims: Long-Term Care]],AN_TME22[[#All],[Insurance Category Code]],4,AN_TME22[[#All],[Advanced Network/Insurance Carrier Org ID]],B107)/D107)</f>
        <v>NA</v>
      </c>
      <c r="M107" s="109" t="str">
        <f>IF(D107=0,"NA",SUMIFS(AN_TME22[[#All],[Claims: Other]],AN_TME22[[#All],[Insurance Category Code]],4,AN_TME22[[#All],[Advanced Network/Insurance Carrier Org ID]],B107)/D107)</f>
        <v>NA</v>
      </c>
      <c r="N107" s="165" t="str">
        <f>IF(D107=0,"NA",SUMIFS(AN_TME22[[#All],[TOTAL Non-Truncated Unadjusted Claims Expenses]],AN_TME22[[#All],[Insurance Category Code]],4,AN_TME22[[#All],[Advanced Network/Insurance Carrier Org ID]],B107)/D107)</f>
        <v>NA</v>
      </c>
      <c r="O107" s="165" t="str">
        <f>IF(D107=0,"NA",SUMIFS(AN_TME22[[#All],[TOTAL Truncated Unadjusted Claims Expenses (A21 -A19)]],AN_TME22[[#All],[Insurance Category Code]],4,AN_TME22[[#All],[Advanced Network/Insurance Carrier Org ID]],B107)/D107)</f>
        <v>NA</v>
      </c>
      <c r="P107" s="165" t="str">
        <f>IF(D107=0,"NA",SUMIFS(AN_TME22[[#All],[TOTAL Non-Claims Expenses]],AN_TME22[[#All],[Insurance Category Code]],4,AN_TME22[[#All],[Advanced Network/Insurance Carrier Org ID]],B107)/D107)</f>
        <v>NA</v>
      </c>
      <c r="Q107" s="165" t="str">
        <f>IF(D107=0,"NA",SUMIFS(AN_TME22[[#All],[TOTAL Non-Truncated Unadjusted Expenses (A21 + A23)]],AN_TME22[[#All],[Insurance Category Code]],4,AN_TME22[[#All],[Advanced Network/Insurance Carrier Org ID]],B107)/D107)</f>
        <v>NA</v>
      </c>
      <c r="R107" s="165" t="str">
        <f>IF(D107=0,"NA",SUMIFS(AN_TME22[[#All],[TOTAL Truncated Unadjusted Expenses (A22 + A23)]],AN_TME22[[#All],[Insurance Category Code]],4,AN_TME22[[#All],[Advanced Network/Insurance Carrier Org ID]],B107)/D107)</f>
        <v>NA</v>
      </c>
      <c r="S107" s="507">
        <f>SUMIFS(AN_TME23[[#All],[Member Months]],AN_TME23[[#All],[Insurance Category Code]],4,AN_TME23[[#All],[Advanced Network/Insurance Carrier Org ID]],B107)</f>
        <v>0</v>
      </c>
      <c r="T107" s="155" t="str">
        <f>IF(S107=0,"NA",SUMIFS(AN_TME23[[#All],[Claims: Hospital Inpatient]],AN_TME23[[#All],[Insurance Category Code]],4,AN_TME23[[#All],[Advanced Network/Insurance Carrier Org ID]],B107)/S107)</f>
        <v>NA</v>
      </c>
      <c r="U107" s="109" t="str">
        <f>IF(S107=0,"NA",SUMIFS(AN_TME23[[#All],[Claims: Hospital Outpatient]],AN_TME23[[#All],[Insurance Category Code]],4,AN_TME23[[#All],[Advanced Network/Insurance Carrier Org ID]],B107)/S107)</f>
        <v>NA</v>
      </c>
      <c r="V107" s="109" t="str">
        <f>IF(S107=0,"NA",SUMIFS(AN_TME23[[#All],[Claims: Professional, Primary Care]],AN_TME23[[#All],[Insurance Category Code]],4,AN_TME23[[#All],[Advanced Network/Insurance Carrier Org ID]],B107)/S107)</f>
        <v>NA</v>
      </c>
      <c r="W107" s="109" t="str">
        <f>IF(S107=0,"NA",SUMIFS(AN_TME23[[#All],[Claims: Professional, Primary Care (for Monitoring Purposes)]],AN_TME23[[#All],[Insurance Category Code]],4,AN_TME23[[#All],[Advanced Network/Insurance Carrier Org ID]],B107)/S107)</f>
        <v>NA</v>
      </c>
      <c r="X107" s="109" t="str">
        <f>IF(S107=0,"NA",SUMIFS(AN_TME23[[#All],[Claims: Professional, Specialty]],AN_TME23[[#All],[Insurance Category Code]],4,AN_TME23[[#All],[Advanced Network/Insurance Carrier Org ID]],B107)/S107)</f>
        <v>NA</v>
      </c>
      <c r="Y107" s="109" t="str">
        <f>IF(S107=0,"NA",SUMIFS(AN_TME23[[#All],[Claims: Professional Other]],AN_TME23[[#All],[Insurance Category Code]],4,AN_TME23[[#All],[Advanced Network/Insurance Carrier Org ID]],B107)/S107)</f>
        <v>NA</v>
      </c>
      <c r="Z107" s="109" t="str">
        <f>IF(S107=0,"NA",SUMIFS(AN_TME23[[#All],[Claims: Pharmacy]],AN_TME23[[#All],[Insurance Category Code]],4,AN_TME23[[#All],[Advanced Network/Insurance Carrier Org ID]],B107)/S107)</f>
        <v>NA</v>
      </c>
      <c r="AA107" s="109" t="str">
        <f>IF(S107=0,"NA",SUMIFS(AN_TME23[[#All],[Claims: Long-Term Care]],AN_TME23[[#All],[Insurance Category Code]],4,AN_TME23[[#All],[Advanced Network/Insurance Carrier Org ID]],B107)/S107)</f>
        <v>NA</v>
      </c>
      <c r="AB107" s="109" t="str">
        <f>IF(S107=0,"NA",SUMIFS(AN_TME23[[#All],[Claims: Other]],AN_TME23[[#All],[Insurance Category Code]],4,AN_TME23[[#All],[Advanced Network/Insurance Carrier Org ID]],B107)/S107)</f>
        <v>NA</v>
      </c>
      <c r="AC107" s="165" t="str">
        <f>IF(S107=0,"NA",SUMIFS(AN_TME23[[#All],[TOTAL Non-Truncated Unadjusted Claims Expenses]],AN_TME23[[#All],[Insurance Category Code]],4,AN_TME23[[#All],[Advanced Network/Insurance Carrier Org ID]],B107)/S107)</f>
        <v>NA</v>
      </c>
      <c r="AD107" s="165" t="str">
        <f>IF(S107=0,"NA",SUMIFS(AN_TME23[[#All],[TOTAL Truncated Unadjusted Claims Expenses (A21 -A19)]],AN_TME23[[#All],[Insurance Category Code]],4,AN_TME23[[#All],[Advanced Network/Insurance Carrier Org ID]],B107)/S107)</f>
        <v>NA</v>
      </c>
      <c r="AE107" s="165" t="str">
        <f>IF(S107=0,"NA",SUMIFS(AN_TME23[[#All],[TOTAL Non-Claims Expenses]],AN_TME23[[#All],[Insurance Category Code]],4,AN_TME23[[#All],[Advanced Network/Insurance Carrier Org ID]],B107)/S107)</f>
        <v>NA</v>
      </c>
      <c r="AF107" s="165" t="str">
        <f>IF(S107=0,"NA",SUMIFS(AN_TME23[[#All],[TOTAL Non-Truncated Unadjusted Expenses (A21 + A23)]],AN_TME23[[#All],[Insurance Category Code]],4,AN_TME23[[#All],[Advanced Network/Insurance Carrier Org ID]],B107)/S107)</f>
        <v>NA</v>
      </c>
      <c r="AG107" s="156" t="str">
        <f>IF(S107=0,"NA",SUMIFS(AN_TME23[[#All],[TOTAL Truncated Unadjusted Expenses (A22 + A23)]],AN_TME23[[#All],[Insurance Category Code]],4,AN_TME23[[#All],[Advanced Network/Insurance Carrier Org ID]],B107)/S107)</f>
        <v>NA</v>
      </c>
      <c r="AH107" s="478" t="str">
        <f t="shared" si="137"/>
        <v>NA</v>
      </c>
      <c r="AI107" s="479" t="str">
        <f t="shared" si="138"/>
        <v>NA</v>
      </c>
      <c r="AJ107" s="480" t="str">
        <f t="shared" si="139"/>
        <v>NA</v>
      </c>
      <c r="AK107" s="480" t="str">
        <f t="shared" si="140"/>
        <v>NA</v>
      </c>
      <c r="AL107" s="480" t="str">
        <f t="shared" si="141"/>
        <v>NA</v>
      </c>
      <c r="AM107" s="480" t="str">
        <f t="shared" si="142"/>
        <v>NA</v>
      </c>
      <c r="AN107" s="480" t="str">
        <f t="shared" si="143"/>
        <v>NA</v>
      </c>
      <c r="AO107" s="480" t="str">
        <f t="shared" si="144"/>
        <v>NA</v>
      </c>
      <c r="AP107" s="480" t="str">
        <f t="shared" si="145"/>
        <v>NA</v>
      </c>
      <c r="AQ107" s="480" t="str">
        <f t="shared" si="146"/>
        <v>NA</v>
      </c>
      <c r="AR107" s="481" t="str">
        <f t="shared" si="147"/>
        <v>NA</v>
      </c>
      <c r="AS107" s="481" t="str">
        <f t="shared" si="148"/>
        <v>NA</v>
      </c>
      <c r="AT107" s="481" t="str">
        <f t="shared" si="149"/>
        <v>NA</v>
      </c>
      <c r="AU107" s="481" t="str">
        <f t="shared" si="150"/>
        <v>NA</v>
      </c>
      <c r="AV107" s="482" t="str">
        <f t="shared" si="151"/>
        <v>NA</v>
      </c>
    </row>
    <row r="108" spans="1:48" ht="15" customHeight="1" x14ac:dyDescent="0.25">
      <c r="A108" s="164"/>
      <c r="B108" s="166">
        <v>125</v>
      </c>
      <c r="C108" s="169" t="str">
        <f>_xlfn.XLOOKUP(B108, LgProvEntOrgIDs[Advanced Network/Insurer Carrier Org ID], LgProvEntOrgIDs[Advanced Network/Insurance Carrier Overall])</f>
        <v>Stamford Health Medical Group</v>
      </c>
      <c r="D108" s="507">
        <f>SUMIFS(AN_TME22[[#All],[Member Months]],AN_TME22[[#All],[Insurance Category Code]],4,AN_TME22[[#All],[Advanced Network/Insurance Carrier Org ID]],B108)</f>
        <v>0</v>
      </c>
      <c r="E108" s="155" t="str">
        <f>IF(D108=0,"NA",SUMIFS(AN_TME22[[#All],[Claims: Hospital Inpatient]],AN_TME22[[#All],[Insurance Category Code]],4,AN_TME22[[#All],[Advanced Network/Insurance Carrier Org ID]],B108)/D108)</f>
        <v>NA</v>
      </c>
      <c r="F108" s="109" t="str">
        <f>IF(D108=0,"NA",SUMIFS(AN_TME22[[#All],[Claims: Hospital Outpatient]],AN_TME22[[#All],[Insurance Category Code]],4,AN_TME22[[#All],[Advanced Network/Insurance Carrier Org ID]],B108)/D108)</f>
        <v>NA</v>
      </c>
      <c r="G108" s="109" t="str">
        <f>IF(D108=0,"NA",SUMIFS(AN_TME22[[#All],[Claims: Professional, Primary Care]],AN_TME22[[#All],[Insurance Category Code]],4,AN_TME22[[#All],[Advanced Network/Insurance Carrier Org ID]],B108)/D108)</f>
        <v>NA</v>
      </c>
      <c r="H108" s="109" t="str">
        <f>IF(D108=0,"NA",SUMIFS(AN_TME22[[#All],[Claims: Professional, Primary Care (for Monitoring Purposes)]],AN_TME22[[#All],[Insurance Category Code]],4,AN_TME22[[#All],[Advanced Network/Insurance Carrier Org ID]],B108)/D108)</f>
        <v>NA</v>
      </c>
      <c r="I108" s="109" t="str">
        <f>IF(D108=0,"NA",SUMIFS(AN_TME22[[#All],[Claims: Professional, Specialty]],AN_TME22[[#All],[Insurance Category Code]],4,AN_TME22[[#All],[Advanced Network/Insurance Carrier Org ID]],B108)/D108)</f>
        <v>NA</v>
      </c>
      <c r="J108" s="109" t="str">
        <f>IF(D108=0,"NA",SUMIFS(AN_TME22[[#All],[Claims: Professional Other]],AN_TME22[[#All],[Insurance Category Code]],4,AN_TME22[[#All],[Advanced Network/Insurance Carrier Org ID]],B108)/D108)</f>
        <v>NA</v>
      </c>
      <c r="K108" s="109" t="str">
        <f>IF(D108=0,"NA",SUMIFS(AN_TME22[[#All],[Claims: Pharmacy]],AN_TME22[[#All],[Insurance Category Code]],4,AN_TME22[[#All],[Advanced Network/Insurance Carrier Org ID]],B108)/D108)</f>
        <v>NA</v>
      </c>
      <c r="L108" s="109" t="str">
        <f>IF(D108=0,"NA",SUMIFS(AN_TME22[[#All],[Claims: Long-Term Care]],AN_TME22[[#All],[Insurance Category Code]],4,AN_TME22[[#All],[Advanced Network/Insurance Carrier Org ID]],B108)/D108)</f>
        <v>NA</v>
      </c>
      <c r="M108" s="109" t="str">
        <f>IF(D108=0,"NA",SUMIFS(AN_TME22[[#All],[Claims: Other]],AN_TME22[[#All],[Insurance Category Code]],4,AN_TME22[[#All],[Advanced Network/Insurance Carrier Org ID]],B108)/D108)</f>
        <v>NA</v>
      </c>
      <c r="N108" s="165" t="str">
        <f>IF(D108=0,"NA",SUMIFS(AN_TME22[[#All],[TOTAL Non-Truncated Unadjusted Claims Expenses]],AN_TME22[[#All],[Insurance Category Code]],4,AN_TME22[[#All],[Advanced Network/Insurance Carrier Org ID]],B108)/D108)</f>
        <v>NA</v>
      </c>
      <c r="O108" s="165" t="str">
        <f>IF(D108=0,"NA",SUMIFS(AN_TME22[[#All],[TOTAL Truncated Unadjusted Claims Expenses (A21 -A19)]],AN_TME22[[#All],[Insurance Category Code]],4,AN_TME22[[#All],[Advanced Network/Insurance Carrier Org ID]],B108)/D108)</f>
        <v>NA</v>
      </c>
      <c r="P108" s="165" t="str">
        <f>IF(D108=0,"NA",SUMIFS(AN_TME22[[#All],[TOTAL Non-Claims Expenses]],AN_TME22[[#All],[Insurance Category Code]],4,AN_TME22[[#All],[Advanced Network/Insurance Carrier Org ID]],B108)/D108)</f>
        <v>NA</v>
      </c>
      <c r="Q108" s="165" t="str">
        <f>IF(D108=0,"NA",SUMIFS(AN_TME22[[#All],[TOTAL Non-Truncated Unadjusted Expenses (A21 + A23)]],AN_TME22[[#All],[Insurance Category Code]],4,AN_TME22[[#All],[Advanced Network/Insurance Carrier Org ID]],B108)/D108)</f>
        <v>NA</v>
      </c>
      <c r="R108" s="165" t="str">
        <f>IF(D108=0,"NA",SUMIFS(AN_TME22[[#All],[TOTAL Truncated Unadjusted Expenses (A22 + A23)]],AN_TME22[[#All],[Insurance Category Code]],4,AN_TME22[[#All],[Advanced Network/Insurance Carrier Org ID]],B108)/D108)</f>
        <v>NA</v>
      </c>
      <c r="S108" s="507">
        <f>SUMIFS(AN_TME23[[#All],[Member Months]],AN_TME23[[#All],[Insurance Category Code]],4,AN_TME23[[#All],[Advanced Network/Insurance Carrier Org ID]],B108)</f>
        <v>0</v>
      </c>
      <c r="T108" s="155" t="str">
        <f>IF(S108=0,"NA",SUMIFS(AN_TME23[[#All],[Claims: Hospital Inpatient]],AN_TME23[[#All],[Insurance Category Code]],4,AN_TME23[[#All],[Advanced Network/Insurance Carrier Org ID]],B108)/S108)</f>
        <v>NA</v>
      </c>
      <c r="U108" s="109" t="str">
        <f>IF(S108=0,"NA",SUMIFS(AN_TME23[[#All],[Claims: Hospital Outpatient]],AN_TME23[[#All],[Insurance Category Code]],4,AN_TME23[[#All],[Advanced Network/Insurance Carrier Org ID]],B108)/S108)</f>
        <v>NA</v>
      </c>
      <c r="V108" s="109" t="str">
        <f>IF(S108=0,"NA",SUMIFS(AN_TME23[[#All],[Claims: Professional, Primary Care]],AN_TME23[[#All],[Insurance Category Code]],4,AN_TME23[[#All],[Advanced Network/Insurance Carrier Org ID]],B108)/S108)</f>
        <v>NA</v>
      </c>
      <c r="W108" s="109" t="str">
        <f>IF(S108=0,"NA",SUMIFS(AN_TME23[[#All],[Claims: Professional, Primary Care (for Monitoring Purposes)]],AN_TME23[[#All],[Insurance Category Code]],4,AN_TME23[[#All],[Advanced Network/Insurance Carrier Org ID]],B108)/S108)</f>
        <v>NA</v>
      </c>
      <c r="X108" s="109" t="str">
        <f>IF(S108=0,"NA",SUMIFS(AN_TME23[[#All],[Claims: Professional, Specialty]],AN_TME23[[#All],[Insurance Category Code]],4,AN_TME23[[#All],[Advanced Network/Insurance Carrier Org ID]],B108)/S108)</f>
        <v>NA</v>
      </c>
      <c r="Y108" s="109" t="str">
        <f>IF(S108=0,"NA",SUMIFS(AN_TME23[[#All],[Claims: Professional Other]],AN_TME23[[#All],[Insurance Category Code]],4,AN_TME23[[#All],[Advanced Network/Insurance Carrier Org ID]],B108)/S108)</f>
        <v>NA</v>
      </c>
      <c r="Z108" s="109" t="str">
        <f>IF(S108=0,"NA",SUMIFS(AN_TME23[[#All],[Claims: Pharmacy]],AN_TME23[[#All],[Insurance Category Code]],4,AN_TME23[[#All],[Advanced Network/Insurance Carrier Org ID]],B108)/S108)</f>
        <v>NA</v>
      </c>
      <c r="AA108" s="109" t="str">
        <f>IF(S108=0,"NA",SUMIFS(AN_TME23[[#All],[Claims: Long-Term Care]],AN_TME23[[#All],[Insurance Category Code]],4,AN_TME23[[#All],[Advanced Network/Insurance Carrier Org ID]],B108)/S108)</f>
        <v>NA</v>
      </c>
      <c r="AB108" s="109" t="str">
        <f>IF(S108=0,"NA",SUMIFS(AN_TME23[[#All],[Claims: Other]],AN_TME23[[#All],[Insurance Category Code]],4,AN_TME23[[#All],[Advanced Network/Insurance Carrier Org ID]],B108)/S108)</f>
        <v>NA</v>
      </c>
      <c r="AC108" s="165" t="str">
        <f>IF(S108=0,"NA",SUMIFS(AN_TME23[[#All],[TOTAL Non-Truncated Unadjusted Claims Expenses]],AN_TME23[[#All],[Insurance Category Code]],4,AN_TME23[[#All],[Advanced Network/Insurance Carrier Org ID]],B108)/S108)</f>
        <v>NA</v>
      </c>
      <c r="AD108" s="165" t="str">
        <f>IF(S108=0,"NA",SUMIFS(AN_TME23[[#All],[TOTAL Truncated Unadjusted Claims Expenses (A21 -A19)]],AN_TME23[[#All],[Insurance Category Code]],4,AN_TME23[[#All],[Advanced Network/Insurance Carrier Org ID]],B108)/S108)</f>
        <v>NA</v>
      </c>
      <c r="AE108" s="165" t="str">
        <f>IF(S108=0,"NA",SUMIFS(AN_TME23[[#All],[TOTAL Non-Claims Expenses]],AN_TME23[[#All],[Insurance Category Code]],4,AN_TME23[[#All],[Advanced Network/Insurance Carrier Org ID]],B108)/S108)</f>
        <v>NA</v>
      </c>
      <c r="AF108" s="165" t="str">
        <f>IF(S108=0,"NA",SUMIFS(AN_TME23[[#All],[TOTAL Non-Truncated Unadjusted Expenses (A21 + A23)]],AN_TME23[[#All],[Insurance Category Code]],4,AN_TME23[[#All],[Advanced Network/Insurance Carrier Org ID]],B108)/S108)</f>
        <v>NA</v>
      </c>
      <c r="AG108" s="156" t="str">
        <f>IF(S108=0,"NA",SUMIFS(AN_TME23[[#All],[TOTAL Truncated Unadjusted Expenses (A22 + A23)]],AN_TME23[[#All],[Insurance Category Code]],4,AN_TME23[[#All],[Advanced Network/Insurance Carrier Org ID]],B108)/S108)</f>
        <v>NA</v>
      </c>
      <c r="AH108" s="478" t="str">
        <f t="shared" si="137"/>
        <v>NA</v>
      </c>
      <c r="AI108" s="479" t="str">
        <f t="shared" si="138"/>
        <v>NA</v>
      </c>
      <c r="AJ108" s="480" t="str">
        <f t="shared" si="139"/>
        <v>NA</v>
      </c>
      <c r="AK108" s="480" t="str">
        <f t="shared" si="140"/>
        <v>NA</v>
      </c>
      <c r="AL108" s="480" t="str">
        <f t="shared" si="141"/>
        <v>NA</v>
      </c>
      <c r="AM108" s="480" t="str">
        <f t="shared" si="142"/>
        <v>NA</v>
      </c>
      <c r="AN108" s="480" t="str">
        <f t="shared" si="143"/>
        <v>NA</v>
      </c>
      <c r="AO108" s="480" t="str">
        <f t="shared" si="144"/>
        <v>NA</v>
      </c>
      <c r="AP108" s="480" t="str">
        <f t="shared" si="145"/>
        <v>NA</v>
      </c>
      <c r="AQ108" s="480" t="str">
        <f t="shared" si="146"/>
        <v>NA</v>
      </c>
      <c r="AR108" s="481" t="str">
        <f t="shared" si="147"/>
        <v>NA</v>
      </c>
      <c r="AS108" s="481" t="str">
        <f t="shared" si="148"/>
        <v>NA</v>
      </c>
      <c r="AT108" s="481" t="str">
        <f t="shared" si="149"/>
        <v>NA</v>
      </c>
      <c r="AU108" s="481" t="str">
        <f t="shared" si="150"/>
        <v>NA</v>
      </c>
      <c r="AV108" s="482" t="str">
        <f t="shared" si="151"/>
        <v>NA</v>
      </c>
    </row>
    <row r="109" spans="1:48" ht="15" customHeight="1" x14ac:dyDescent="0.25">
      <c r="A109" s="164"/>
      <c r="B109" s="166">
        <v>126</v>
      </c>
      <c r="C109" s="169" t="str">
        <f>_xlfn.XLOOKUP(B109, LgProvEntOrgIDs[Advanced Network/Insurer Carrier Org ID], LgProvEntOrgIDs[Advanced Network/Insurance Carrier Overall])</f>
        <v>Starling Physicians</v>
      </c>
      <c r="D109" s="507">
        <f>SUMIFS(AN_TME22[[#All],[Member Months]],AN_TME22[[#All],[Insurance Category Code]],4,AN_TME22[[#All],[Advanced Network/Insurance Carrier Org ID]],B109)</f>
        <v>0</v>
      </c>
      <c r="E109" s="155" t="str">
        <f>IF(D109=0,"NA",SUMIFS(AN_TME22[[#All],[Claims: Hospital Inpatient]],AN_TME22[[#All],[Insurance Category Code]],4,AN_TME22[[#All],[Advanced Network/Insurance Carrier Org ID]],B109)/D109)</f>
        <v>NA</v>
      </c>
      <c r="F109" s="109" t="str">
        <f>IF(D109=0,"NA",SUMIFS(AN_TME22[[#All],[Claims: Hospital Outpatient]],AN_TME22[[#All],[Insurance Category Code]],4,AN_TME22[[#All],[Advanced Network/Insurance Carrier Org ID]],B109)/D109)</f>
        <v>NA</v>
      </c>
      <c r="G109" s="109" t="str">
        <f>IF(D109=0,"NA",SUMIFS(AN_TME22[[#All],[Claims: Professional, Primary Care]],AN_TME22[[#All],[Insurance Category Code]],4,AN_TME22[[#All],[Advanced Network/Insurance Carrier Org ID]],B109)/D109)</f>
        <v>NA</v>
      </c>
      <c r="H109" s="109" t="str">
        <f>IF(D109=0,"NA",SUMIFS(AN_TME22[[#All],[Claims: Professional, Primary Care (for Monitoring Purposes)]],AN_TME22[[#All],[Insurance Category Code]],4,AN_TME22[[#All],[Advanced Network/Insurance Carrier Org ID]],B109)/D109)</f>
        <v>NA</v>
      </c>
      <c r="I109" s="109" t="str">
        <f>IF(D109=0,"NA",SUMIFS(AN_TME22[[#All],[Claims: Professional, Specialty]],AN_TME22[[#All],[Insurance Category Code]],4,AN_TME22[[#All],[Advanced Network/Insurance Carrier Org ID]],B109)/D109)</f>
        <v>NA</v>
      </c>
      <c r="J109" s="109" t="str">
        <f>IF(D109=0,"NA",SUMIFS(AN_TME22[[#All],[Claims: Professional Other]],AN_TME22[[#All],[Insurance Category Code]],4,AN_TME22[[#All],[Advanced Network/Insurance Carrier Org ID]],B109)/D109)</f>
        <v>NA</v>
      </c>
      <c r="K109" s="109" t="str">
        <f>IF(D109=0,"NA",SUMIFS(AN_TME22[[#All],[Claims: Pharmacy]],AN_TME22[[#All],[Insurance Category Code]],4,AN_TME22[[#All],[Advanced Network/Insurance Carrier Org ID]],B109)/D109)</f>
        <v>NA</v>
      </c>
      <c r="L109" s="109" t="str">
        <f>IF(D109=0,"NA",SUMIFS(AN_TME22[[#All],[Claims: Long-Term Care]],AN_TME22[[#All],[Insurance Category Code]],4,AN_TME22[[#All],[Advanced Network/Insurance Carrier Org ID]],B109)/D109)</f>
        <v>NA</v>
      </c>
      <c r="M109" s="109" t="str">
        <f>IF(D109=0,"NA",SUMIFS(AN_TME22[[#All],[Claims: Other]],AN_TME22[[#All],[Insurance Category Code]],4,AN_TME22[[#All],[Advanced Network/Insurance Carrier Org ID]],B109)/D109)</f>
        <v>NA</v>
      </c>
      <c r="N109" s="165" t="str">
        <f>IF(D109=0,"NA",SUMIFS(AN_TME22[[#All],[TOTAL Non-Truncated Unadjusted Claims Expenses]],AN_TME22[[#All],[Insurance Category Code]],4,AN_TME22[[#All],[Advanced Network/Insurance Carrier Org ID]],B109)/D109)</f>
        <v>NA</v>
      </c>
      <c r="O109" s="165" t="str">
        <f>IF(D109=0,"NA",SUMIFS(AN_TME22[[#All],[TOTAL Truncated Unadjusted Claims Expenses (A21 -A19)]],AN_TME22[[#All],[Insurance Category Code]],4,AN_TME22[[#All],[Advanced Network/Insurance Carrier Org ID]],B109)/D109)</f>
        <v>NA</v>
      </c>
      <c r="P109" s="165" t="str">
        <f>IF(D109=0,"NA",SUMIFS(AN_TME22[[#All],[TOTAL Non-Claims Expenses]],AN_TME22[[#All],[Insurance Category Code]],4,AN_TME22[[#All],[Advanced Network/Insurance Carrier Org ID]],B109)/D109)</f>
        <v>NA</v>
      </c>
      <c r="Q109" s="165" t="str">
        <f>IF(D109=0,"NA",SUMIFS(AN_TME22[[#All],[TOTAL Non-Truncated Unadjusted Expenses (A21 + A23)]],AN_TME22[[#All],[Insurance Category Code]],4,AN_TME22[[#All],[Advanced Network/Insurance Carrier Org ID]],B109)/D109)</f>
        <v>NA</v>
      </c>
      <c r="R109" s="165" t="str">
        <f>IF(D109=0,"NA",SUMIFS(AN_TME22[[#All],[TOTAL Truncated Unadjusted Expenses (A22 + A23)]],AN_TME22[[#All],[Insurance Category Code]],4,AN_TME22[[#All],[Advanced Network/Insurance Carrier Org ID]],B109)/D109)</f>
        <v>NA</v>
      </c>
      <c r="S109" s="507">
        <f>SUMIFS(AN_TME23[[#All],[Member Months]],AN_TME23[[#All],[Insurance Category Code]],4,AN_TME23[[#All],[Advanced Network/Insurance Carrier Org ID]],B109)</f>
        <v>0</v>
      </c>
      <c r="T109" s="155" t="str">
        <f>IF(S109=0,"NA",SUMIFS(AN_TME23[[#All],[Claims: Hospital Inpatient]],AN_TME23[[#All],[Insurance Category Code]],4,AN_TME23[[#All],[Advanced Network/Insurance Carrier Org ID]],B109)/S109)</f>
        <v>NA</v>
      </c>
      <c r="U109" s="109" t="str">
        <f>IF(S109=0,"NA",SUMIFS(AN_TME23[[#All],[Claims: Hospital Outpatient]],AN_TME23[[#All],[Insurance Category Code]],4,AN_TME23[[#All],[Advanced Network/Insurance Carrier Org ID]],B109)/S109)</f>
        <v>NA</v>
      </c>
      <c r="V109" s="109" t="str">
        <f>IF(S109=0,"NA",SUMIFS(AN_TME23[[#All],[Claims: Professional, Primary Care]],AN_TME23[[#All],[Insurance Category Code]],4,AN_TME23[[#All],[Advanced Network/Insurance Carrier Org ID]],B109)/S109)</f>
        <v>NA</v>
      </c>
      <c r="W109" s="109" t="str">
        <f>IF(S109=0,"NA",SUMIFS(AN_TME23[[#All],[Claims: Professional, Primary Care (for Monitoring Purposes)]],AN_TME23[[#All],[Insurance Category Code]],4,AN_TME23[[#All],[Advanced Network/Insurance Carrier Org ID]],B109)/S109)</f>
        <v>NA</v>
      </c>
      <c r="X109" s="109" t="str">
        <f>IF(S109=0,"NA",SUMIFS(AN_TME23[[#All],[Claims: Professional, Specialty]],AN_TME23[[#All],[Insurance Category Code]],4,AN_TME23[[#All],[Advanced Network/Insurance Carrier Org ID]],B109)/S109)</f>
        <v>NA</v>
      </c>
      <c r="Y109" s="109" t="str">
        <f>IF(S109=0,"NA",SUMIFS(AN_TME23[[#All],[Claims: Professional Other]],AN_TME23[[#All],[Insurance Category Code]],4,AN_TME23[[#All],[Advanced Network/Insurance Carrier Org ID]],B109)/S109)</f>
        <v>NA</v>
      </c>
      <c r="Z109" s="109" t="str">
        <f>IF(S109=0,"NA",SUMIFS(AN_TME23[[#All],[Claims: Pharmacy]],AN_TME23[[#All],[Insurance Category Code]],4,AN_TME23[[#All],[Advanced Network/Insurance Carrier Org ID]],B109)/S109)</f>
        <v>NA</v>
      </c>
      <c r="AA109" s="109" t="str">
        <f>IF(S109=0,"NA",SUMIFS(AN_TME23[[#All],[Claims: Long-Term Care]],AN_TME23[[#All],[Insurance Category Code]],4,AN_TME23[[#All],[Advanced Network/Insurance Carrier Org ID]],B109)/S109)</f>
        <v>NA</v>
      </c>
      <c r="AB109" s="109" t="str">
        <f>IF(S109=0,"NA",SUMIFS(AN_TME23[[#All],[Claims: Other]],AN_TME23[[#All],[Insurance Category Code]],4,AN_TME23[[#All],[Advanced Network/Insurance Carrier Org ID]],B109)/S109)</f>
        <v>NA</v>
      </c>
      <c r="AC109" s="165" t="str">
        <f>IF(S109=0,"NA",SUMIFS(AN_TME23[[#All],[TOTAL Non-Truncated Unadjusted Claims Expenses]],AN_TME23[[#All],[Insurance Category Code]],4,AN_TME23[[#All],[Advanced Network/Insurance Carrier Org ID]],B109)/S109)</f>
        <v>NA</v>
      </c>
      <c r="AD109" s="165" t="str">
        <f>IF(S109=0,"NA",SUMIFS(AN_TME23[[#All],[TOTAL Truncated Unadjusted Claims Expenses (A21 -A19)]],AN_TME23[[#All],[Insurance Category Code]],4,AN_TME23[[#All],[Advanced Network/Insurance Carrier Org ID]],B109)/S109)</f>
        <v>NA</v>
      </c>
      <c r="AE109" s="165" t="str">
        <f>IF(S109=0,"NA",SUMIFS(AN_TME23[[#All],[TOTAL Non-Claims Expenses]],AN_TME23[[#All],[Insurance Category Code]],4,AN_TME23[[#All],[Advanced Network/Insurance Carrier Org ID]],B109)/S109)</f>
        <v>NA</v>
      </c>
      <c r="AF109" s="165" t="str">
        <f>IF(S109=0,"NA",SUMIFS(AN_TME23[[#All],[TOTAL Non-Truncated Unadjusted Expenses (A21 + A23)]],AN_TME23[[#All],[Insurance Category Code]],4,AN_TME23[[#All],[Advanced Network/Insurance Carrier Org ID]],B109)/S109)</f>
        <v>NA</v>
      </c>
      <c r="AG109" s="156" t="str">
        <f>IF(S109=0,"NA",SUMIFS(AN_TME23[[#All],[TOTAL Truncated Unadjusted Expenses (A22 + A23)]],AN_TME23[[#All],[Insurance Category Code]],4,AN_TME23[[#All],[Advanced Network/Insurance Carrier Org ID]],B109)/S109)</f>
        <v>NA</v>
      </c>
      <c r="AH109" s="478" t="str">
        <f t="shared" si="137"/>
        <v>NA</v>
      </c>
      <c r="AI109" s="479" t="str">
        <f t="shared" si="138"/>
        <v>NA</v>
      </c>
      <c r="AJ109" s="480" t="str">
        <f t="shared" si="139"/>
        <v>NA</v>
      </c>
      <c r="AK109" s="480" t="str">
        <f t="shared" si="140"/>
        <v>NA</v>
      </c>
      <c r="AL109" s="480" t="str">
        <f t="shared" si="141"/>
        <v>NA</v>
      </c>
      <c r="AM109" s="480" t="str">
        <f t="shared" si="142"/>
        <v>NA</v>
      </c>
      <c r="AN109" s="480" t="str">
        <f t="shared" si="143"/>
        <v>NA</v>
      </c>
      <c r="AO109" s="480" t="str">
        <f t="shared" si="144"/>
        <v>NA</v>
      </c>
      <c r="AP109" s="480" t="str">
        <f t="shared" si="145"/>
        <v>NA</v>
      </c>
      <c r="AQ109" s="480" t="str">
        <f t="shared" si="146"/>
        <v>NA</v>
      </c>
      <c r="AR109" s="481" t="str">
        <f t="shared" si="147"/>
        <v>NA</v>
      </c>
      <c r="AS109" s="481" t="str">
        <f t="shared" si="148"/>
        <v>NA</v>
      </c>
      <c r="AT109" s="481" t="str">
        <f t="shared" si="149"/>
        <v>NA</v>
      </c>
      <c r="AU109" s="481" t="str">
        <f t="shared" si="150"/>
        <v>NA</v>
      </c>
      <c r="AV109" s="482" t="str">
        <f t="shared" si="151"/>
        <v>NA</v>
      </c>
    </row>
    <row r="110" spans="1:48" ht="15" customHeight="1" x14ac:dyDescent="0.25">
      <c r="A110" s="164"/>
      <c r="B110" s="166">
        <v>127</v>
      </c>
      <c r="C110" s="169" t="str">
        <f>_xlfn.XLOOKUP(B110, LgProvEntOrgIDs[Advanced Network/Insurer Carrier Org ID], LgProvEntOrgIDs[Advanced Network/Insurance Carrier Overall])</f>
        <v>UConn Medical Group</v>
      </c>
      <c r="D110" s="507">
        <f>SUMIFS(AN_TME22[[#All],[Member Months]],AN_TME22[[#All],[Insurance Category Code]],4,AN_TME22[[#All],[Advanced Network/Insurance Carrier Org ID]],B110)</f>
        <v>0</v>
      </c>
      <c r="E110" s="155" t="str">
        <f>IF(D110=0,"NA",SUMIFS(AN_TME22[[#All],[Claims: Hospital Inpatient]],AN_TME22[[#All],[Insurance Category Code]],4,AN_TME22[[#All],[Advanced Network/Insurance Carrier Org ID]],B110)/D110)</f>
        <v>NA</v>
      </c>
      <c r="F110" s="109" t="str">
        <f>IF(D110=0,"NA",SUMIFS(AN_TME22[[#All],[Claims: Hospital Outpatient]],AN_TME22[[#All],[Insurance Category Code]],4,AN_TME22[[#All],[Advanced Network/Insurance Carrier Org ID]],B110)/D110)</f>
        <v>NA</v>
      </c>
      <c r="G110" s="109" t="str">
        <f>IF(D110=0,"NA",SUMIFS(AN_TME22[[#All],[Claims: Professional, Primary Care]],AN_TME22[[#All],[Insurance Category Code]],4,AN_TME22[[#All],[Advanced Network/Insurance Carrier Org ID]],B110)/D110)</f>
        <v>NA</v>
      </c>
      <c r="H110" s="109" t="str">
        <f>IF(D110=0,"NA",SUMIFS(AN_TME22[[#All],[Claims: Professional, Primary Care (for Monitoring Purposes)]],AN_TME22[[#All],[Insurance Category Code]],4,AN_TME22[[#All],[Advanced Network/Insurance Carrier Org ID]],B110)/D110)</f>
        <v>NA</v>
      </c>
      <c r="I110" s="109" t="str">
        <f>IF(D110=0,"NA",SUMIFS(AN_TME22[[#All],[Claims: Professional, Specialty]],AN_TME22[[#All],[Insurance Category Code]],4,AN_TME22[[#All],[Advanced Network/Insurance Carrier Org ID]],B110)/D110)</f>
        <v>NA</v>
      </c>
      <c r="J110" s="109" t="str">
        <f>IF(D110=0,"NA",SUMIFS(AN_TME22[[#All],[Claims: Professional Other]],AN_TME22[[#All],[Insurance Category Code]],4,AN_TME22[[#All],[Advanced Network/Insurance Carrier Org ID]],B110)/D110)</f>
        <v>NA</v>
      </c>
      <c r="K110" s="109" t="str">
        <f>IF(D110=0,"NA",SUMIFS(AN_TME22[[#All],[Claims: Pharmacy]],AN_TME22[[#All],[Insurance Category Code]],4,AN_TME22[[#All],[Advanced Network/Insurance Carrier Org ID]],B110)/D110)</f>
        <v>NA</v>
      </c>
      <c r="L110" s="109" t="str">
        <f>IF(D110=0,"NA",SUMIFS(AN_TME22[[#All],[Claims: Long-Term Care]],AN_TME22[[#All],[Insurance Category Code]],4,AN_TME22[[#All],[Advanced Network/Insurance Carrier Org ID]],B110)/D110)</f>
        <v>NA</v>
      </c>
      <c r="M110" s="109" t="str">
        <f>IF(D110=0,"NA",SUMIFS(AN_TME22[[#All],[Claims: Other]],AN_TME22[[#All],[Insurance Category Code]],4,AN_TME22[[#All],[Advanced Network/Insurance Carrier Org ID]],B110)/D110)</f>
        <v>NA</v>
      </c>
      <c r="N110" s="165" t="str">
        <f>IF(D110=0,"NA",SUMIFS(AN_TME22[[#All],[TOTAL Non-Truncated Unadjusted Claims Expenses]],AN_TME22[[#All],[Insurance Category Code]],4,AN_TME22[[#All],[Advanced Network/Insurance Carrier Org ID]],B110)/D110)</f>
        <v>NA</v>
      </c>
      <c r="O110" s="165" t="str">
        <f>IF(D110=0,"NA",SUMIFS(AN_TME22[[#All],[TOTAL Truncated Unadjusted Claims Expenses (A21 -A19)]],AN_TME22[[#All],[Insurance Category Code]],4,AN_TME22[[#All],[Advanced Network/Insurance Carrier Org ID]],B110)/D110)</f>
        <v>NA</v>
      </c>
      <c r="P110" s="165" t="str">
        <f>IF(D110=0,"NA",SUMIFS(AN_TME22[[#All],[TOTAL Non-Claims Expenses]],AN_TME22[[#All],[Insurance Category Code]],4,AN_TME22[[#All],[Advanced Network/Insurance Carrier Org ID]],B110)/D110)</f>
        <v>NA</v>
      </c>
      <c r="Q110" s="165" t="str">
        <f>IF(D110=0,"NA",SUMIFS(AN_TME22[[#All],[TOTAL Non-Truncated Unadjusted Expenses (A21 + A23)]],AN_TME22[[#All],[Insurance Category Code]],4,AN_TME22[[#All],[Advanced Network/Insurance Carrier Org ID]],B110)/D110)</f>
        <v>NA</v>
      </c>
      <c r="R110" s="165" t="str">
        <f>IF(D110=0,"NA",SUMIFS(AN_TME22[[#All],[TOTAL Truncated Unadjusted Expenses (A22 + A23)]],AN_TME22[[#All],[Insurance Category Code]],4,AN_TME22[[#All],[Advanced Network/Insurance Carrier Org ID]],B110)/D110)</f>
        <v>NA</v>
      </c>
      <c r="S110" s="507">
        <f>SUMIFS(AN_TME23[[#All],[Member Months]],AN_TME23[[#All],[Insurance Category Code]],4,AN_TME23[[#All],[Advanced Network/Insurance Carrier Org ID]],B110)</f>
        <v>0</v>
      </c>
      <c r="T110" s="155" t="str">
        <f>IF(S110=0,"NA",SUMIFS(AN_TME23[[#All],[Claims: Hospital Inpatient]],AN_TME23[[#All],[Insurance Category Code]],4,AN_TME23[[#All],[Advanced Network/Insurance Carrier Org ID]],B110)/S110)</f>
        <v>NA</v>
      </c>
      <c r="U110" s="109" t="str">
        <f>IF(S110=0,"NA",SUMIFS(AN_TME23[[#All],[Claims: Hospital Outpatient]],AN_TME23[[#All],[Insurance Category Code]],4,AN_TME23[[#All],[Advanced Network/Insurance Carrier Org ID]],B110)/S110)</f>
        <v>NA</v>
      </c>
      <c r="V110" s="109" t="str">
        <f>IF(S110=0,"NA",SUMIFS(AN_TME23[[#All],[Claims: Professional, Primary Care]],AN_TME23[[#All],[Insurance Category Code]],4,AN_TME23[[#All],[Advanced Network/Insurance Carrier Org ID]],B110)/S110)</f>
        <v>NA</v>
      </c>
      <c r="W110" s="109" t="str">
        <f>IF(S110=0,"NA",SUMIFS(AN_TME23[[#All],[Claims: Professional, Primary Care (for Monitoring Purposes)]],AN_TME23[[#All],[Insurance Category Code]],4,AN_TME23[[#All],[Advanced Network/Insurance Carrier Org ID]],B110)/S110)</f>
        <v>NA</v>
      </c>
      <c r="X110" s="109" t="str">
        <f>IF(S110=0,"NA",SUMIFS(AN_TME23[[#All],[Claims: Professional, Specialty]],AN_TME23[[#All],[Insurance Category Code]],4,AN_TME23[[#All],[Advanced Network/Insurance Carrier Org ID]],B110)/S110)</f>
        <v>NA</v>
      </c>
      <c r="Y110" s="109" t="str">
        <f>IF(S110=0,"NA",SUMIFS(AN_TME23[[#All],[Claims: Professional Other]],AN_TME23[[#All],[Insurance Category Code]],4,AN_TME23[[#All],[Advanced Network/Insurance Carrier Org ID]],B110)/S110)</f>
        <v>NA</v>
      </c>
      <c r="Z110" s="109" t="str">
        <f>IF(S110=0,"NA",SUMIFS(AN_TME23[[#All],[Claims: Pharmacy]],AN_TME23[[#All],[Insurance Category Code]],4,AN_TME23[[#All],[Advanced Network/Insurance Carrier Org ID]],B110)/S110)</f>
        <v>NA</v>
      </c>
      <c r="AA110" s="109" t="str">
        <f>IF(S110=0,"NA",SUMIFS(AN_TME23[[#All],[Claims: Long-Term Care]],AN_TME23[[#All],[Insurance Category Code]],4,AN_TME23[[#All],[Advanced Network/Insurance Carrier Org ID]],B110)/S110)</f>
        <v>NA</v>
      </c>
      <c r="AB110" s="109" t="str">
        <f>IF(S110=0,"NA",SUMIFS(AN_TME23[[#All],[Claims: Other]],AN_TME23[[#All],[Insurance Category Code]],4,AN_TME23[[#All],[Advanced Network/Insurance Carrier Org ID]],B110)/S110)</f>
        <v>NA</v>
      </c>
      <c r="AC110" s="165" t="str">
        <f>IF(S110=0,"NA",SUMIFS(AN_TME23[[#All],[TOTAL Non-Truncated Unadjusted Claims Expenses]],AN_TME23[[#All],[Insurance Category Code]],4,AN_TME23[[#All],[Advanced Network/Insurance Carrier Org ID]],B110)/S110)</f>
        <v>NA</v>
      </c>
      <c r="AD110" s="165" t="str">
        <f>IF(S110=0,"NA",SUMIFS(AN_TME23[[#All],[TOTAL Truncated Unadjusted Claims Expenses (A21 -A19)]],AN_TME23[[#All],[Insurance Category Code]],4,AN_TME23[[#All],[Advanced Network/Insurance Carrier Org ID]],B110)/S110)</f>
        <v>NA</v>
      </c>
      <c r="AE110" s="165" t="str">
        <f>IF(S110=0,"NA",SUMIFS(AN_TME23[[#All],[TOTAL Non-Claims Expenses]],AN_TME23[[#All],[Insurance Category Code]],4,AN_TME23[[#All],[Advanced Network/Insurance Carrier Org ID]],B110)/S110)</f>
        <v>NA</v>
      </c>
      <c r="AF110" s="165" t="str">
        <f>IF(S110=0,"NA",SUMIFS(AN_TME23[[#All],[TOTAL Non-Truncated Unadjusted Expenses (A21 + A23)]],AN_TME23[[#All],[Insurance Category Code]],4,AN_TME23[[#All],[Advanced Network/Insurance Carrier Org ID]],B110)/S110)</f>
        <v>NA</v>
      </c>
      <c r="AG110" s="156" t="str">
        <f>IF(S110=0,"NA",SUMIFS(AN_TME23[[#All],[TOTAL Truncated Unadjusted Expenses (A22 + A23)]],AN_TME23[[#All],[Insurance Category Code]],4,AN_TME23[[#All],[Advanced Network/Insurance Carrier Org ID]],B110)/S110)</f>
        <v>NA</v>
      </c>
      <c r="AH110" s="478" t="str">
        <f t="shared" si="137"/>
        <v>NA</v>
      </c>
      <c r="AI110" s="479" t="str">
        <f t="shared" si="138"/>
        <v>NA</v>
      </c>
      <c r="AJ110" s="480" t="str">
        <f t="shared" si="139"/>
        <v>NA</v>
      </c>
      <c r="AK110" s="480" t="str">
        <f t="shared" si="140"/>
        <v>NA</v>
      </c>
      <c r="AL110" s="480" t="str">
        <f t="shared" si="141"/>
        <v>NA</v>
      </c>
      <c r="AM110" s="480" t="str">
        <f t="shared" si="142"/>
        <v>NA</v>
      </c>
      <c r="AN110" s="480" t="str">
        <f t="shared" si="143"/>
        <v>NA</v>
      </c>
      <c r="AO110" s="480" t="str">
        <f t="shared" si="144"/>
        <v>NA</v>
      </c>
      <c r="AP110" s="480" t="str">
        <f t="shared" si="145"/>
        <v>NA</v>
      </c>
      <c r="AQ110" s="480" t="str">
        <f t="shared" si="146"/>
        <v>NA</v>
      </c>
      <c r="AR110" s="481" t="str">
        <f t="shared" si="147"/>
        <v>NA</v>
      </c>
      <c r="AS110" s="481" t="str">
        <f t="shared" si="148"/>
        <v>NA</v>
      </c>
      <c r="AT110" s="481" t="str">
        <f t="shared" si="149"/>
        <v>NA</v>
      </c>
      <c r="AU110" s="481" t="str">
        <f t="shared" si="150"/>
        <v>NA</v>
      </c>
      <c r="AV110" s="482" t="str">
        <f t="shared" si="151"/>
        <v>NA</v>
      </c>
    </row>
    <row r="111" spans="1:48" ht="15" customHeight="1" x14ac:dyDescent="0.25">
      <c r="A111" s="164"/>
      <c r="B111" s="166">
        <v>128</v>
      </c>
      <c r="C111" s="169" t="str">
        <f>_xlfn.XLOOKUP(B111, LgProvEntOrgIDs[Advanced Network/Insurer Carrier Org ID], LgProvEntOrgIDs[Advanced Network/Insurance Carrier Overall])</f>
        <v>United Community and Family Services</v>
      </c>
      <c r="D111" s="507">
        <f>SUMIFS(AN_TME22[[#All],[Member Months]],AN_TME22[[#All],[Insurance Category Code]],4,AN_TME22[[#All],[Advanced Network/Insurance Carrier Org ID]],B111)</f>
        <v>0</v>
      </c>
      <c r="E111" s="155" t="str">
        <f>IF(D111=0,"NA",SUMIFS(AN_TME22[[#All],[Claims: Hospital Inpatient]],AN_TME22[[#All],[Insurance Category Code]],4,AN_TME22[[#All],[Advanced Network/Insurance Carrier Org ID]],B111)/D111)</f>
        <v>NA</v>
      </c>
      <c r="F111" s="109" t="str">
        <f>IF(D111=0,"NA",SUMIFS(AN_TME22[[#All],[Claims: Hospital Outpatient]],AN_TME22[[#All],[Insurance Category Code]],4,AN_TME22[[#All],[Advanced Network/Insurance Carrier Org ID]],B111)/D111)</f>
        <v>NA</v>
      </c>
      <c r="G111" s="109" t="str">
        <f>IF(D111=0,"NA",SUMIFS(AN_TME22[[#All],[Claims: Professional, Primary Care]],AN_TME22[[#All],[Insurance Category Code]],4,AN_TME22[[#All],[Advanced Network/Insurance Carrier Org ID]],B111)/D111)</f>
        <v>NA</v>
      </c>
      <c r="H111" s="109" t="str">
        <f>IF(D111=0,"NA",SUMIFS(AN_TME22[[#All],[Claims: Professional, Primary Care (for Monitoring Purposes)]],AN_TME22[[#All],[Insurance Category Code]],4,AN_TME22[[#All],[Advanced Network/Insurance Carrier Org ID]],B111)/D111)</f>
        <v>NA</v>
      </c>
      <c r="I111" s="109" t="str">
        <f>IF(D111=0,"NA",SUMIFS(AN_TME22[[#All],[Claims: Professional, Specialty]],AN_TME22[[#All],[Insurance Category Code]],4,AN_TME22[[#All],[Advanced Network/Insurance Carrier Org ID]],B111)/D111)</f>
        <v>NA</v>
      </c>
      <c r="J111" s="109" t="str">
        <f>IF(D111=0,"NA",SUMIFS(AN_TME22[[#All],[Claims: Professional Other]],AN_TME22[[#All],[Insurance Category Code]],4,AN_TME22[[#All],[Advanced Network/Insurance Carrier Org ID]],B111)/D111)</f>
        <v>NA</v>
      </c>
      <c r="K111" s="109" t="str">
        <f>IF(D111=0,"NA",SUMIFS(AN_TME22[[#All],[Claims: Pharmacy]],AN_TME22[[#All],[Insurance Category Code]],4,AN_TME22[[#All],[Advanced Network/Insurance Carrier Org ID]],B111)/D111)</f>
        <v>NA</v>
      </c>
      <c r="L111" s="109" t="str">
        <f>IF(D111=0,"NA",SUMIFS(AN_TME22[[#All],[Claims: Long-Term Care]],AN_TME22[[#All],[Insurance Category Code]],4,AN_TME22[[#All],[Advanced Network/Insurance Carrier Org ID]],B111)/D111)</f>
        <v>NA</v>
      </c>
      <c r="M111" s="109" t="str">
        <f>IF(D111=0,"NA",SUMIFS(AN_TME22[[#All],[Claims: Other]],AN_TME22[[#All],[Insurance Category Code]],4,AN_TME22[[#All],[Advanced Network/Insurance Carrier Org ID]],B111)/D111)</f>
        <v>NA</v>
      </c>
      <c r="N111" s="165" t="str">
        <f>IF(D111=0,"NA",SUMIFS(AN_TME22[[#All],[TOTAL Non-Truncated Unadjusted Claims Expenses]],AN_TME22[[#All],[Insurance Category Code]],4,AN_TME22[[#All],[Advanced Network/Insurance Carrier Org ID]],B111)/D111)</f>
        <v>NA</v>
      </c>
      <c r="O111" s="165" t="str">
        <f>IF(D111=0,"NA",SUMIFS(AN_TME22[[#All],[TOTAL Truncated Unadjusted Claims Expenses (A21 -A19)]],AN_TME22[[#All],[Insurance Category Code]],4,AN_TME22[[#All],[Advanced Network/Insurance Carrier Org ID]],B111)/D111)</f>
        <v>NA</v>
      </c>
      <c r="P111" s="165" t="str">
        <f>IF(D111=0,"NA",SUMIFS(AN_TME22[[#All],[TOTAL Non-Claims Expenses]],AN_TME22[[#All],[Insurance Category Code]],4,AN_TME22[[#All],[Advanced Network/Insurance Carrier Org ID]],B111)/D111)</f>
        <v>NA</v>
      </c>
      <c r="Q111" s="165" t="str">
        <f>IF(D111=0,"NA",SUMIFS(AN_TME22[[#All],[TOTAL Non-Truncated Unadjusted Expenses (A21 + A23)]],AN_TME22[[#All],[Insurance Category Code]],4,AN_TME22[[#All],[Advanced Network/Insurance Carrier Org ID]],B111)/D111)</f>
        <v>NA</v>
      </c>
      <c r="R111" s="165" t="str">
        <f>IF(D111=0,"NA",SUMIFS(AN_TME22[[#All],[TOTAL Truncated Unadjusted Expenses (A22 + A23)]],AN_TME22[[#All],[Insurance Category Code]],4,AN_TME22[[#All],[Advanced Network/Insurance Carrier Org ID]],B111)/D111)</f>
        <v>NA</v>
      </c>
      <c r="S111" s="507">
        <f>SUMIFS(AN_TME23[[#All],[Member Months]],AN_TME23[[#All],[Insurance Category Code]],4,AN_TME23[[#All],[Advanced Network/Insurance Carrier Org ID]],B111)</f>
        <v>0</v>
      </c>
      <c r="T111" s="155" t="str">
        <f>IF(S111=0,"NA",SUMIFS(AN_TME23[[#All],[Claims: Hospital Inpatient]],AN_TME23[[#All],[Insurance Category Code]],4,AN_TME23[[#All],[Advanced Network/Insurance Carrier Org ID]],B111)/S111)</f>
        <v>NA</v>
      </c>
      <c r="U111" s="109" t="str">
        <f>IF(S111=0,"NA",SUMIFS(AN_TME23[[#All],[Claims: Hospital Outpatient]],AN_TME23[[#All],[Insurance Category Code]],4,AN_TME23[[#All],[Advanced Network/Insurance Carrier Org ID]],B111)/S111)</f>
        <v>NA</v>
      </c>
      <c r="V111" s="109" t="str">
        <f>IF(S111=0,"NA",SUMIFS(AN_TME23[[#All],[Claims: Professional, Primary Care]],AN_TME23[[#All],[Insurance Category Code]],4,AN_TME23[[#All],[Advanced Network/Insurance Carrier Org ID]],B111)/S111)</f>
        <v>NA</v>
      </c>
      <c r="W111" s="109" t="str">
        <f>IF(S111=0,"NA",SUMIFS(AN_TME23[[#All],[Claims: Professional, Primary Care (for Monitoring Purposes)]],AN_TME23[[#All],[Insurance Category Code]],4,AN_TME23[[#All],[Advanced Network/Insurance Carrier Org ID]],B111)/S111)</f>
        <v>NA</v>
      </c>
      <c r="X111" s="109" t="str">
        <f>IF(S111=0,"NA",SUMIFS(AN_TME23[[#All],[Claims: Professional, Specialty]],AN_TME23[[#All],[Insurance Category Code]],4,AN_TME23[[#All],[Advanced Network/Insurance Carrier Org ID]],B111)/S111)</f>
        <v>NA</v>
      </c>
      <c r="Y111" s="109" t="str">
        <f>IF(S111=0,"NA",SUMIFS(AN_TME23[[#All],[Claims: Professional Other]],AN_TME23[[#All],[Insurance Category Code]],4,AN_TME23[[#All],[Advanced Network/Insurance Carrier Org ID]],B111)/S111)</f>
        <v>NA</v>
      </c>
      <c r="Z111" s="109" t="str">
        <f>IF(S111=0,"NA",SUMIFS(AN_TME23[[#All],[Claims: Pharmacy]],AN_TME23[[#All],[Insurance Category Code]],4,AN_TME23[[#All],[Advanced Network/Insurance Carrier Org ID]],B111)/S111)</f>
        <v>NA</v>
      </c>
      <c r="AA111" s="109" t="str">
        <f>IF(S111=0,"NA",SUMIFS(AN_TME23[[#All],[Claims: Long-Term Care]],AN_TME23[[#All],[Insurance Category Code]],4,AN_TME23[[#All],[Advanced Network/Insurance Carrier Org ID]],B111)/S111)</f>
        <v>NA</v>
      </c>
      <c r="AB111" s="109" t="str">
        <f>IF(S111=0,"NA",SUMIFS(AN_TME23[[#All],[Claims: Other]],AN_TME23[[#All],[Insurance Category Code]],4,AN_TME23[[#All],[Advanced Network/Insurance Carrier Org ID]],B111)/S111)</f>
        <v>NA</v>
      </c>
      <c r="AC111" s="165" t="str">
        <f>IF(S111=0,"NA",SUMIFS(AN_TME23[[#All],[TOTAL Non-Truncated Unadjusted Claims Expenses]],AN_TME23[[#All],[Insurance Category Code]],4,AN_TME23[[#All],[Advanced Network/Insurance Carrier Org ID]],B111)/S111)</f>
        <v>NA</v>
      </c>
      <c r="AD111" s="165" t="str">
        <f>IF(S111=0,"NA",SUMIFS(AN_TME23[[#All],[TOTAL Truncated Unadjusted Claims Expenses (A21 -A19)]],AN_TME23[[#All],[Insurance Category Code]],4,AN_TME23[[#All],[Advanced Network/Insurance Carrier Org ID]],B111)/S111)</f>
        <v>NA</v>
      </c>
      <c r="AE111" s="165" t="str">
        <f>IF(S111=0,"NA",SUMIFS(AN_TME23[[#All],[TOTAL Non-Claims Expenses]],AN_TME23[[#All],[Insurance Category Code]],4,AN_TME23[[#All],[Advanced Network/Insurance Carrier Org ID]],B111)/S111)</f>
        <v>NA</v>
      </c>
      <c r="AF111" s="165" t="str">
        <f>IF(S111=0,"NA",SUMIFS(AN_TME23[[#All],[TOTAL Non-Truncated Unadjusted Expenses (A21 + A23)]],AN_TME23[[#All],[Insurance Category Code]],4,AN_TME23[[#All],[Advanced Network/Insurance Carrier Org ID]],B111)/S111)</f>
        <v>NA</v>
      </c>
      <c r="AG111" s="156" t="str">
        <f>IF(S111=0,"NA",SUMIFS(AN_TME23[[#All],[TOTAL Truncated Unadjusted Expenses (A22 + A23)]],AN_TME23[[#All],[Insurance Category Code]],4,AN_TME23[[#All],[Advanced Network/Insurance Carrier Org ID]],B111)/S111)</f>
        <v>NA</v>
      </c>
      <c r="AH111" s="478" t="str">
        <f t="shared" si="137"/>
        <v>NA</v>
      </c>
      <c r="AI111" s="479" t="str">
        <f t="shared" si="138"/>
        <v>NA</v>
      </c>
      <c r="AJ111" s="480" t="str">
        <f t="shared" si="139"/>
        <v>NA</v>
      </c>
      <c r="AK111" s="480" t="str">
        <f t="shared" si="140"/>
        <v>NA</v>
      </c>
      <c r="AL111" s="480" t="str">
        <f t="shared" si="141"/>
        <v>NA</v>
      </c>
      <c r="AM111" s="480" t="str">
        <f t="shared" si="142"/>
        <v>NA</v>
      </c>
      <c r="AN111" s="480" t="str">
        <f t="shared" si="143"/>
        <v>NA</v>
      </c>
      <c r="AO111" s="480" t="str">
        <f t="shared" si="144"/>
        <v>NA</v>
      </c>
      <c r="AP111" s="480" t="str">
        <f t="shared" si="145"/>
        <v>NA</v>
      </c>
      <c r="AQ111" s="480" t="str">
        <f t="shared" si="146"/>
        <v>NA</v>
      </c>
      <c r="AR111" s="481" t="str">
        <f t="shared" si="147"/>
        <v>NA</v>
      </c>
      <c r="AS111" s="481" t="str">
        <f t="shared" si="148"/>
        <v>NA</v>
      </c>
      <c r="AT111" s="481" t="str">
        <f t="shared" si="149"/>
        <v>NA</v>
      </c>
      <c r="AU111" s="481" t="str">
        <f t="shared" si="150"/>
        <v>NA</v>
      </c>
      <c r="AV111" s="482" t="str">
        <f t="shared" si="151"/>
        <v>NA</v>
      </c>
    </row>
    <row r="112" spans="1:48" ht="15" customHeight="1" x14ac:dyDescent="0.25">
      <c r="A112" s="164"/>
      <c r="B112" s="166">
        <v>129</v>
      </c>
      <c r="C112" s="169" t="str">
        <f>_xlfn.XLOOKUP(B112, LgProvEntOrgIDs[Advanced Network/Insurer Carrier Org ID], LgProvEntOrgIDs[Advanced Network/Insurance Carrier Overall])</f>
        <v>Summit Health (formerly WestMed Medical Group)</v>
      </c>
      <c r="D112" s="507">
        <f>SUMIFS(AN_TME22[[#All],[Member Months]],AN_TME22[[#All],[Insurance Category Code]],4,AN_TME22[[#All],[Advanced Network/Insurance Carrier Org ID]],B112)</f>
        <v>0</v>
      </c>
      <c r="E112" s="155" t="str">
        <f>IF(D112=0,"NA",SUMIFS(AN_TME22[[#All],[Claims: Hospital Inpatient]],AN_TME22[[#All],[Insurance Category Code]],4,AN_TME22[[#All],[Advanced Network/Insurance Carrier Org ID]],B112)/D112)</f>
        <v>NA</v>
      </c>
      <c r="F112" s="109" t="str">
        <f>IF(D112=0,"NA",SUMIFS(AN_TME22[[#All],[Claims: Hospital Outpatient]],AN_TME22[[#All],[Insurance Category Code]],4,AN_TME22[[#All],[Advanced Network/Insurance Carrier Org ID]],B112)/D112)</f>
        <v>NA</v>
      </c>
      <c r="G112" s="109" t="str">
        <f>IF(D112=0,"NA",SUMIFS(AN_TME22[[#All],[Claims: Professional, Primary Care]],AN_TME22[[#All],[Insurance Category Code]],4,AN_TME22[[#All],[Advanced Network/Insurance Carrier Org ID]],B112)/D112)</f>
        <v>NA</v>
      </c>
      <c r="H112" s="109" t="str">
        <f>IF(D112=0,"NA",SUMIFS(AN_TME22[[#All],[Claims: Professional, Primary Care (for Monitoring Purposes)]],AN_TME22[[#All],[Insurance Category Code]],4,AN_TME22[[#All],[Advanced Network/Insurance Carrier Org ID]],B112)/D112)</f>
        <v>NA</v>
      </c>
      <c r="I112" s="109" t="str">
        <f>IF(D112=0,"NA",SUMIFS(AN_TME22[[#All],[Claims: Professional, Specialty]],AN_TME22[[#All],[Insurance Category Code]],4,AN_TME22[[#All],[Advanced Network/Insurance Carrier Org ID]],B112)/D112)</f>
        <v>NA</v>
      </c>
      <c r="J112" s="109" t="str">
        <f>IF(D112=0,"NA",SUMIFS(AN_TME22[[#All],[Claims: Professional Other]],AN_TME22[[#All],[Insurance Category Code]],4,AN_TME22[[#All],[Advanced Network/Insurance Carrier Org ID]],B112)/D112)</f>
        <v>NA</v>
      </c>
      <c r="K112" s="109" t="str">
        <f>IF(D112=0,"NA",SUMIFS(AN_TME22[[#All],[Claims: Pharmacy]],AN_TME22[[#All],[Insurance Category Code]],4,AN_TME22[[#All],[Advanced Network/Insurance Carrier Org ID]],B112)/D112)</f>
        <v>NA</v>
      </c>
      <c r="L112" s="109" t="str">
        <f>IF(D112=0,"NA",SUMIFS(AN_TME22[[#All],[Claims: Long-Term Care]],AN_TME22[[#All],[Insurance Category Code]],4,AN_TME22[[#All],[Advanced Network/Insurance Carrier Org ID]],B112)/D112)</f>
        <v>NA</v>
      </c>
      <c r="M112" s="109" t="str">
        <f>IF(D112=0,"NA",SUMIFS(AN_TME22[[#All],[Claims: Other]],AN_TME22[[#All],[Insurance Category Code]],4,AN_TME22[[#All],[Advanced Network/Insurance Carrier Org ID]],B112)/D112)</f>
        <v>NA</v>
      </c>
      <c r="N112" s="165" t="str">
        <f>IF(D112=0,"NA",SUMIFS(AN_TME22[[#All],[TOTAL Non-Truncated Unadjusted Claims Expenses]],AN_TME22[[#All],[Insurance Category Code]],4,AN_TME22[[#All],[Advanced Network/Insurance Carrier Org ID]],B112)/D112)</f>
        <v>NA</v>
      </c>
      <c r="O112" s="165" t="str">
        <f>IF(D112=0,"NA",SUMIFS(AN_TME22[[#All],[TOTAL Truncated Unadjusted Claims Expenses (A21 -A19)]],AN_TME22[[#All],[Insurance Category Code]],4,AN_TME22[[#All],[Advanced Network/Insurance Carrier Org ID]],B112)/D112)</f>
        <v>NA</v>
      </c>
      <c r="P112" s="165" t="str">
        <f>IF(D112=0,"NA",SUMIFS(AN_TME22[[#All],[TOTAL Non-Claims Expenses]],AN_TME22[[#All],[Insurance Category Code]],4,AN_TME22[[#All],[Advanced Network/Insurance Carrier Org ID]],B112)/D112)</f>
        <v>NA</v>
      </c>
      <c r="Q112" s="165" t="str">
        <f>IF(D112=0,"NA",SUMIFS(AN_TME22[[#All],[TOTAL Non-Truncated Unadjusted Expenses (A21 + A23)]],AN_TME22[[#All],[Insurance Category Code]],4,AN_TME22[[#All],[Advanced Network/Insurance Carrier Org ID]],B112)/D112)</f>
        <v>NA</v>
      </c>
      <c r="R112" s="165" t="str">
        <f>IF(D112=0,"NA",SUMIFS(AN_TME22[[#All],[TOTAL Truncated Unadjusted Expenses (A22 + A23)]],AN_TME22[[#All],[Insurance Category Code]],4,AN_TME22[[#All],[Advanced Network/Insurance Carrier Org ID]],B112)/D112)</f>
        <v>NA</v>
      </c>
      <c r="S112" s="507">
        <f>SUMIFS(AN_TME23[[#All],[Member Months]],AN_TME23[[#All],[Insurance Category Code]],4,AN_TME23[[#All],[Advanced Network/Insurance Carrier Org ID]],B112)</f>
        <v>0</v>
      </c>
      <c r="T112" s="155" t="str">
        <f>IF(S112=0,"NA",SUMIFS(AN_TME23[[#All],[Claims: Hospital Inpatient]],AN_TME23[[#All],[Insurance Category Code]],4,AN_TME23[[#All],[Advanced Network/Insurance Carrier Org ID]],B112)/S112)</f>
        <v>NA</v>
      </c>
      <c r="U112" s="109" t="str">
        <f>IF(S112=0,"NA",SUMIFS(AN_TME23[[#All],[Claims: Hospital Outpatient]],AN_TME23[[#All],[Insurance Category Code]],4,AN_TME23[[#All],[Advanced Network/Insurance Carrier Org ID]],B112)/S112)</f>
        <v>NA</v>
      </c>
      <c r="V112" s="109" t="str">
        <f>IF(S112=0,"NA",SUMIFS(AN_TME23[[#All],[Claims: Professional, Primary Care]],AN_TME23[[#All],[Insurance Category Code]],4,AN_TME23[[#All],[Advanced Network/Insurance Carrier Org ID]],B112)/S112)</f>
        <v>NA</v>
      </c>
      <c r="W112" s="109" t="str">
        <f>IF(S112=0,"NA",SUMIFS(AN_TME23[[#All],[Claims: Professional, Primary Care (for Monitoring Purposes)]],AN_TME23[[#All],[Insurance Category Code]],4,AN_TME23[[#All],[Advanced Network/Insurance Carrier Org ID]],B112)/S112)</f>
        <v>NA</v>
      </c>
      <c r="X112" s="109" t="str">
        <f>IF(S112=0,"NA",SUMIFS(AN_TME23[[#All],[Claims: Professional, Specialty]],AN_TME23[[#All],[Insurance Category Code]],4,AN_TME23[[#All],[Advanced Network/Insurance Carrier Org ID]],B112)/S112)</f>
        <v>NA</v>
      </c>
      <c r="Y112" s="109" t="str">
        <f>IF(S112=0,"NA",SUMIFS(AN_TME23[[#All],[Claims: Professional Other]],AN_TME23[[#All],[Insurance Category Code]],4,AN_TME23[[#All],[Advanced Network/Insurance Carrier Org ID]],B112)/S112)</f>
        <v>NA</v>
      </c>
      <c r="Z112" s="109" t="str">
        <f>IF(S112=0,"NA",SUMIFS(AN_TME23[[#All],[Claims: Pharmacy]],AN_TME23[[#All],[Insurance Category Code]],4,AN_TME23[[#All],[Advanced Network/Insurance Carrier Org ID]],B112)/S112)</f>
        <v>NA</v>
      </c>
      <c r="AA112" s="109" t="str">
        <f>IF(S112=0,"NA",SUMIFS(AN_TME23[[#All],[Claims: Long-Term Care]],AN_TME23[[#All],[Insurance Category Code]],4,AN_TME23[[#All],[Advanced Network/Insurance Carrier Org ID]],B112)/S112)</f>
        <v>NA</v>
      </c>
      <c r="AB112" s="109" t="str">
        <f>IF(S112=0,"NA",SUMIFS(AN_TME23[[#All],[Claims: Other]],AN_TME23[[#All],[Insurance Category Code]],4,AN_TME23[[#All],[Advanced Network/Insurance Carrier Org ID]],B112)/S112)</f>
        <v>NA</v>
      </c>
      <c r="AC112" s="165" t="str">
        <f>IF(S112=0,"NA",SUMIFS(AN_TME23[[#All],[TOTAL Non-Truncated Unadjusted Claims Expenses]],AN_TME23[[#All],[Insurance Category Code]],4,AN_TME23[[#All],[Advanced Network/Insurance Carrier Org ID]],B112)/S112)</f>
        <v>NA</v>
      </c>
      <c r="AD112" s="165" t="str">
        <f>IF(S112=0,"NA",SUMIFS(AN_TME23[[#All],[TOTAL Truncated Unadjusted Claims Expenses (A21 -A19)]],AN_TME23[[#All],[Insurance Category Code]],4,AN_TME23[[#All],[Advanced Network/Insurance Carrier Org ID]],B112)/S112)</f>
        <v>NA</v>
      </c>
      <c r="AE112" s="165" t="str">
        <f>IF(S112=0,"NA",SUMIFS(AN_TME23[[#All],[TOTAL Non-Claims Expenses]],AN_TME23[[#All],[Insurance Category Code]],4,AN_TME23[[#All],[Advanced Network/Insurance Carrier Org ID]],B112)/S112)</f>
        <v>NA</v>
      </c>
      <c r="AF112" s="165" t="str">
        <f>IF(S112=0,"NA",SUMIFS(AN_TME23[[#All],[TOTAL Non-Truncated Unadjusted Expenses (A21 + A23)]],AN_TME23[[#All],[Insurance Category Code]],4,AN_TME23[[#All],[Advanced Network/Insurance Carrier Org ID]],B112)/S112)</f>
        <v>NA</v>
      </c>
      <c r="AG112" s="156" t="str">
        <f>IF(S112=0,"NA",SUMIFS(AN_TME23[[#All],[TOTAL Truncated Unadjusted Expenses (A22 + A23)]],AN_TME23[[#All],[Insurance Category Code]],4,AN_TME23[[#All],[Advanced Network/Insurance Carrier Org ID]],B112)/S112)</f>
        <v>NA</v>
      </c>
      <c r="AH112" s="478" t="str">
        <f t="shared" si="137"/>
        <v>NA</v>
      </c>
      <c r="AI112" s="479" t="str">
        <f t="shared" si="138"/>
        <v>NA</v>
      </c>
      <c r="AJ112" s="480" t="str">
        <f t="shared" si="139"/>
        <v>NA</v>
      </c>
      <c r="AK112" s="480" t="str">
        <f t="shared" si="140"/>
        <v>NA</v>
      </c>
      <c r="AL112" s="480" t="str">
        <f t="shared" si="141"/>
        <v>NA</v>
      </c>
      <c r="AM112" s="480" t="str">
        <f t="shared" si="142"/>
        <v>NA</v>
      </c>
      <c r="AN112" s="480" t="str">
        <f t="shared" si="143"/>
        <v>NA</v>
      </c>
      <c r="AO112" s="480" t="str">
        <f t="shared" si="144"/>
        <v>NA</v>
      </c>
      <c r="AP112" s="480" t="str">
        <f t="shared" si="145"/>
        <v>NA</v>
      </c>
      <c r="AQ112" s="480" t="str">
        <f t="shared" si="146"/>
        <v>NA</v>
      </c>
      <c r="AR112" s="481" t="str">
        <f t="shared" si="147"/>
        <v>NA</v>
      </c>
      <c r="AS112" s="481" t="str">
        <f t="shared" si="148"/>
        <v>NA</v>
      </c>
      <c r="AT112" s="481" t="str">
        <f t="shared" si="149"/>
        <v>NA</v>
      </c>
      <c r="AU112" s="481" t="str">
        <f t="shared" si="150"/>
        <v>NA</v>
      </c>
      <c r="AV112" s="482" t="str">
        <f t="shared" si="151"/>
        <v>NA</v>
      </c>
    </row>
    <row r="113" spans="1:48" ht="15" customHeight="1" x14ac:dyDescent="0.25">
      <c r="A113" s="164"/>
      <c r="B113" s="166">
        <v>130</v>
      </c>
      <c r="C113" s="169" t="str">
        <f>_xlfn.XLOOKUP(B113, LgProvEntOrgIDs[Advanced Network/Insurer Carrier Org ID], LgProvEntOrgIDs[Advanced Network/Insurance Carrier Overall])</f>
        <v>Wheeler Clinic</v>
      </c>
      <c r="D113" s="507">
        <f>SUMIFS(AN_TME22[[#All],[Member Months]],AN_TME22[[#All],[Insurance Category Code]],4,AN_TME22[[#All],[Advanced Network/Insurance Carrier Org ID]],B113)</f>
        <v>0</v>
      </c>
      <c r="E113" s="155" t="str">
        <f>IF(D113=0,"NA",SUMIFS(AN_TME22[[#All],[Claims: Hospital Inpatient]],AN_TME22[[#All],[Insurance Category Code]],4,AN_TME22[[#All],[Advanced Network/Insurance Carrier Org ID]],B113)/D113)</f>
        <v>NA</v>
      </c>
      <c r="F113" s="109" t="str">
        <f>IF(D113=0,"NA",SUMIFS(AN_TME22[[#All],[Claims: Hospital Outpatient]],AN_TME22[[#All],[Insurance Category Code]],4,AN_TME22[[#All],[Advanced Network/Insurance Carrier Org ID]],B113)/D113)</f>
        <v>NA</v>
      </c>
      <c r="G113" s="109" t="str">
        <f>IF(D113=0,"NA",SUMIFS(AN_TME22[[#All],[Claims: Professional, Primary Care]],AN_TME22[[#All],[Insurance Category Code]],4,AN_TME22[[#All],[Advanced Network/Insurance Carrier Org ID]],B113)/D113)</f>
        <v>NA</v>
      </c>
      <c r="H113" s="109" t="str">
        <f>IF(D113=0,"NA",SUMIFS(AN_TME22[[#All],[Claims: Professional, Primary Care (for Monitoring Purposes)]],AN_TME22[[#All],[Insurance Category Code]],4,AN_TME22[[#All],[Advanced Network/Insurance Carrier Org ID]],B113)/D113)</f>
        <v>NA</v>
      </c>
      <c r="I113" s="109" t="str">
        <f>IF(D113=0,"NA",SUMIFS(AN_TME22[[#All],[Claims: Professional, Specialty]],AN_TME22[[#All],[Insurance Category Code]],4,AN_TME22[[#All],[Advanced Network/Insurance Carrier Org ID]],B113)/D113)</f>
        <v>NA</v>
      </c>
      <c r="J113" s="109" t="str">
        <f>IF(D113=0,"NA",SUMIFS(AN_TME22[[#All],[Claims: Professional Other]],AN_TME22[[#All],[Insurance Category Code]],4,AN_TME22[[#All],[Advanced Network/Insurance Carrier Org ID]],B113)/D113)</f>
        <v>NA</v>
      </c>
      <c r="K113" s="109" t="str">
        <f>IF(D113=0,"NA",SUMIFS(AN_TME22[[#All],[Claims: Pharmacy]],AN_TME22[[#All],[Insurance Category Code]],4,AN_TME22[[#All],[Advanced Network/Insurance Carrier Org ID]],B113)/D113)</f>
        <v>NA</v>
      </c>
      <c r="L113" s="109" t="str">
        <f>IF(D113=0,"NA",SUMIFS(AN_TME22[[#All],[Claims: Long-Term Care]],AN_TME22[[#All],[Insurance Category Code]],4,AN_TME22[[#All],[Advanced Network/Insurance Carrier Org ID]],B113)/D113)</f>
        <v>NA</v>
      </c>
      <c r="M113" s="109" t="str">
        <f>IF(D113=0,"NA",SUMIFS(AN_TME22[[#All],[Claims: Other]],AN_TME22[[#All],[Insurance Category Code]],4,AN_TME22[[#All],[Advanced Network/Insurance Carrier Org ID]],B113)/D113)</f>
        <v>NA</v>
      </c>
      <c r="N113" s="165" t="str">
        <f>IF(D113=0,"NA",SUMIFS(AN_TME22[[#All],[TOTAL Non-Truncated Unadjusted Claims Expenses]],AN_TME22[[#All],[Insurance Category Code]],4,AN_TME22[[#All],[Advanced Network/Insurance Carrier Org ID]],B113)/D113)</f>
        <v>NA</v>
      </c>
      <c r="O113" s="165" t="str">
        <f>IF(D113=0,"NA",SUMIFS(AN_TME22[[#All],[TOTAL Truncated Unadjusted Claims Expenses (A21 -A19)]],AN_TME22[[#All],[Insurance Category Code]],4,AN_TME22[[#All],[Advanced Network/Insurance Carrier Org ID]],B113)/D113)</f>
        <v>NA</v>
      </c>
      <c r="P113" s="165" t="str">
        <f>IF(D113=0,"NA",SUMIFS(AN_TME22[[#All],[TOTAL Non-Claims Expenses]],AN_TME22[[#All],[Insurance Category Code]],4,AN_TME22[[#All],[Advanced Network/Insurance Carrier Org ID]],B113)/D113)</f>
        <v>NA</v>
      </c>
      <c r="Q113" s="165" t="str">
        <f>IF(D113=0,"NA",SUMIFS(AN_TME22[[#All],[TOTAL Non-Truncated Unadjusted Expenses (A21 + A23)]],AN_TME22[[#All],[Insurance Category Code]],4,AN_TME22[[#All],[Advanced Network/Insurance Carrier Org ID]],B113)/D113)</f>
        <v>NA</v>
      </c>
      <c r="R113" s="165" t="str">
        <f>IF(D113=0,"NA",SUMIFS(AN_TME22[[#All],[TOTAL Truncated Unadjusted Expenses (A22 + A23)]],AN_TME22[[#All],[Insurance Category Code]],4,AN_TME22[[#All],[Advanced Network/Insurance Carrier Org ID]],B113)/D113)</f>
        <v>NA</v>
      </c>
      <c r="S113" s="507">
        <f>SUMIFS(AN_TME23[[#All],[Member Months]],AN_TME23[[#All],[Insurance Category Code]],4,AN_TME23[[#All],[Advanced Network/Insurance Carrier Org ID]],B113)</f>
        <v>0</v>
      </c>
      <c r="T113" s="155" t="str">
        <f>IF(S113=0,"NA",SUMIFS(AN_TME23[[#All],[Claims: Hospital Inpatient]],AN_TME23[[#All],[Insurance Category Code]],4,AN_TME23[[#All],[Advanced Network/Insurance Carrier Org ID]],B113)/S113)</f>
        <v>NA</v>
      </c>
      <c r="U113" s="109" t="str">
        <f>IF(S113=0,"NA",SUMIFS(AN_TME23[[#All],[Claims: Hospital Outpatient]],AN_TME23[[#All],[Insurance Category Code]],4,AN_TME23[[#All],[Advanced Network/Insurance Carrier Org ID]],B113)/S113)</f>
        <v>NA</v>
      </c>
      <c r="V113" s="109" t="str">
        <f>IF(S113=0,"NA",SUMIFS(AN_TME23[[#All],[Claims: Professional, Primary Care]],AN_TME23[[#All],[Insurance Category Code]],4,AN_TME23[[#All],[Advanced Network/Insurance Carrier Org ID]],B113)/S113)</f>
        <v>NA</v>
      </c>
      <c r="W113" s="109" t="str">
        <f>IF(S113=0,"NA",SUMIFS(AN_TME23[[#All],[Claims: Professional, Primary Care (for Monitoring Purposes)]],AN_TME23[[#All],[Insurance Category Code]],4,AN_TME23[[#All],[Advanced Network/Insurance Carrier Org ID]],B113)/S113)</f>
        <v>NA</v>
      </c>
      <c r="X113" s="109" t="str">
        <f>IF(S113=0,"NA",SUMIFS(AN_TME23[[#All],[Claims: Professional, Specialty]],AN_TME23[[#All],[Insurance Category Code]],4,AN_TME23[[#All],[Advanced Network/Insurance Carrier Org ID]],B113)/S113)</f>
        <v>NA</v>
      </c>
      <c r="Y113" s="109" t="str">
        <f>IF(S113=0,"NA",SUMIFS(AN_TME23[[#All],[Claims: Professional Other]],AN_TME23[[#All],[Insurance Category Code]],4,AN_TME23[[#All],[Advanced Network/Insurance Carrier Org ID]],B113)/S113)</f>
        <v>NA</v>
      </c>
      <c r="Z113" s="109" t="str">
        <f>IF(S113=0,"NA",SUMIFS(AN_TME23[[#All],[Claims: Pharmacy]],AN_TME23[[#All],[Insurance Category Code]],4,AN_TME23[[#All],[Advanced Network/Insurance Carrier Org ID]],B113)/S113)</f>
        <v>NA</v>
      </c>
      <c r="AA113" s="109" t="str">
        <f>IF(S113=0,"NA",SUMIFS(AN_TME23[[#All],[Claims: Long-Term Care]],AN_TME23[[#All],[Insurance Category Code]],4,AN_TME23[[#All],[Advanced Network/Insurance Carrier Org ID]],B113)/S113)</f>
        <v>NA</v>
      </c>
      <c r="AB113" s="109" t="str">
        <f>IF(S113=0,"NA",SUMIFS(AN_TME23[[#All],[Claims: Other]],AN_TME23[[#All],[Insurance Category Code]],4,AN_TME23[[#All],[Advanced Network/Insurance Carrier Org ID]],B113)/S113)</f>
        <v>NA</v>
      </c>
      <c r="AC113" s="165" t="str">
        <f>IF(S113=0,"NA",SUMIFS(AN_TME23[[#All],[TOTAL Non-Truncated Unadjusted Claims Expenses]],AN_TME23[[#All],[Insurance Category Code]],4,AN_TME23[[#All],[Advanced Network/Insurance Carrier Org ID]],B113)/S113)</f>
        <v>NA</v>
      </c>
      <c r="AD113" s="165" t="str">
        <f>IF(S113=0,"NA",SUMIFS(AN_TME23[[#All],[TOTAL Truncated Unadjusted Claims Expenses (A21 -A19)]],AN_TME23[[#All],[Insurance Category Code]],4,AN_TME23[[#All],[Advanced Network/Insurance Carrier Org ID]],B113)/S113)</f>
        <v>NA</v>
      </c>
      <c r="AE113" s="165" t="str">
        <f>IF(S113=0,"NA",SUMIFS(AN_TME23[[#All],[TOTAL Non-Claims Expenses]],AN_TME23[[#All],[Insurance Category Code]],4,AN_TME23[[#All],[Advanced Network/Insurance Carrier Org ID]],B113)/S113)</f>
        <v>NA</v>
      </c>
      <c r="AF113" s="165" t="str">
        <f>IF(S113=0,"NA",SUMIFS(AN_TME23[[#All],[TOTAL Non-Truncated Unadjusted Expenses (A21 + A23)]],AN_TME23[[#All],[Insurance Category Code]],4,AN_TME23[[#All],[Advanced Network/Insurance Carrier Org ID]],B113)/S113)</f>
        <v>NA</v>
      </c>
      <c r="AG113" s="156" t="str">
        <f>IF(S113=0,"NA",SUMIFS(AN_TME23[[#All],[TOTAL Truncated Unadjusted Expenses (A22 + A23)]],AN_TME23[[#All],[Insurance Category Code]],4,AN_TME23[[#All],[Advanced Network/Insurance Carrier Org ID]],B113)/S113)</f>
        <v>NA</v>
      </c>
      <c r="AH113" s="478" t="str">
        <f t="shared" si="137"/>
        <v>NA</v>
      </c>
      <c r="AI113" s="479" t="str">
        <f t="shared" si="138"/>
        <v>NA</v>
      </c>
      <c r="AJ113" s="480" t="str">
        <f t="shared" si="139"/>
        <v>NA</v>
      </c>
      <c r="AK113" s="480" t="str">
        <f t="shared" si="140"/>
        <v>NA</v>
      </c>
      <c r="AL113" s="480" t="str">
        <f t="shared" si="141"/>
        <v>NA</v>
      </c>
      <c r="AM113" s="480" t="str">
        <f t="shared" si="142"/>
        <v>NA</v>
      </c>
      <c r="AN113" s="480" t="str">
        <f t="shared" si="143"/>
        <v>NA</v>
      </c>
      <c r="AO113" s="480" t="str">
        <f t="shared" si="144"/>
        <v>NA</v>
      </c>
      <c r="AP113" s="480" t="str">
        <f t="shared" si="145"/>
        <v>NA</v>
      </c>
      <c r="AQ113" s="480" t="str">
        <f t="shared" si="146"/>
        <v>NA</v>
      </c>
      <c r="AR113" s="481" t="str">
        <f t="shared" si="147"/>
        <v>NA</v>
      </c>
      <c r="AS113" s="481" t="str">
        <f t="shared" si="148"/>
        <v>NA</v>
      </c>
      <c r="AT113" s="481" t="str">
        <f t="shared" si="149"/>
        <v>NA</v>
      </c>
      <c r="AU113" s="481" t="str">
        <f t="shared" si="150"/>
        <v>NA</v>
      </c>
      <c r="AV113" s="482" t="str">
        <f t="shared" si="151"/>
        <v>NA</v>
      </c>
    </row>
    <row r="114" spans="1:48" ht="15" customHeight="1" x14ac:dyDescent="0.25">
      <c r="A114" s="164"/>
      <c r="B114" s="166">
        <v>131</v>
      </c>
      <c r="C114" s="169" t="str">
        <f>_xlfn.XLOOKUP(B114, LgProvEntOrgIDs[Advanced Network/Insurer Carrier Org ID], LgProvEntOrgIDs[Advanced Network/Insurance Carrier Overall])</f>
        <v>Yale Medicine</v>
      </c>
      <c r="D114" s="507">
        <f>SUMIFS(AN_TME22[[#All],[Member Months]],AN_TME22[[#All],[Insurance Category Code]],4,AN_TME22[[#All],[Advanced Network/Insurance Carrier Org ID]],B114)</f>
        <v>0</v>
      </c>
      <c r="E114" s="155" t="str">
        <f>IF(D114=0,"NA",SUMIFS(AN_TME22[[#All],[Claims: Hospital Inpatient]],AN_TME22[[#All],[Insurance Category Code]],4,AN_TME22[[#All],[Advanced Network/Insurance Carrier Org ID]],B114)/D114)</f>
        <v>NA</v>
      </c>
      <c r="F114" s="109" t="str">
        <f>IF(D114=0,"NA",SUMIFS(AN_TME22[[#All],[Claims: Hospital Outpatient]],AN_TME22[[#All],[Insurance Category Code]],4,AN_TME22[[#All],[Advanced Network/Insurance Carrier Org ID]],B114)/D114)</f>
        <v>NA</v>
      </c>
      <c r="G114" s="109" t="str">
        <f>IF(D114=0,"NA",SUMIFS(AN_TME22[[#All],[Claims: Professional, Primary Care]],AN_TME22[[#All],[Insurance Category Code]],4,AN_TME22[[#All],[Advanced Network/Insurance Carrier Org ID]],B114)/D114)</f>
        <v>NA</v>
      </c>
      <c r="H114" s="109" t="str">
        <f>IF(D114=0,"NA",SUMIFS(AN_TME22[[#All],[Claims: Professional, Primary Care (for Monitoring Purposes)]],AN_TME22[[#All],[Insurance Category Code]],4,AN_TME22[[#All],[Advanced Network/Insurance Carrier Org ID]],B114)/D114)</f>
        <v>NA</v>
      </c>
      <c r="I114" s="109" t="str">
        <f>IF(D114=0,"NA",SUMIFS(AN_TME22[[#All],[Claims: Professional, Specialty]],AN_TME22[[#All],[Insurance Category Code]],4,AN_TME22[[#All],[Advanced Network/Insurance Carrier Org ID]],B114)/D114)</f>
        <v>NA</v>
      </c>
      <c r="J114" s="109" t="str">
        <f>IF(D114=0,"NA",SUMIFS(AN_TME22[[#All],[Claims: Professional Other]],AN_TME22[[#All],[Insurance Category Code]],4,AN_TME22[[#All],[Advanced Network/Insurance Carrier Org ID]],B114)/D114)</f>
        <v>NA</v>
      </c>
      <c r="K114" s="109" t="str">
        <f>IF(D114=0,"NA",SUMIFS(AN_TME22[[#All],[Claims: Pharmacy]],AN_TME22[[#All],[Insurance Category Code]],4,AN_TME22[[#All],[Advanced Network/Insurance Carrier Org ID]],B114)/D114)</f>
        <v>NA</v>
      </c>
      <c r="L114" s="109" t="str">
        <f>IF(D114=0,"NA",SUMIFS(AN_TME22[[#All],[Claims: Long-Term Care]],AN_TME22[[#All],[Insurance Category Code]],4,AN_TME22[[#All],[Advanced Network/Insurance Carrier Org ID]],B114)/D114)</f>
        <v>NA</v>
      </c>
      <c r="M114" s="109" t="str">
        <f>IF(D114=0,"NA",SUMIFS(AN_TME22[[#All],[Claims: Other]],AN_TME22[[#All],[Insurance Category Code]],4,AN_TME22[[#All],[Advanced Network/Insurance Carrier Org ID]],B114)/D114)</f>
        <v>NA</v>
      </c>
      <c r="N114" s="165" t="str">
        <f>IF(D114=0,"NA",SUMIFS(AN_TME22[[#All],[TOTAL Non-Truncated Unadjusted Claims Expenses]],AN_TME22[[#All],[Insurance Category Code]],4,AN_TME22[[#All],[Advanced Network/Insurance Carrier Org ID]],B114)/D114)</f>
        <v>NA</v>
      </c>
      <c r="O114" s="165" t="str">
        <f>IF(D114=0,"NA",SUMIFS(AN_TME22[[#All],[TOTAL Truncated Unadjusted Claims Expenses (A21 -A19)]],AN_TME22[[#All],[Insurance Category Code]],4,AN_TME22[[#All],[Advanced Network/Insurance Carrier Org ID]],B114)/D114)</f>
        <v>NA</v>
      </c>
      <c r="P114" s="165" t="str">
        <f>IF(D114=0,"NA",SUMIFS(AN_TME22[[#All],[TOTAL Non-Claims Expenses]],AN_TME22[[#All],[Insurance Category Code]],4,AN_TME22[[#All],[Advanced Network/Insurance Carrier Org ID]],B114)/D114)</f>
        <v>NA</v>
      </c>
      <c r="Q114" s="165" t="str">
        <f>IF(D114=0,"NA",SUMIFS(AN_TME22[[#All],[TOTAL Non-Truncated Unadjusted Expenses (A21 + A23)]],AN_TME22[[#All],[Insurance Category Code]],4,AN_TME22[[#All],[Advanced Network/Insurance Carrier Org ID]],B114)/D114)</f>
        <v>NA</v>
      </c>
      <c r="R114" s="165" t="str">
        <f>IF(D114=0,"NA",SUMIFS(AN_TME22[[#All],[TOTAL Truncated Unadjusted Expenses (A22 + A23)]],AN_TME22[[#All],[Insurance Category Code]],4,AN_TME22[[#All],[Advanced Network/Insurance Carrier Org ID]],B114)/D114)</f>
        <v>NA</v>
      </c>
      <c r="S114" s="507">
        <f>SUMIFS(AN_TME23[[#All],[Member Months]],AN_TME23[[#All],[Insurance Category Code]],4,AN_TME23[[#All],[Advanced Network/Insurance Carrier Org ID]],B114)</f>
        <v>0</v>
      </c>
      <c r="T114" s="155" t="str">
        <f>IF(S114=0,"NA",SUMIFS(AN_TME23[[#All],[Claims: Hospital Inpatient]],AN_TME23[[#All],[Insurance Category Code]],4,AN_TME23[[#All],[Advanced Network/Insurance Carrier Org ID]],B114)/S114)</f>
        <v>NA</v>
      </c>
      <c r="U114" s="109" t="str">
        <f>IF(S114=0,"NA",SUMIFS(AN_TME23[[#All],[Claims: Hospital Outpatient]],AN_TME23[[#All],[Insurance Category Code]],4,AN_TME23[[#All],[Advanced Network/Insurance Carrier Org ID]],B114)/S114)</f>
        <v>NA</v>
      </c>
      <c r="V114" s="109" t="str">
        <f>IF(S114=0,"NA",SUMIFS(AN_TME23[[#All],[Claims: Professional, Primary Care]],AN_TME23[[#All],[Insurance Category Code]],4,AN_TME23[[#All],[Advanced Network/Insurance Carrier Org ID]],B114)/S114)</f>
        <v>NA</v>
      </c>
      <c r="W114" s="109" t="str">
        <f>IF(S114=0,"NA",SUMIFS(AN_TME23[[#All],[Claims: Professional, Primary Care (for Monitoring Purposes)]],AN_TME23[[#All],[Insurance Category Code]],4,AN_TME23[[#All],[Advanced Network/Insurance Carrier Org ID]],B114)/S114)</f>
        <v>NA</v>
      </c>
      <c r="X114" s="109" t="str">
        <f>IF(S114=0,"NA",SUMIFS(AN_TME23[[#All],[Claims: Professional, Specialty]],AN_TME23[[#All],[Insurance Category Code]],4,AN_TME23[[#All],[Advanced Network/Insurance Carrier Org ID]],B114)/S114)</f>
        <v>NA</v>
      </c>
      <c r="Y114" s="109" t="str">
        <f>IF(S114=0,"NA",SUMIFS(AN_TME23[[#All],[Claims: Professional Other]],AN_TME23[[#All],[Insurance Category Code]],4,AN_TME23[[#All],[Advanced Network/Insurance Carrier Org ID]],B114)/S114)</f>
        <v>NA</v>
      </c>
      <c r="Z114" s="109" t="str">
        <f>IF(S114=0,"NA",SUMIFS(AN_TME23[[#All],[Claims: Pharmacy]],AN_TME23[[#All],[Insurance Category Code]],4,AN_TME23[[#All],[Advanced Network/Insurance Carrier Org ID]],B114)/S114)</f>
        <v>NA</v>
      </c>
      <c r="AA114" s="109" t="str">
        <f>IF(S114=0,"NA",SUMIFS(AN_TME23[[#All],[Claims: Long-Term Care]],AN_TME23[[#All],[Insurance Category Code]],4,AN_TME23[[#All],[Advanced Network/Insurance Carrier Org ID]],B114)/S114)</f>
        <v>NA</v>
      </c>
      <c r="AB114" s="109" t="str">
        <f>IF(S114=0,"NA",SUMIFS(AN_TME23[[#All],[Claims: Other]],AN_TME23[[#All],[Insurance Category Code]],4,AN_TME23[[#All],[Advanced Network/Insurance Carrier Org ID]],B114)/S114)</f>
        <v>NA</v>
      </c>
      <c r="AC114" s="165" t="str">
        <f>IF(S114=0,"NA",SUMIFS(AN_TME23[[#All],[TOTAL Non-Truncated Unadjusted Claims Expenses]],AN_TME23[[#All],[Insurance Category Code]],4,AN_TME23[[#All],[Advanced Network/Insurance Carrier Org ID]],B114)/S114)</f>
        <v>NA</v>
      </c>
      <c r="AD114" s="165" t="str">
        <f>IF(S114=0,"NA",SUMIFS(AN_TME23[[#All],[TOTAL Truncated Unadjusted Claims Expenses (A21 -A19)]],AN_TME23[[#All],[Insurance Category Code]],4,AN_TME23[[#All],[Advanced Network/Insurance Carrier Org ID]],B114)/S114)</f>
        <v>NA</v>
      </c>
      <c r="AE114" s="165" t="str">
        <f>IF(S114=0,"NA",SUMIFS(AN_TME23[[#All],[TOTAL Non-Claims Expenses]],AN_TME23[[#All],[Insurance Category Code]],4,AN_TME23[[#All],[Advanced Network/Insurance Carrier Org ID]],B114)/S114)</f>
        <v>NA</v>
      </c>
      <c r="AF114" s="165" t="str">
        <f>IF(S114=0,"NA",SUMIFS(AN_TME23[[#All],[TOTAL Non-Truncated Unadjusted Expenses (A21 + A23)]],AN_TME23[[#All],[Insurance Category Code]],4,AN_TME23[[#All],[Advanced Network/Insurance Carrier Org ID]],B114)/S114)</f>
        <v>NA</v>
      </c>
      <c r="AG114" s="156" t="str">
        <f>IF(S114=0,"NA",SUMIFS(AN_TME23[[#All],[TOTAL Truncated Unadjusted Expenses (A22 + A23)]],AN_TME23[[#All],[Insurance Category Code]],4,AN_TME23[[#All],[Advanced Network/Insurance Carrier Org ID]],B114)/S114)</f>
        <v>NA</v>
      </c>
      <c r="AH114" s="478" t="str">
        <f t="shared" si="137"/>
        <v>NA</v>
      </c>
      <c r="AI114" s="479" t="str">
        <f t="shared" si="138"/>
        <v>NA</v>
      </c>
      <c r="AJ114" s="480" t="str">
        <f t="shared" si="139"/>
        <v>NA</v>
      </c>
      <c r="AK114" s="480" t="str">
        <f t="shared" si="140"/>
        <v>NA</v>
      </c>
      <c r="AL114" s="480" t="str">
        <f t="shared" si="141"/>
        <v>NA</v>
      </c>
      <c r="AM114" s="480" t="str">
        <f t="shared" si="142"/>
        <v>NA</v>
      </c>
      <c r="AN114" s="480" t="str">
        <f t="shared" si="143"/>
        <v>NA</v>
      </c>
      <c r="AO114" s="480" t="str">
        <f t="shared" si="144"/>
        <v>NA</v>
      </c>
      <c r="AP114" s="480" t="str">
        <f t="shared" si="145"/>
        <v>NA</v>
      </c>
      <c r="AQ114" s="480" t="str">
        <f t="shared" si="146"/>
        <v>NA</v>
      </c>
      <c r="AR114" s="481" t="str">
        <f t="shared" si="147"/>
        <v>NA</v>
      </c>
      <c r="AS114" s="481" t="str">
        <f t="shared" si="148"/>
        <v>NA</v>
      </c>
      <c r="AT114" s="481" t="str">
        <f t="shared" si="149"/>
        <v>NA</v>
      </c>
      <c r="AU114" s="481" t="str">
        <f t="shared" si="150"/>
        <v>NA</v>
      </c>
      <c r="AV114" s="482" t="str">
        <f t="shared" si="151"/>
        <v>NA</v>
      </c>
    </row>
    <row r="115" spans="1:48" ht="15" customHeight="1" x14ac:dyDescent="0.25">
      <c r="A115" s="164"/>
      <c r="B115" s="166">
        <v>999</v>
      </c>
      <c r="C115" s="169" t="str">
        <f>_xlfn.XLOOKUP(B115, LgProvEntOrgIDs[Advanced Network/Insurer Carrier Org ID], LgProvEntOrgIDs[Advanced Network/Insurance Carrier Overall])</f>
        <v>Members Not Attributed to an Advanced Network</v>
      </c>
      <c r="D115" s="507">
        <f>SUMIFS(AN_TME22[[#All],[Member Months]],AN_TME22[[#All],[Insurance Category Code]],4,AN_TME22[[#All],[Advanced Network/Insurance Carrier Org ID]],B115)</f>
        <v>0</v>
      </c>
      <c r="E115" s="155" t="str">
        <f>IF(D115=0,"NA",SUMIFS(AN_TME22[[#All],[Claims: Hospital Inpatient]],AN_TME22[[#All],[Insurance Category Code]],4,AN_TME22[[#All],[Advanced Network/Insurance Carrier Org ID]],B115)/D115)</f>
        <v>NA</v>
      </c>
      <c r="F115" s="109" t="str">
        <f>IF(D115=0,"NA",SUMIFS(AN_TME22[[#All],[Claims: Hospital Outpatient]],AN_TME22[[#All],[Insurance Category Code]],4,AN_TME22[[#All],[Advanced Network/Insurance Carrier Org ID]],B115)/D115)</f>
        <v>NA</v>
      </c>
      <c r="G115" s="109" t="str">
        <f>IF(D115=0,"NA",SUMIFS(AN_TME22[[#All],[Claims: Professional, Primary Care]],AN_TME22[[#All],[Insurance Category Code]],4,AN_TME22[[#All],[Advanced Network/Insurance Carrier Org ID]],B115)/D115)</f>
        <v>NA</v>
      </c>
      <c r="H115" s="109" t="str">
        <f>IF(D115=0,"NA",SUMIFS(AN_TME22[[#All],[Claims: Professional, Primary Care (for Monitoring Purposes)]],AN_TME22[[#All],[Insurance Category Code]],4,AN_TME22[[#All],[Advanced Network/Insurance Carrier Org ID]],B115)/D115)</f>
        <v>NA</v>
      </c>
      <c r="I115" s="109" t="str">
        <f>IF(D115=0,"NA",SUMIFS(AN_TME22[[#All],[Claims: Professional, Specialty]],AN_TME22[[#All],[Insurance Category Code]],4,AN_TME22[[#All],[Advanced Network/Insurance Carrier Org ID]],B115)/D115)</f>
        <v>NA</v>
      </c>
      <c r="J115" s="109" t="str">
        <f>IF(D115=0,"NA",SUMIFS(AN_TME22[[#All],[Claims: Professional Other]],AN_TME22[[#All],[Insurance Category Code]],4,AN_TME22[[#All],[Advanced Network/Insurance Carrier Org ID]],B115)/D115)</f>
        <v>NA</v>
      </c>
      <c r="K115" s="109" t="str">
        <f>IF(D115=0,"NA",SUMIFS(AN_TME22[[#All],[Claims: Pharmacy]],AN_TME22[[#All],[Insurance Category Code]],4,AN_TME22[[#All],[Advanced Network/Insurance Carrier Org ID]],B115)/D115)</f>
        <v>NA</v>
      </c>
      <c r="L115" s="109" t="str">
        <f>IF(D115=0,"NA",SUMIFS(AN_TME22[[#All],[Claims: Long-Term Care]],AN_TME22[[#All],[Insurance Category Code]],4,AN_TME22[[#All],[Advanced Network/Insurance Carrier Org ID]],B115)/D115)</f>
        <v>NA</v>
      </c>
      <c r="M115" s="109" t="str">
        <f>IF(D115=0,"NA",SUMIFS(AN_TME22[[#All],[Claims: Other]],AN_TME22[[#All],[Insurance Category Code]],4,AN_TME22[[#All],[Advanced Network/Insurance Carrier Org ID]],B115)/D115)</f>
        <v>NA</v>
      </c>
      <c r="N115" s="165" t="str">
        <f>IF(D115=0,"NA",SUMIFS(AN_TME22[[#All],[TOTAL Non-Truncated Unadjusted Claims Expenses]],AN_TME22[[#All],[Insurance Category Code]],4,AN_TME22[[#All],[Advanced Network/Insurance Carrier Org ID]],B115)/D115)</f>
        <v>NA</v>
      </c>
      <c r="O115" s="165" t="str">
        <f>IF(D115=0,"NA",SUMIFS(AN_TME22[[#All],[TOTAL Truncated Unadjusted Claims Expenses (A21 -A19)]],AN_TME22[[#All],[Insurance Category Code]],4,AN_TME22[[#All],[Advanced Network/Insurance Carrier Org ID]],B115)/D115)</f>
        <v>NA</v>
      </c>
      <c r="P115" s="165" t="str">
        <f>IF(D115=0,"NA",SUMIFS(AN_TME22[[#All],[TOTAL Non-Claims Expenses]],AN_TME22[[#All],[Insurance Category Code]],4,AN_TME22[[#All],[Advanced Network/Insurance Carrier Org ID]],B115)/D115)</f>
        <v>NA</v>
      </c>
      <c r="Q115" s="165" t="str">
        <f>IF(D115=0,"NA",SUMIFS(AN_TME22[[#All],[TOTAL Non-Truncated Unadjusted Expenses (A21 + A23)]],AN_TME22[[#All],[Insurance Category Code]],4,AN_TME22[[#All],[Advanced Network/Insurance Carrier Org ID]],B115)/D115)</f>
        <v>NA</v>
      </c>
      <c r="R115" s="165" t="str">
        <f>IF(D115=0,"NA",SUMIFS(AN_TME22[[#All],[TOTAL Truncated Unadjusted Expenses (A22 + A23)]],AN_TME22[[#All],[Insurance Category Code]],4,AN_TME22[[#All],[Advanced Network/Insurance Carrier Org ID]],B115)/D115)</f>
        <v>NA</v>
      </c>
      <c r="S115" s="507">
        <f>SUMIFS(AN_TME23[[#All],[Member Months]],AN_TME23[[#All],[Insurance Category Code]],4,AN_TME23[[#All],[Advanced Network/Insurance Carrier Org ID]],B115)</f>
        <v>0</v>
      </c>
      <c r="T115" s="155" t="str">
        <f>IF(S115=0,"NA",SUMIFS(AN_TME23[[#All],[Claims: Hospital Inpatient]],AN_TME23[[#All],[Insurance Category Code]],4,AN_TME23[[#All],[Advanced Network/Insurance Carrier Org ID]],B115)/S115)</f>
        <v>NA</v>
      </c>
      <c r="U115" s="109" t="str">
        <f>IF(S115=0,"NA",SUMIFS(AN_TME23[[#All],[Claims: Hospital Outpatient]],AN_TME23[[#All],[Insurance Category Code]],4,AN_TME23[[#All],[Advanced Network/Insurance Carrier Org ID]],B115)/S115)</f>
        <v>NA</v>
      </c>
      <c r="V115" s="109" t="str">
        <f>IF(S115=0,"NA",SUMIFS(AN_TME23[[#All],[Claims: Professional, Primary Care]],AN_TME23[[#All],[Insurance Category Code]],4,AN_TME23[[#All],[Advanced Network/Insurance Carrier Org ID]],B115)/S115)</f>
        <v>NA</v>
      </c>
      <c r="W115" s="109" t="str">
        <f>IF(S115=0,"NA",SUMIFS(AN_TME23[[#All],[Claims: Professional, Primary Care (for Monitoring Purposes)]],AN_TME23[[#All],[Insurance Category Code]],4,AN_TME23[[#All],[Advanced Network/Insurance Carrier Org ID]],B115)/S115)</f>
        <v>NA</v>
      </c>
      <c r="X115" s="109" t="str">
        <f>IF(S115=0,"NA",SUMIFS(AN_TME23[[#All],[Claims: Professional, Specialty]],AN_TME23[[#All],[Insurance Category Code]],4,AN_TME23[[#All],[Advanced Network/Insurance Carrier Org ID]],B115)/S115)</f>
        <v>NA</v>
      </c>
      <c r="Y115" s="109" t="str">
        <f>IF(S115=0,"NA",SUMIFS(AN_TME23[[#All],[Claims: Professional Other]],AN_TME23[[#All],[Insurance Category Code]],4,AN_TME23[[#All],[Advanced Network/Insurance Carrier Org ID]],B115)/S115)</f>
        <v>NA</v>
      </c>
      <c r="Z115" s="109" t="str">
        <f>IF(S115=0,"NA",SUMIFS(AN_TME23[[#All],[Claims: Pharmacy]],AN_TME23[[#All],[Insurance Category Code]],4,AN_TME23[[#All],[Advanced Network/Insurance Carrier Org ID]],B115)/S115)</f>
        <v>NA</v>
      </c>
      <c r="AA115" s="109" t="str">
        <f>IF(S115=0,"NA",SUMIFS(AN_TME23[[#All],[Claims: Long-Term Care]],AN_TME23[[#All],[Insurance Category Code]],4,AN_TME23[[#All],[Advanced Network/Insurance Carrier Org ID]],B115)/S115)</f>
        <v>NA</v>
      </c>
      <c r="AB115" s="109" t="str">
        <f>IF(S115=0,"NA",SUMIFS(AN_TME23[[#All],[Claims: Other]],AN_TME23[[#All],[Insurance Category Code]],4,AN_TME23[[#All],[Advanced Network/Insurance Carrier Org ID]],B115)/S115)</f>
        <v>NA</v>
      </c>
      <c r="AC115" s="165" t="str">
        <f>IF(S115=0,"NA",SUMIFS(AN_TME23[[#All],[TOTAL Non-Truncated Unadjusted Claims Expenses]],AN_TME23[[#All],[Insurance Category Code]],4,AN_TME23[[#All],[Advanced Network/Insurance Carrier Org ID]],B115)/S115)</f>
        <v>NA</v>
      </c>
      <c r="AD115" s="165" t="str">
        <f>IF(S115=0,"NA",SUMIFS(AN_TME23[[#All],[TOTAL Truncated Unadjusted Claims Expenses (A21 -A19)]],AN_TME23[[#All],[Insurance Category Code]],4,AN_TME23[[#All],[Advanced Network/Insurance Carrier Org ID]],B115)/S115)</f>
        <v>NA</v>
      </c>
      <c r="AE115" s="165" t="str">
        <f>IF(S115=0,"NA",SUMIFS(AN_TME23[[#All],[TOTAL Non-Claims Expenses]],AN_TME23[[#All],[Insurance Category Code]],4,AN_TME23[[#All],[Advanced Network/Insurance Carrier Org ID]],B115)/S115)</f>
        <v>NA</v>
      </c>
      <c r="AF115" s="165" t="str">
        <f>IF(S115=0,"NA",SUMIFS(AN_TME23[[#All],[TOTAL Non-Truncated Unadjusted Expenses (A21 + A23)]],AN_TME23[[#All],[Insurance Category Code]],4,AN_TME23[[#All],[Advanced Network/Insurance Carrier Org ID]],B115)/S115)</f>
        <v>NA</v>
      </c>
      <c r="AG115" s="156" t="str">
        <f>IF(S115=0,"NA",SUMIFS(AN_TME23[[#All],[TOTAL Truncated Unadjusted Expenses (A22 + A23)]],AN_TME23[[#All],[Insurance Category Code]],4,AN_TME23[[#All],[Advanced Network/Insurance Carrier Org ID]],B115)/S115)</f>
        <v>NA</v>
      </c>
      <c r="AH115" s="478" t="str">
        <f>IF(D115=0,"NA",S115/D115-1)</f>
        <v>NA</v>
      </c>
      <c r="AI115" s="479" t="str">
        <f>IF(D115=0,"NA",T115/E115-1)</f>
        <v>NA</v>
      </c>
      <c r="AJ115" s="480" t="str">
        <f>IF(D115=0,"NA",U115/F115-1)</f>
        <v>NA</v>
      </c>
      <c r="AK115" s="480" t="str">
        <f>IF(D115=0,"NA",V115/G115-1)</f>
        <v>NA</v>
      </c>
      <c r="AL115" s="480" t="str">
        <f>IF(D115=0,"NA",W115/H115-1)</f>
        <v>NA</v>
      </c>
      <c r="AM115" s="480" t="str">
        <f>IF(D115=0,"NA",X115/I115-1)</f>
        <v>NA</v>
      </c>
      <c r="AN115" s="480" t="str">
        <f>IF(D115=0,"NA",Y115/J115-1)</f>
        <v>NA</v>
      </c>
      <c r="AO115" s="480" t="str">
        <f>IF(D115=0,"NA",Z115/K115-1)</f>
        <v>NA</v>
      </c>
      <c r="AP115" s="480" t="str">
        <f>IF(D115=0,"NA",AA115/L115-1)</f>
        <v>NA</v>
      </c>
      <c r="AQ115" s="480" t="str">
        <f>IF(D115=0,"NA",AB115/M115-1)</f>
        <v>NA</v>
      </c>
      <c r="AR115" s="481" t="str">
        <f>IF(D115=0,"NA",AC115/N115-1)</f>
        <v>NA</v>
      </c>
      <c r="AS115" s="481" t="str">
        <f>IF(D115=0,"NA",AD115/O115-1)</f>
        <v>NA</v>
      </c>
      <c r="AT115" s="481" t="str">
        <f>IF(D115=0,"NA",AE115/P115-1)</f>
        <v>NA</v>
      </c>
      <c r="AU115" s="481" t="str">
        <f>IF(D115=0,"NA",AF115/Q115-1)</f>
        <v>NA</v>
      </c>
      <c r="AV115" s="482" t="str">
        <f>IF(D115=0,"NA",AG115/R115-1)</f>
        <v>NA</v>
      </c>
    </row>
    <row r="116" spans="1:48" ht="15" customHeight="1" x14ac:dyDescent="0.25">
      <c r="B116" s="167"/>
      <c r="C116" s="170" t="s">
        <v>319</v>
      </c>
      <c r="D116" s="508">
        <f>SUM(D84:D115)</f>
        <v>0</v>
      </c>
      <c r="E116" s="157" t="str">
        <f>IF(D116=0,"NA",SUMPRODUCT(E84:E115,D84:D115)/D116)</f>
        <v>NA</v>
      </c>
      <c r="F116" s="110" t="str">
        <f>IF(D116=0,"NA",SUMPRODUCT(F84:F115,D84:D115)/D116)</f>
        <v>NA</v>
      </c>
      <c r="G116" s="110" t="str">
        <f>IF(D116=0,"NA",SUMPRODUCT(G84:G115,D84:D115)/D116)</f>
        <v>NA</v>
      </c>
      <c r="H116" s="110" t="str">
        <f>IF(D116=0,"NA",SUMPRODUCT(H84:H115,D84:D115)/D116)</f>
        <v>NA</v>
      </c>
      <c r="I116" s="110" t="str">
        <f>IF(D116=0,"NA",SUMPRODUCT(I84:I115,D84:D115)/D116)</f>
        <v>NA</v>
      </c>
      <c r="J116" s="110" t="str">
        <f>IF(D116=0,"NA",SUMPRODUCT(J84:J115,D84:D115)/D116)</f>
        <v>NA</v>
      </c>
      <c r="K116" s="110" t="str">
        <f>IF(D116=0,"NA",SUMPRODUCT(K84:K115,D84:D115)/D116)</f>
        <v>NA</v>
      </c>
      <c r="L116" s="110" t="str">
        <f>IF(D116=0,"NA",SUMPRODUCT(L84:L115,D84:D115)/D116)</f>
        <v>NA</v>
      </c>
      <c r="M116" s="110" t="str">
        <f>IF(D116=0,"NA",SUMPRODUCT(M84:M115,D84:D115)/D116)</f>
        <v>NA</v>
      </c>
      <c r="N116" s="158" t="str">
        <f>IF(D116=0,"NA",SUMPRODUCT(N84:N115,D84:D115)/D116)</f>
        <v>NA</v>
      </c>
      <c r="O116" s="158" t="str">
        <f>IF(D116=0,"NA",SUMPRODUCT(O84:O115,D84:D115)/D116)</f>
        <v>NA</v>
      </c>
      <c r="P116" s="158" t="str">
        <f>IF(D116=0,"NA",SUMPRODUCT(P84:P115,D84:D115)/D116)</f>
        <v>NA</v>
      </c>
      <c r="Q116" s="158" t="str">
        <f>IF(D116=0,"NA",SUMPRODUCT(Q84:Q115,D84:D115)/D116)</f>
        <v>NA</v>
      </c>
      <c r="R116" s="158" t="str">
        <f>IF(D116=0,"NA",SUMPRODUCT(R84:R115,D84:D115)/D116)</f>
        <v>NA</v>
      </c>
      <c r="S116" s="508">
        <f>SUM(S84:S115)</f>
        <v>0</v>
      </c>
      <c r="T116" s="157" t="str">
        <f>IF(S116=0,"NA",SUMPRODUCT(T84:T115,S84:S115)/S116)</f>
        <v>NA</v>
      </c>
      <c r="U116" s="110" t="str">
        <f>IF(S116=0,"NA",SUMPRODUCT(U84:U115,S84:S115)/S116)</f>
        <v>NA</v>
      </c>
      <c r="V116" s="110" t="str">
        <f>IF(S116=0,"NA",SUMPRODUCT(V84:V115,S84:S115)/S116)</f>
        <v>NA</v>
      </c>
      <c r="W116" s="110" t="str">
        <f>IF(S116=0,"NA",SUMPRODUCT(W84:W115,S84:S115)/S116)</f>
        <v>NA</v>
      </c>
      <c r="X116" s="110" t="str">
        <f>IF(S116=0,"NA",SUMPRODUCT(X84:X115,S84:S115)/S116)</f>
        <v>NA</v>
      </c>
      <c r="Y116" s="110" t="str">
        <f>IF(S116=0,"NA",SUMPRODUCT(Y84:Y115,S84:S115)/S116)</f>
        <v>NA</v>
      </c>
      <c r="Z116" s="110" t="str">
        <f>IF(S116=0,"NA",SUMPRODUCT(Z84:Z115,S84:S115)/S116)</f>
        <v>NA</v>
      </c>
      <c r="AA116" s="110" t="str">
        <f>IF(S116=0,"NA",SUMPRODUCT(AA84:AA115,S84:S115)/S116)</f>
        <v>NA</v>
      </c>
      <c r="AB116" s="110" t="str">
        <f>IF(S116=0,"NA",SUMPRODUCT(AB84:AB115,S84:S115)/S116)</f>
        <v>NA</v>
      </c>
      <c r="AC116" s="158" t="str">
        <f>IF(S116=0,"NA",SUMPRODUCT(AC84:AC115,S84:S115)/S116)</f>
        <v>NA</v>
      </c>
      <c r="AD116" s="158" t="str">
        <f>IF(S116=0,"NA",SUMPRODUCT(AD84:AD115,S84:S115)/S116)</f>
        <v>NA</v>
      </c>
      <c r="AE116" s="158" t="str">
        <f>IF(S116=0,"NA",SUMPRODUCT(AE84:AE115,S84:S115)/S116)</f>
        <v>NA</v>
      </c>
      <c r="AF116" s="158" t="str">
        <f>IF(S116=0,"NA",SUMPRODUCT(AF84:AF115,S84:S115)/S116)</f>
        <v>NA</v>
      </c>
      <c r="AG116" s="159" t="str">
        <f>IF(S116=0,"NA",SUMPRODUCT(AG84:AG115,S84:S115)/S116)</f>
        <v>NA</v>
      </c>
      <c r="AH116" s="483" t="str">
        <f>IF(D116=0,"NA",S116/D116-1)</f>
        <v>NA</v>
      </c>
      <c r="AI116" s="484" t="str">
        <f>IF(D116=0,"NA",T116/E116-1)</f>
        <v>NA</v>
      </c>
      <c r="AJ116" s="485" t="str">
        <f>IF(D116=0,"NA",U116/F116-1)</f>
        <v>NA</v>
      </c>
      <c r="AK116" s="485" t="str">
        <f>IF(D116=0,"NA",V116/G116-1)</f>
        <v>NA</v>
      </c>
      <c r="AL116" s="485" t="str">
        <f>IF(D116=0,"NA",W116/H116-1)</f>
        <v>NA</v>
      </c>
      <c r="AM116" s="485" t="str">
        <f>IF(D116=0,"NA",X116/I116-1)</f>
        <v>NA</v>
      </c>
      <c r="AN116" s="485" t="str">
        <f>IF(D116=0,"NA",Y116/J116-1)</f>
        <v>NA</v>
      </c>
      <c r="AO116" s="485" t="str">
        <f>IF(D116=0,"NA",Z116/K116-1)</f>
        <v>NA</v>
      </c>
      <c r="AP116" s="485" t="str">
        <f>IF(D116=0,"NA",AA116/L116-1)</f>
        <v>NA</v>
      </c>
      <c r="AQ116" s="485" t="str">
        <f>IF(D116=0,"NA",AB116/M116-1)</f>
        <v>NA</v>
      </c>
      <c r="AR116" s="486" t="str">
        <f>IF(D116=0,"NA",AC116/N116-1)</f>
        <v>NA</v>
      </c>
      <c r="AS116" s="486" t="str">
        <f>IF(D116=0,"NA",AD116/O116-1)</f>
        <v>NA</v>
      </c>
      <c r="AT116" s="486" t="str">
        <f>IF(D116=0,"NA",AE116/P116-1)</f>
        <v>NA</v>
      </c>
      <c r="AU116" s="486" t="str">
        <f>IF(D116=0,"NA",AF116/Q116-1)</f>
        <v>NA</v>
      </c>
      <c r="AV116" s="487" t="str">
        <f>IF(D116=0,"NA",AG116/R116-1)</f>
        <v>NA</v>
      </c>
    </row>
    <row r="117" spans="1:48" ht="15.75" customHeight="1" thickBot="1" x14ac:dyDescent="0.3">
      <c r="B117" s="168"/>
      <c r="C117" s="171" t="s">
        <v>320</v>
      </c>
      <c r="D117" s="509">
        <f t="shared" ref="D117:J117" si="152">D116</f>
        <v>0</v>
      </c>
      <c r="E117" s="160" t="str">
        <f t="shared" si="152"/>
        <v>NA</v>
      </c>
      <c r="F117" s="161" t="str">
        <f t="shared" si="152"/>
        <v>NA</v>
      </c>
      <c r="G117" s="161" t="str">
        <f t="shared" si="152"/>
        <v>NA</v>
      </c>
      <c r="H117" s="161" t="str">
        <f t="shared" si="152"/>
        <v>NA</v>
      </c>
      <c r="I117" s="161" t="str">
        <f t="shared" si="152"/>
        <v>NA</v>
      </c>
      <c r="J117" s="161" t="str">
        <f t="shared" si="152"/>
        <v>NA</v>
      </c>
      <c r="K117" s="161" t="str">
        <f>IF(D117=0,"NA",(SUMPRODUCT(K84:K115,D84:D115)-ABS(SUMIF(RX_REBATES22[[#All],[Insurance Category Code]],4,RX_REBATES22[[#All],[Total Pharmacy Rebates]])))/D117)</f>
        <v>NA</v>
      </c>
      <c r="L117" s="161" t="str">
        <f>L116</f>
        <v>NA</v>
      </c>
      <c r="M117" s="161" t="str">
        <f>M116</f>
        <v>NA</v>
      </c>
      <c r="N117" s="162" t="str">
        <f>IF(D117=0,"NA",(SUMPRODUCT(N84:N115,D84:D115)-ABS(SUMIF(RX_REBATES22[[#All],[Insurance Category Code]],4,RX_REBATES22[[#All],[Total Pharmacy Rebates]])))/D117)</f>
        <v>NA</v>
      </c>
      <c r="O117" s="162" t="str">
        <f>IF(D117=0,"NA",(SUMPRODUCT(O84:O115,D84:D115)-ABS(SUMIF(RX_REBATES22[[#All],[Insurance Category Code]],4,RX_REBATES22[[#All],[Total Pharmacy Rebates]])))/D117)</f>
        <v>NA</v>
      </c>
      <c r="P117" s="162" t="str">
        <f>IF(D117=0,"NA",(SUMPRODUCT(P84:P115,D84:D115)-ABS(SUMIF(RX_REBATES22[[#All],[Insurance Category Code]],4,RX_REBATES22[[#All],[Total Pharmacy Rebates]])))/D117)</f>
        <v>NA</v>
      </c>
      <c r="Q117" s="162" t="str">
        <f>IF(D117=0,"NA",(SUMPRODUCT(Q84:Q115,D84:D115)-ABS(SUMIF(RX_REBATES22[[#All],[Insurance Category Code]],4,RX_REBATES22[[#All],[Total Pharmacy Rebates]])))/D117)</f>
        <v>NA</v>
      </c>
      <c r="R117" s="162" t="str">
        <f>IF(D117=0,"NA",(SUMPRODUCT(R84:R115,D84:D115)-ABS(SUMIF(RX_REBATES22[[#All],[Insurance Category Code]],4,RX_REBATES22[[#All],[Total Pharmacy Rebates]])))/D117)</f>
        <v>NA</v>
      </c>
      <c r="S117" s="509">
        <f t="shared" ref="S117:Y117" si="153">S116</f>
        <v>0</v>
      </c>
      <c r="T117" s="160" t="str">
        <f t="shared" si="153"/>
        <v>NA</v>
      </c>
      <c r="U117" s="161" t="str">
        <f t="shared" si="153"/>
        <v>NA</v>
      </c>
      <c r="V117" s="161" t="str">
        <f t="shared" si="153"/>
        <v>NA</v>
      </c>
      <c r="W117" s="161" t="str">
        <f t="shared" si="153"/>
        <v>NA</v>
      </c>
      <c r="X117" s="161" t="str">
        <f t="shared" si="153"/>
        <v>NA</v>
      </c>
      <c r="Y117" s="161" t="str">
        <f t="shared" si="153"/>
        <v>NA</v>
      </c>
      <c r="Z117" s="161" t="str">
        <f>IF(S117=0,"NA",(SUMPRODUCT(Z84:Z115,S84:S115)-ABS(SUMIF(RX_REBATES23[[#All],[Insurance Category Code]],4,RX_REBATES23[[#All],[Total Pharmacy Rebates]])))/S117)</f>
        <v>NA</v>
      </c>
      <c r="AA117" s="161" t="str">
        <f>AA116</f>
        <v>NA</v>
      </c>
      <c r="AB117" s="161" t="str">
        <f>AB116</f>
        <v>NA</v>
      </c>
      <c r="AC117" s="162" t="str">
        <f>IF(S117=0,"NA",(SUMPRODUCT(AC84:AC115,S84:S115)-ABS(SUMIF(RX_REBATES23[[#All],[Insurance Category Code]],4,RX_REBATES23[[#All],[Total Pharmacy Rebates]])))/S117)</f>
        <v>NA</v>
      </c>
      <c r="AD117" s="162" t="str">
        <f>IF(S117=0,"NA",(SUMPRODUCT(AD84:AD115,S84:S115)-ABS(SUMIF(RX_REBATES23[[#All],[Insurance Category Code]],4,RX_REBATES23[[#All],[Total Pharmacy Rebates]])))/S117)</f>
        <v>NA</v>
      </c>
      <c r="AE117" s="162" t="str">
        <f>IF(S117=0,"NA",(SUMPRODUCT(AE84:AE115,S84:S115)-ABS(SUMIF(RX_REBATES23[[#All],[Insurance Category Code]],4,RX_REBATES23[[#All],[Total Pharmacy Rebates]])))/S117)</f>
        <v>NA</v>
      </c>
      <c r="AF117" s="162" t="str">
        <f>IF(S117=0,"NA",(SUMPRODUCT(AF84:AF115,S84:S115)-ABS(SUMIF(RX_REBATES23[[#All],[Insurance Category Code]],4,RX_REBATES23[[#All],[Total Pharmacy Rebates]])))/S117)</f>
        <v>NA</v>
      </c>
      <c r="AG117" s="162" t="str">
        <f>IF(S117=0,"NA",(SUMPRODUCT(AG84:AG115,S84:S115)-ABS(SUMIF(RX_REBATES23[[#All],[Insurance Category Code]],4,RX_REBATES23[[#All],[Total Pharmacy Rebates]])))/S117)</f>
        <v>NA</v>
      </c>
      <c r="AH117" s="488" t="str">
        <f>IF(D117=0,"NA",S117/D117-1)</f>
        <v>NA</v>
      </c>
      <c r="AI117" s="489" t="str">
        <f>IF(D117=0,"NA",T117/E117-1)</f>
        <v>NA</v>
      </c>
      <c r="AJ117" s="490" t="str">
        <f>IF(D117=0,"NA",U117/F117-1)</f>
        <v>NA</v>
      </c>
      <c r="AK117" s="490" t="str">
        <f>IF(D117=0,"NA",V117/G117-1)</f>
        <v>NA</v>
      </c>
      <c r="AL117" s="490" t="str">
        <f>IF(D117=0,"NA",W117/H117-1)</f>
        <v>NA</v>
      </c>
      <c r="AM117" s="490" t="str">
        <f>IF(D117=0,"NA",X117/I117-1)</f>
        <v>NA</v>
      </c>
      <c r="AN117" s="490" t="str">
        <f>IF(D117=0,"NA",Y117/J117-1)</f>
        <v>NA</v>
      </c>
      <c r="AO117" s="490" t="str">
        <f>IF(D117=0,"NA",Z117/K117-1)</f>
        <v>NA</v>
      </c>
      <c r="AP117" s="490" t="str">
        <f>IF(D117=0,"NA",AA117/L117-1)</f>
        <v>NA</v>
      </c>
      <c r="AQ117" s="490" t="str">
        <f>IF(D117=0,"NA",AB117/M117-1)</f>
        <v>NA</v>
      </c>
      <c r="AR117" s="491" t="str">
        <f>IF(D117=0,"NA",AC117/N117-1)</f>
        <v>NA</v>
      </c>
      <c r="AS117" s="491" t="str">
        <f>IF(D117=0,"NA",AD117/O117-1)</f>
        <v>NA</v>
      </c>
      <c r="AT117" s="491" t="str">
        <f>IF(D117=0,"NA",AE117/P117-1)</f>
        <v>NA</v>
      </c>
      <c r="AU117" s="491" t="str">
        <f>IF(D117=0,"NA",AF117/Q117-1)</f>
        <v>NA</v>
      </c>
      <c r="AV117" s="492" t="str">
        <f>IF(D117=0,"NA",AG117/R117-1)</f>
        <v>NA</v>
      </c>
    </row>
    <row r="119" spans="1:48" ht="16.5" thickBot="1" x14ac:dyDescent="0.3">
      <c r="B119" s="54" t="s">
        <v>323</v>
      </c>
      <c r="C119" s="526"/>
    </row>
    <row r="120" spans="1:48" x14ac:dyDescent="0.25">
      <c r="B120" s="596" t="s">
        <v>309</v>
      </c>
      <c r="C120" s="597"/>
      <c r="D120" s="594">
        <v>2022</v>
      </c>
      <c r="E120" s="595"/>
      <c r="F120" s="595"/>
      <c r="G120" s="595"/>
      <c r="H120" s="595"/>
      <c r="I120" s="595"/>
      <c r="J120" s="595"/>
      <c r="K120" s="595"/>
      <c r="L120" s="595"/>
      <c r="M120" s="595"/>
      <c r="N120" s="595"/>
      <c r="O120" s="595"/>
      <c r="P120" s="595"/>
      <c r="Q120" s="595"/>
      <c r="R120" s="595"/>
      <c r="S120" s="594">
        <v>2023</v>
      </c>
      <c r="T120" s="595"/>
      <c r="U120" s="595"/>
      <c r="V120" s="595"/>
      <c r="W120" s="595"/>
      <c r="X120" s="595"/>
      <c r="Y120" s="595"/>
      <c r="Z120" s="595"/>
      <c r="AA120" s="595"/>
      <c r="AB120" s="595"/>
      <c r="AC120" s="595"/>
      <c r="AD120" s="595"/>
      <c r="AE120" s="595"/>
      <c r="AF120" s="595"/>
      <c r="AG120" s="600"/>
      <c r="AH120" s="572" t="s">
        <v>454</v>
      </c>
      <c r="AI120" s="573"/>
      <c r="AJ120" s="574"/>
      <c r="AK120" s="574"/>
      <c r="AL120" s="574"/>
      <c r="AM120" s="574"/>
      <c r="AN120" s="574"/>
      <c r="AO120" s="574"/>
      <c r="AP120" s="574"/>
      <c r="AQ120" s="574"/>
      <c r="AR120" s="575"/>
      <c r="AS120" s="575"/>
      <c r="AT120" s="575"/>
      <c r="AU120" s="575"/>
      <c r="AV120" s="576"/>
    </row>
    <row r="121" spans="1:48" ht="30" x14ac:dyDescent="0.25">
      <c r="B121" s="221" t="s">
        <v>310</v>
      </c>
      <c r="C121" s="225" t="s">
        <v>311</v>
      </c>
      <c r="D121" s="221" t="s">
        <v>211</v>
      </c>
      <c r="E121" s="222" t="s">
        <v>102</v>
      </c>
      <c r="F121" s="223" t="s">
        <v>104</v>
      </c>
      <c r="G121" s="223" t="s">
        <v>106</v>
      </c>
      <c r="H121" s="223" t="s">
        <v>312</v>
      </c>
      <c r="I121" s="223" t="s">
        <v>108</v>
      </c>
      <c r="J121" s="223" t="s">
        <v>109</v>
      </c>
      <c r="K121" s="223" t="s">
        <v>313</v>
      </c>
      <c r="L121" s="223" t="s">
        <v>314</v>
      </c>
      <c r="M121" s="223" t="s">
        <v>115</v>
      </c>
      <c r="N121" s="224" t="s">
        <v>315</v>
      </c>
      <c r="O121" s="224" t="s">
        <v>316</v>
      </c>
      <c r="P121" s="224" t="s">
        <v>214</v>
      </c>
      <c r="Q121" s="224" t="s">
        <v>317</v>
      </c>
      <c r="R121" s="224" t="s">
        <v>318</v>
      </c>
      <c r="S121" s="221" t="s">
        <v>211</v>
      </c>
      <c r="T121" s="222" t="s">
        <v>102</v>
      </c>
      <c r="U121" s="223" t="s">
        <v>104</v>
      </c>
      <c r="V121" s="223" t="s">
        <v>106</v>
      </c>
      <c r="W121" s="223" t="s">
        <v>312</v>
      </c>
      <c r="X121" s="223" t="s">
        <v>108</v>
      </c>
      <c r="Y121" s="223" t="s">
        <v>109</v>
      </c>
      <c r="Z121" s="223" t="s">
        <v>313</v>
      </c>
      <c r="AA121" s="223" t="s">
        <v>314</v>
      </c>
      <c r="AB121" s="223" t="s">
        <v>115</v>
      </c>
      <c r="AC121" s="224" t="s">
        <v>315</v>
      </c>
      <c r="AD121" s="224" t="s">
        <v>316</v>
      </c>
      <c r="AE121" s="224" t="s">
        <v>214</v>
      </c>
      <c r="AF121" s="224" t="s">
        <v>317</v>
      </c>
      <c r="AG121" s="225" t="s">
        <v>318</v>
      </c>
      <c r="AH121" s="221" t="s">
        <v>211</v>
      </c>
      <c r="AI121" s="222" t="s">
        <v>102</v>
      </c>
      <c r="AJ121" s="223" t="s">
        <v>104</v>
      </c>
      <c r="AK121" s="223" t="s">
        <v>106</v>
      </c>
      <c r="AL121" s="223" t="s">
        <v>312</v>
      </c>
      <c r="AM121" s="223" t="s">
        <v>108</v>
      </c>
      <c r="AN121" s="223" t="s">
        <v>109</v>
      </c>
      <c r="AO121" s="223" t="s">
        <v>313</v>
      </c>
      <c r="AP121" s="223" t="s">
        <v>314</v>
      </c>
      <c r="AQ121" s="223" t="s">
        <v>115</v>
      </c>
      <c r="AR121" s="224" t="s">
        <v>315</v>
      </c>
      <c r="AS121" s="224" t="s">
        <v>316</v>
      </c>
      <c r="AT121" s="224" t="s">
        <v>214</v>
      </c>
      <c r="AU121" s="224" t="s">
        <v>317</v>
      </c>
      <c r="AV121" s="225" t="s">
        <v>318</v>
      </c>
    </row>
    <row r="122" spans="1:48" ht="15" customHeight="1" x14ac:dyDescent="0.25">
      <c r="B122" s="166">
        <v>101</v>
      </c>
      <c r="C122" s="169" t="str">
        <f>_xlfn.XLOOKUP(B122, LgProvEntOrgIDs[Advanced Network/Insurer Carrier Org ID], LgProvEntOrgIDs[Advanced Network/Insurance Carrier Overall])</f>
        <v>Privia Quality Network of Connecticut (PQN CT) (formerly Community Medical Group)</v>
      </c>
      <c r="D122" s="507">
        <f t="shared" ref="D122:D132" si="154">D160+D198</f>
        <v>0</v>
      </c>
      <c r="E122" s="155" t="str">
        <f t="shared" ref="E122:E132" si="155">IF(D122=0,"NA",(SUMPRODUCT(E160,D160)+SUMPRODUCT(E198,D198))/D122)</f>
        <v>NA</v>
      </c>
      <c r="F122" s="155" t="str">
        <f t="shared" ref="F122:F132" si="156">IF(D122=0,"NA",(SUMPRODUCT(F160,D160)+SUMPRODUCT(F198,D198))/D122)</f>
        <v>NA</v>
      </c>
      <c r="G122" s="155" t="str">
        <f t="shared" ref="G122:G132" si="157">IF(D122=0,"NA",(SUMPRODUCT(G160,D160)+SUMPRODUCT(G198,D198))/D122)</f>
        <v>NA</v>
      </c>
      <c r="H122" s="155" t="str">
        <f t="shared" ref="H122:H132" si="158">IF(D122=0,"NA",(SUMPRODUCT(H160,D160)+SUMPRODUCT(H198,D198))/D122)</f>
        <v>NA</v>
      </c>
      <c r="I122" s="155" t="str">
        <f t="shared" ref="I122:I132" si="159">IF(D122=0,"NA",(SUMPRODUCT(I160,D160)+SUMPRODUCT(I198,D198))/D122)</f>
        <v>NA</v>
      </c>
      <c r="J122" s="155" t="str">
        <f t="shared" ref="J122:J132" si="160">IF(D122=0,"NA",(SUMPRODUCT(J160,D160)+SUMPRODUCT(J198,D198))/D122)</f>
        <v>NA</v>
      </c>
      <c r="K122" s="155" t="str">
        <f t="shared" ref="K122:K132" si="161">IF(D122=0,"NA",(SUMPRODUCT(K160,D160)+SUMPRODUCT(K198,D198))/D122)</f>
        <v>NA</v>
      </c>
      <c r="L122" s="155" t="str">
        <f t="shared" ref="L122:L132" si="162">IF(D122=0,"NA",(SUMPRODUCT(L160,D160)+SUMPRODUCT(L198,D198))/D122)</f>
        <v>NA</v>
      </c>
      <c r="M122" s="155" t="str">
        <f t="shared" ref="M122:M132" si="163">IF(D122=0,"NA",(SUMPRODUCT(M160,D160)+SUMPRODUCT(M198,D198))/D122)</f>
        <v>NA</v>
      </c>
      <c r="N122" s="155" t="str">
        <f t="shared" ref="N122:N132" si="164">IF(D122=0,"NA",(SUMPRODUCT(N160,D160)+SUMPRODUCT(N198,D198))/D122)</f>
        <v>NA</v>
      </c>
      <c r="O122" s="155" t="str">
        <f t="shared" ref="O122:O132" si="165">IF(D122=0,"NA",(SUMPRODUCT(O160,D160)+SUMPRODUCT(O198,D198))/D122)</f>
        <v>NA</v>
      </c>
      <c r="P122" s="155" t="str">
        <f t="shared" ref="P122:P132" si="166">IF(D122=0,"NA",(SUMPRODUCT(P160,D160)+SUMPRODUCT(P198,D198))/D122)</f>
        <v>NA</v>
      </c>
      <c r="Q122" s="155" t="str">
        <f t="shared" ref="Q122:Q132" si="167">IF(D122=0,"NA",(SUMPRODUCT(Q160,D160)+SUMPRODUCT(Q198,D198))/D122)</f>
        <v>NA</v>
      </c>
      <c r="R122" s="165" t="str">
        <f t="shared" ref="R122:R132" si="168">IF(D122=0,"NA",(SUMPRODUCT(R160,D160)+SUMPRODUCT(R198,D198))/D122)</f>
        <v>NA</v>
      </c>
      <c r="S122" s="507">
        <f t="shared" ref="S122:S132" si="169">S160+S198</f>
        <v>0</v>
      </c>
      <c r="T122" s="155" t="str">
        <f t="shared" ref="T122:T132" si="170">IF(S122=0,"NA",(SUMPRODUCT(T160,S160)+SUMPRODUCT(T198,S198))/S122)</f>
        <v>NA</v>
      </c>
      <c r="U122" s="155" t="str">
        <f t="shared" ref="U122:U132" si="171">IF(S122=0,"NA",(SUMPRODUCT(U160,S160)+SUMPRODUCT(U198,S198))/S122)</f>
        <v>NA</v>
      </c>
      <c r="V122" s="155" t="str">
        <f t="shared" ref="V122:V132" si="172">IF(S122=0,"NA",(SUMPRODUCT(V160,S160)+SUMPRODUCT(V198,S198))/S122)</f>
        <v>NA</v>
      </c>
      <c r="W122" s="155" t="str">
        <f t="shared" ref="W122:W132" si="173">IF(S122=0,"NA",(SUMPRODUCT(W160,S160)+SUMPRODUCT(W198,S198))/S122)</f>
        <v>NA</v>
      </c>
      <c r="X122" s="155" t="str">
        <f t="shared" ref="X122:X132" si="174">IF(S122=0,"NA",(SUMPRODUCT(X160,S160)+SUMPRODUCT(X198,S198))/S122)</f>
        <v>NA</v>
      </c>
      <c r="Y122" s="155" t="str">
        <f t="shared" ref="Y122:Y132" si="175">IF(S122=0,"NA",(SUMPRODUCT(Y160,S160)+SUMPRODUCT(Y198,S198))/S122)</f>
        <v>NA</v>
      </c>
      <c r="Z122" s="155" t="str">
        <f t="shared" ref="Z122:Z132" si="176">IF(S122=0,"NA",(SUMPRODUCT(Z160,S160)+SUMPRODUCT(Z198,S198))/S122)</f>
        <v>NA</v>
      </c>
      <c r="AA122" s="155" t="str">
        <f t="shared" ref="AA122:AA132" si="177">IF(S122=0,"NA",(SUMPRODUCT(AA160,S160)+SUMPRODUCT(AA198,S198))/S122)</f>
        <v>NA</v>
      </c>
      <c r="AB122" s="155" t="str">
        <f t="shared" ref="AB122:AB132" si="178">IF(S122=0,"NA",(SUMPRODUCT(AB160,S160)+SUMPRODUCT(AB198,S198))/S122)</f>
        <v>NA</v>
      </c>
      <c r="AC122" s="155" t="str">
        <f t="shared" ref="AC122:AC132" si="179">IF(S122=0,"NA",(SUMPRODUCT(AC160,S160)+SUMPRODUCT(AC198,S198))/S122)</f>
        <v>NA</v>
      </c>
      <c r="AD122" s="155" t="str">
        <f t="shared" ref="AD122:AD132" si="180">IF(S122=0,"NA",(SUMPRODUCT(AD160,S160)+SUMPRODUCT(AD198,S198))/S122)</f>
        <v>NA</v>
      </c>
      <c r="AE122" s="155" t="str">
        <f t="shared" ref="AE122:AE132" si="181">IF(S122=0,"NA",(SUMPRODUCT(AE160,S160)+SUMPRODUCT(AE198,S198))/S122)</f>
        <v>NA</v>
      </c>
      <c r="AF122" s="155" t="str">
        <f t="shared" ref="AF122:AF132" si="182">IF(S122=0,"NA",(SUMPRODUCT(AF160,S160)+SUMPRODUCT(AF198,S198))/S122)</f>
        <v>NA</v>
      </c>
      <c r="AG122" s="156" t="str">
        <f t="shared" ref="AG122:AG132" si="183">IF(S122=0,"NA",(SUMPRODUCT(AG160,S160)+SUMPRODUCT(AG198,S198))/S122)</f>
        <v>NA</v>
      </c>
      <c r="AH122" s="478" t="str">
        <f>IF(D122=0,"NA",S122/D122-1)</f>
        <v>NA</v>
      </c>
      <c r="AI122" s="479" t="str">
        <f>IF(D122=0,"NA",T122/E122-1)</f>
        <v>NA</v>
      </c>
      <c r="AJ122" s="480" t="str">
        <f>IF(D122=0,"NA",U122/F122-1)</f>
        <v>NA</v>
      </c>
      <c r="AK122" s="480" t="str">
        <f>IF(D122=0,"NA",V122/G122-1)</f>
        <v>NA</v>
      </c>
      <c r="AL122" s="480" t="str">
        <f>IF(D122=0,"NA",W122/H122-1)</f>
        <v>NA</v>
      </c>
      <c r="AM122" s="480" t="str">
        <f>IF(D122=0,"NA",X122/I122-1)</f>
        <v>NA</v>
      </c>
      <c r="AN122" s="480" t="str">
        <f>IF(D122=0,"NA",Y122/J122-1)</f>
        <v>NA</v>
      </c>
      <c r="AO122" s="480" t="str">
        <f>IF(D122=0,"NA",Z122/K122-1)</f>
        <v>NA</v>
      </c>
      <c r="AP122" s="480" t="str">
        <f>IF(D122=0,"NA",AA122/L122-1)</f>
        <v>NA</v>
      </c>
      <c r="AQ122" s="480" t="str">
        <f>IF(D122=0,"NA",AB122/M122-1)</f>
        <v>NA</v>
      </c>
      <c r="AR122" s="481" t="str">
        <f>IF(D122=0,"NA",AC122/N122-1)</f>
        <v>NA</v>
      </c>
      <c r="AS122" s="481" t="str">
        <f>IF(D122=0,"NA",AD122/O122-1)</f>
        <v>NA</v>
      </c>
      <c r="AT122" s="481" t="str">
        <f>IF(D122=0,"NA",AE122/P122-1)</f>
        <v>NA</v>
      </c>
      <c r="AU122" s="481" t="str">
        <f>IF(D122=0,"NA",AF122/Q122-1)</f>
        <v>NA</v>
      </c>
      <c r="AV122" s="482" t="str">
        <f>IF(D122=0,"NA",AG122/R122-1)</f>
        <v>NA</v>
      </c>
    </row>
    <row r="123" spans="1:48" ht="15" customHeight="1" x14ac:dyDescent="0.25">
      <c r="B123" s="166">
        <v>102</v>
      </c>
      <c r="C123" s="169" t="str">
        <f>_xlfn.XLOOKUP(B123, LgProvEntOrgIDs[Advanced Network/Insurer Carrier Org ID], LgProvEntOrgIDs[Advanced Network/Insurance Carrier Overall])</f>
        <v>Connecticut Children's Care Network</v>
      </c>
      <c r="D123" s="507">
        <f t="shared" si="154"/>
        <v>0</v>
      </c>
      <c r="E123" s="155" t="str">
        <f t="shared" si="155"/>
        <v>NA</v>
      </c>
      <c r="F123" s="155" t="str">
        <f t="shared" si="156"/>
        <v>NA</v>
      </c>
      <c r="G123" s="155" t="str">
        <f t="shared" si="157"/>
        <v>NA</v>
      </c>
      <c r="H123" s="155" t="str">
        <f t="shared" si="158"/>
        <v>NA</v>
      </c>
      <c r="I123" s="155" t="str">
        <f t="shared" si="159"/>
        <v>NA</v>
      </c>
      <c r="J123" s="155" t="str">
        <f t="shared" si="160"/>
        <v>NA</v>
      </c>
      <c r="K123" s="155" t="str">
        <f t="shared" si="161"/>
        <v>NA</v>
      </c>
      <c r="L123" s="155" t="str">
        <f t="shared" si="162"/>
        <v>NA</v>
      </c>
      <c r="M123" s="155" t="str">
        <f t="shared" si="163"/>
        <v>NA</v>
      </c>
      <c r="N123" s="155" t="str">
        <f t="shared" si="164"/>
        <v>NA</v>
      </c>
      <c r="O123" s="155" t="str">
        <f t="shared" si="165"/>
        <v>NA</v>
      </c>
      <c r="P123" s="155" t="str">
        <f t="shared" si="166"/>
        <v>NA</v>
      </c>
      <c r="Q123" s="155" t="str">
        <f t="shared" si="167"/>
        <v>NA</v>
      </c>
      <c r="R123" s="165" t="str">
        <f t="shared" si="168"/>
        <v>NA</v>
      </c>
      <c r="S123" s="507">
        <f t="shared" si="169"/>
        <v>0</v>
      </c>
      <c r="T123" s="155" t="str">
        <f t="shared" si="170"/>
        <v>NA</v>
      </c>
      <c r="U123" s="155" t="str">
        <f t="shared" si="171"/>
        <v>NA</v>
      </c>
      <c r="V123" s="155" t="str">
        <f t="shared" si="172"/>
        <v>NA</v>
      </c>
      <c r="W123" s="155" t="str">
        <f t="shared" si="173"/>
        <v>NA</v>
      </c>
      <c r="X123" s="155" t="str">
        <f t="shared" si="174"/>
        <v>NA</v>
      </c>
      <c r="Y123" s="155" t="str">
        <f t="shared" si="175"/>
        <v>NA</v>
      </c>
      <c r="Z123" s="155" t="str">
        <f t="shared" si="176"/>
        <v>NA</v>
      </c>
      <c r="AA123" s="155" t="str">
        <f t="shared" si="177"/>
        <v>NA</v>
      </c>
      <c r="AB123" s="155" t="str">
        <f t="shared" si="178"/>
        <v>NA</v>
      </c>
      <c r="AC123" s="155" t="str">
        <f t="shared" si="179"/>
        <v>NA</v>
      </c>
      <c r="AD123" s="155" t="str">
        <f t="shared" si="180"/>
        <v>NA</v>
      </c>
      <c r="AE123" s="155" t="str">
        <f t="shared" si="181"/>
        <v>NA</v>
      </c>
      <c r="AF123" s="155" t="str">
        <f t="shared" si="182"/>
        <v>NA</v>
      </c>
      <c r="AG123" s="156" t="str">
        <f t="shared" si="183"/>
        <v>NA</v>
      </c>
      <c r="AH123" s="478" t="str">
        <f t="shared" ref="AH123:AH131" si="184">IF(D123=0,"NA",S123/D123-1)</f>
        <v>NA</v>
      </c>
      <c r="AI123" s="479" t="str">
        <f t="shared" ref="AI123:AI131" si="185">IF(D123=0,"NA",T123/E123-1)</f>
        <v>NA</v>
      </c>
      <c r="AJ123" s="480" t="str">
        <f t="shared" ref="AJ123:AJ131" si="186">IF(D123=0,"NA",U123/F123-1)</f>
        <v>NA</v>
      </c>
      <c r="AK123" s="480" t="str">
        <f t="shared" ref="AK123:AK131" si="187">IF(D123=0,"NA",V123/G123-1)</f>
        <v>NA</v>
      </c>
      <c r="AL123" s="480" t="str">
        <f t="shared" ref="AL123:AL131" si="188">IF(D123=0,"NA",W123/H123-1)</f>
        <v>NA</v>
      </c>
      <c r="AM123" s="480" t="str">
        <f t="shared" ref="AM123:AM131" si="189">IF(D123=0,"NA",X123/I123-1)</f>
        <v>NA</v>
      </c>
      <c r="AN123" s="480" t="str">
        <f t="shared" ref="AN123:AN131" si="190">IF(D123=0,"NA",Y123/J123-1)</f>
        <v>NA</v>
      </c>
      <c r="AO123" s="480" t="str">
        <f t="shared" ref="AO123:AO131" si="191">IF(D123=0,"NA",Z123/K123-1)</f>
        <v>NA</v>
      </c>
      <c r="AP123" s="480" t="str">
        <f t="shared" ref="AP123:AP131" si="192">IF(D123=0,"NA",AA123/L123-1)</f>
        <v>NA</v>
      </c>
      <c r="AQ123" s="480" t="str">
        <f t="shared" ref="AQ123:AQ131" si="193">IF(D123=0,"NA",AB123/M123-1)</f>
        <v>NA</v>
      </c>
      <c r="AR123" s="481" t="str">
        <f t="shared" ref="AR123:AR131" si="194">IF(D123=0,"NA",AC123/N123-1)</f>
        <v>NA</v>
      </c>
      <c r="AS123" s="481" t="str">
        <f t="shared" ref="AS123:AS131" si="195">IF(D123=0,"NA",AD123/O123-1)</f>
        <v>NA</v>
      </c>
      <c r="AT123" s="481" t="str">
        <f t="shared" ref="AT123:AT131" si="196">IF(D123=0,"NA",AE123/P123-1)</f>
        <v>NA</v>
      </c>
      <c r="AU123" s="481" t="str">
        <f t="shared" ref="AU123:AU131" si="197">IF(D123=0,"NA",AF123/Q123-1)</f>
        <v>NA</v>
      </c>
      <c r="AV123" s="482" t="str">
        <f t="shared" ref="AV123:AV131" si="198">IF(D123=0,"NA",AG123/R123-1)</f>
        <v>NA</v>
      </c>
    </row>
    <row r="124" spans="1:48" ht="15" customHeight="1" x14ac:dyDescent="0.25">
      <c r="B124" s="166">
        <v>103</v>
      </c>
      <c r="C124" s="169" t="str">
        <f>_xlfn.XLOOKUP(B124, LgProvEntOrgIDs[Advanced Network/Insurer Carrier Org ID], LgProvEntOrgIDs[Advanced Network/Insurance Carrier Overall])</f>
        <v>Connecticut State Medical Society IPA</v>
      </c>
      <c r="D124" s="507">
        <f t="shared" si="154"/>
        <v>0</v>
      </c>
      <c r="E124" s="155" t="str">
        <f t="shared" si="155"/>
        <v>NA</v>
      </c>
      <c r="F124" s="155" t="str">
        <f t="shared" si="156"/>
        <v>NA</v>
      </c>
      <c r="G124" s="155" t="str">
        <f t="shared" si="157"/>
        <v>NA</v>
      </c>
      <c r="H124" s="155" t="str">
        <f t="shared" si="158"/>
        <v>NA</v>
      </c>
      <c r="I124" s="155" t="str">
        <f t="shared" si="159"/>
        <v>NA</v>
      </c>
      <c r="J124" s="155" t="str">
        <f t="shared" si="160"/>
        <v>NA</v>
      </c>
      <c r="K124" s="155" t="str">
        <f t="shared" si="161"/>
        <v>NA</v>
      </c>
      <c r="L124" s="155" t="str">
        <f t="shared" si="162"/>
        <v>NA</v>
      </c>
      <c r="M124" s="155" t="str">
        <f t="shared" si="163"/>
        <v>NA</v>
      </c>
      <c r="N124" s="155" t="str">
        <f t="shared" si="164"/>
        <v>NA</v>
      </c>
      <c r="O124" s="155" t="str">
        <f t="shared" si="165"/>
        <v>NA</v>
      </c>
      <c r="P124" s="155" t="str">
        <f t="shared" si="166"/>
        <v>NA</v>
      </c>
      <c r="Q124" s="155" t="str">
        <f t="shared" si="167"/>
        <v>NA</v>
      </c>
      <c r="R124" s="165" t="str">
        <f t="shared" si="168"/>
        <v>NA</v>
      </c>
      <c r="S124" s="507">
        <f t="shared" si="169"/>
        <v>0</v>
      </c>
      <c r="T124" s="155" t="str">
        <f t="shared" si="170"/>
        <v>NA</v>
      </c>
      <c r="U124" s="155" t="str">
        <f t="shared" si="171"/>
        <v>NA</v>
      </c>
      <c r="V124" s="155" t="str">
        <f t="shared" si="172"/>
        <v>NA</v>
      </c>
      <c r="W124" s="155" t="str">
        <f t="shared" si="173"/>
        <v>NA</v>
      </c>
      <c r="X124" s="155" t="str">
        <f t="shared" si="174"/>
        <v>NA</v>
      </c>
      <c r="Y124" s="155" t="str">
        <f t="shared" si="175"/>
        <v>NA</v>
      </c>
      <c r="Z124" s="155" t="str">
        <f t="shared" si="176"/>
        <v>NA</v>
      </c>
      <c r="AA124" s="155" t="str">
        <f t="shared" si="177"/>
        <v>NA</v>
      </c>
      <c r="AB124" s="155" t="str">
        <f t="shared" si="178"/>
        <v>NA</v>
      </c>
      <c r="AC124" s="155" t="str">
        <f t="shared" si="179"/>
        <v>NA</v>
      </c>
      <c r="AD124" s="155" t="str">
        <f t="shared" si="180"/>
        <v>NA</v>
      </c>
      <c r="AE124" s="155" t="str">
        <f t="shared" si="181"/>
        <v>NA</v>
      </c>
      <c r="AF124" s="155" t="str">
        <f t="shared" si="182"/>
        <v>NA</v>
      </c>
      <c r="AG124" s="156" t="str">
        <f t="shared" si="183"/>
        <v>NA</v>
      </c>
      <c r="AH124" s="478" t="str">
        <f t="shared" si="184"/>
        <v>NA</v>
      </c>
      <c r="AI124" s="479" t="str">
        <f t="shared" si="185"/>
        <v>NA</v>
      </c>
      <c r="AJ124" s="480" t="str">
        <f t="shared" si="186"/>
        <v>NA</v>
      </c>
      <c r="AK124" s="480" t="str">
        <f t="shared" si="187"/>
        <v>NA</v>
      </c>
      <c r="AL124" s="480" t="str">
        <f t="shared" si="188"/>
        <v>NA</v>
      </c>
      <c r="AM124" s="480" t="str">
        <f t="shared" si="189"/>
        <v>NA</v>
      </c>
      <c r="AN124" s="480" t="str">
        <f t="shared" si="190"/>
        <v>NA</v>
      </c>
      <c r="AO124" s="480" t="str">
        <f t="shared" si="191"/>
        <v>NA</v>
      </c>
      <c r="AP124" s="480" t="str">
        <f t="shared" si="192"/>
        <v>NA</v>
      </c>
      <c r="AQ124" s="480" t="str">
        <f t="shared" si="193"/>
        <v>NA</v>
      </c>
      <c r="AR124" s="481" t="str">
        <f t="shared" si="194"/>
        <v>NA</v>
      </c>
      <c r="AS124" s="481" t="str">
        <f t="shared" si="195"/>
        <v>NA</v>
      </c>
      <c r="AT124" s="481" t="str">
        <f t="shared" si="196"/>
        <v>NA</v>
      </c>
      <c r="AU124" s="481" t="str">
        <f t="shared" si="197"/>
        <v>NA</v>
      </c>
      <c r="AV124" s="482" t="str">
        <f t="shared" si="198"/>
        <v>NA</v>
      </c>
    </row>
    <row r="125" spans="1:48" ht="15" customHeight="1" x14ac:dyDescent="0.25">
      <c r="B125" s="166">
        <v>104</v>
      </c>
      <c r="C125" s="169" t="str">
        <f>_xlfn.XLOOKUP(B125, LgProvEntOrgIDs[Advanced Network/Insurer Carrier Org ID], LgProvEntOrgIDs[Advanced Network/Insurance Carrier Overall])</f>
        <v>Integrated Care Partners</v>
      </c>
      <c r="D125" s="507">
        <f t="shared" si="154"/>
        <v>0</v>
      </c>
      <c r="E125" s="155" t="str">
        <f t="shared" si="155"/>
        <v>NA</v>
      </c>
      <c r="F125" s="155" t="str">
        <f t="shared" si="156"/>
        <v>NA</v>
      </c>
      <c r="G125" s="155" t="str">
        <f t="shared" si="157"/>
        <v>NA</v>
      </c>
      <c r="H125" s="155" t="str">
        <f t="shared" si="158"/>
        <v>NA</v>
      </c>
      <c r="I125" s="155" t="str">
        <f t="shared" si="159"/>
        <v>NA</v>
      </c>
      <c r="J125" s="155" t="str">
        <f t="shared" si="160"/>
        <v>NA</v>
      </c>
      <c r="K125" s="155" t="str">
        <f t="shared" si="161"/>
        <v>NA</v>
      </c>
      <c r="L125" s="155" t="str">
        <f t="shared" si="162"/>
        <v>NA</v>
      </c>
      <c r="M125" s="155" t="str">
        <f t="shared" si="163"/>
        <v>NA</v>
      </c>
      <c r="N125" s="155" t="str">
        <f t="shared" si="164"/>
        <v>NA</v>
      </c>
      <c r="O125" s="155" t="str">
        <f t="shared" si="165"/>
        <v>NA</v>
      </c>
      <c r="P125" s="155" t="str">
        <f t="shared" si="166"/>
        <v>NA</v>
      </c>
      <c r="Q125" s="155" t="str">
        <f t="shared" si="167"/>
        <v>NA</v>
      </c>
      <c r="R125" s="165" t="str">
        <f t="shared" si="168"/>
        <v>NA</v>
      </c>
      <c r="S125" s="507">
        <f t="shared" si="169"/>
        <v>0</v>
      </c>
      <c r="T125" s="155" t="str">
        <f t="shared" si="170"/>
        <v>NA</v>
      </c>
      <c r="U125" s="155" t="str">
        <f t="shared" si="171"/>
        <v>NA</v>
      </c>
      <c r="V125" s="155" t="str">
        <f t="shared" si="172"/>
        <v>NA</v>
      </c>
      <c r="W125" s="155" t="str">
        <f t="shared" si="173"/>
        <v>NA</v>
      </c>
      <c r="X125" s="155" t="str">
        <f t="shared" si="174"/>
        <v>NA</v>
      </c>
      <c r="Y125" s="155" t="str">
        <f t="shared" si="175"/>
        <v>NA</v>
      </c>
      <c r="Z125" s="155" t="str">
        <f t="shared" si="176"/>
        <v>NA</v>
      </c>
      <c r="AA125" s="155" t="str">
        <f t="shared" si="177"/>
        <v>NA</v>
      </c>
      <c r="AB125" s="155" t="str">
        <f t="shared" si="178"/>
        <v>NA</v>
      </c>
      <c r="AC125" s="155" t="str">
        <f t="shared" si="179"/>
        <v>NA</v>
      </c>
      <c r="AD125" s="155" t="str">
        <f t="shared" si="180"/>
        <v>NA</v>
      </c>
      <c r="AE125" s="155" t="str">
        <f t="shared" si="181"/>
        <v>NA</v>
      </c>
      <c r="AF125" s="155" t="str">
        <f t="shared" si="182"/>
        <v>NA</v>
      </c>
      <c r="AG125" s="156" t="str">
        <f t="shared" si="183"/>
        <v>NA</v>
      </c>
      <c r="AH125" s="478" t="str">
        <f t="shared" si="184"/>
        <v>NA</v>
      </c>
      <c r="AI125" s="479" t="str">
        <f t="shared" si="185"/>
        <v>NA</v>
      </c>
      <c r="AJ125" s="480" t="str">
        <f t="shared" si="186"/>
        <v>NA</v>
      </c>
      <c r="AK125" s="480" t="str">
        <f t="shared" si="187"/>
        <v>NA</v>
      </c>
      <c r="AL125" s="480" t="str">
        <f t="shared" si="188"/>
        <v>NA</v>
      </c>
      <c r="AM125" s="480" t="str">
        <f t="shared" si="189"/>
        <v>NA</v>
      </c>
      <c r="AN125" s="480" t="str">
        <f t="shared" si="190"/>
        <v>NA</v>
      </c>
      <c r="AO125" s="480" t="str">
        <f t="shared" si="191"/>
        <v>NA</v>
      </c>
      <c r="AP125" s="480" t="str">
        <f t="shared" si="192"/>
        <v>NA</v>
      </c>
      <c r="AQ125" s="480" t="str">
        <f t="shared" si="193"/>
        <v>NA</v>
      </c>
      <c r="AR125" s="481" t="str">
        <f t="shared" si="194"/>
        <v>NA</v>
      </c>
      <c r="AS125" s="481" t="str">
        <f t="shared" si="195"/>
        <v>NA</v>
      </c>
      <c r="AT125" s="481" t="str">
        <f t="shared" si="196"/>
        <v>NA</v>
      </c>
      <c r="AU125" s="481" t="str">
        <f t="shared" si="197"/>
        <v>NA</v>
      </c>
      <c r="AV125" s="482" t="str">
        <f t="shared" si="198"/>
        <v>NA</v>
      </c>
    </row>
    <row r="126" spans="1:48" ht="15" customHeight="1" x14ac:dyDescent="0.25">
      <c r="B126" s="166">
        <v>105</v>
      </c>
      <c r="C126" s="169" t="str">
        <f>_xlfn.XLOOKUP(B126, LgProvEntOrgIDs[Advanced Network/Insurer Carrier Org ID], LgProvEntOrgIDs[Advanced Network/Insurance Carrier Overall])</f>
        <v>NA</v>
      </c>
      <c r="D126" s="507">
        <f t="shared" si="154"/>
        <v>0</v>
      </c>
      <c r="E126" s="155" t="str">
        <f t="shared" si="155"/>
        <v>NA</v>
      </c>
      <c r="F126" s="155" t="str">
        <f t="shared" si="156"/>
        <v>NA</v>
      </c>
      <c r="G126" s="155" t="str">
        <f t="shared" si="157"/>
        <v>NA</v>
      </c>
      <c r="H126" s="155" t="str">
        <f t="shared" si="158"/>
        <v>NA</v>
      </c>
      <c r="I126" s="155" t="str">
        <f t="shared" si="159"/>
        <v>NA</v>
      </c>
      <c r="J126" s="155" t="str">
        <f t="shared" si="160"/>
        <v>NA</v>
      </c>
      <c r="K126" s="155" t="str">
        <f t="shared" si="161"/>
        <v>NA</v>
      </c>
      <c r="L126" s="155" t="str">
        <f t="shared" si="162"/>
        <v>NA</v>
      </c>
      <c r="M126" s="155" t="str">
        <f t="shared" si="163"/>
        <v>NA</v>
      </c>
      <c r="N126" s="155" t="str">
        <f t="shared" si="164"/>
        <v>NA</v>
      </c>
      <c r="O126" s="155" t="str">
        <f t="shared" si="165"/>
        <v>NA</v>
      </c>
      <c r="P126" s="155" t="str">
        <f t="shared" si="166"/>
        <v>NA</v>
      </c>
      <c r="Q126" s="155" t="str">
        <f t="shared" si="167"/>
        <v>NA</v>
      </c>
      <c r="R126" s="165" t="str">
        <f t="shared" si="168"/>
        <v>NA</v>
      </c>
      <c r="S126" s="507">
        <f t="shared" si="169"/>
        <v>0</v>
      </c>
      <c r="T126" s="155" t="str">
        <f t="shared" si="170"/>
        <v>NA</v>
      </c>
      <c r="U126" s="155" t="str">
        <f t="shared" si="171"/>
        <v>NA</v>
      </c>
      <c r="V126" s="155" t="str">
        <f t="shared" si="172"/>
        <v>NA</v>
      </c>
      <c r="W126" s="155" t="str">
        <f t="shared" si="173"/>
        <v>NA</v>
      </c>
      <c r="X126" s="155" t="str">
        <f t="shared" si="174"/>
        <v>NA</v>
      </c>
      <c r="Y126" s="155" t="str">
        <f t="shared" si="175"/>
        <v>NA</v>
      </c>
      <c r="Z126" s="155" t="str">
        <f t="shared" si="176"/>
        <v>NA</v>
      </c>
      <c r="AA126" s="155" t="str">
        <f t="shared" si="177"/>
        <v>NA</v>
      </c>
      <c r="AB126" s="155" t="str">
        <f t="shared" si="178"/>
        <v>NA</v>
      </c>
      <c r="AC126" s="155" t="str">
        <f t="shared" si="179"/>
        <v>NA</v>
      </c>
      <c r="AD126" s="155" t="str">
        <f t="shared" si="180"/>
        <v>NA</v>
      </c>
      <c r="AE126" s="155" t="str">
        <f t="shared" si="181"/>
        <v>NA</v>
      </c>
      <c r="AF126" s="155" t="str">
        <f t="shared" si="182"/>
        <v>NA</v>
      </c>
      <c r="AG126" s="156" t="str">
        <f t="shared" si="183"/>
        <v>NA</v>
      </c>
      <c r="AH126" s="478" t="str">
        <f t="shared" si="184"/>
        <v>NA</v>
      </c>
      <c r="AI126" s="479" t="str">
        <f t="shared" si="185"/>
        <v>NA</v>
      </c>
      <c r="AJ126" s="480" t="str">
        <f t="shared" si="186"/>
        <v>NA</v>
      </c>
      <c r="AK126" s="480" t="str">
        <f t="shared" si="187"/>
        <v>NA</v>
      </c>
      <c r="AL126" s="480" t="str">
        <f t="shared" si="188"/>
        <v>NA</v>
      </c>
      <c r="AM126" s="480" t="str">
        <f t="shared" si="189"/>
        <v>NA</v>
      </c>
      <c r="AN126" s="480" t="str">
        <f t="shared" si="190"/>
        <v>NA</v>
      </c>
      <c r="AO126" s="480" t="str">
        <f t="shared" si="191"/>
        <v>NA</v>
      </c>
      <c r="AP126" s="480" t="str">
        <f t="shared" si="192"/>
        <v>NA</v>
      </c>
      <c r="AQ126" s="480" t="str">
        <f t="shared" si="193"/>
        <v>NA</v>
      </c>
      <c r="AR126" s="481" t="str">
        <f t="shared" si="194"/>
        <v>NA</v>
      </c>
      <c r="AS126" s="481" t="str">
        <f t="shared" si="195"/>
        <v>NA</v>
      </c>
      <c r="AT126" s="481" t="str">
        <f t="shared" si="196"/>
        <v>NA</v>
      </c>
      <c r="AU126" s="481" t="str">
        <f t="shared" si="197"/>
        <v>NA</v>
      </c>
      <c r="AV126" s="482" t="str">
        <f t="shared" si="198"/>
        <v>NA</v>
      </c>
    </row>
    <row r="127" spans="1:48" ht="15" customHeight="1" x14ac:dyDescent="0.25">
      <c r="B127" s="166">
        <v>106</v>
      </c>
      <c r="C127" s="169" t="str">
        <f>_xlfn.XLOOKUP(B127, LgProvEntOrgIDs[Advanced Network/Insurer Carrier Org ID], LgProvEntOrgIDs[Advanced Network/Insurance Carrier Overall])</f>
        <v>Northeast Medical Group</v>
      </c>
      <c r="D127" s="507">
        <f t="shared" si="154"/>
        <v>0</v>
      </c>
      <c r="E127" s="155" t="str">
        <f t="shared" si="155"/>
        <v>NA</v>
      </c>
      <c r="F127" s="155" t="str">
        <f t="shared" si="156"/>
        <v>NA</v>
      </c>
      <c r="G127" s="155" t="str">
        <f t="shared" si="157"/>
        <v>NA</v>
      </c>
      <c r="H127" s="155" t="str">
        <f t="shared" si="158"/>
        <v>NA</v>
      </c>
      <c r="I127" s="155" t="str">
        <f t="shared" si="159"/>
        <v>NA</v>
      </c>
      <c r="J127" s="155" t="str">
        <f t="shared" si="160"/>
        <v>NA</v>
      </c>
      <c r="K127" s="155" t="str">
        <f t="shared" si="161"/>
        <v>NA</v>
      </c>
      <c r="L127" s="155" t="str">
        <f t="shared" si="162"/>
        <v>NA</v>
      </c>
      <c r="M127" s="155" t="str">
        <f t="shared" si="163"/>
        <v>NA</v>
      </c>
      <c r="N127" s="155" t="str">
        <f t="shared" si="164"/>
        <v>NA</v>
      </c>
      <c r="O127" s="155" t="str">
        <f t="shared" si="165"/>
        <v>NA</v>
      </c>
      <c r="P127" s="155" t="str">
        <f t="shared" si="166"/>
        <v>NA</v>
      </c>
      <c r="Q127" s="155" t="str">
        <f t="shared" si="167"/>
        <v>NA</v>
      </c>
      <c r="R127" s="165" t="str">
        <f t="shared" si="168"/>
        <v>NA</v>
      </c>
      <c r="S127" s="507">
        <f t="shared" si="169"/>
        <v>0</v>
      </c>
      <c r="T127" s="155" t="str">
        <f t="shared" si="170"/>
        <v>NA</v>
      </c>
      <c r="U127" s="155" t="str">
        <f t="shared" si="171"/>
        <v>NA</v>
      </c>
      <c r="V127" s="155" t="str">
        <f t="shared" si="172"/>
        <v>NA</v>
      </c>
      <c r="W127" s="155" t="str">
        <f t="shared" si="173"/>
        <v>NA</v>
      </c>
      <c r="X127" s="155" t="str">
        <f t="shared" si="174"/>
        <v>NA</v>
      </c>
      <c r="Y127" s="155" t="str">
        <f t="shared" si="175"/>
        <v>NA</v>
      </c>
      <c r="Z127" s="155" t="str">
        <f t="shared" si="176"/>
        <v>NA</v>
      </c>
      <c r="AA127" s="155" t="str">
        <f t="shared" si="177"/>
        <v>NA</v>
      </c>
      <c r="AB127" s="155" t="str">
        <f t="shared" si="178"/>
        <v>NA</v>
      </c>
      <c r="AC127" s="155" t="str">
        <f t="shared" si="179"/>
        <v>NA</v>
      </c>
      <c r="AD127" s="155" t="str">
        <f t="shared" si="180"/>
        <v>NA</v>
      </c>
      <c r="AE127" s="155" t="str">
        <f t="shared" si="181"/>
        <v>NA</v>
      </c>
      <c r="AF127" s="155" t="str">
        <f t="shared" si="182"/>
        <v>NA</v>
      </c>
      <c r="AG127" s="156" t="str">
        <f t="shared" si="183"/>
        <v>NA</v>
      </c>
      <c r="AH127" s="478" t="str">
        <f t="shared" si="184"/>
        <v>NA</v>
      </c>
      <c r="AI127" s="479" t="str">
        <f t="shared" si="185"/>
        <v>NA</v>
      </c>
      <c r="AJ127" s="480" t="str">
        <f t="shared" si="186"/>
        <v>NA</v>
      </c>
      <c r="AK127" s="480" t="str">
        <f t="shared" si="187"/>
        <v>NA</v>
      </c>
      <c r="AL127" s="480" t="str">
        <f t="shared" si="188"/>
        <v>NA</v>
      </c>
      <c r="AM127" s="480" t="str">
        <f t="shared" si="189"/>
        <v>NA</v>
      </c>
      <c r="AN127" s="480" t="str">
        <f t="shared" si="190"/>
        <v>NA</v>
      </c>
      <c r="AO127" s="480" t="str">
        <f t="shared" si="191"/>
        <v>NA</v>
      </c>
      <c r="AP127" s="480" t="str">
        <f t="shared" si="192"/>
        <v>NA</v>
      </c>
      <c r="AQ127" s="480" t="str">
        <f t="shared" si="193"/>
        <v>NA</v>
      </c>
      <c r="AR127" s="481" t="str">
        <f t="shared" si="194"/>
        <v>NA</v>
      </c>
      <c r="AS127" s="481" t="str">
        <f t="shared" si="195"/>
        <v>NA</v>
      </c>
      <c r="AT127" s="481" t="str">
        <f t="shared" si="196"/>
        <v>NA</v>
      </c>
      <c r="AU127" s="481" t="str">
        <f t="shared" si="197"/>
        <v>NA</v>
      </c>
      <c r="AV127" s="482" t="str">
        <f t="shared" si="198"/>
        <v>NA</v>
      </c>
    </row>
    <row r="128" spans="1:48" ht="15" customHeight="1" x14ac:dyDescent="0.25">
      <c r="B128" s="166">
        <v>107</v>
      </c>
      <c r="C128" s="169" t="str">
        <f>_xlfn.XLOOKUP(B128, LgProvEntOrgIDs[Advanced Network/Insurer Carrier Org ID], LgProvEntOrgIDs[Advanced Network/Insurance Carrier Overall])</f>
        <v>OptumCare Network of Connecticut (including ProHealth)</v>
      </c>
      <c r="D128" s="507">
        <f t="shared" si="154"/>
        <v>0</v>
      </c>
      <c r="E128" s="155" t="str">
        <f t="shared" si="155"/>
        <v>NA</v>
      </c>
      <c r="F128" s="155" t="str">
        <f t="shared" si="156"/>
        <v>NA</v>
      </c>
      <c r="G128" s="155" t="str">
        <f t="shared" si="157"/>
        <v>NA</v>
      </c>
      <c r="H128" s="155" t="str">
        <f t="shared" si="158"/>
        <v>NA</v>
      </c>
      <c r="I128" s="155" t="str">
        <f t="shared" si="159"/>
        <v>NA</v>
      </c>
      <c r="J128" s="155" t="str">
        <f t="shared" si="160"/>
        <v>NA</v>
      </c>
      <c r="K128" s="155" t="str">
        <f t="shared" si="161"/>
        <v>NA</v>
      </c>
      <c r="L128" s="155" t="str">
        <f t="shared" si="162"/>
        <v>NA</v>
      </c>
      <c r="M128" s="155" t="str">
        <f t="shared" si="163"/>
        <v>NA</v>
      </c>
      <c r="N128" s="155" t="str">
        <f t="shared" si="164"/>
        <v>NA</v>
      </c>
      <c r="O128" s="155" t="str">
        <f t="shared" si="165"/>
        <v>NA</v>
      </c>
      <c r="P128" s="155" t="str">
        <f t="shared" si="166"/>
        <v>NA</v>
      </c>
      <c r="Q128" s="155" t="str">
        <f t="shared" si="167"/>
        <v>NA</v>
      </c>
      <c r="R128" s="165" t="str">
        <f t="shared" si="168"/>
        <v>NA</v>
      </c>
      <c r="S128" s="507">
        <f t="shared" si="169"/>
        <v>0</v>
      </c>
      <c r="T128" s="155" t="str">
        <f t="shared" si="170"/>
        <v>NA</v>
      </c>
      <c r="U128" s="155" t="str">
        <f t="shared" si="171"/>
        <v>NA</v>
      </c>
      <c r="V128" s="155" t="str">
        <f t="shared" si="172"/>
        <v>NA</v>
      </c>
      <c r="W128" s="155" t="str">
        <f t="shared" si="173"/>
        <v>NA</v>
      </c>
      <c r="X128" s="155" t="str">
        <f t="shared" si="174"/>
        <v>NA</v>
      </c>
      <c r="Y128" s="155" t="str">
        <f t="shared" si="175"/>
        <v>NA</v>
      </c>
      <c r="Z128" s="155" t="str">
        <f t="shared" si="176"/>
        <v>NA</v>
      </c>
      <c r="AA128" s="155" t="str">
        <f t="shared" si="177"/>
        <v>NA</v>
      </c>
      <c r="AB128" s="155" t="str">
        <f t="shared" si="178"/>
        <v>NA</v>
      </c>
      <c r="AC128" s="155" t="str">
        <f t="shared" si="179"/>
        <v>NA</v>
      </c>
      <c r="AD128" s="155" t="str">
        <f t="shared" si="180"/>
        <v>NA</v>
      </c>
      <c r="AE128" s="155" t="str">
        <f t="shared" si="181"/>
        <v>NA</v>
      </c>
      <c r="AF128" s="155" t="str">
        <f t="shared" si="182"/>
        <v>NA</v>
      </c>
      <c r="AG128" s="156" t="str">
        <f t="shared" si="183"/>
        <v>NA</v>
      </c>
      <c r="AH128" s="478" t="str">
        <f t="shared" si="184"/>
        <v>NA</v>
      </c>
      <c r="AI128" s="479" t="str">
        <f t="shared" si="185"/>
        <v>NA</v>
      </c>
      <c r="AJ128" s="480" t="str">
        <f t="shared" si="186"/>
        <v>NA</v>
      </c>
      <c r="AK128" s="480" t="str">
        <f t="shared" si="187"/>
        <v>NA</v>
      </c>
      <c r="AL128" s="480" t="str">
        <f t="shared" si="188"/>
        <v>NA</v>
      </c>
      <c r="AM128" s="480" t="str">
        <f t="shared" si="189"/>
        <v>NA</v>
      </c>
      <c r="AN128" s="480" t="str">
        <f t="shared" si="190"/>
        <v>NA</v>
      </c>
      <c r="AO128" s="480" t="str">
        <f t="shared" si="191"/>
        <v>NA</v>
      </c>
      <c r="AP128" s="480" t="str">
        <f t="shared" si="192"/>
        <v>NA</v>
      </c>
      <c r="AQ128" s="480" t="str">
        <f t="shared" si="193"/>
        <v>NA</v>
      </c>
      <c r="AR128" s="481" t="str">
        <f t="shared" si="194"/>
        <v>NA</v>
      </c>
      <c r="AS128" s="481" t="str">
        <f t="shared" si="195"/>
        <v>NA</v>
      </c>
      <c r="AT128" s="481" t="str">
        <f t="shared" si="196"/>
        <v>NA</v>
      </c>
      <c r="AU128" s="481" t="str">
        <f t="shared" si="197"/>
        <v>NA</v>
      </c>
      <c r="AV128" s="482" t="str">
        <f t="shared" si="198"/>
        <v>NA</v>
      </c>
    </row>
    <row r="129" spans="2:48" ht="45" customHeight="1" x14ac:dyDescent="0.25">
      <c r="B129" s="166">
        <v>108</v>
      </c>
      <c r="C129" s="169" t="str">
        <f>_xlfn.XLOOKUP(B129, LgProvEntOrgIDs[Advanced Network/Insurer Carrier Org ID], LgProvEntOrgIDs[Advanced Network/Insurance Carrier Overall])</f>
        <v>Prospect Connecticut Medical Foundation Inc. (dba Prospect Medical, Prospect Health Services, Prospect Holdings)</v>
      </c>
      <c r="D129" s="507">
        <f t="shared" si="154"/>
        <v>0</v>
      </c>
      <c r="E129" s="155" t="str">
        <f t="shared" si="155"/>
        <v>NA</v>
      </c>
      <c r="F129" s="155" t="str">
        <f t="shared" si="156"/>
        <v>NA</v>
      </c>
      <c r="G129" s="155" t="str">
        <f t="shared" si="157"/>
        <v>NA</v>
      </c>
      <c r="H129" s="155" t="str">
        <f t="shared" si="158"/>
        <v>NA</v>
      </c>
      <c r="I129" s="155" t="str">
        <f t="shared" si="159"/>
        <v>NA</v>
      </c>
      <c r="J129" s="155" t="str">
        <f t="shared" si="160"/>
        <v>NA</v>
      </c>
      <c r="K129" s="155" t="str">
        <f t="shared" si="161"/>
        <v>NA</v>
      </c>
      <c r="L129" s="155" t="str">
        <f t="shared" si="162"/>
        <v>NA</v>
      </c>
      <c r="M129" s="155" t="str">
        <f t="shared" si="163"/>
        <v>NA</v>
      </c>
      <c r="N129" s="155" t="str">
        <f t="shared" si="164"/>
        <v>NA</v>
      </c>
      <c r="O129" s="155" t="str">
        <f t="shared" si="165"/>
        <v>NA</v>
      </c>
      <c r="P129" s="155" t="str">
        <f t="shared" si="166"/>
        <v>NA</v>
      </c>
      <c r="Q129" s="155" t="str">
        <f t="shared" si="167"/>
        <v>NA</v>
      </c>
      <c r="R129" s="165" t="str">
        <f t="shared" si="168"/>
        <v>NA</v>
      </c>
      <c r="S129" s="507">
        <f t="shared" si="169"/>
        <v>0</v>
      </c>
      <c r="T129" s="155" t="str">
        <f t="shared" si="170"/>
        <v>NA</v>
      </c>
      <c r="U129" s="155" t="str">
        <f t="shared" si="171"/>
        <v>NA</v>
      </c>
      <c r="V129" s="155" t="str">
        <f t="shared" si="172"/>
        <v>NA</v>
      </c>
      <c r="W129" s="155" t="str">
        <f t="shared" si="173"/>
        <v>NA</v>
      </c>
      <c r="X129" s="155" t="str">
        <f t="shared" si="174"/>
        <v>NA</v>
      </c>
      <c r="Y129" s="155" t="str">
        <f t="shared" si="175"/>
        <v>NA</v>
      </c>
      <c r="Z129" s="155" t="str">
        <f t="shared" si="176"/>
        <v>NA</v>
      </c>
      <c r="AA129" s="155" t="str">
        <f t="shared" si="177"/>
        <v>NA</v>
      </c>
      <c r="AB129" s="155" t="str">
        <f t="shared" si="178"/>
        <v>NA</v>
      </c>
      <c r="AC129" s="155" t="str">
        <f t="shared" si="179"/>
        <v>NA</v>
      </c>
      <c r="AD129" s="155" t="str">
        <f t="shared" si="180"/>
        <v>NA</v>
      </c>
      <c r="AE129" s="155" t="str">
        <f t="shared" si="181"/>
        <v>NA</v>
      </c>
      <c r="AF129" s="155" t="str">
        <f t="shared" si="182"/>
        <v>NA</v>
      </c>
      <c r="AG129" s="156" t="str">
        <f t="shared" si="183"/>
        <v>NA</v>
      </c>
      <c r="AH129" s="478" t="str">
        <f t="shared" si="184"/>
        <v>NA</v>
      </c>
      <c r="AI129" s="479" t="str">
        <f t="shared" si="185"/>
        <v>NA</v>
      </c>
      <c r="AJ129" s="480" t="str">
        <f t="shared" si="186"/>
        <v>NA</v>
      </c>
      <c r="AK129" s="480" t="str">
        <f t="shared" si="187"/>
        <v>NA</v>
      </c>
      <c r="AL129" s="480" t="str">
        <f t="shared" si="188"/>
        <v>NA</v>
      </c>
      <c r="AM129" s="480" t="str">
        <f t="shared" si="189"/>
        <v>NA</v>
      </c>
      <c r="AN129" s="480" t="str">
        <f t="shared" si="190"/>
        <v>NA</v>
      </c>
      <c r="AO129" s="480" t="str">
        <f t="shared" si="191"/>
        <v>NA</v>
      </c>
      <c r="AP129" s="480" t="str">
        <f t="shared" si="192"/>
        <v>NA</v>
      </c>
      <c r="AQ129" s="480" t="str">
        <f t="shared" si="193"/>
        <v>NA</v>
      </c>
      <c r="AR129" s="481" t="str">
        <f t="shared" si="194"/>
        <v>NA</v>
      </c>
      <c r="AS129" s="481" t="str">
        <f t="shared" si="195"/>
        <v>NA</v>
      </c>
      <c r="AT129" s="481" t="str">
        <f t="shared" si="196"/>
        <v>NA</v>
      </c>
      <c r="AU129" s="481" t="str">
        <f t="shared" si="197"/>
        <v>NA</v>
      </c>
      <c r="AV129" s="482" t="str">
        <f t="shared" si="198"/>
        <v>NA</v>
      </c>
    </row>
    <row r="130" spans="2:48" ht="45" customHeight="1" x14ac:dyDescent="0.25">
      <c r="B130" s="166">
        <v>109</v>
      </c>
      <c r="C130" s="169" t="str">
        <f>_xlfn.XLOOKUP(B130, LgProvEntOrgIDs[Advanced Network/Insurer Carrier Org ID], LgProvEntOrgIDs[Advanced Network/Insurance Carrier Overall])</f>
        <v>Southern New England Health Care Organization (aka SOHO Health, Trinity Health of New England ACO, LLC)</v>
      </c>
      <c r="D130" s="507">
        <f t="shared" si="154"/>
        <v>0</v>
      </c>
      <c r="E130" s="155" t="str">
        <f t="shared" si="155"/>
        <v>NA</v>
      </c>
      <c r="F130" s="155" t="str">
        <f t="shared" si="156"/>
        <v>NA</v>
      </c>
      <c r="G130" s="155" t="str">
        <f t="shared" si="157"/>
        <v>NA</v>
      </c>
      <c r="H130" s="155" t="str">
        <f t="shared" si="158"/>
        <v>NA</v>
      </c>
      <c r="I130" s="155" t="str">
        <f t="shared" si="159"/>
        <v>NA</v>
      </c>
      <c r="J130" s="155" t="str">
        <f t="shared" si="160"/>
        <v>NA</v>
      </c>
      <c r="K130" s="155" t="str">
        <f t="shared" si="161"/>
        <v>NA</v>
      </c>
      <c r="L130" s="155" t="str">
        <f t="shared" si="162"/>
        <v>NA</v>
      </c>
      <c r="M130" s="155" t="str">
        <f t="shared" si="163"/>
        <v>NA</v>
      </c>
      <c r="N130" s="155" t="str">
        <f t="shared" si="164"/>
        <v>NA</v>
      </c>
      <c r="O130" s="155" t="str">
        <f t="shared" si="165"/>
        <v>NA</v>
      </c>
      <c r="P130" s="155" t="str">
        <f t="shared" si="166"/>
        <v>NA</v>
      </c>
      <c r="Q130" s="155" t="str">
        <f t="shared" si="167"/>
        <v>NA</v>
      </c>
      <c r="R130" s="165" t="str">
        <f t="shared" si="168"/>
        <v>NA</v>
      </c>
      <c r="S130" s="507">
        <f t="shared" si="169"/>
        <v>0</v>
      </c>
      <c r="T130" s="155" t="str">
        <f t="shared" si="170"/>
        <v>NA</v>
      </c>
      <c r="U130" s="155" t="str">
        <f t="shared" si="171"/>
        <v>NA</v>
      </c>
      <c r="V130" s="155" t="str">
        <f t="shared" si="172"/>
        <v>NA</v>
      </c>
      <c r="W130" s="155" t="str">
        <f t="shared" si="173"/>
        <v>NA</v>
      </c>
      <c r="X130" s="155" t="str">
        <f t="shared" si="174"/>
        <v>NA</v>
      </c>
      <c r="Y130" s="155" t="str">
        <f t="shared" si="175"/>
        <v>NA</v>
      </c>
      <c r="Z130" s="155" t="str">
        <f t="shared" si="176"/>
        <v>NA</v>
      </c>
      <c r="AA130" s="155" t="str">
        <f t="shared" si="177"/>
        <v>NA</v>
      </c>
      <c r="AB130" s="155" t="str">
        <f t="shared" si="178"/>
        <v>NA</v>
      </c>
      <c r="AC130" s="155" t="str">
        <f t="shared" si="179"/>
        <v>NA</v>
      </c>
      <c r="AD130" s="155" t="str">
        <f t="shared" si="180"/>
        <v>NA</v>
      </c>
      <c r="AE130" s="155" t="str">
        <f t="shared" si="181"/>
        <v>NA</v>
      </c>
      <c r="AF130" s="155" t="str">
        <f t="shared" si="182"/>
        <v>NA</v>
      </c>
      <c r="AG130" s="156" t="str">
        <f t="shared" si="183"/>
        <v>NA</v>
      </c>
      <c r="AH130" s="478" t="str">
        <f t="shared" si="184"/>
        <v>NA</v>
      </c>
      <c r="AI130" s="479" t="str">
        <f t="shared" si="185"/>
        <v>NA</v>
      </c>
      <c r="AJ130" s="480" t="str">
        <f t="shared" si="186"/>
        <v>NA</v>
      </c>
      <c r="AK130" s="480" t="str">
        <f t="shared" si="187"/>
        <v>NA</v>
      </c>
      <c r="AL130" s="480" t="str">
        <f t="shared" si="188"/>
        <v>NA</v>
      </c>
      <c r="AM130" s="480" t="str">
        <f t="shared" si="189"/>
        <v>NA</v>
      </c>
      <c r="AN130" s="480" t="str">
        <f t="shared" si="190"/>
        <v>NA</v>
      </c>
      <c r="AO130" s="480" t="str">
        <f t="shared" si="191"/>
        <v>NA</v>
      </c>
      <c r="AP130" s="480" t="str">
        <f t="shared" si="192"/>
        <v>NA</v>
      </c>
      <c r="AQ130" s="480" t="str">
        <f t="shared" si="193"/>
        <v>NA</v>
      </c>
      <c r="AR130" s="481" t="str">
        <f t="shared" si="194"/>
        <v>NA</v>
      </c>
      <c r="AS130" s="481" t="str">
        <f t="shared" si="195"/>
        <v>NA</v>
      </c>
      <c r="AT130" s="481" t="str">
        <f t="shared" si="196"/>
        <v>NA</v>
      </c>
      <c r="AU130" s="481" t="str">
        <f t="shared" si="197"/>
        <v>NA</v>
      </c>
      <c r="AV130" s="482" t="str">
        <f t="shared" si="198"/>
        <v>NA</v>
      </c>
    </row>
    <row r="131" spans="2:48" ht="15" customHeight="1" x14ac:dyDescent="0.25">
      <c r="B131" s="166">
        <v>110</v>
      </c>
      <c r="C131" s="169" t="str">
        <f>_xlfn.XLOOKUP(B131, LgProvEntOrgIDs[Advanced Network/Insurer Carrier Org ID], LgProvEntOrgIDs[Advanced Network/Insurance Carrier Overall])</f>
        <v>Value Care Alliance</v>
      </c>
      <c r="D131" s="507">
        <f t="shared" si="154"/>
        <v>0</v>
      </c>
      <c r="E131" s="155" t="str">
        <f t="shared" si="155"/>
        <v>NA</v>
      </c>
      <c r="F131" s="155" t="str">
        <f t="shared" si="156"/>
        <v>NA</v>
      </c>
      <c r="G131" s="155" t="str">
        <f t="shared" si="157"/>
        <v>NA</v>
      </c>
      <c r="H131" s="155" t="str">
        <f t="shared" si="158"/>
        <v>NA</v>
      </c>
      <c r="I131" s="155" t="str">
        <f t="shared" si="159"/>
        <v>NA</v>
      </c>
      <c r="J131" s="155" t="str">
        <f t="shared" si="160"/>
        <v>NA</v>
      </c>
      <c r="K131" s="155" t="str">
        <f t="shared" si="161"/>
        <v>NA</v>
      </c>
      <c r="L131" s="155" t="str">
        <f t="shared" si="162"/>
        <v>NA</v>
      </c>
      <c r="M131" s="155" t="str">
        <f t="shared" si="163"/>
        <v>NA</v>
      </c>
      <c r="N131" s="155" t="str">
        <f t="shared" si="164"/>
        <v>NA</v>
      </c>
      <c r="O131" s="155" t="str">
        <f t="shared" si="165"/>
        <v>NA</v>
      </c>
      <c r="P131" s="155" t="str">
        <f t="shared" si="166"/>
        <v>NA</v>
      </c>
      <c r="Q131" s="155" t="str">
        <f t="shared" si="167"/>
        <v>NA</v>
      </c>
      <c r="R131" s="165" t="str">
        <f t="shared" si="168"/>
        <v>NA</v>
      </c>
      <c r="S131" s="507">
        <f t="shared" si="169"/>
        <v>0</v>
      </c>
      <c r="T131" s="155" t="str">
        <f t="shared" si="170"/>
        <v>NA</v>
      </c>
      <c r="U131" s="155" t="str">
        <f t="shared" si="171"/>
        <v>NA</v>
      </c>
      <c r="V131" s="155" t="str">
        <f t="shared" si="172"/>
        <v>NA</v>
      </c>
      <c r="W131" s="155" t="str">
        <f t="shared" si="173"/>
        <v>NA</v>
      </c>
      <c r="X131" s="155" t="str">
        <f t="shared" si="174"/>
        <v>NA</v>
      </c>
      <c r="Y131" s="155" t="str">
        <f t="shared" si="175"/>
        <v>NA</v>
      </c>
      <c r="Z131" s="155" t="str">
        <f t="shared" si="176"/>
        <v>NA</v>
      </c>
      <c r="AA131" s="155" t="str">
        <f t="shared" si="177"/>
        <v>NA</v>
      </c>
      <c r="AB131" s="155" t="str">
        <f t="shared" si="178"/>
        <v>NA</v>
      </c>
      <c r="AC131" s="155" t="str">
        <f t="shared" si="179"/>
        <v>NA</v>
      </c>
      <c r="AD131" s="155" t="str">
        <f t="shared" si="180"/>
        <v>NA</v>
      </c>
      <c r="AE131" s="155" t="str">
        <f t="shared" si="181"/>
        <v>NA</v>
      </c>
      <c r="AF131" s="155" t="str">
        <f t="shared" si="182"/>
        <v>NA</v>
      </c>
      <c r="AG131" s="156" t="str">
        <f t="shared" si="183"/>
        <v>NA</v>
      </c>
      <c r="AH131" s="478" t="str">
        <f t="shared" si="184"/>
        <v>NA</v>
      </c>
      <c r="AI131" s="479" t="str">
        <f t="shared" si="185"/>
        <v>NA</v>
      </c>
      <c r="AJ131" s="480" t="str">
        <f t="shared" si="186"/>
        <v>NA</v>
      </c>
      <c r="AK131" s="480" t="str">
        <f t="shared" si="187"/>
        <v>NA</v>
      </c>
      <c r="AL131" s="480" t="str">
        <f t="shared" si="188"/>
        <v>NA</v>
      </c>
      <c r="AM131" s="480" t="str">
        <f t="shared" si="189"/>
        <v>NA</v>
      </c>
      <c r="AN131" s="480" t="str">
        <f t="shared" si="190"/>
        <v>NA</v>
      </c>
      <c r="AO131" s="480" t="str">
        <f t="shared" si="191"/>
        <v>NA</v>
      </c>
      <c r="AP131" s="480" t="str">
        <f t="shared" si="192"/>
        <v>NA</v>
      </c>
      <c r="AQ131" s="480" t="str">
        <f t="shared" si="193"/>
        <v>NA</v>
      </c>
      <c r="AR131" s="481" t="str">
        <f t="shared" si="194"/>
        <v>NA</v>
      </c>
      <c r="AS131" s="481" t="str">
        <f t="shared" si="195"/>
        <v>NA</v>
      </c>
      <c r="AT131" s="481" t="str">
        <f t="shared" si="196"/>
        <v>NA</v>
      </c>
      <c r="AU131" s="481" t="str">
        <f t="shared" si="197"/>
        <v>NA</v>
      </c>
      <c r="AV131" s="482" t="str">
        <f t="shared" si="198"/>
        <v>NA</v>
      </c>
    </row>
    <row r="132" spans="2:48" ht="15" customHeight="1" x14ac:dyDescent="0.25">
      <c r="B132" s="166">
        <v>111</v>
      </c>
      <c r="C132" s="169" t="str">
        <f>_xlfn.XLOOKUP(B132, LgProvEntOrgIDs[Advanced Network/Insurer Carrier Org ID], LgProvEntOrgIDs[Advanced Network/Insurance Carrier Overall])</f>
        <v>NA</v>
      </c>
      <c r="D132" s="507">
        <f t="shared" si="154"/>
        <v>0</v>
      </c>
      <c r="E132" s="155" t="str">
        <f t="shared" si="155"/>
        <v>NA</v>
      </c>
      <c r="F132" s="155" t="str">
        <f t="shared" si="156"/>
        <v>NA</v>
      </c>
      <c r="G132" s="155" t="str">
        <f t="shared" si="157"/>
        <v>NA</v>
      </c>
      <c r="H132" s="155" t="str">
        <f t="shared" si="158"/>
        <v>NA</v>
      </c>
      <c r="I132" s="155" t="str">
        <f t="shared" si="159"/>
        <v>NA</v>
      </c>
      <c r="J132" s="155" t="str">
        <f t="shared" si="160"/>
        <v>NA</v>
      </c>
      <c r="K132" s="155" t="str">
        <f t="shared" si="161"/>
        <v>NA</v>
      </c>
      <c r="L132" s="155" t="str">
        <f t="shared" si="162"/>
        <v>NA</v>
      </c>
      <c r="M132" s="155" t="str">
        <f t="shared" si="163"/>
        <v>NA</v>
      </c>
      <c r="N132" s="155" t="str">
        <f t="shared" si="164"/>
        <v>NA</v>
      </c>
      <c r="O132" s="155" t="str">
        <f t="shared" si="165"/>
        <v>NA</v>
      </c>
      <c r="P132" s="155" t="str">
        <f t="shared" si="166"/>
        <v>NA</v>
      </c>
      <c r="Q132" s="155" t="str">
        <f t="shared" si="167"/>
        <v>NA</v>
      </c>
      <c r="R132" s="165" t="str">
        <f t="shared" si="168"/>
        <v>NA</v>
      </c>
      <c r="S132" s="507">
        <f t="shared" si="169"/>
        <v>0</v>
      </c>
      <c r="T132" s="155" t="str">
        <f t="shared" si="170"/>
        <v>NA</v>
      </c>
      <c r="U132" s="155" t="str">
        <f t="shared" si="171"/>
        <v>NA</v>
      </c>
      <c r="V132" s="155" t="str">
        <f t="shared" si="172"/>
        <v>NA</v>
      </c>
      <c r="W132" s="155" t="str">
        <f t="shared" si="173"/>
        <v>NA</v>
      </c>
      <c r="X132" s="155" t="str">
        <f t="shared" si="174"/>
        <v>NA</v>
      </c>
      <c r="Y132" s="155" t="str">
        <f t="shared" si="175"/>
        <v>NA</v>
      </c>
      <c r="Z132" s="155" t="str">
        <f t="shared" si="176"/>
        <v>NA</v>
      </c>
      <c r="AA132" s="155" t="str">
        <f t="shared" si="177"/>
        <v>NA</v>
      </c>
      <c r="AB132" s="155" t="str">
        <f t="shared" si="178"/>
        <v>NA</v>
      </c>
      <c r="AC132" s="155" t="str">
        <f t="shared" si="179"/>
        <v>NA</v>
      </c>
      <c r="AD132" s="155" t="str">
        <f t="shared" si="180"/>
        <v>NA</v>
      </c>
      <c r="AE132" s="155" t="str">
        <f t="shared" si="181"/>
        <v>NA</v>
      </c>
      <c r="AF132" s="155" t="str">
        <f t="shared" si="182"/>
        <v>NA</v>
      </c>
      <c r="AG132" s="156" t="str">
        <f t="shared" si="183"/>
        <v>NA</v>
      </c>
      <c r="AH132" s="478" t="str">
        <f>IF(D132=0,"NA",S132/D132-1)</f>
        <v>NA</v>
      </c>
      <c r="AI132" s="479" t="str">
        <f>IF(D132=0,"NA",T132/E132-1)</f>
        <v>NA</v>
      </c>
      <c r="AJ132" s="480" t="str">
        <f>IF(D132=0,"NA",U132/F132-1)</f>
        <v>NA</v>
      </c>
      <c r="AK132" s="480" t="str">
        <f>IF(D132=0,"NA",V132/G132-1)</f>
        <v>NA</v>
      </c>
      <c r="AL132" s="480" t="str">
        <f>IF(D132=0,"NA",W132/H132-1)</f>
        <v>NA</v>
      </c>
      <c r="AM132" s="480" t="str">
        <f>IF(D132=0,"NA",X132/I132-1)</f>
        <v>NA</v>
      </c>
      <c r="AN132" s="480" t="str">
        <f>IF(D132=0,"NA",Y132/J132-1)</f>
        <v>NA</v>
      </c>
      <c r="AO132" s="480" t="str">
        <f>IF(D132=0,"NA",Z132/K132-1)</f>
        <v>NA</v>
      </c>
      <c r="AP132" s="480" t="str">
        <f>IF(D132=0,"NA",AA132/L132-1)</f>
        <v>NA</v>
      </c>
      <c r="AQ132" s="480" t="str">
        <f>IF(D132=0,"NA",AB132/M132-1)</f>
        <v>NA</v>
      </c>
      <c r="AR132" s="481" t="str">
        <f>IF(D132=0,"NA",AC132/N132-1)</f>
        <v>NA</v>
      </c>
      <c r="AS132" s="481" t="str">
        <f>IF(D132=0,"NA",AD132/O132-1)</f>
        <v>NA</v>
      </c>
      <c r="AT132" s="481" t="str">
        <f>IF(D132=0,"NA",AE132/P132-1)</f>
        <v>NA</v>
      </c>
      <c r="AU132" s="481" t="str">
        <f>IF(D132=0,"NA",AF132/Q132-1)</f>
        <v>NA</v>
      </c>
      <c r="AV132" s="482" t="str">
        <f>IF(D132=0,"NA",AG132/R132-1)</f>
        <v>NA</v>
      </c>
    </row>
    <row r="133" spans="2:48" ht="15" customHeight="1" x14ac:dyDescent="0.25">
      <c r="B133" s="166">
        <v>112</v>
      </c>
      <c r="C133" s="169" t="str">
        <f>_xlfn.XLOOKUP(B133, LgProvEntOrgIDs[Advanced Network/Insurer Carrier Org ID], LgProvEntOrgIDs[Advanced Network/Insurance Carrier Overall])</f>
        <v>Charter Oak Health Center</v>
      </c>
      <c r="D133" s="507">
        <f t="shared" ref="D133:D152" si="199">D171+D209</f>
        <v>0</v>
      </c>
      <c r="E133" s="155" t="str">
        <f t="shared" ref="E133:E152" si="200">IF(D133=0,"NA",(SUMPRODUCT(E171,D171)+SUMPRODUCT(E209,D209))/D133)</f>
        <v>NA</v>
      </c>
      <c r="F133" s="155" t="str">
        <f t="shared" ref="F133:F152" si="201">IF(D133=0,"NA",(SUMPRODUCT(F171,D171)+SUMPRODUCT(F209,D209))/D133)</f>
        <v>NA</v>
      </c>
      <c r="G133" s="155" t="str">
        <f t="shared" ref="G133:G151" si="202">IF(D133=0,"NA",(SUMPRODUCT(G171,D171)+SUMPRODUCT(G209,D209))/D133)</f>
        <v>NA</v>
      </c>
      <c r="H133" s="155" t="str">
        <f t="shared" ref="H133:H152" si="203">IF(D133=0,"NA",(SUMPRODUCT(H171,D171)+SUMPRODUCT(H209,D209))/D133)</f>
        <v>NA</v>
      </c>
      <c r="I133" s="155" t="str">
        <f t="shared" ref="I133:I152" si="204">IF(D133=0,"NA",(SUMPRODUCT(I171,D171)+SUMPRODUCT(I209,D209))/D133)</f>
        <v>NA</v>
      </c>
      <c r="J133" s="155" t="str">
        <f t="shared" ref="J133:J152" si="205">IF(D133=0,"NA",(SUMPRODUCT(J171,D171)+SUMPRODUCT(J209,D209))/D133)</f>
        <v>NA</v>
      </c>
      <c r="K133" s="155" t="str">
        <f t="shared" ref="K133:K152" si="206">IF(D133=0,"NA",(SUMPRODUCT(K171,D171)+SUMPRODUCT(K209,D209))/D133)</f>
        <v>NA</v>
      </c>
      <c r="L133" s="155" t="str">
        <f t="shared" ref="L133:L152" si="207">IF(D133=0,"NA",(SUMPRODUCT(L171,D171)+SUMPRODUCT(L209,D209))/D133)</f>
        <v>NA</v>
      </c>
      <c r="M133" s="155" t="str">
        <f t="shared" ref="M133:M152" si="208">IF(D133=0,"NA",(SUMPRODUCT(M171,D171)+SUMPRODUCT(M209,D209))/D133)</f>
        <v>NA</v>
      </c>
      <c r="N133" s="155" t="str">
        <f t="shared" ref="N133:N152" si="209">IF(D133=0,"NA",(SUMPRODUCT(N171,D171)+SUMPRODUCT(N209,D209))/D133)</f>
        <v>NA</v>
      </c>
      <c r="O133" s="155" t="str">
        <f t="shared" ref="O133:O152" si="210">IF(D133=0,"NA",(SUMPRODUCT(O171,D171)+SUMPRODUCT(O209,D209))/D133)</f>
        <v>NA</v>
      </c>
      <c r="P133" s="155" t="str">
        <f t="shared" ref="P133:P152" si="211">IF(D133=0,"NA",(SUMPRODUCT(P171,D171)+SUMPRODUCT(P209,D209))/D133)</f>
        <v>NA</v>
      </c>
      <c r="Q133" s="155" t="str">
        <f t="shared" ref="Q133:Q152" si="212">IF(D133=0,"NA",(SUMPRODUCT(Q171,D171)+SUMPRODUCT(Q209,D209))/D133)</f>
        <v>NA</v>
      </c>
      <c r="R133" s="165" t="str">
        <f t="shared" ref="R133:R152" si="213">IF(D133=0,"NA",(SUMPRODUCT(R171,D171)+SUMPRODUCT(R209,D209))/D133)</f>
        <v>NA</v>
      </c>
      <c r="S133" s="507">
        <f t="shared" ref="S133:S152" si="214">S171+S209</f>
        <v>0</v>
      </c>
      <c r="T133" s="155" t="str">
        <f t="shared" ref="T133:T152" si="215">IF(S133=0,"NA",(SUMPRODUCT(T171,S171)+SUMPRODUCT(T209,S209))/S133)</f>
        <v>NA</v>
      </c>
      <c r="U133" s="155" t="str">
        <f t="shared" ref="U133:U152" si="216">IF(S133=0,"NA",(SUMPRODUCT(U171,S171)+SUMPRODUCT(U209,S209))/S133)</f>
        <v>NA</v>
      </c>
      <c r="V133" s="155" t="str">
        <f t="shared" ref="V133:V152" si="217">IF(S133=0,"NA",(SUMPRODUCT(V171,S171)+SUMPRODUCT(V209,S209))/S133)</f>
        <v>NA</v>
      </c>
      <c r="W133" s="155" t="str">
        <f t="shared" ref="W133:W152" si="218">IF(S133=0,"NA",(SUMPRODUCT(W171,S171)+SUMPRODUCT(W209,S209))/S133)</f>
        <v>NA</v>
      </c>
      <c r="X133" s="155" t="str">
        <f t="shared" ref="X133:X152" si="219">IF(S133=0,"NA",(SUMPRODUCT(X171,S171)+SUMPRODUCT(X209,S209))/S133)</f>
        <v>NA</v>
      </c>
      <c r="Y133" s="155" t="str">
        <f t="shared" ref="Y133:Y152" si="220">IF(S133=0,"NA",(SUMPRODUCT(Y171,S171)+SUMPRODUCT(Y209,S209))/S133)</f>
        <v>NA</v>
      </c>
      <c r="Z133" s="155" t="str">
        <f t="shared" ref="Z133:Z152" si="221">IF(S133=0,"NA",(SUMPRODUCT(Z171,S171)+SUMPRODUCT(Z209,S209))/S133)</f>
        <v>NA</v>
      </c>
      <c r="AA133" s="155" t="str">
        <f t="shared" ref="AA133:AA152" si="222">IF(S133=0,"NA",(SUMPRODUCT(AA171,S171)+SUMPRODUCT(AA209,S209))/S133)</f>
        <v>NA</v>
      </c>
      <c r="AB133" s="155" t="str">
        <f t="shared" ref="AB133:AB152" si="223">IF(S133=0,"NA",(SUMPRODUCT(AB171,S171)+SUMPRODUCT(AB209,S209))/S133)</f>
        <v>NA</v>
      </c>
      <c r="AC133" s="155" t="str">
        <f t="shared" ref="AC133:AC152" si="224">IF(S133=0,"NA",(SUMPRODUCT(AC171,S171)+SUMPRODUCT(AC209,S209))/S133)</f>
        <v>NA</v>
      </c>
      <c r="AD133" s="155" t="str">
        <f t="shared" ref="AD133:AD152" si="225">IF(S133=0,"NA",(SUMPRODUCT(AD171,S171)+SUMPRODUCT(AD209,S209))/S133)</f>
        <v>NA</v>
      </c>
      <c r="AE133" s="155" t="str">
        <f t="shared" ref="AE133:AE152" si="226">IF(S133=0,"NA",(SUMPRODUCT(AE171,S171)+SUMPRODUCT(AE209,S209))/S133)</f>
        <v>NA</v>
      </c>
      <c r="AF133" s="155" t="str">
        <f t="shared" ref="AF133:AF152" si="227">IF(S133=0,"NA",(SUMPRODUCT(AF171,S171)+SUMPRODUCT(AF209,S209))/S133)</f>
        <v>NA</v>
      </c>
      <c r="AG133" s="156" t="str">
        <f t="shared" ref="AG133:AG152" si="228">IF(S133=0,"NA",(SUMPRODUCT(AG171,S171)+SUMPRODUCT(AG209,S209))/S133)</f>
        <v>NA</v>
      </c>
      <c r="AH133" s="478" t="str">
        <f t="shared" ref="AH133:AH152" si="229">IF(D133=0,"NA",S133/D133-1)</f>
        <v>NA</v>
      </c>
      <c r="AI133" s="479" t="str">
        <f t="shared" ref="AI133:AI152" si="230">IF(D133=0,"NA",T133/E133-1)</f>
        <v>NA</v>
      </c>
      <c r="AJ133" s="480" t="str">
        <f t="shared" ref="AJ133:AJ152" si="231">IF(D133=0,"NA",U133/F133-1)</f>
        <v>NA</v>
      </c>
      <c r="AK133" s="480" t="str">
        <f t="shared" ref="AK133:AK152" si="232">IF(D133=0,"NA",V133/G133-1)</f>
        <v>NA</v>
      </c>
      <c r="AL133" s="480" t="str">
        <f t="shared" ref="AL133:AL152" si="233">IF(D133=0,"NA",W133/H133-1)</f>
        <v>NA</v>
      </c>
      <c r="AM133" s="480" t="str">
        <f t="shared" ref="AM133:AM152" si="234">IF(D133=0,"NA",X133/I133-1)</f>
        <v>NA</v>
      </c>
      <c r="AN133" s="480" t="str">
        <f t="shared" ref="AN133:AN152" si="235">IF(D133=0,"NA",Y133/J133-1)</f>
        <v>NA</v>
      </c>
      <c r="AO133" s="480" t="str">
        <f t="shared" ref="AO133:AO152" si="236">IF(D133=0,"NA",Z133/K133-1)</f>
        <v>NA</v>
      </c>
      <c r="AP133" s="480" t="str">
        <f t="shared" ref="AP133:AP152" si="237">IF(D133=0,"NA",AA133/L133-1)</f>
        <v>NA</v>
      </c>
      <c r="AQ133" s="480" t="str">
        <f t="shared" ref="AQ133:AQ152" si="238">IF(D133=0,"NA",AB133/M133-1)</f>
        <v>NA</v>
      </c>
      <c r="AR133" s="481" t="str">
        <f t="shared" ref="AR133:AR152" si="239">IF(D133=0,"NA",AC133/N133-1)</f>
        <v>NA</v>
      </c>
      <c r="AS133" s="481" t="str">
        <f t="shared" ref="AS133:AS152" si="240">IF(D133=0,"NA",AD133/O133-1)</f>
        <v>NA</v>
      </c>
      <c r="AT133" s="481" t="str">
        <f t="shared" ref="AT133:AT152" si="241">IF(D133=0,"NA",AE133/P133-1)</f>
        <v>NA</v>
      </c>
      <c r="AU133" s="481" t="str">
        <f t="shared" ref="AU133:AU152" si="242">IF(D133=0,"NA",AF133/Q133-1)</f>
        <v>NA</v>
      </c>
      <c r="AV133" s="482" t="str">
        <f t="shared" ref="AV133:AV152" si="243">IF(D133=0,"NA",AG133/R133-1)</f>
        <v>NA</v>
      </c>
    </row>
    <row r="134" spans="2:48" ht="15" customHeight="1" x14ac:dyDescent="0.25">
      <c r="B134" s="166">
        <v>113</v>
      </c>
      <c r="C134" s="169" t="str">
        <f>_xlfn.XLOOKUP(B134, LgProvEntOrgIDs[Advanced Network/Insurer Carrier Org ID], LgProvEntOrgIDs[Advanced Network/Insurance Carrier Overall])</f>
        <v>CIFC Greater Danbury Community Health Center</v>
      </c>
      <c r="D134" s="507">
        <f t="shared" si="199"/>
        <v>0</v>
      </c>
      <c r="E134" s="155" t="str">
        <f t="shared" si="200"/>
        <v>NA</v>
      </c>
      <c r="F134" s="155" t="str">
        <f t="shared" si="201"/>
        <v>NA</v>
      </c>
      <c r="G134" s="155" t="str">
        <f t="shared" si="202"/>
        <v>NA</v>
      </c>
      <c r="H134" s="155" t="str">
        <f t="shared" si="203"/>
        <v>NA</v>
      </c>
      <c r="I134" s="155" t="str">
        <f t="shared" si="204"/>
        <v>NA</v>
      </c>
      <c r="J134" s="155" t="str">
        <f t="shared" si="205"/>
        <v>NA</v>
      </c>
      <c r="K134" s="155" t="str">
        <f t="shared" si="206"/>
        <v>NA</v>
      </c>
      <c r="L134" s="155" t="str">
        <f t="shared" si="207"/>
        <v>NA</v>
      </c>
      <c r="M134" s="155" t="str">
        <f t="shared" si="208"/>
        <v>NA</v>
      </c>
      <c r="N134" s="155" t="str">
        <f t="shared" si="209"/>
        <v>NA</v>
      </c>
      <c r="O134" s="155" t="str">
        <f t="shared" si="210"/>
        <v>NA</v>
      </c>
      <c r="P134" s="155" t="str">
        <f t="shared" si="211"/>
        <v>NA</v>
      </c>
      <c r="Q134" s="155" t="str">
        <f t="shared" si="212"/>
        <v>NA</v>
      </c>
      <c r="R134" s="165" t="str">
        <f t="shared" si="213"/>
        <v>NA</v>
      </c>
      <c r="S134" s="507">
        <f t="shared" si="214"/>
        <v>0</v>
      </c>
      <c r="T134" s="155" t="str">
        <f t="shared" si="215"/>
        <v>NA</v>
      </c>
      <c r="U134" s="155" t="str">
        <f t="shared" si="216"/>
        <v>NA</v>
      </c>
      <c r="V134" s="155" t="str">
        <f t="shared" si="217"/>
        <v>NA</v>
      </c>
      <c r="W134" s="155" t="str">
        <f t="shared" si="218"/>
        <v>NA</v>
      </c>
      <c r="X134" s="155" t="str">
        <f t="shared" si="219"/>
        <v>NA</v>
      </c>
      <c r="Y134" s="155" t="str">
        <f t="shared" si="220"/>
        <v>NA</v>
      </c>
      <c r="Z134" s="155" t="str">
        <f t="shared" si="221"/>
        <v>NA</v>
      </c>
      <c r="AA134" s="155" t="str">
        <f t="shared" si="222"/>
        <v>NA</v>
      </c>
      <c r="AB134" s="155" t="str">
        <f t="shared" si="223"/>
        <v>NA</v>
      </c>
      <c r="AC134" s="155" t="str">
        <f t="shared" si="224"/>
        <v>NA</v>
      </c>
      <c r="AD134" s="155" t="str">
        <f t="shared" si="225"/>
        <v>NA</v>
      </c>
      <c r="AE134" s="155" t="str">
        <f t="shared" si="226"/>
        <v>NA</v>
      </c>
      <c r="AF134" s="155" t="str">
        <f t="shared" si="227"/>
        <v>NA</v>
      </c>
      <c r="AG134" s="156" t="str">
        <f t="shared" si="228"/>
        <v>NA</v>
      </c>
      <c r="AH134" s="478" t="str">
        <f t="shared" si="229"/>
        <v>NA</v>
      </c>
      <c r="AI134" s="479" t="str">
        <f t="shared" si="230"/>
        <v>NA</v>
      </c>
      <c r="AJ134" s="480" t="str">
        <f t="shared" si="231"/>
        <v>NA</v>
      </c>
      <c r="AK134" s="480" t="str">
        <f t="shared" si="232"/>
        <v>NA</v>
      </c>
      <c r="AL134" s="480" t="str">
        <f t="shared" si="233"/>
        <v>NA</v>
      </c>
      <c r="AM134" s="480" t="str">
        <f t="shared" si="234"/>
        <v>NA</v>
      </c>
      <c r="AN134" s="480" t="str">
        <f t="shared" si="235"/>
        <v>NA</v>
      </c>
      <c r="AO134" s="480" t="str">
        <f t="shared" si="236"/>
        <v>NA</v>
      </c>
      <c r="AP134" s="480" t="str">
        <f t="shared" si="237"/>
        <v>NA</v>
      </c>
      <c r="AQ134" s="480" t="str">
        <f t="shared" si="238"/>
        <v>NA</v>
      </c>
      <c r="AR134" s="481" t="str">
        <f t="shared" si="239"/>
        <v>NA</v>
      </c>
      <c r="AS134" s="481" t="str">
        <f t="shared" si="240"/>
        <v>NA</v>
      </c>
      <c r="AT134" s="481" t="str">
        <f t="shared" si="241"/>
        <v>NA</v>
      </c>
      <c r="AU134" s="481" t="str">
        <f t="shared" si="242"/>
        <v>NA</v>
      </c>
      <c r="AV134" s="482" t="str">
        <f t="shared" si="243"/>
        <v>NA</v>
      </c>
    </row>
    <row r="135" spans="2:48" ht="15" customHeight="1" x14ac:dyDescent="0.25">
      <c r="B135" s="166">
        <v>114</v>
      </c>
      <c r="C135" s="169" t="str">
        <f>_xlfn.XLOOKUP(B135, LgProvEntOrgIDs[Advanced Network/Insurer Carrier Org ID], LgProvEntOrgIDs[Advanced Network/Insurance Carrier Overall])</f>
        <v>Community Health and Wellness Center of Greater Torrington</v>
      </c>
      <c r="D135" s="507">
        <f t="shared" si="199"/>
        <v>0</v>
      </c>
      <c r="E135" s="155" t="str">
        <f t="shared" si="200"/>
        <v>NA</v>
      </c>
      <c r="F135" s="155" t="str">
        <f t="shared" si="201"/>
        <v>NA</v>
      </c>
      <c r="G135" s="155" t="str">
        <f t="shared" si="202"/>
        <v>NA</v>
      </c>
      <c r="H135" s="155" t="str">
        <f t="shared" si="203"/>
        <v>NA</v>
      </c>
      <c r="I135" s="155" t="str">
        <f t="shared" si="204"/>
        <v>NA</v>
      </c>
      <c r="J135" s="155" t="str">
        <f t="shared" si="205"/>
        <v>NA</v>
      </c>
      <c r="K135" s="155" t="str">
        <f t="shared" si="206"/>
        <v>NA</v>
      </c>
      <c r="L135" s="155" t="str">
        <f t="shared" si="207"/>
        <v>NA</v>
      </c>
      <c r="M135" s="155" t="str">
        <f t="shared" si="208"/>
        <v>NA</v>
      </c>
      <c r="N135" s="155" t="str">
        <f t="shared" si="209"/>
        <v>NA</v>
      </c>
      <c r="O135" s="155" t="str">
        <f t="shared" si="210"/>
        <v>NA</v>
      </c>
      <c r="P135" s="155" t="str">
        <f t="shared" si="211"/>
        <v>NA</v>
      </c>
      <c r="Q135" s="155" t="str">
        <f t="shared" si="212"/>
        <v>NA</v>
      </c>
      <c r="R135" s="165" t="str">
        <f t="shared" si="213"/>
        <v>NA</v>
      </c>
      <c r="S135" s="507">
        <f t="shared" si="214"/>
        <v>0</v>
      </c>
      <c r="T135" s="155" t="str">
        <f t="shared" si="215"/>
        <v>NA</v>
      </c>
      <c r="U135" s="155" t="str">
        <f t="shared" si="216"/>
        <v>NA</v>
      </c>
      <c r="V135" s="155" t="str">
        <f t="shared" si="217"/>
        <v>NA</v>
      </c>
      <c r="W135" s="155" t="str">
        <f t="shared" si="218"/>
        <v>NA</v>
      </c>
      <c r="X135" s="155" t="str">
        <f t="shared" si="219"/>
        <v>NA</v>
      </c>
      <c r="Y135" s="155" t="str">
        <f t="shared" si="220"/>
        <v>NA</v>
      </c>
      <c r="Z135" s="155" t="str">
        <f t="shared" si="221"/>
        <v>NA</v>
      </c>
      <c r="AA135" s="155" t="str">
        <f t="shared" si="222"/>
        <v>NA</v>
      </c>
      <c r="AB135" s="155" t="str">
        <f t="shared" si="223"/>
        <v>NA</v>
      </c>
      <c r="AC135" s="155" t="str">
        <f t="shared" si="224"/>
        <v>NA</v>
      </c>
      <c r="AD135" s="155" t="str">
        <f t="shared" si="225"/>
        <v>NA</v>
      </c>
      <c r="AE135" s="155" t="str">
        <f t="shared" si="226"/>
        <v>NA</v>
      </c>
      <c r="AF135" s="155" t="str">
        <f t="shared" si="227"/>
        <v>NA</v>
      </c>
      <c r="AG135" s="156" t="str">
        <f t="shared" si="228"/>
        <v>NA</v>
      </c>
      <c r="AH135" s="478" t="str">
        <f t="shared" si="229"/>
        <v>NA</v>
      </c>
      <c r="AI135" s="479" t="str">
        <f t="shared" si="230"/>
        <v>NA</v>
      </c>
      <c r="AJ135" s="480" t="str">
        <f t="shared" si="231"/>
        <v>NA</v>
      </c>
      <c r="AK135" s="480" t="str">
        <f t="shared" si="232"/>
        <v>NA</v>
      </c>
      <c r="AL135" s="480" t="str">
        <f t="shared" si="233"/>
        <v>NA</v>
      </c>
      <c r="AM135" s="480" t="str">
        <f t="shared" si="234"/>
        <v>NA</v>
      </c>
      <c r="AN135" s="480" t="str">
        <f t="shared" si="235"/>
        <v>NA</v>
      </c>
      <c r="AO135" s="480" t="str">
        <f t="shared" si="236"/>
        <v>NA</v>
      </c>
      <c r="AP135" s="480" t="str">
        <f t="shared" si="237"/>
        <v>NA</v>
      </c>
      <c r="AQ135" s="480" t="str">
        <f t="shared" si="238"/>
        <v>NA</v>
      </c>
      <c r="AR135" s="481" t="str">
        <f t="shared" si="239"/>
        <v>NA</v>
      </c>
      <c r="AS135" s="481" t="str">
        <f t="shared" si="240"/>
        <v>NA</v>
      </c>
      <c r="AT135" s="481" t="str">
        <f t="shared" si="241"/>
        <v>NA</v>
      </c>
      <c r="AU135" s="481" t="str">
        <f t="shared" si="242"/>
        <v>NA</v>
      </c>
      <c r="AV135" s="482" t="str">
        <f t="shared" si="243"/>
        <v>NA</v>
      </c>
    </row>
    <row r="136" spans="2:48" ht="15" customHeight="1" x14ac:dyDescent="0.25">
      <c r="B136" s="166">
        <v>115</v>
      </c>
      <c r="C136" s="169" t="str">
        <f>_xlfn.XLOOKUP(B136, LgProvEntOrgIDs[Advanced Network/Insurer Carrier Org ID], LgProvEntOrgIDs[Advanced Network/Insurance Carrier Overall])</f>
        <v>Community Health Center</v>
      </c>
      <c r="D136" s="507">
        <f t="shared" si="199"/>
        <v>0</v>
      </c>
      <c r="E136" s="155" t="str">
        <f t="shared" si="200"/>
        <v>NA</v>
      </c>
      <c r="F136" s="155" t="str">
        <f t="shared" si="201"/>
        <v>NA</v>
      </c>
      <c r="G136" s="155" t="str">
        <f t="shared" si="202"/>
        <v>NA</v>
      </c>
      <c r="H136" s="155" t="str">
        <f t="shared" si="203"/>
        <v>NA</v>
      </c>
      <c r="I136" s="155" t="str">
        <f t="shared" si="204"/>
        <v>NA</v>
      </c>
      <c r="J136" s="155" t="str">
        <f t="shared" si="205"/>
        <v>NA</v>
      </c>
      <c r="K136" s="155" t="str">
        <f t="shared" si="206"/>
        <v>NA</v>
      </c>
      <c r="L136" s="155" t="str">
        <f t="shared" si="207"/>
        <v>NA</v>
      </c>
      <c r="M136" s="155" t="str">
        <f t="shared" si="208"/>
        <v>NA</v>
      </c>
      <c r="N136" s="155" t="str">
        <f t="shared" si="209"/>
        <v>NA</v>
      </c>
      <c r="O136" s="155" t="str">
        <f t="shared" si="210"/>
        <v>NA</v>
      </c>
      <c r="P136" s="155" t="str">
        <f t="shared" si="211"/>
        <v>NA</v>
      </c>
      <c r="Q136" s="155" t="str">
        <f t="shared" si="212"/>
        <v>NA</v>
      </c>
      <c r="R136" s="165" t="str">
        <f t="shared" si="213"/>
        <v>NA</v>
      </c>
      <c r="S136" s="507">
        <f t="shared" si="214"/>
        <v>0</v>
      </c>
      <c r="T136" s="155" t="str">
        <f t="shared" si="215"/>
        <v>NA</v>
      </c>
      <c r="U136" s="155" t="str">
        <f t="shared" si="216"/>
        <v>NA</v>
      </c>
      <c r="V136" s="155" t="str">
        <f t="shared" si="217"/>
        <v>NA</v>
      </c>
      <c r="W136" s="155" t="str">
        <f t="shared" si="218"/>
        <v>NA</v>
      </c>
      <c r="X136" s="155" t="str">
        <f t="shared" si="219"/>
        <v>NA</v>
      </c>
      <c r="Y136" s="155" t="str">
        <f t="shared" si="220"/>
        <v>NA</v>
      </c>
      <c r="Z136" s="155" t="str">
        <f t="shared" si="221"/>
        <v>NA</v>
      </c>
      <c r="AA136" s="155" t="str">
        <f t="shared" si="222"/>
        <v>NA</v>
      </c>
      <c r="AB136" s="155" t="str">
        <f t="shared" si="223"/>
        <v>NA</v>
      </c>
      <c r="AC136" s="155" t="str">
        <f t="shared" si="224"/>
        <v>NA</v>
      </c>
      <c r="AD136" s="155" t="str">
        <f t="shared" si="225"/>
        <v>NA</v>
      </c>
      <c r="AE136" s="155" t="str">
        <f t="shared" si="226"/>
        <v>NA</v>
      </c>
      <c r="AF136" s="155" t="str">
        <f t="shared" si="227"/>
        <v>NA</v>
      </c>
      <c r="AG136" s="156" t="str">
        <f t="shared" si="228"/>
        <v>NA</v>
      </c>
      <c r="AH136" s="478" t="str">
        <f t="shared" si="229"/>
        <v>NA</v>
      </c>
      <c r="AI136" s="479" t="str">
        <f t="shared" si="230"/>
        <v>NA</v>
      </c>
      <c r="AJ136" s="480" t="str">
        <f t="shared" si="231"/>
        <v>NA</v>
      </c>
      <c r="AK136" s="480" t="str">
        <f t="shared" si="232"/>
        <v>NA</v>
      </c>
      <c r="AL136" s="480" t="str">
        <f t="shared" si="233"/>
        <v>NA</v>
      </c>
      <c r="AM136" s="480" t="str">
        <f t="shared" si="234"/>
        <v>NA</v>
      </c>
      <c r="AN136" s="480" t="str">
        <f t="shared" si="235"/>
        <v>NA</v>
      </c>
      <c r="AO136" s="480" t="str">
        <f t="shared" si="236"/>
        <v>NA</v>
      </c>
      <c r="AP136" s="480" t="str">
        <f t="shared" si="237"/>
        <v>NA</v>
      </c>
      <c r="AQ136" s="480" t="str">
        <f t="shared" si="238"/>
        <v>NA</v>
      </c>
      <c r="AR136" s="481" t="str">
        <f t="shared" si="239"/>
        <v>NA</v>
      </c>
      <c r="AS136" s="481" t="str">
        <f t="shared" si="240"/>
        <v>NA</v>
      </c>
      <c r="AT136" s="481" t="str">
        <f t="shared" si="241"/>
        <v>NA</v>
      </c>
      <c r="AU136" s="481" t="str">
        <f t="shared" si="242"/>
        <v>NA</v>
      </c>
      <c r="AV136" s="482" t="str">
        <f t="shared" si="243"/>
        <v>NA</v>
      </c>
    </row>
    <row r="137" spans="2:48" ht="15" customHeight="1" x14ac:dyDescent="0.25">
      <c r="B137" s="166">
        <v>116</v>
      </c>
      <c r="C137" s="169" t="str">
        <f>_xlfn.XLOOKUP(B137, LgProvEntOrgIDs[Advanced Network/Insurer Carrier Org ID], LgProvEntOrgIDs[Advanced Network/Insurance Carrier Overall])</f>
        <v>Community Health Services</v>
      </c>
      <c r="D137" s="507">
        <f t="shared" si="199"/>
        <v>0</v>
      </c>
      <c r="E137" s="155" t="str">
        <f t="shared" si="200"/>
        <v>NA</v>
      </c>
      <c r="F137" s="155" t="str">
        <f t="shared" si="201"/>
        <v>NA</v>
      </c>
      <c r="G137" s="155" t="str">
        <f t="shared" si="202"/>
        <v>NA</v>
      </c>
      <c r="H137" s="155" t="str">
        <f t="shared" si="203"/>
        <v>NA</v>
      </c>
      <c r="I137" s="155" t="str">
        <f t="shared" si="204"/>
        <v>NA</v>
      </c>
      <c r="J137" s="155" t="str">
        <f t="shared" si="205"/>
        <v>NA</v>
      </c>
      <c r="K137" s="155" t="str">
        <f t="shared" si="206"/>
        <v>NA</v>
      </c>
      <c r="L137" s="155" t="str">
        <f t="shared" si="207"/>
        <v>NA</v>
      </c>
      <c r="M137" s="155" t="str">
        <f t="shared" si="208"/>
        <v>NA</v>
      </c>
      <c r="N137" s="155" t="str">
        <f t="shared" si="209"/>
        <v>NA</v>
      </c>
      <c r="O137" s="155" t="str">
        <f t="shared" si="210"/>
        <v>NA</v>
      </c>
      <c r="P137" s="155" t="str">
        <f t="shared" si="211"/>
        <v>NA</v>
      </c>
      <c r="Q137" s="155" t="str">
        <f t="shared" si="212"/>
        <v>NA</v>
      </c>
      <c r="R137" s="165" t="str">
        <f t="shared" si="213"/>
        <v>NA</v>
      </c>
      <c r="S137" s="507">
        <f t="shared" si="214"/>
        <v>0</v>
      </c>
      <c r="T137" s="155" t="str">
        <f t="shared" si="215"/>
        <v>NA</v>
      </c>
      <c r="U137" s="155" t="str">
        <f t="shared" si="216"/>
        <v>NA</v>
      </c>
      <c r="V137" s="155" t="str">
        <f t="shared" si="217"/>
        <v>NA</v>
      </c>
      <c r="W137" s="155" t="str">
        <f t="shared" si="218"/>
        <v>NA</v>
      </c>
      <c r="X137" s="155" t="str">
        <f t="shared" si="219"/>
        <v>NA</v>
      </c>
      <c r="Y137" s="155" t="str">
        <f t="shared" si="220"/>
        <v>NA</v>
      </c>
      <c r="Z137" s="155" t="str">
        <f t="shared" si="221"/>
        <v>NA</v>
      </c>
      <c r="AA137" s="155" t="str">
        <f t="shared" si="222"/>
        <v>NA</v>
      </c>
      <c r="AB137" s="155" t="str">
        <f t="shared" si="223"/>
        <v>NA</v>
      </c>
      <c r="AC137" s="155" t="str">
        <f t="shared" si="224"/>
        <v>NA</v>
      </c>
      <c r="AD137" s="155" t="str">
        <f t="shared" si="225"/>
        <v>NA</v>
      </c>
      <c r="AE137" s="155" t="str">
        <f t="shared" si="226"/>
        <v>NA</v>
      </c>
      <c r="AF137" s="155" t="str">
        <f t="shared" si="227"/>
        <v>NA</v>
      </c>
      <c r="AG137" s="156" t="str">
        <f t="shared" si="228"/>
        <v>NA</v>
      </c>
      <c r="AH137" s="478" t="str">
        <f t="shared" si="229"/>
        <v>NA</v>
      </c>
      <c r="AI137" s="479" t="str">
        <f t="shared" si="230"/>
        <v>NA</v>
      </c>
      <c r="AJ137" s="480" t="str">
        <f t="shared" si="231"/>
        <v>NA</v>
      </c>
      <c r="AK137" s="480" t="str">
        <f t="shared" si="232"/>
        <v>NA</v>
      </c>
      <c r="AL137" s="480" t="str">
        <f t="shared" si="233"/>
        <v>NA</v>
      </c>
      <c r="AM137" s="480" t="str">
        <f t="shared" si="234"/>
        <v>NA</v>
      </c>
      <c r="AN137" s="480" t="str">
        <f t="shared" si="235"/>
        <v>NA</v>
      </c>
      <c r="AO137" s="480" t="str">
        <f t="shared" si="236"/>
        <v>NA</v>
      </c>
      <c r="AP137" s="480" t="str">
        <f t="shared" si="237"/>
        <v>NA</v>
      </c>
      <c r="AQ137" s="480" t="str">
        <f t="shared" si="238"/>
        <v>NA</v>
      </c>
      <c r="AR137" s="481" t="str">
        <f t="shared" si="239"/>
        <v>NA</v>
      </c>
      <c r="AS137" s="481" t="str">
        <f t="shared" si="240"/>
        <v>NA</v>
      </c>
      <c r="AT137" s="481" t="str">
        <f t="shared" si="241"/>
        <v>NA</v>
      </c>
      <c r="AU137" s="481" t="str">
        <f t="shared" si="242"/>
        <v>NA</v>
      </c>
      <c r="AV137" s="482" t="str">
        <f t="shared" si="243"/>
        <v>NA</v>
      </c>
    </row>
    <row r="138" spans="2:48" ht="15" customHeight="1" x14ac:dyDescent="0.25">
      <c r="B138" s="166">
        <v>117</v>
      </c>
      <c r="C138" s="169" t="str">
        <f>_xlfn.XLOOKUP(B138, LgProvEntOrgIDs[Advanced Network/Insurer Carrier Org ID], LgProvEntOrgIDs[Advanced Network/Insurance Carrier Overall])</f>
        <v>Cornell Scott Hill Health Center</v>
      </c>
      <c r="D138" s="507">
        <f t="shared" si="199"/>
        <v>0</v>
      </c>
      <c r="E138" s="155" t="str">
        <f t="shared" si="200"/>
        <v>NA</v>
      </c>
      <c r="F138" s="155" t="str">
        <f t="shared" si="201"/>
        <v>NA</v>
      </c>
      <c r="G138" s="155" t="str">
        <f t="shared" si="202"/>
        <v>NA</v>
      </c>
      <c r="H138" s="155" t="str">
        <f t="shared" si="203"/>
        <v>NA</v>
      </c>
      <c r="I138" s="155" t="str">
        <f t="shared" si="204"/>
        <v>NA</v>
      </c>
      <c r="J138" s="155" t="str">
        <f t="shared" si="205"/>
        <v>NA</v>
      </c>
      <c r="K138" s="155" t="str">
        <f t="shared" si="206"/>
        <v>NA</v>
      </c>
      <c r="L138" s="155" t="str">
        <f t="shared" si="207"/>
        <v>NA</v>
      </c>
      <c r="M138" s="155" t="str">
        <f t="shared" si="208"/>
        <v>NA</v>
      </c>
      <c r="N138" s="155" t="str">
        <f t="shared" si="209"/>
        <v>NA</v>
      </c>
      <c r="O138" s="155" t="str">
        <f t="shared" si="210"/>
        <v>NA</v>
      </c>
      <c r="P138" s="155" t="str">
        <f t="shared" si="211"/>
        <v>NA</v>
      </c>
      <c r="Q138" s="155" t="str">
        <f t="shared" si="212"/>
        <v>NA</v>
      </c>
      <c r="R138" s="165" t="str">
        <f t="shared" si="213"/>
        <v>NA</v>
      </c>
      <c r="S138" s="507">
        <f t="shared" si="214"/>
        <v>0</v>
      </c>
      <c r="T138" s="155" t="str">
        <f t="shared" si="215"/>
        <v>NA</v>
      </c>
      <c r="U138" s="155" t="str">
        <f t="shared" si="216"/>
        <v>NA</v>
      </c>
      <c r="V138" s="155" t="str">
        <f t="shared" si="217"/>
        <v>NA</v>
      </c>
      <c r="W138" s="155" t="str">
        <f t="shared" si="218"/>
        <v>NA</v>
      </c>
      <c r="X138" s="155" t="str">
        <f t="shared" si="219"/>
        <v>NA</v>
      </c>
      <c r="Y138" s="155" t="str">
        <f t="shared" si="220"/>
        <v>NA</v>
      </c>
      <c r="Z138" s="155" t="str">
        <f t="shared" si="221"/>
        <v>NA</v>
      </c>
      <c r="AA138" s="155" t="str">
        <f t="shared" si="222"/>
        <v>NA</v>
      </c>
      <c r="AB138" s="155" t="str">
        <f t="shared" si="223"/>
        <v>NA</v>
      </c>
      <c r="AC138" s="155" t="str">
        <f t="shared" si="224"/>
        <v>NA</v>
      </c>
      <c r="AD138" s="155" t="str">
        <f t="shared" si="225"/>
        <v>NA</v>
      </c>
      <c r="AE138" s="155" t="str">
        <f t="shared" si="226"/>
        <v>NA</v>
      </c>
      <c r="AF138" s="155" t="str">
        <f t="shared" si="227"/>
        <v>NA</v>
      </c>
      <c r="AG138" s="156" t="str">
        <f t="shared" si="228"/>
        <v>NA</v>
      </c>
      <c r="AH138" s="478" t="str">
        <f t="shared" si="229"/>
        <v>NA</v>
      </c>
      <c r="AI138" s="479" t="str">
        <f t="shared" si="230"/>
        <v>NA</v>
      </c>
      <c r="AJ138" s="480" t="str">
        <f t="shared" si="231"/>
        <v>NA</v>
      </c>
      <c r="AK138" s="480" t="str">
        <f t="shared" si="232"/>
        <v>NA</v>
      </c>
      <c r="AL138" s="480" t="str">
        <f t="shared" si="233"/>
        <v>NA</v>
      </c>
      <c r="AM138" s="480" t="str">
        <f t="shared" si="234"/>
        <v>NA</v>
      </c>
      <c r="AN138" s="480" t="str">
        <f t="shared" si="235"/>
        <v>NA</v>
      </c>
      <c r="AO138" s="480" t="str">
        <f t="shared" si="236"/>
        <v>NA</v>
      </c>
      <c r="AP138" s="480" t="str">
        <f t="shared" si="237"/>
        <v>NA</v>
      </c>
      <c r="AQ138" s="480" t="str">
        <f t="shared" si="238"/>
        <v>NA</v>
      </c>
      <c r="AR138" s="481" t="str">
        <f t="shared" si="239"/>
        <v>NA</v>
      </c>
      <c r="AS138" s="481" t="str">
        <f t="shared" si="240"/>
        <v>NA</v>
      </c>
      <c r="AT138" s="481" t="str">
        <f t="shared" si="241"/>
        <v>NA</v>
      </c>
      <c r="AU138" s="481" t="str">
        <f t="shared" si="242"/>
        <v>NA</v>
      </c>
      <c r="AV138" s="482" t="str">
        <f t="shared" si="243"/>
        <v>NA</v>
      </c>
    </row>
    <row r="139" spans="2:48" ht="15" customHeight="1" x14ac:dyDescent="0.25">
      <c r="B139" s="166">
        <v>118</v>
      </c>
      <c r="C139" s="169" t="str">
        <f>_xlfn.XLOOKUP(B139, LgProvEntOrgIDs[Advanced Network/Insurer Carrier Org ID], LgProvEntOrgIDs[Advanced Network/Insurance Carrier Overall])</f>
        <v>Fair Haven Community Health Center</v>
      </c>
      <c r="D139" s="507">
        <f t="shared" si="199"/>
        <v>0</v>
      </c>
      <c r="E139" s="155" t="str">
        <f t="shared" si="200"/>
        <v>NA</v>
      </c>
      <c r="F139" s="155" t="str">
        <f t="shared" si="201"/>
        <v>NA</v>
      </c>
      <c r="G139" s="155" t="str">
        <f t="shared" si="202"/>
        <v>NA</v>
      </c>
      <c r="H139" s="155" t="str">
        <f t="shared" si="203"/>
        <v>NA</v>
      </c>
      <c r="I139" s="155" t="str">
        <f t="shared" si="204"/>
        <v>NA</v>
      </c>
      <c r="J139" s="155" t="str">
        <f t="shared" si="205"/>
        <v>NA</v>
      </c>
      <c r="K139" s="155" t="str">
        <f t="shared" si="206"/>
        <v>NA</v>
      </c>
      <c r="L139" s="155" t="str">
        <f t="shared" si="207"/>
        <v>NA</v>
      </c>
      <c r="M139" s="155" t="str">
        <f t="shared" si="208"/>
        <v>NA</v>
      </c>
      <c r="N139" s="155" t="str">
        <f t="shared" si="209"/>
        <v>NA</v>
      </c>
      <c r="O139" s="155" t="str">
        <f t="shared" si="210"/>
        <v>NA</v>
      </c>
      <c r="P139" s="155" t="str">
        <f t="shared" si="211"/>
        <v>NA</v>
      </c>
      <c r="Q139" s="155" t="str">
        <f t="shared" si="212"/>
        <v>NA</v>
      </c>
      <c r="R139" s="165" t="str">
        <f t="shared" si="213"/>
        <v>NA</v>
      </c>
      <c r="S139" s="507">
        <f t="shared" si="214"/>
        <v>0</v>
      </c>
      <c r="T139" s="155" t="str">
        <f t="shared" si="215"/>
        <v>NA</v>
      </c>
      <c r="U139" s="155" t="str">
        <f t="shared" si="216"/>
        <v>NA</v>
      </c>
      <c r="V139" s="155" t="str">
        <f t="shared" si="217"/>
        <v>NA</v>
      </c>
      <c r="W139" s="155" t="str">
        <f t="shared" si="218"/>
        <v>NA</v>
      </c>
      <c r="X139" s="155" t="str">
        <f t="shared" si="219"/>
        <v>NA</v>
      </c>
      <c r="Y139" s="155" t="str">
        <f t="shared" si="220"/>
        <v>NA</v>
      </c>
      <c r="Z139" s="155" t="str">
        <f t="shared" si="221"/>
        <v>NA</v>
      </c>
      <c r="AA139" s="155" t="str">
        <f t="shared" si="222"/>
        <v>NA</v>
      </c>
      <c r="AB139" s="155" t="str">
        <f t="shared" si="223"/>
        <v>NA</v>
      </c>
      <c r="AC139" s="155" t="str">
        <f t="shared" si="224"/>
        <v>NA</v>
      </c>
      <c r="AD139" s="155" t="str">
        <f t="shared" si="225"/>
        <v>NA</v>
      </c>
      <c r="AE139" s="155" t="str">
        <f t="shared" si="226"/>
        <v>NA</v>
      </c>
      <c r="AF139" s="155" t="str">
        <f t="shared" si="227"/>
        <v>NA</v>
      </c>
      <c r="AG139" s="156" t="str">
        <f t="shared" si="228"/>
        <v>NA</v>
      </c>
      <c r="AH139" s="478" t="str">
        <f t="shared" si="229"/>
        <v>NA</v>
      </c>
      <c r="AI139" s="479" t="str">
        <f t="shared" si="230"/>
        <v>NA</v>
      </c>
      <c r="AJ139" s="480" t="str">
        <f t="shared" si="231"/>
        <v>NA</v>
      </c>
      <c r="AK139" s="480" t="str">
        <f t="shared" si="232"/>
        <v>NA</v>
      </c>
      <c r="AL139" s="480" t="str">
        <f t="shared" si="233"/>
        <v>NA</v>
      </c>
      <c r="AM139" s="480" t="str">
        <f t="shared" si="234"/>
        <v>NA</v>
      </c>
      <c r="AN139" s="480" t="str">
        <f t="shared" si="235"/>
        <v>NA</v>
      </c>
      <c r="AO139" s="480" t="str">
        <f t="shared" si="236"/>
        <v>NA</v>
      </c>
      <c r="AP139" s="480" t="str">
        <f t="shared" si="237"/>
        <v>NA</v>
      </c>
      <c r="AQ139" s="480" t="str">
        <f t="shared" si="238"/>
        <v>NA</v>
      </c>
      <c r="AR139" s="481" t="str">
        <f t="shared" si="239"/>
        <v>NA</v>
      </c>
      <c r="AS139" s="481" t="str">
        <f t="shared" si="240"/>
        <v>NA</v>
      </c>
      <c r="AT139" s="481" t="str">
        <f t="shared" si="241"/>
        <v>NA</v>
      </c>
      <c r="AU139" s="481" t="str">
        <f t="shared" si="242"/>
        <v>NA</v>
      </c>
      <c r="AV139" s="482" t="str">
        <f t="shared" si="243"/>
        <v>NA</v>
      </c>
    </row>
    <row r="140" spans="2:48" ht="15" customHeight="1" x14ac:dyDescent="0.25">
      <c r="B140" s="166">
        <v>119</v>
      </c>
      <c r="C140" s="169" t="str">
        <f>_xlfn.XLOOKUP(B140, LgProvEntOrgIDs[Advanced Network/Insurer Carrier Org ID], LgProvEntOrgIDs[Advanced Network/Insurance Carrier Overall])</f>
        <v>Family Centers</v>
      </c>
      <c r="D140" s="507">
        <f t="shared" si="199"/>
        <v>0</v>
      </c>
      <c r="E140" s="155" t="str">
        <f t="shared" si="200"/>
        <v>NA</v>
      </c>
      <c r="F140" s="155" t="str">
        <f t="shared" si="201"/>
        <v>NA</v>
      </c>
      <c r="G140" s="155" t="str">
        <f t="shared" si="202"/>
        <v>NA</v>
      </c>
      <c r="H140" s="155" t="str">
        <f t="shared" si="203"/>
        <v>NA</v>
      </c>
      <c r="I140" s="155" t="str">
        <f t="shared" si="204"/>
        <v>NA</v>
      </c>
      <c r="J140" s="155" t="str">
        <f t="shared" si="205"/>
        <v>NA</v>
      </c>
      <c r="K140" s="155" t="str">
        <f t="shared" si="206"/>
        <v>NA</v>
      </c>
      <c r="L140" s="155" t="str">
        <f t="shared" si="207"/>
        <v>NA</v>
      </c>
      <c r="M140" s="155" t="str">
        <f t="shared" si="208"/>
        <v>NA</v>
      </c>
      <c r="N140" s="155" t="str">
        <f t="shared" si="209"/>
        <v>NA</v>
      </c>
      <c r="O140" s="155" t="str">
        <f t="shared" si="210"/>
        <v>NA</v>
      </c>
      <c r="P140" s="155" t="str">
        <f t="shared" si="211"/>
        <v>NA</v>
      </c>
      <c r="Q140" s="155" t="str">
        <f t="shared" si="212"/>
        <v>NA</v>
      </c>
      <c r="R140" s="165" t="str">
        <f t="shared" si="213"/>
        <v>NA</v>
      </c>
      <c r="S140" s="507">
        <f t="shared" si="214"/>
        <v>0</v>
      </c>
      <c r="T140" s="155" t="str">
        <f t="shared" si="215"/>
        <v>NA</v>
      </c>
      <c r="U140" s="155" t="str">
        <f t="shared" si="216"/>
        <v>NA</v>
      </c>
      <c r="V140" s="155" t="str">
        <f t="shared" si="217"/>
        <v>NA</v>
      </c>
      <c r="W140" s="155" t="str">
        <f t="shared" si="218"/>
        <v>NA</v>
      </c>
      <c r="X140" s="155" t="str">
        <f t="shared" si="219"/>
        <v>NA</v>
      </c>
      <c r="Y140" s="155" t="str">
        <f t="shared" si="220"/>
        <v>NA</v>
      </c>
      <c r="Z140" s="155" t="str">
        <f t="shared" si="221"/>
        <v>NA</v>
      </c>
      <c r="AA140" s="155" t="str">
        <f t="shared" si="222"/>
        <v>NA</v>
      </c>
      <c r="AB140" s="155" t="str">
        <f t="shared" si="223"/>
        <v>NA</v>
      </c>
      <c r="AC140" s="155" t="str">
        <f t="shared" si="224"/>
        <v>NA</v>
      </c>
      <c r="AD140" s="155" t="str">
        <f t="shared" si="225"/>
        <v>NA</v>
      </c>
      <c r="AE140" s="155" t="str">
        <f t="shared" si="226"/>
        <v>NA</v>
      </c>
      <c r="AF140" s="155" t="str">
        <f t="shared" si="227"/>
        <v>NA</v>
      </c>
      <c r="AG140" s="156" t="str">
        <f t="shared" si="228"/>
        <v>NA</v>
      </c>
      <c r="AH140" s="478" t="str">
        <f t="shared" si="229"/>
        <v>NA</v>
      </c>
      <c r="AI140" s="479" t="str">
        <f t="shared" si="230"/>
        <v>NA</v>
      </c>
      <c r="AJ140" s="480" t="str">
        <f t="shared" si="231"/>
        <v>NA</v>
      </c>
      <c r="AK140" s="480" t="str">
        <f t="shared" si="232"/>
        <v>NA</v>
      </c>
      <c r="AL140" s="480" t="str">
        <f t="shared" si="233"/>
        <v>NA</v>
      </c>
      <c r="AM140" s="480" t="str">
        <f t="shared" si="234"/>
        <v>NA</v>
      </c>
      <c r="AN140" s="480" t="str">
        <f t="shared" si="235"/>
        <v>NA</v>
      </c>
      <c r="AO140" s="480" t="str">
        <f t="shared" si="236"/>
        <v>NA</v>
      </c>
      <c r="AP140" s="480" t="str">
        <f t="shared" si="237"/>
        <v>NA</v>
      </c>
      <c r="AQ140" s="480" t="str">
        <f t="shared" si="238"/>
        <v>NA</v>
      </c>
      <c r="AR140" s="481" t="str">
        <f t="shared" si="239"/>
        <v>NA</v>
      </c>
      <c r="AS140" s="481" t="str">
        <f t="shared" si="240"/>
        <v>NA</v>
      </c>
      <c r="AT140" s="481" t="str">
        <f t="shared" si="241"/>
        <v>NA</v>
      </c>
      <c r="AU140" s="481" t="str">
        <f t="shared" si="242"/>
        <v>NA</v>
      </c>
      <c r="AV140" s="482" t="str">
        <f t="shared" si="243"/>
        <v>NA</v>
      </c>
    </row>
    <row r="141" spans="2:48" ht="15" customHeight="1" x14ac:dyDescent="0.25">
      <c r="B141" s="166">
        <v>120</v>
      </c>
      <c r="C141" s="169" t="str">
        <f>_xlfn.XLOOKUP(B141, LgProvEntOrgIDs[Advanced Network/Insurer Carrier Org ID], LgProvEntOrgIDs[Advanced Network/Insurance Carrier Overall])</f>
        <v>First Choice Community Health Centers</v>
      </c>
      <c r="D141" s="507">
        <f t="shared" si="199"/>
        <v>0</v>
      </c>
      <c r="E141" s="155" t="str">
        <f t="shared" si="200"/>
        <v>NA</v>
      </c>
      <c r="F141" s="155" t="str">
        <f t="shared" si="201"/>
        <v>NA</v>
      </c>
      <c r="G141" s="155" t="str">
        <f t="shared" si="202"/>
        <v>NA</v>
      </c>
      <c r="H141" s="155" t="str">
        <f t="shared" si="203"/>
        <v>NA</v>
      </c>
      <c r="I141" s="155" t="str">
        <f t="shared" si="204"/>
        <v>NA</v>
      </c>
      <c r="J141" s="155" t="str">
        <f t="shared" si="205"/>
        <v>NA</v>
      </c>
      <c r="K141" s="155" t="str">
        <f t="shared" si="206"/>
        <v>NA</v>
      </c>
      <c r="L141" s="155" t="str">
        <f t="shared" si="207"/>
        <v>NA</v>
      </c>
      <c r="M141" s="155" t="str">
        <f t="shared" si="208"/>
        <v>NA</v>
      </c>
      <c r="N141" s="155" t="str">
        <f t="shared" si="209"/>
        <v>NA</v>
      </c>
      <c r="O141" s="155" t="str">
        <f t="shared" si="210"/>
        <v>NA</v>
      </c>
      <c r="P141" s="155" t="str">
        <f t="shared" si="211"/>
        <v>NA</v>
      </c>
      <c r="Q141" s="155" t="str">
        <f t="shared" si="212"/>
        <v>NA</v>
      </c>
      <c r="R141" s="165" t="str">
        <f t="shared" si="213"/>
        <v>NA</v>
      </c>
      <c r="S141" s="507">
        <f t="shared" si="214"/>
        <v>0</v>
      </c>
      <c r="T141" s="155" t="str">
        <f t="shared" si="215"/>
        <v>NA</v>
      </c>
      <c r="U141" s="155" t="str">
        <f t="shared" si="216"/>
        <v>NA</v>
      </c>
      <c r="V141" s="155" t="str">
        <f t="shared" si="217"/>
        <v>NA</v>
      </c>
      <c r="W141" s="155" t="str">
        <f t="shared" si="218"/>
        <v>NA</v>
      </c>
      <c r="X141" s="155" t="str">
        <f t="shared" si="219"/>
        <v>NA</v>
      </c>
      <c r="Y141" s="155" t="str">
        <f t="shared" si="220"/>
        <v>NA</v>
      </c>
      <c r="Z141" s="155" t="str">
        <f t="shared" si="221"/>
        <v>NA</v>
      </c>
      <c r="AA141" s="155" t="str">
        <f t="shared" si="222"/>
        <v>NA</v>
      </c>
      <c r="AB141" s="155" t="str">
        <f t="shared" si="223"/>
        <v>NA</v>
      </c>
      <c r="AC141" s="155" t="str">
        <f t="shared" si="224"/>
        <v>NA</v>
      </c>
      <c r="AD141" s="155" t="str">
        <f t="shared" si="225"/>
        <v>NA</v>
      </c>
      <c r="AE141" s="155" t="str">
        <f t="shared" si="226"/>
        <v>NA</v>
      </c>
      <c r="AF141" s="155" t="str">
        <f t="shared" si="227"/>
        <v>NA</v>
      </c>
      <c r="AG141" s="156" t="str">
        <f t="shared" si="228"/>
        <v>NA</v>
      </c>
      <c r="AH141" s="478" t="str">
        <f t="shared" si="229"/>
        <v>NA</v>
      </c>
      <c r="AI141" s="479" t="str">
        <f t="shared" si="230"/>
        <v>NA</v>
      </c>
      <c r="AJ141" s="480" t="str">
        <f t="shared" si="231"/>
        <v>NA</v>
      </c>
      <c r="AK141" s="480" t="str">
        <f t="shared" si="232"/>
        <v>NA</v>
      </c>
      <c r="AL141" s="480" t="str">
        <f t="shared" si="233"/>
        <v>NA</v>
      </c>
      <c r="AM141" s="480" t="str">
        <f t="shared" si="234"/>
        <v>NA</v>
      </c>
      <c r="AN141" s="480" t="str">
        <f t="shared" si="235"/>
        <v>NA</v>
      </c>
      <c r="AO141" s="480" t="str">
        <f t="shared" si="236"/>
        <v>NA</v>
      </c>
      <c r="AP141" s="480" t="str">
        <f t="shared" si="237"/>
        <v>NA</v>
      </c>
      <c r="AQ141" s="480" t="str">
        <f t="shared" si="238"/>
        <v>NA</v>
      </c>
      <c r="AR141" s="481" t="str">
        <f t="shared" si="239"/>
        <v>NA</v>
      </c>
      <c r="AS141" s="481" t="str">
        <f t="shared" si="240"/>
        <v>NA</v>
      </c>
      <c r="AT141" s="481" t="str">
        <f t="shared" si="241"/>
        <v>NA</v>
      </c>
      <c r="AU141" s="481" t="str">
        <f t="shared" si="242"/>
        <v>NA</v>
      </c>
      <c r="AV141" s="482" t="str">
        <f t="shared" si="243"/>
        <v>NA</v>
      </c>
    </row>
    <row r="142" spans="2:48" ht="15" customHeight="1" x14ac:dyDescent="0.25">
      <c r="B142" s="166">
        <v>121</v>
      </c>
      <c r="C142" s="169" t="str">
        <f>_xlfn.XLOOKUP(B142, LgProvEntOrgIDs[Advanced Network/Insurer Carrier Org ID], LgProvEntOrgIDs[Advanced Network/Insurance Carrier Overall])</f>
        <v>Generations Family Health Center</v>
      </c>
      <c r="D142" s="507">
        <f t="shared" si="199"/>
        <v>0</v>
      </c>
      <c r="E142" s="155" t="str">
        <f t="shared" si="200"/>
        <v>NA</v>
      </c>
      <c r="F142" s="155" t="str">
        <f t="shared" si="201"/>
        <v>NA</v>
      </c>
      <c r="G142" s="155" t="str">
        <f t="shared" si="202"/>
        <v>NA</v>
      </c>
      <c r="H142" s="155" t="str">
        <f t="shared" si="203"/>
        <v>NA</v>
      </c>
      <c r="I142" s="155" t="str">
        <f t="shared" si="204"/>
        <v>NA</v>
      </c>
      <c r="J142" s="155" t="str">
        <f t="shared" si="205"/>
        <v>NA</v>
      </c>
      <c r="K142" s="155" t="str">
        <f t="shared" si="206"/>
        <v>NA</v>
      </c>
      <c r="L142" s="155" t="str">
        <f t="shared" si="207"/>
        <v>NA</v>
      </c>
      <c r="M142" s="155" t="str">
        <f t="shared" si="208"/>
        <v>NA</v>
      </c>
      <c r="N142" s="155" t="str">
        <f t="shared" si="209"/>
        <v>NA</v>
      </c>
      <c r="O142" s="155" t="str">
        <f t="shared" si="210"/>
        <v>NA</v>
      </c>
      <c r="P142" s="155" t="str">
        <f t="shared" si="211"/>
        <v>NA</v>
      </c>
      <c r="Q142" s="155" t="str">
        <f t="shared" si="212"/>
        <v>NA</v>
      </c>
      <c r="R142" s="165" t="str">
        <f t="shared" si="213"/>
        <v>NA</v>
      </c>
      <c r="S142" s="507">
        <f t="shared" si="214"/>
        <v>0</v>
      </c>
      <c r="T142" s="155" t="str">
        <f t="shared" si="215"/>
        <v>NA</v>
      </c>
      <c r="U142" s="155" t="str">
        <f t="shared" si="216"/>
        <v>NA</v>
      </c>
      <c r="V142" s="155" t="str">
        <f t="shared" si="217"/>
        <v>NA</v>
      </c>
      <c r="W142" s="155" t="str">
        <f t="shared" si="218"/>
        <v>NA</v>
      </c>
      <c r="X142" s="155" t="str">
        <f t="shared" si="219"/>
        <v>NA</v>
      </c>
      <c r="Y142" s="155" t="str">
        <f t="shared" si="220"/>
        <v>NA</v>
      </c>
      <c r="Z142" s="155" t="str">
        <f t="shared" si="221"/>
        <v>NA</v>
      </c>
      <c r="AA142" s="155" t="str">
        <f t="shared" si="222"/>
        <v>NA</v>
      </c>
      <c r="AB142" s="155" t="str">
        <f t="shared" si="223"/>
        <v>NA</v>
      </c>
      <c r="AC142" s="155" t="str">
        <f t="shared" si="224"/>
        <v>NA</v>
      </c>
      <c r="AD142" s="155" t="str">
        <f t="shared" si="225"/>
        <v>NA</v>
      </c>
      <c r="AE142" s="155" t="str">
        <f t="shared" si="226"/>
        <v>NA</v>
      </c>
      <c r="AF142" s="155" t="str">
        <f t="shared" si="227"/>
        <v>NA</v>
      </c>
      <c r="AG142" s="156" t="str">
        <f t="shared" si="228"/>
        <v>NA</v>
      </c>
      <c r="AH142" s="478" t="str">
        <f t="shared" si="229"/>
        <v>NA</v>
      </c>
      <c r="AI142" s="479" t="str">
        <f t="shared" si="230"/>
        <v>NA</v>
      </c>
      <c r="AJ142" s="480" t="str">
        <f t="shared" si="231"/>
        <v>NA</v>
      </c>
      <c r="AK142" s="480" t="str">
        <f t="shared" si="232"/>
        <v>NA</v>
      </c>
      <c r="AL142" s="480" t="str">
        <f t="shared" si="233"/>
        <v>NA</v>
      </c>
      <c r="AM142" s="480" t="str">
        <f t="shared" si="234"/>
        <v>NA</v>
      </c>
      <c r="AN142" s="480" t="str">
        <f t="shared" si="235"/>
        <v>NA</v>
      </c>
      <c r="AO142" s="480" t="str">
        <f t="shared" si="236"/>
        <v>NA</v>
      </c>
      <c r="AP142" s="480" t="str">
        <f t="shared" si="237"/>
        <v>NA</v>
      </c>
      <c r="AQ142" s="480" t="str">
        <f t="shared" si="238"/>
        <v>NA</v>
      </c>
      <c r="AR142" s="481" t="str">
        <f t="shared" si="239"/>
        <v>NA</v>
      </c>
      <c r="AS142" s="481" t="str">
        <f t="shared" si="240"/>
        <v>NA</v>
      </c>
      <c r="AT142" s="481" t="str">
        <f t="shared" si="241"/>
        <v>NA</v>
      </c>
      <c r="AU142" s="481" t="str">
        <f t="shared" si="242"/>
        <v>NA</v>
      </c>
      <c r="AV142" s="482" t="str">
        <f t="shared" si="243"/>
        <v>NA</v>
      </c>
    </row>
    <row r="143" spans="2:48" ht="15" customHeight="1" x14ac:dyDescent="0.25">
      <c r="B143" s="166">
        <v>122</v>
      </c>
      <c r="C143" s="169" t="str">
        <f>_xlfn.XLOOKUP(B143, LgProvEntOrgIDs[Advanced Network/Insurer Carrier Org ID], LgProvEntOrgIDs[Advanced Network/Insurance Carrier Overall])</f>
        <v>Norwalk Community Health Center</v>
      </c>
      <c r="D143" s="507">
        <f t="shared" si="199"/>
        <v>0</v>
      </c>
      <c r="E143" s="155" t="str">
        <f t="shared" si="200"/>
        <v>NA</v>
      </c>
      <c r="F143" s="155" t="str">
        <f t="shared" si="201"/>
        <v>NA</v>
      </c>
      <c r="G143" s="155" t="str">
        <f t="shared" si="202"/>
        <v>NA</v>
      </c>
      <c r="H143" s="155" t="str">
        <f t="shared" si="203"/>
        <v>NA</v>
      </c>
      <c r="I143" s="155" t="str">
        <f t="shared" si="204"/>
        <v>NA</v>
      </c>
      <c r="J143" s="155" t="str">
        <f t="shared" si="205"/>
        <v>NA</v>
      </c>
      <c r="K143" s="155" t="str">
        <f t="shared" si="206"/>
        <v>NA</v>
      </c>
      <c r="L143" s="155" t="str">
        <f t="shared" si="207"/>
        <v>NA</v>
      </c>
      <c r="M143" s="155" t="str">
        <f t="shared" si="208"/>
        <v>NA</v>
      </c>
      <c r="N143" s="155" t="str">
        <f t="shared" si="209"/>
        <v>NA</v>
      </c>
      <c r="O143" s="155" t="str">
        <f t="shared" si="210"/>
        <v>NA</v>
      </c>
      <c r="P143" s="155" t="str">
        <f t="shared" si="211"/>
        <v>NA</v>
      </c>
      <c r="Q143" s="155" t="str">
        <f t="shared" si="212"/>
        <v>NA</v>
      </c>
      <c r="R143" s="165" t="str">
        <f t="shared" si="213"/>
        <v>NA</v>
      </c>
      <c r="S143" s="507">
        <f t="shared" si="214"/>
        <v>0</v>
      </c>
      <c r="T143" s="155" t="str">
        <f t="shared" si="215"/>
        <v>NA</v>
      </c>
      <c r="U143" s="155" t="str">
        <f t="shared" si="216"/>
        <v>NA</v>
      </c>
      <c r="V143" s="155" t="str">
        <f t="shared" si="217"/>
        <v>NA</v>
      </c>
      <c r="W143" s="155" t="str">
        <f t="shared" si="218"/>
        <v>NA</v>
      </c>
      <c r="X143" s="155" t="str">
        <f t="shared" si="219"/>
        <v>NA</v>
      </c>
      <c r="Y143" s="155" t="str">
        <f t="shared" si="220"/>
        <v>NA</v>
      </c>
      <c r="Z143" s="155" t="str">
        <f t="shared" si="221"/>
        <v>NA</v>
      </c>
      <c r="AA143" s="155" t="str">
        <f t="shared" si="222"/>
        <v>NA</v>
      </c>
      <c r="AB143" s="155" t="str">
        <f t="shared" si="223"/>
        <v>NA</v>
      </c>
      <c r="AC143" s="155" t="str">
        <f t="shared" si="224"/>
        <v>NA</v>
      </c>
      <c r="AD143" s="155" t="str">
        <f t="shared" si="225"/>
        <v>NA</v>
      </c>
      <c r="AE143" s="155" t="str">
        <f t="shared" si="226"/>
        <v>NA</v>
      </c>
      <c r="AF143" s="155" t="str">
        <f t="shared" si="227"/>
        <v>NA</v>
      </c>
      <c r="AG143" s="156" t="str">
        <f t="shared" si="228"/>
        <v>NA</v>
      </c>
      <c r="AH143" s="478" t="str">
        <f t="shared" si="229"/>
        <v>NA</v>
      </c>
      <c r="AI143" s="479" t="str">
        <f t="shared" si="230"/>
        <v>NA</v>
      </c>
      <c r="AJ143" s="480" t="str">
        <f t="shared" si="231"/>
        <v>NA</v>
      </c>
      <c r="AK143" s="480" t="str">
        <f t="shared" si="232"/>
        <v>NA</v>
      </c>
      <c r="AL143" s="480" t="str">
        <f t="shared" si="233"/>
        <v>NA</v>
      </c>
      <c r="AM143" s="480" t="str">
        <f t="shared" si="234"/>
        <v>NA</v>
      </c>
      <c r="AN143" s="480" t="str">
        <f t="shared" si="235"/>
        <v>NA</v>
      </c>
      <c r="AO143" s="480" t="str">
        <f t="shared" si="236"/>
        <v>NA</v>
      </c>
      <c r="AP143" s="480" t="str">
        <f t="shared" si="237"/>
        <v>NA</v>
      </c>
      <c r="AQ143" s="480" t="str">
        <f t="shared" si="238"/>
        <v>NA</v>
      </c>
      <c r="AR143" s="481" t="str">
        <f t="shared" si="239"/>
        <v>NA</v>
      </c>
      <c r="AS143" s="481" t="str">
        <f t="shared" si="240"/>
        <v>NA</v>
      </c>
      <c r="AT143" s="481" t="str">
        <f t="shared" si="241"/>
        <v>NA</v>
      </c>
      <c r="AU143" s="481" t="str">
        <f t="shared" si="242"/>
        <v>NA</v>
      </c>
      <c r="AV143" s="482" t="str">
        <f t="shared" si="243"/>
        <v>NA</v>
      </c>
    </row>
    <row r="144" spans="2:48" ht="15" customHeight="1" x14ac:dyDescent="0.25">
      <c r="B144" s="166">
        <v>123</v>
      </c>
      <c r="C144" s="169" t="str">
        <f>_xlfn.XLOOKUP(B144, LgProvEntOrgIDs[Advanced Network/Insurer Carrier Org ID], LgProvEntOrgIDs[Advanced Network/Insurance Carrier Overall])</f>
        <v>Optimus Health Care, Inc.</v>
      </c>
      <c r="D144" s="507">
        <f t="shared" si="199"/>
        <v>0</v>
      </c>
      <c r="E144" s="155" t="str">
        <f t="shared" si="200"/>
        <v>NA</v>
      </c>
      <c r="F144" s="155" t="str">
        <f t="shared" si="201"/>
        <v>NA</v>
      </c>
      <c r="G144" s="155" t="str">
        <f t="shared" si="202"/>
        <v>NA</v>
      </c>
      <c r="H144" s="155" t="str">
        <f t="shared" si="203"/>
        <v>NA</v>
      </c>
      <c r="I144" s="155" t="str">
        <f t="shared" si="204"/>
        <v>NA</v>
      </c>
      <c r="J144" s="155" t="str">
        <f t="shared" si="205"/>
        <v>NA</v>
      </c>
      <c r="K144" s="155" t="str">
        <f t="shared" si="206"/>
        <v>NA</v>
      </c>
      <c r="L144" s="155" t="str">
        <f t="shared" si="207"/>
        <v>NA</v>
      </c>
      <c r="M144" s="155" t="str">
        <f t="shared" si="208"/>
        <v>NA</v>
      </c>
      <c r="N144" s="155" t="str">
        <f t="shared" si="209"/>
        <v>NA</v>
      </c>
      <c r="O144" s="155" t="str">
        <f t="shared" si="210"/>
        <v>NA</v>
      </c>
      <c r="P144" s="155" t="str">
        <f t="shared" si="211"/>
        <v>NA</v>
      </c>
      <c r="Q144" s="155" t="str">
        <f t="shared" si="212"/>
        <v>NA</v>
      </c>
      <c r="R144" s="165" t="str">
        <f t="shared" si="213"/>
        <v>NA</v>
      </c>
      <c r="S144" s="507">
        <f t="shared" si="214"/>
        <v>0</v>
      </c>
      <c r="T144" s="155" t="str">
        <f t="shared" si="215"/>
        <v>NA</v>
      </c>
      <c r="U144" s="155" t="str">
        <f t="shared" si="216"/>
        <v>NA</v>
      </c>
      <c r="V144" s="155" t="str">
        <f t="shared" si="217"/>
        <v>NA</v>
      </c>
      <c r="W144" s="155" t="str">
        <f t="shared" si="218"/>
        <v>NA</v>
      </c>
      <c r="X144" s="155" t="str">
        <f t="shared" si="219"/>
        <v>NA</v>
      </c>
      <c r="Y144" s="155" t="str">
        <f t="shared" si="220"/>
        <v>NA</v>
      </c>
      <c r="Z144" s="155" t="str">
        <f t="shared" si="221"/>
        <v>NA</v>
      </c>
      <c r="AA144" s="155" t="str">
        <f t="shared" si="222"/>
        <v>NA</v>
      </c>
      <c r="AB144" s="155" t="str">
        <f t="shared" si="223"/>
        <v>NA</v>
      </c>
      <c r="AC144" s="155" t="str">
        <f t="shared" si="224"/>
        <v>NA</v>
      </c>
      <c r="AD144" s="155" t="str">
        <f t="shared" si="225"/>
        <v>NA</v>
      </c>
      <c r="AE144" s="155" t="str">
        <f t="shared" si="226"/>
        <v>NA</v>
      </c>
      <c r="AF144" s="155" t="str">
        <f t="shared" si="227"/>
        <v>NA</v>
      </c>
      <c r="AG144" s="156" t="str">
        <f t="shared" si="228"/>
        <v>NA</v>
      </c>
      <c r="AH144" s="478" t="str">
        <f t="shared" si="229"/>
        <v>NA</v>
      </c>
      <c r="AI144" s="479" t="str">
        <f t="shared" si="230"/>
        <v>NA</v>
      </c>
      <c r="AJ144" s="480" t="str">
        <f t="shared" si="231"/>
        <v>NA</v>
      </c>
      <c r="AK144" s="480" t="str">
        <f t="shared" si="232"/>
        <v>NA</v>
      </c>
      <c r="AL144" s="480" t="str">
        <f t="shared" si="233"/>
        <v>NA</v>
      </c>
      <c r="AM144" s="480" t="str">
        <f t="shared" si="234"/>
        <v>NA</v>
      </c>
      <c r="AN144" s="480" t="str">
        <f t="shared" si="235"/>
        <v>NA</v>
      </c>
      <c r="AO144" s="480" t="str">
        <f t="shared" si="236"/>
        <v>NA</v>
      </c>
      <c r="AP144" s="480" t="str">
        <f t="shared" si="237"/>
        <v>NA</v>
      </c>
      <c r="AQ144" s="480" t="str">
        <f t="shared" si="238"/>
        <v>NA</v>
      </c>
      <c r="AR144" s="481" t="str">
        <f t="shared" si="239"/>
        <v>NA</v>
      </c>
      <c r="AS144" s="481" t="str">
        <f t="shared" si="240"/>
        <v>NA</v>
      </c>
      <c r="AT144" s="481" t="str">
        <f t="shared" si="241"/>
        <v>NA</v>
      </c>
      <c r="AU144" s="481" t="str">
        <f t="shared" si="242"/>
        <v>NA</v>
      </c>
      <c r="AV144" s="482" t="str">
        <f t="shared" si="243"/>
        <v>NA</v>
      </c>
    </row>
    <row r="145" spans="1:48" ht="15" customHeight="1" x14ac:dyDescent="0.25">
      <c r="B145" s="166">
        <v>124</v>
      </c>
      <c r="C145" s="169" t="str">
        <f>_xlfn.XLOOKUP(B145, LgProvEntOrgIDs[Advanced Network/Insurer Carrier Org ID], LgProvEntOrgIDs[Advanced Network/Insurance Carrier Overall])</f>
        <v>Southwest Community Health Center, Inc.</v>
      </c>
      <c r="D145" s="507">
        <f t="shared" si="199"/>
        <v>0</v>
      </c>
      <c r="E145" s="155" t="str">
        <f t="shared" si="200"/>
        <v>NA</v>
      </c>
      <c r="F145" s="155" t="str">
        <f t="shared" si="201"/>
        <v>NA</v>
      </c>
      <c r="G145" s="155" t="str">
        <f t="shared" si="202"/>
        <v>NA</v>
      </c>
      <c r="H145" s="155" t="str">
        <f t="shared" si="203"/>
        <v>NA</v>
      </c>
      <c r="I145" s="155" t="str">
        <f t="shared" si="204"/>
        <v>NA</v>
      </c>
      <c r="J145" s="155" t="str">
        <f t="shared" si="205"/>
        <v>NA</v>
      </c>
      <c r="K145" s="155" t="str">
        <f t="shared" si="206"/>
        <v>NA</v>
      </c>
      <c r="L145" s="155" t="str">
        <f t="shared" si="207"/>
        <v>NA</v>
      </c>
      <c r="M145" s="155" t="str">
        <f t="shared" si="208"/>
        <v>NA</v>
      </c>
      <c r="N145" s="155" t="str">
        <f t="shared" si="209"/>
        <v>NA</v>
      </c>
      <c r="O145" s="155" t="str">
        <f t="shared" si="210"/>
        <v>NA</v>
      </c>
      <c r="P145" s="155" t="str">
        <f t="shared" si="211"/>
        <v>NA</v>
      </c>
      <c r="Q145" s="155" t="str">
        <f t="shared" si="212"/>
        <v>NA</v>
      </c>
      <c r="R145" s="165" t="str">
        <f t="shared" si="213"/>
        <v>NA</v>
      </c>
      <c r="S145" s="507">
        <f t="shared" si="214"/>
        <v>0</v>
      </c>
      <c r="T145" s="155" t="str">
        <f t="shared" si="215"/>
        <v>NA</v>
      </c>
      <c r="U145" s="155" t="str">
        <f t="shared" si="216"/>
        <v>NA</v>
      </c>
      <c r="V145" s="155" t="str">
        <f t="shared" si="217"/>
        <v>NA</v>
      </c>
      <c r="W145" s="155" t="str">
        <f t="shared" si="218"/>
        <v>NA</v>
      </c>
      <c r="X145" s="155" t="str">
        <f t="shared" si="219"/>
        <v>NA</v>
      </c>
      <c r="Y145" s="155" t="str">
        <f t="shared" si="220"/>
        <v>NA</v>
      </c>
      <c r="Z145" s="155" t="str">
        <f t="shared" si="221"/>
        <v>NA</v>
      </c>
      <c r="AA145" s="155" t="str">
        <f t="shared" si="222"/>
        <v>NA</v>
      </c>
      <c r="AB145" s="155" t="str">
        <f t="shared" si="223"/>
        <v>NA</v>
      </c>
      <c r="AC145" s="155" t="str">
        <f t="shared" si="224"/>
        <v>NA</v>
      </c>
      <c r="AD145" s="155" t="str">
        <f t="shared" si="225"/>
        <v>NA</v>
      </c>
      <c r="AE145" s="155" t="str">
        <f t="shared" si="226"/>
        <v>NA</v>
      </c>
      <c r="AF145" s="155" t="str">
        <f t="shared" si="227"/>
        <v>NA</v>
      </c>
      <c r="AG145" s="156" t="str">
        <f t="shared" si="228"/>
        <v>NA</v>
      </c>
      <c r="AH145" s="478" t="str">
        <f t="shared" si="229"/>
        <v>NA</v>
      </c>
      <c r="AI145" s="479" t="str">
        <f t="shared" si="230"/>
        <v>NA</v>
      </c>
      <c r="AJ145" s="480" t="str">
        <f t="shared" si="231"/>
        <v>NA</v>
      </c>
      <c r="AK145" s="480" t="str">
        <f t="shared" si="232"/>
        <v>NA</v>
      </c>
      <c r="AL145" s="480" t="str">
        <f t="shared" si="233"/>
        <v>NA</v>
      </c>
      <c r="AM145" s="480" t="str">
        <f t="shared" si="234"/>
        <v>NA</v>
      </c>
      <c r="AN145" s="480" t="str">
        <f t="shared" si="235"/>
        <v>NA</v>
      </c>
      <c r="AO145" s="480" t="str">
        <f t="shared" si="236"/>
        <v>NA</v>
      </c>
      <c r="AP145" s="480" t="str">
        <f t="shared" si="237"/>
        <v>NA</v>
      </c>
      <c r="AQ145" s="480" t="str">
        <f t="shared" si="238"/>
        <v>NA</v>
      </c>
      <c r="AR145" s="481" t="str">
        <f t="shared" si="239"/>
        <v>NA</v>
      </c>
      <c r="AS145" s="481" t="str">
        <f t="shared" si="240"/>
        <v>NA</v>
      </c>
      <c r="AT145" s="481" t="str">
        <f t="shared" si="241"/>
        <v>NA</v>
      </c>
      <c r="AU145" s="481" t="str">
        <f t="shared" si="242"/>
        <v>NA</v>
      </c>
      <c r="AV145" s="482" t="str">
        <f t="shared" si="243"/>
        <v>NA</v>
      </c>
    </row>
    <row r="146" spans="1:48" ht="15" customHeight="1" x14ac:dyDescent="0.25">
      <c r="B146" s="166">
        <v>125</v>
      </c>
      <c r="C146" s="169" t="str">
        <f>_xlfn.XLOOKUP(B146, LgProvEntOrgIDs[Advanced Network/Insurer Carrier Org ID], LgProvEntOrgIDs[Advanced Network/Insurance Carrier Overall])</f>
        <v>Stamford Health Medical Group</v>
      </c>
      <c r="D146" s="507">
        <f t="shared" si="199"/>
        <v>0</v>
      </c>
      <c r="E146" s="155" t="str">
        <f t="shared" si="200"/>
        <v>NA</v>
      </c>
      <c r="F146" s="155" t="str">
        <f t="shared" si="201"/>
        <v>NA</v>
      </c>
      <c r="G146" s="155" t="str">
        <f t="shared" si="202"/>
        <v>NA</v>
      </c>
      <c r="H146" s="155" t="str">
        <f t="shared" si="203"/>
        <v>NA</v>
      </c>
      <c r="I146" s="155" t="str">
        <f t="shared" si="204"/>
        <v>NA</v>
      </c>
      <c r="J146" s="155" t="str">
        <f t="shared" si="205"/>
        <v>NA</v>
      </c>
      <c r="K146" s="155" t="str">
        <f t="shared" si="206"/>
        <v>NA</v>
      </c>
      <c r="L146" s="155" t="str">
        <f t="shared" si="207"/>
        <v>NA</v>
      </c>
      <c r="M146" s="155" t="str">
        <f t="shared" si="208"/>
        <v>NA</v>
      </c>
      <c r="N146" s="155" t="str">
        <f t="shared" si="209"/>
        <v>NA</v>
      </c>
      <c r="O146" s="155" t="str">
        <f t="shared" si="210"/>
        <v>NA</v>
      </c>
      <c r="P146" s="155" t="str">
        <f t="shared" si="211"/>
        <v>NA</v>
      </c>
      <c r="Q146" s="155" t="str">
        <f t="shared" si="212"/>
        <v>NA</v>
      </c>
      <c r="R146" s="165" t="str">
        <f t="shared" si="213"/>
        <v>NA</v>
      </c>
      <c r="S146" s="507">
        <f t="shared" si="214"/>
        <v>0</v>
      </c>
      <c r="T146" s="155" t="str">
        <f t="shared" si="215"/>
        <v>NA</v>
      </c>
      <c r="U146" s="155" t="str">
        <f t="shared" si="216"/>
        <v>NA</v>
      </c>
      <c r="V146" s="155" t="str">
        <f t="shared" si="217"/>
        <v>NA</v>
      </c>
      <c r="W146" s="155" t="str">
        <f t="shared" si="218"/>
        <v>NA</v>
      </c>
      <c r="X146" s="155" t="str">
        <f t="shared" si="219"/>
        <v>NA</v>
      </c>
      <c r="Y146" s="155" t="str">
        <f t="shared" si="220"/>
        <v>NA</v>
      </c>
      <c r="Z146" s="155" t="str">
        <f t="shared" si="221"/>
        <v>NA</v>
      </c>
      <c r="AA146" s="155" t="str">
        <f t="shared" si="222"/>
        <v>NA</v>
      </c>
      <c r="AB146" s="155" t="str">
        <f t="shared" si="223"/>
        <v>NA</v>
      </c>
      <c r="AC146" s="155" t="str">
        <f t="shared" si="224"/>
        <v>NA</v>
      </c>
      <c r="AD146" s="155" t="str">
        <f t="shared" si="225"/>
        <v>NA</v>
      </c>
      <c r="AE146" s="155" t="str">
        <f t="shared" si="226"/>
        <v>NA</v>
      </c>
      <c r="AF146" s="155" t="str">
        <f t="shared" si="227"/>
        <v>NA</v>
      </c>
      <c r="AG146" s="156" t="str">
        <f t="shared" si="228"/>
        <v>NA</v>
      </c>
      <c r="AH146" s="478" t="str">
        <f t="shared" si="229"/>
        <v>NA</v>
      </c>
      <c r="AI146" s="479" t="str">
        <f t="shared" si="230"/>
        <v>NA</v>
      </c>
      <c r="AJ146" s="480" t="str">
        <f t="shared" si="231"/>
        <v>NA</v>
      </c>
      <c r="AK146" s="480" t="str">
        <f t="shared" si="232"/>
        <v>NA</v>
      </c>
      <c r="AL146" s="480" t="str">
        <f t="shared" si="233"/>
        <v>NA</v>
      </c>
      <c r="AM146" s="480" t="str">
        <f t="shared" si="234"/>
        <v>NA</v>
      </c>
      <c r="AN146" s="480" t="str">
        <f t="shared" si="235"/>
        <v>NA</v>
      </c>
      <c r="AO146" s="480" t="str">
        <f t="shared" si="236"/>
        <v>NA</v>
      </c>
      <c r="AP146" s="480" t="str">
        <f t="shared" si="237"/>
        <v>NA</v>
      </c>
      <c r="AQ146" s="480" t="str">
        <f t="shared" si="238"/>
        <v>NA</v>
      </c>
      <c r="AR146" s="481" t="str">
        <f t="shared" si="239"/>
        <v>NA</v>
      </c>
      <c r="AS146" s="481" t="str">
        <f t="shared" si="240"/>
        <v>NA</v>
      </c>
      <c r="AT146" s="481" t="str">
        <f t="shared" si="241"/>
        <v>NA</v>
      </c>
      <c r="AU146" s="481" t="str">
        <f t="shared" si="242"/>
        <v>NA</v>
      </c>
      <c r="AV146" s="482" t="str">
        <f t="shared" si="243"/>
        <v>NA</v>
      </c>
    </row>
    <row r="147" spans="1:48" ht="15" customHeight="1" x14ac:dyDescent="0.25">
      <c r="B147" s="166">
        <v>126</v>
      </c>
      <c r="C147" s="169" t="str">
        <f>_xlfn.XLOOKUP(B147, LgProvEntOrgIDs[Advanced Network/Insurer Carrier Org ID], LgProvEntOrgIDs[Advanced Network/Insurance Carrier Overall])</f>
        <v>Starling Physicians</v>
      </c>
      <c r="D147" s="507">
        <f t="shared" si="199"/>
        <v>0</v>
      </c>
      <c r="E147" s="155" t="str">
        <f t="shared" si="200"/>
        <v>NA</v>
      </c>
      <c r="F147" s="155" t="str">
        <f t="shared" si="201"/>
        <v>NA</v>
      </c>
      <c r="G147" s="155" t="str">
        <f t="shared" si="202"/>
        <v>NA</v>
      </c>
      <c r="H147" s="155" t="str">
        <f t="shared" si="203"/>
        <v>NA</v>
      </c>
      <c r="I147" s="155" t="str">
        <f t="shared" si="204"/>
        <v>NA</v>
      </c>
      <c r="J147" s="155" t="str">
        <f t="shared" si="205"/>
        <v>NA</v>
      </c>
      <c r="K147" s="155" t="str">
        <f t="shared" si="206"/>
        <v>NA</v>
      </c>
      <c r="L147" s="155" t="str">
        <f t="shared" si="207"/>
        <v>NA</v>
      </c>
      <c r="M147" s="155" t="str">
        <f t="shared" si="208"/>
        <v>NA</v>
      </c>
      <c r="N147" s="155" t="str">
        <f t="shared" si="209"/>
        <v>NA</v>
      </c>
      <c r="O147" s="155" t="str">
        <f t="shared" si="210"/>
        <v>NA</v>
      </c>
      <c r="P147" s="155" t="str">
        <f t="shared" si="211"/>
        <v>NA</v>
      </c>
      <c r="Q147" s="155" t="str">
        <f t="shared" si="212"/>
        <v>NA</v>
      </c>
      <c r="R147" s="165" t="str">
        <f t="shared" si="213"/>
        <v>NA</v>
      </c>
      <c r="S147" s="507">
        <f t="shared" si="214"/>
        <v>0</v>
      </c>
      <c r="T147" s="155" t="str">
        <f t="shared" si="215"/>
        <v>NA</v>
      </c>
      <c r="U147" s="155" t="str">
        <f t="shared" si="216"/>
        <v>NA</v>
      </c>
      <c r="V147" s="155" t="str">
        <f t="shared" si="217"/>
        <v>NA</v>
      </c>
      <c r="W147" s="155" t="str">
        <f t="shared" si="218"/>
        <v>NA</v>
      </c>
      <c r="X147" s="155" t="str">
        <f t="shared" si="219"/>
        <v>NA</v>
      </c>
      <c r="Y147" s="155" t="str">
        <f t="shared" si="220"/>
        <v>NA</v>
      </c>
      <c r="Z147" s="155" t="str">
        <f t="shared" si="221"/>
        <v>NA</v>
      </c>
      <c r="AA147" s="155" t="str">
        <f t="shared" si="222"/>
        <v>NA</v>
      </c>
      <c r="AB147" s="155" t="str">
        <f t="shared" si="223"/>
        <v>NA</v>
      </c>
      <c r="AC147" s="155" t="str">
        <f t="shared" si="224"/>
        <v>NA</v>
      </c>
      <c r="AD147" s="155" t="str">
        <f t="shared" si="225"/>
        <v>NA</v>
      </c>
      <c r="AE147" s="155" t="str">
        <f t="shared" si="226"/>
        <v>NA</v>
      </c>
      <c r="AF147" s="155" t="str">
        <f t="shared" si="227"/>
        <v>NA</v>
      </c>
      <c r="AG147" s="156" t="str">
        <f t="shared" si="228"/>
        <v>NA</v>
      </c>
      <c r="AH147" s="478" t="str">
        <f t="shared" si="229"/>
        <v>NA</v>
      </c>
      <c r="AI147" s="479" t="str">
        <f t="shared" si="230"/>
        <v>NA</v>
      </c>
      <c r="AJ147" s="480" t="str">
        <f t="shared" si="231"/>
        <v>NA</v>
      </c>
      <c r="AK147" s="480" t="str">
        <f t="shared" si="232"/>
        <v>NA</v>
      </c>
      <c r="AL147" s="480" t="str">
        <f t="shared" si="233"/>
        <v>NA</v>
      </c>
      <c r="AM147" s="480" t="str">
        <f t="shared" si="234"/>
        <v>NA</v>
      </c>
      <c r="AN147" s="480" t="str">
        <f t="shared" si="235"/>
        <v>NA</v>
      </c>
      <c r="AO147" s="480" t="str">
        <f t="shared" si="236"/>
        <v>NA</v>
      </c>
      <c r="AP147" s="480" t="str">
        <f t="shared" si="237"/>
        <v>NA</v>
      </c>
      <c r="AQ147" s="480" t="str">
        <f t="shared" si="238"/>
        <v>NA</v>
      </c>
      <c r="AR147" s="481" t="str">
        <f t="shared" si="239"/>
        <v>NA</v>
      </c>
      <c r="AS147" s="481" t="str">
        <f t="shared" si="240"/>
        <v>NA</v>
      </c>
      <c r="AT147" s="481" t="str">
        <f t="shared" si="241"/>
        <v>NA</v>
      </c>
      <c r="AU147" s="481" t="str">
        <f t="shared" si="242"/>
        <v>NA</v>
      </c>
      <c r="AV147" s="482" t="str">
        <f t="shared" si="243"/>
        <v>NA</v>
      </c>
    </row>
    <row r="148" spans="1:48" ht="15" customHeight="1" x14ac:dyDescent="0.25">
      <c r="B148" s="166">
        <v>127</v>
      </c>
      <c r="C148" s="169" t="str">
        <f>_xlfn.XLOOKUP(B148, LgProvEntOrgIDs[Advanced Network/Insurer Carrier Org ID], LgProvEntOrgIDs[Advanced Network/Insurance Carrier Overall])</f>
        <v>UConn Medical Group</v>
      </c>
      <c r="D148" s="507">
        <f t="shared" si="199"/>
        <v>0</v>
      </c>
      <c r="E148" s="155" t="str">
        <f t="shared" si="200"/>
        <v>NA</v>
      </c>
      <c r="F148" s="155" t="str">
        <f t="shared" si="201"/>
        <v>NA</v>
      </c>
      <c r="G148" s="155" t="str">
        <f t="shared" si="202"/>
        <v>NA</v>
      </c>
      <c r="H148" s="155" t="str">
        <f t="shared" si="203"/>
        <v>NA</v>
      </c>
      <c r="I148" s="155" t="str">
        <f t="shared" si="204"/>
        <v>NA</v>
      </c>
      <c r="J148" s="155" t="str">
        <f t="shared" si="205"/>
        <v>NA</v>
      </c>
      <c r="K148" s="155" t="str">
        <f t="shared" si="206"/>
        <v>NA</v>
      </c>
      <c r="L148" s="155" t="str">
        <f t="shared" si="207"/>
        <v>NA</v>
      </c>
      <c r="M148" s="155" t="str">
        <f t="shared" si="208"/>
        <v>NA</v>
      </c>
      <c r="N148" s="155" t="str">
        <f t="shared" si="209"/>
        <v>NA</v>
      </c>
      <c r="O148" s="155" t="str">
        <f t="shared" si="210"/>
        <v>NA</v>
      </c>
      <c r="P148" s="155" t="str">
        <f t="shared" si="211"/>
        <v>NA</v>
      </c>
      <c r="Q148" s="155" t="str">
        <f t="shared" si="212"/>
        <v>NA</v>
      </c>
      <c r="R148" s="165" t="str">
        <f t="shared" si="213"/>
        <v>NA</v>
      </c>
      <c r="S148" s="507">
        <f t="shared" si="214"/>
        <v>0</v>
      </c>
      <c r="T148" s="155" t="str">
        <f t="shared" si="215"/>
        <v>NA</v>
      </c>
      <c r="U148" s="155" t="str">
        <f t="shared" si="216"/>
        <v>NA</v>
      </c>
      <c r="V148" s="155" t="str">
        <f t="shared" si="217"/>
        <v>NA</v>
      </c>
      <c r="W148" s="155" t="str">
        <f t="shared" si="218"/>
        <v>NA</v>
      </c>
      <c r="X148" s="155" t="str">
        <f t="shared" si="219"/>
        <v>NA</v>
      </c>
      <c r="Y148" s="155" t="str">
        <f t="shared" si="220"/>
        <v>NA</v>
      </c>
      <c r="Z148" s="155" t="str">
        <f t="shared" si="221"/>
        <v>NA</v>
      </c>
      <c r="AA148" s="155" t="str">
        <f t="shared" si="222"/>
        <v>NA</v>
      </c>
      <c r="AB148" s="155" t="str">
        <f t="shared" si="223"/>
        <v>NA</v>
      </c>
      <c r="AC148" s="155" t="str">
        <f t="shared" si="224"/>
        <v>NA</v>
      </c>
      <c r="AD148" s="155" t="str">
        <f t="shared" si="225"/>
        <v>NA</v>
      </c>
      <c r="AE148" s="155" t="str">
        <f t="shared" si="226"/>
        <v>NA</v>
      </c>
      <c r="AF148" s="155" t="str">
        <f t="shared" si="227"/>
        <v>NA</v>
      </c>
      <c r="AG148" s="156" t="str">
        <f t="shared" si="228"/>
        <v>NA</v>
      </c>
      <c r="AH148" s="478" t="str">
        <f t="shared" si="229"/>
        <v>NA</v>
      </c>
      <c r="AI148" s="479" t="str">
        <f t="shared" si="230"/>
        <v>NA</v>
      </c>
      <c r="AJ148" s="480" t="str">
        <f t="shared" si="231"/>
        <v>NA</v>
      </c>
      <c r="AK148" s="480" t="str">
        <f t="shared" si="232"/>
        <v>NA</v>
      </c>
      <c r="AL148" s="480" t="str">
        <f t="shared" si="233"/>
        <v>NA</v>
      </c>
      <c r="AM148" s="480" t="str">
        <f t="shared" si="234"/>
        <v>NA</v>
      </c>
      <c r="AN148" s="480" t="str">
        <f t="shared" si="235"/>
        <v>NA</v>
      </c>
      <c r="AO148" s="480" t="str">
        <f t="shared" si="236"/>
        <v>NA</v>
      </c>
      <c r="AP148" s="480" t="str">
        <f t="shared" si="237"/>
        <v>NA</v>
      </c>
      <c r="AQ148" s="480" t="str">
        <f t="shared" si="238"/>
        <v>NA</v>
      </c>
      <c r="AR148" s="481" t="str">
        <f t="shared" si="239"/>
        <v>NA</v>
      </c>
      <c r="AS148" s="481" t="str">
        <f t="shared" si="240"/>
        <v>NA</v>
      </c>
      <c r="AT148" s="481" t="str">
        <f t="shared" si="241"/>
        <v>NA</v>
      </c>
      <c r="AU148" s="481" t="str">
        <f t="shared" si="242"/>
        <v>NA</v>
      </c>
      <c r="AV148" s="482" t="str">
        <f t="shared" si="243"/>
        <v>NA</v>
      </c>
    </row>
    <row r="149" spans="1:48" ht="15" customHeight="1" x14ac:dyDescent="0.25">
      <c r="B149" s="166">
        <v>128</v>
      </c>
      <c r="C149" s="169" t="str">
        <f>_xlfn.XLOOKUP(B149, LgProvEntOrgIDs[Advanced Network/Insurer Carrier Org ID], LgProvEntOrgIDs[Advanced Network/Insurance Carrier Overall])</f>
        <v>United Community and Family Services</v>
      </c>
      <c r="D149" s="507">
        <f t="shared" si="199"/>
        <v>0</v>
      </c>
      <c r="E149" s="155" t="str">
        <f t="shared" si="200"/>
        <v>NA</v>
      </c>
      <c r="F149" s="155" t="str">
        <f t="shared" si="201"/>
        <v>NA</v>
      </c>
      <c r="G149" s="155" t="str">
        <f t="shared" si="202"/>
        <v>NA</v>
      </c>
      <c r="H149" s="155" t="str">
        <f t="shared" si="203"/>
        <v>NA</v>
      </c>
      <c r="I149" s="155" t="str">
        <f t="shared" si="204"/>
        <v>NA</v>
      </c>
      <c r="J149" s="155" t="str">
        <f t="shared" si="205"/>
        <v>NA</v>
      </c>
      <c r="K149" s="155" t="str">
        <f t="shared" si="206"/>
        <v>NA</v>
      </c>
      <c r="L149" s="155" t="str">
        <f t="shared" si="207"/>
        <v>NA</v>
      </c>
      <c r="M149" s="155" t="str">
        <f t="shared" si="208"/>
        <v>NA</v>
      </c>
      <c r="N149" s="155" t="str">
        <f t="shared" si="209"/>
        <v>NA</v>
      </c>
      <c r="O149" s="155" t="str">
        <f t="shared" si="210"/>
        <v>NA</v>
      </c>
      <c r="P149" s="155" t="str">
        <f t="shared" si="211"/>
        <v>NA</v>
      </c>
      <c r="Q149" s="155" t="str">
        <f t="shared" si="212"/>
        <v>NA</v>
      </c>
      <c r="R149" s="165" t="str">
        <f t="shared" si="213"/>
        <v>NA</v>
      </c>
      <c r="S149" s="507">
        <f t="shared" si="214"/>
        <v>0</v>
      </c>
      <c r="T149" s="155" t="str">
        <f t="shared" si="215"/>
        <v>NA</v>
      </c>
      <c r="U149" s="155" t="str">
        <f t="shared" si="216"/>
        <v>NA</v>
      </c>
      <c r="V149" s="155" t="str">
        <f t="shared" si="217"/>
        <v>NA</v>
      </c>
      <c r="W149" s="155" t="str">
        <f t="shared" si="218"/>
        <v>NA</v>
      </c>
      <c r="X149" s="155" t="str">
        <f t="shared" si="219"/>
        <v>NA</v>
      </c>
      <c r="Y149" s="155" t="str">
        <f t="shared" si="220"/>
        <v>NA</v>
      </c>
      <c r="Z149" s="155" t="str">
        <f t="shared" si="221"/>
        <v>NA</v>
      </c>
      <c r="AA149" s="155" t="str">
        <f t="shared" si="222"/>
        <v>NA</v>
      </c>
      <c r="AB149" s="155" t="str">
        <f t="shared" si="223"/>
        <v>NA</v>
      </c>
      <c r="AC149" s="155" t="str">
        <f t="shared" si="224"/>
        <v>NA</v>
      </c>
      <c r="AD149" s="155" t="str">
        <f t="shared" si="225"/>
        <v>NA</v>
      </c>
      <c r="AE149" s="155" t="str">
        <f t="shared" si="226"/>
        <v>NA</v>
      </c>
      <c r="AF149" s="155" t="str">
        <f t="shared" si="227"/>
        <v>NA</v>
      </c>
      <c r="AG149" s="156" t="str">
        <f t="shared" si="228"/>
        <v>NA</v>
      </c>
      <c r="AH149" s="478" t="str">
        <f t="shared" si="229"/>
        <v>NA</v>
      </c>
      <c r="AI149" s="479" t="str">
        <f t="shared" si="230"/>
        <v>NA</v>
      </c>
      <c r="AJ149" s="480" t="str">
        <f t="shared" si="231"/>
        <v>NA</v>
      </c>
      <c r="AK149" s="480" t="str">
        <f t="shared" si="232"/>
        <v>NA</v>
      </c>
      <c r="AL149" s="480" t="str">
        <f t="shared" si="233"/>
        <v>NA</v>
      </c>
      <c r="AM149" s="480" t="str">
        <f t="shared" si="234"/>
        <v>NA</v>
      </c>
      <c r="AN149" s="480" t="str">
        <f t="shared" si="235"/>
        <v>NA</v>
      </c>
      <c r="AO149" s="480" t="str">
        <f t="shared" si="236"/>
        <v>NA</v>
      </c>
      <c r="AP149" s="480" t="str">
        <f t="shared" si="237"/>
        <v>NA</v>
      </c>
      <c r="AQ149" s="480" t="str">
        <f t="shared" si="238"/>
        <v>NA</v>
      </c>
      <c r="AR149" s="481" t="str">
        <f t="shared" si="239"/>
        <v>NA</v>
      </c>
      <c r="AS149" s="481" t="str">
        <f t="shared" si="240"/>
        <v>NA</v>
      </c>
      <c r="AT149" s="481" t="str">
        <f t="shared" si="241"/>
        <v>NA</v>
      </c>
      <c r="AU149" s="481" t="str">
        <f t="shared" si="242"/>
        <v>NA</v>
      </c>
      <c r="AV149" s="482" t="str">
        <f t="shared" si="243"/>
        <v>NA</v>
      </c>
    </row>
    <row r="150" spans="1:48" ht="15" customHeight="1" x14ac:dyDescent="0.25">
      <c r="B150" s="166">
        <v>129</v>
      </c>
      <c r="C150" s="169" t="str">
        <f>_xlfn.XLOOKUP(B150, LgProvEntOrgIDs[Advanced Network/Insurer Carrier Org ID], LgProvEntOrgIDs[Advanced Network/Insurance Carrier Overall])</f>
        <v>Summit Health (formerly WestMed Medical Group)</v>
      </c>
      <c r="D150" s="507">
        <f t="shared" si="199"/>
        <v>0</v>
      </c>
      <c r="E150" s="155" t="str">
        <f t="shared" si="200"/>
        <v>NA</v>
      </c>
      <c r="F150" s="155" t="str">
        <f t="shared" si="201"/>
        <v>NA</v>
      </c>
      <c r="G150" s="155" t="str">
        <f t="shared" si="202"/>
        <v>NA</v>
      </c>
      <c r="H150" s="155" t="str">
        <f t="shared" si="203"/>
        <v>NA</v>
      </c>
      <c r="I150" s="155" t="str">
        <f t="shared" si="204"/>
        <v>NA</v>
      </c>
      <c r="J150" s="155" t="str">
        <f t="shared" si="205"/>
        <v>NA</v>
      </c>
      <c r="K150" s="155" t="str">
        <f t="shared" si="206"/>
        <v>NA</v>
      </c>
      <c r="L150" s="155" t="str">
        <f t="shared" si="207"/>
        <v>NA</v>
      </c>
      <c r="M150" s="155" t="str">
        <f t="shared" si="208"/>
        <v>NA</v>
      </c>
      <c r="N150" s="155" t="str">
        <f t="shared" si="209"/>
        <v>NA</v>
      </c>
      <c r="O150" s="155" t="str">
        <f t="shared" si="210"/>
        <v>NA</v>
      </c>
      <c r="P150" s="155" t="str">
        <f t="shared" si="211"/>
        <v>NA</v>
      </c>
      <c r="Q150" s="155" t="str">
        <f t="shared" si="212"/>
        <v>NA</v>
      </c>
      <c r="R150" s="165" t="str">
        <f t="shared" si="213"/>
        <v>NA</v>
      </c>
      <c r="S150" s="507">
        <f t="shared" si="214"/>
        <v>0</v>
      </c>
      <c r="T150" s="155" t="str">
        <f t="shared" si="215"/>
        <v>NA</v>
      </c>
      <c r="U150" s="155" t="str">
        <f t="shared" si="216"/>
        <v>NA</v>
      </c>
      <c r="V150" s="155" t="str">
        <f t="shared" si="217"/>
        <v>NA</v>
      </c>
      <c r="W150" s="155" t="str">
        <f t="shared" si="218"/>
        <v>NA</v>
      </c>
      <c r="X150" s="155" t="str">
        <f t="shared" si="219"/>
        <v>NA</v>
      </c>
      <c r="Y150" s="155" t="str">
        <f t="shared" si="220"/>
        <v>NA</v>
      </c>
      <c r="Z150" s="155" t="str">
        <f t="shared" si="221"/>
        <v>NA</v>
      </c>
      <c r="AA150" s="155" t="str">
        <f t="shared" si="222"/>
        <v>NA</v>
      </c>
      <c r="AB150" s="155" t="str">
        <f t="shared" si="223"/>
        <v>NA</v>
      </c>
      <c r="AC150" s="155" t="str">
        <f t="shared" si="224"/>
        <v>NA</v>
      </c>
      <c r="AD150" s="155" t="str">
        <f t="shared" si="225"/>
        <v>NA</v>
      </c>
      <c r="AE150" s="155" t="str">
        <f t="shared" si="226"/>
        <v>NA</v>
      </c>
      <c r="AF150" s="155" t="str">
        <f t="shared" si="227"/>
        <v>NA</v>
      </c>
      <c r="AG150" s="156" t="str">
        <f t="shared" si="228"/>
        <v>NA</v>
      </c>
      <c r="AH150" s="478" t="str">
        <f t="shared" si="229"/>
        <v>NA</v>
      </c>
      <c r="AI150" s="479" t="str">
        <f t="shared" si="230"/>
        <v>NA</v>
      </c>
      <c r="AJ150" s="480" t="str">
        <f t="shared" si="231"/>
        <v>NA</v>
      </c>
      <c r="AK150" s="480" t="str">
        <f t="shared" si="232"/>
        <v>NA</v>
      </c>
      <c r="AL150" s="480" t="str">
        <f t="shared" si="233"/>
        <v>NA</v>
      </c>
      <c r="AM150" s="480" t="str">
        <f t="shared" si="234"/>
        <v>NA</v>
      </c>
      <c r="AN150" s="480" t="str">
        <f t="shared" si="235"/>
        <v>NA</v>
      </c>
      <c r="AO150" s="480" t="str">
        <f t="shared" si="236"/>
        <v>NA</v>
      </c>
      <c r="AP150" s="480" t="str">
        <f t="shared" si="237"/>
        <v>NA</v>
      </c>
      <c r="AQ150" s="480" t="str">
        <f t="shared" si="238"/>
        <v>NA</v>
      </c>
      <c r="AR150" s="481" t="str">
        <f t="shared" si="239"/>
        <v>NA</v>
      </c>
      <c r="AS150" s="481" t="str">
        <f t="shared" si="240"/>
        <v>NA</v>
      </c>
      <c r="AT150" s="481" t="str">
        <f t="shared" si="241"/>
        <v>NA</v>
      </c>
      <c r="AU150" s="481" t="str">
        <f t="shared" si="242"/>
        <v>NA</v>
      </c>
      <c r="AV150" s="482" t="str">
        <f t="shared" si="243"/>
        <v>NA</v>
      </c>
    </row>
    <row r="151" spans="1:48" ht="15" customHeight="1" x14ac:dyDescent="0.25">
      <c r="B151" s="166">
        <v>130</v>
      </c>
      <c r="C151" s="169" t="str">
        <f>_xlfn.XLOOKUP(B151, LgProvEntOrgIDs[Advanced Network/Insurer Carrier Org ID], LgProvEntOrgIDs[Advanced Network/Insurance Carrier Overall])</f>
        <v>Wheeler Clinic</v>
      </c>
      <c r="D151" s="507">
        <f t="shared" si="199"/>
        <v>0</v>
      </c>
      <c r="E151" s="155" t="str">
        <f t="shared" si="200"/>
        <v>NA</v>
      </c>
      <c r="F151" s="155" t="str">
        <f t="shared" si="201"/>
        <v>NA</v>
      </c>
      <c r="G151" s="155" t="str">
        <f t="shared" si="202"/>
        <v>NA</v>
      </c>
      <c r="H151" s="155" t="str">
        <f t="shared" si="203"/>
        <v>NA</v>
      </c>
      <c r="I151" s="155" t="str">
        <f t="shared" si="204"/>
        <v>NA</v>
      </c>
      <c r="J151" s="155" t="str">
        <f t="shared" si="205"/>
        <v>NA</v>
      </c>
      <c r="K151" s="155" t="str">
        <f t="shared" si="206"/>
        <v>NA</v>
      </c>
      <c r="L151" s="155" t="str">
        <f t="shared" si="207"/>
        <v>NA</v>
      </c>
      <c r="M151" s="155" t="str">
        <f t="shared" si="208"/>
        <v>NA</v>
      </c>
      <c r="N151" s="155" t="str">
        <f t="shared" si="209"/>
        <v>NA</v>
      </c>
      <c r="O151" s="155" t="str">
        <f t="shared" si="210"/>
        <v>NA</v>
      </c>
      <c r="P151" s="155" t="str">
        <f t="shared" si="211"/>
        <v>NA</v>
      </c>
      <c r="Q151" s="155" t="str">
        <f t="shared" si="212"/>
        <v>NA</v>
      </c>
      <c r="R151" s="165" t="str">
        <f t="shared" si="213"/>
        <v>NA</v>
      </c>
      <c r="S151" s="507">
        <f t="shared" si="214"/>
        <v>0</v>
      </c>
      <c r="T151" s="155" t="str">
        <f t="shared" si="215"/>
        <v>NA</v>
      </c>
      <c r="U151" s="155" t="str">
        <f t="shared" si="216"/>
        <v>NA</v>
      </c>
      <c r="V151" s="155" t="str">
        <f t="shared" si="217"/>
        <v>NA</v>
      </c>
      <c r="W151" s="155" t="str">
        <f t="shared" si="218"/>
        <v>NA</v>
      </c>
      <c r="X151" s="155" t="str">
        <f t="shared" si="219"/>
        <v>NA</v>
      </c>
      <c r="Y151" s="155" t="str">
        <f t="shared" si="220"/>
        <v>NA</v>
      </c>
      <c r="Z151" s="155" t="str">
        <f t="shared" si="221"/>
        <v>NA</v>
      </c>
      <c r="AA151" s="155" t="str">
        <f t="shared" si="222"/>
        <v>NA</v>
      </c>
      <c r="AB151" s="155" t="str">
        <f t="shared" si="223"/>
        <v>NA</v>
      </c>
      <c r="AC151" s="155" t="str">
        <f t="shared" si="224"/>
        <v>NA</v>
      </c>
      <c r="AD151" s="155" t="str">
        <f t="shared" si="225"/>
        <v>NA</v>
      </c>
      <c r="AE151" s="155" t="str">
        <f t="shared" si="226"/>
        <v>NA</v>
      </c>
      <c r="AF151" s="155" t="str">
        <f t="shared" si="227"/>
        <v>NA</v>
      </c>
      <c r="AG151" s="156" t="str">
        <f t="shared" si="228"/>
        <v>NA</v>
      </c>
      <c r="AH151" s="478" t="str">
        <f t="shared" si="229"/>
        <v>NA</v>
      </c>
      <c r="AI151" s="479" t="str">
        <f t="shared" si="230"/>
        <v>NA</v>
      </c>
      <c r="AJ151" s="480" t="str">
        <f t="shared" si="231"/>
        <v>NA</v>
      </c>
      <c r="AK151" s="480" t="str">
        <f t="shared" si="232"/>
        <v>NA</v>
      </c>
      <c r="AL151" s="480" t="str">
        <f t="shared" si="233"/>
        <v>NA</v>
      </c>
      <c r="AM151" s="480" t="str">
        <f t="shared" si="234"/>
        <v>NA</v>
      </c>
      <c r="AN151" s="480" t="str">
        <f t="shared" si="235"/>
        <v>NA</v>
      </c>
      <c r="AO151" s="480" t="str">
        <f t="shared" si="236"/>
        <v>NA</v>
      </c>
      <c r="AP151" s="480" t="str">
        <f t="shared" si="237"/>
        <v>NA</v>
      </c>
      <c r="AQ151" s="480" t="str">
        <f t="shared" si="238"/>
        <v>NA</v>
      </c>
      <c r="AR151" s="481" t="str">
        <f t="shared" si="239"/>
        <v>NA</v>
      </c>
      <c r="AS151" s="481" t="str">
        <f t="shared" si="240"/>
        <v>NA</v>
      </c>
      <c r="AT151" s="481" t="str">
        <f t="shared" si="241"/>
        <v>NA</v>
      </c>
      <c r="AU151" s="481" t="str">
        <f t="shared" si="242"/>
        <v>NA</v>
      </c>
      <c r="AV151" s="482" t="str">
        <f t="shared" si="243"/>
        <v>NA</v>
      </c>
    </row>
    <row r="152" spans="1:48" ht="15" customHeight="1" x14ac:dyDescent="0.25">
      <c r="B152" s="166">
        <v>131</v>
      </c>
      <c r="C152" s="169" t="str">
        <f>_xlfn.XLOOKUP(B152, LgProvEntOrgIDs[Advanced Network/Insurer Carrier Org ID], LgProvEntOrgIDs[Advanced Network/Insurance Carrier Overall])</f>
        <v>Yale Medicine</v>
      </c>
      <c r="D152" s="507">
        <f t="shared" si="199"/>
        <v>0</v>
      </c>
      <c r="E152" s="155" t="str">
        <f t="shared" si="200"/>
        <v>NA</v>
      </c>
      <c r="F152" s="155" t="str">
        <f t="shared" si="201"/>
        <v>NA</v>
      </c>
      <c r="G152" s="155" t="s">
        <v>324</v>
      </c>
      <c r="H152" s="155" t="str">
        <f t="shared" si="203"/>
        <v>NA</v>
      </c>
      <c r="I152" s="155" t="str">
        <f t="shared" si="204"/>
        <v>NA</v>
      </c>
      <c r="J152" s="155" t="str">
        <f t="shared" si="205"/>
        <v>NA</v>
      </c>
      <c r="K152" s="155" t="str">
        <f t="shared" si="206"/>
        <v>NA</v>
      </c>
      <c r="L152" s="155" t="str">
        <f t="shared" si="207"/>
        <v>NA</v>
      </c>
      <c r="M152" s="155" t="str">
        <f t="shared" si="208"/>
        <v>NA</v>
      </c>
      <c r="N152" s="155" t="str">
        <f t="shared" si="209"/>
        <v>NA</v>
      </c>
      <c r="O152" s="155" t="str">
        <f t="shared" si="210"/>
        <v>NA</v>
      </c>
      <c r="P152" s="155" t="str">
        <f t="shared" si="211"/>
        <v>NA</v>
      </c>
      <c r="Q152" s="155" t="str">
        <f t="shared" si="212"/>
        <v>NA</v>
      </c>
      <c r="R152" s="165" t="str">
        <f t="shared" si="213"/>
        <v>NA</v>
      </c>
      <c r="S152" s="507">
        <f t="shared" si="214"/>
        <v>0</v>
      </c>
      <c r="T152" s="155" t="str">
        <f t="shared" si="215"/>
        <v>NA</v>
      </c>
      <c r="U152" s="155" t="str">
        <f t="shared" si="216"/>
        <v>NA</v>
      </c>
      <c r="V152" s="155" t="str">
        <f t="shared" si="217"/>
        <v>NA</v>
      </c>
      <c r="W152" s="155" t="str">
        <f t="shared" si="218"/>
        <v>NA</v>
      </c>
      <c r="X152" s="155" t="str">
        <f t="shared" si="219"/>
        <v>NA</v>
      </c>
      <c r="Y152" s="155" t="str">
        <f t="shared" si="220"/>
        <v>NA</v>
      </c>
      <c r="Z152" s="155" t="str">
        <f t="shared" si="221"/>
        <v>NA</v>
      </c>
      <c r="AA152" s="155" t="str">
        <f t="shared" si="222"/>
        <v>NA</v>
      </c>
      <c r="AB152" s="155" t="str">
        <f t="shared" si="223"/>
        <v>NA</v>
      </c>
      <c r="AC152" s="155" t="str">
        <f t="shared" si="224"/>
        <v>NA</v>
      </c>
      <c r="AD152" s="155" t="str">
        <f t="shared" si="225"/>
        <v>NA</v>
      </c>
      <c r="AE152" s="155" t="str">
        <f t="shared" si="226"/>
        <v>NA</v>
      </c>
      <c r="AF152" s="155" t="str">
        <f t="shared" si="227"/>
        <v>NA</v>
      </c>
      <c r="AG152" s="156" t="str">
        <f t="shared" si="228"/>
        <v>NA</v>
      </c>
      <c r="AH152" s="478" t="str">
        <f t="shared" si="229"/>
        <v>NA</v>
      </c>
      <c r="AI152" s="479" t="str">
        <f t="shared" si="230"/>
        <v>NA</v>
      </c>
      <c r="AJ152" s="480" t="str">
        <f t="shared" si="231"/>
        <v>NA</v>
      </c>
      <c r="AK152" s="480" t="str">
        <f t="shared" si="232"/>
        <v>NA</v>
      </c>
      <c r="AL152" s="480" t="str">
        <f t="shared" si="233"/>
        <v>NA</v>
      </c>
      <c r="AM152" s="480" t="str">
        <f t="shared" si="234"/>
        <v>NA</v>
      </c>
      <c r="AN152" s="480" t="str">
        <f t="shared" si="235"/>
        <v>NA</v>
      </c>
      <c r="AO152" s="480" t="str">
        <f t="shared" si="236"/>
        <v>NA</v>
      </c>
      <c r="AP152" s="480" t="str">
        <f t="shared" si="237"/>
        <v>NA</v>
      </c>
      <c r="AQ152" s="480" t="str">
        <f t="shared" si="238"/>
        <v>NA</v>
      </c>
      <c r="AR152" s="481" t="str">
        <f t="shared" si="239"/>
        <v>NA</v>
      </c>
      <c r="AS152" s="481" t="str">
        <f t="shared" si="240"/>
        <v>NA</v>
      </c>
      <c r="AT152" s="481" t="str">
        <f t="shared" si="241"/>
        <v>NA</v>
      </c>
      <c r="AU152" s="481" t="str">
        <f t="shared" si="242"/>
        <v>NA</v>
      </c>
      <c r="AV152" s="482" t="str">
        <f t="shared" si="243"/>
        <v>NA</v>
      </c>
    </row>
    <row r="153" spans="1:48" ht="15" customHeight="1" x14ac:dyDescent="0.25">
      <c r="B153" s="166">
        <v>999</v>
      </c>
      <c r="C153" s="169" t="str">
        <f>_xlfn.XLOOKUP(B153, LgProvEntOrgIDs[Advanced Network/Insurer Carrier Org ID], LgProvEntOrgIDs[Advanced Network/Insurance Carrier Overall])</f>
        <v>Members Not Attributed to an Advanced Network</v>
      </c>
      <c r="D153" s="507">
        <f>D191+D229</f>
        <v>0</v>
      </c>
      <c r="E153" s="155" t="str">
        <f>IF(D153=0,"NA",(SUMPRODUCT(E191,D191)+SUMPRODUCT(E229,D229))/D153)</f>
        <v>NA</v>
      </c>
      <c r="F153" s="155" t="str">
        <f>IF(D153=0,"NA",(SUMPRODUCT(F191,D191)+SUMPRODUCT(F229,D229))/D153)</f>
        <v>NA</v>
      </c>
      <c r="G153" s="155" t="str">
        <f>IF(D153=0,"NA",(SUMPRODUCT(G191,D191)+SUMPRODUCT(G229,D229))/D153)</f>
        <v>NA</v>
      </c>
      <c r="H153" s="155" t="str">
        <f>IF(D153=0,"NA",(SUMPRODUCT(H191,D191)+SUMPRODUCT(H229,D229))/D153)</f>
        <v>NA</v>
      </c>
      <c r="I153" s="155" t="str">
        <f>IF(D153=0,"NA",(SUMPRODUCT(I191,D191)+SUMPRODUCT(I229,D229))/D153)</f>
        <v>NA</v>
      </c>
      <c r="J153" s="155" t="str">
        <f>IF(D153=0,"NA",(SUMPRODUCT(J191,D191)+SUMPRODUCT(J229,D229))/D153)</f>
        <v>NA</v>
      </c>
      <c r="K153" s="155" t="str">
        <f>IF(D153=0,"NA",(SUMPRODUCT(K191,D191)+SUMPRODUCT(K229,D229))/D153)</f>
        <v>NA</v>
      </c>
      <c r="L153" s="155" t="str">
        <f>IF(D153=0,"NA",(SUMPRODUCT(L191,D191)+SUMPRODUCT(L229,D229))/D153)</f>
        <v>NA</v>
      </c>
      <c r="M153" s="155" t="str">
        <f>IF(D153=0,"NA",(SUMPRODUCT(M191,D191)+SUMPRODUCT(M229,D229))/D153)</f>
        <v>NA</v>
      </c>
      <c r="N153" s="155" t="str">
        <f>IF(D153=0,"NA",(SUMPRODUCT(N191,D191)+SUMPRODUCT(N229,D229))/D153)</f>
        <v>NA</v>
      </c>
      <c r="O153" s="155" t="str">
        <f>IF(D153=0,"NA",(SUMPRODUCT(O191,D191)+SUMPRODUCT(O229,D229))/D153)</f>
        <v>NA</v>
      </c>
      <c r="P153" s="155" t="str">
        <f>IF(D153=0,"NA",(SUMPRODUCT(P191,D191)+SUMPRODUCT(P229,D229))/D153)</f>
        <v>NA</v>
      </c>
      <c r="Q153" s="155" t="str">
        <f>IF(D153=0,"NA",(SUMPRODUCT(Q191,D191)+SUMPRODUCT(Q229,D229))/D153)</f>
        <v>NA</v>
      </c>
      <c r="R153" s="165" t="str">
        <f>IF(D153=0,"NA",(SUMPRODUCT(R191,D191)+SUMPRODUCT(R229,D229))/D153)</f>
        <v>NA</v>
      </c>
      <c r="S153" s="507">
        <f>S191+S229</f>
        <v>0</v>
      </c>
      <c r="T153" s="155" t="str">
        <f>IF(S153=0,"NA",(SUMPRODUCT(T191,S191)+SUMPRODUCT(T229,S229))/S153)</f>
        <v>NA</v>
      </c>
      <c r="U153" s="155" t="str">
        <f>IF(S153=0,"NA",(SUMPRODUCT(U191,S191)+SUMPRODUCT(U229,S229))/S153)</f>
        <v>NA</v>
      </c>
      <c r="V153" s="155" t="str">
        <f>IF(S153=0,"NA",(SUMPRODUCT(V191,S191)+SUMPRODUCT(V229,S229))/S153)</f>
        <v>NA</v>
      </c>
      <c r="W153" s="155" t="str">
        <f>IF(S153=0,"NA",(SUMPRODUCT(W191,S191)+SUMPRODUCT(W229,S229))/S153)</f>
        <v>NA</v>
      </c>
      <c r="X153" s="155" t="str">
        <f>IF(S153=0,"NA",(SUMPRODUCT(X191,S191)+SUMPRODUCT(X229,S229))/S153)</f>
        <v>NA</v>
      </c>
      <c r="Y153" s="155" t="str">
        <f>IF(S153=0,"NA",(SUMPRODUCT(Y191,S191)+SUMPRODUCT(Y229,S229))/S153)</f>
        <v>NA</v>
      </c>
      <c r="Z153" s="155" t="str">
        <f>IF(S153=0,"NA",(SUMPRODUCT(Z191,S191)+SUMPRODUCT(Z229,S229))/S153)</f>
        <v>NA</v>
      </c>
      <c r="AA153" s="155" t="str">
        <f>IF(S153=0,"NA",(SUMPRODUCT(AA191,S191)+SUMPRODUCT(AA229,S229))/S153)</f>
        <v>NA</v>
      </c>
      <c r="AB153" s="155" t="str">
        <f>IF(S153=0,"NA",(SUMPRODUCT(AB191,S191)+SUMPRODUCT(AB229,S229))/S153)</f>
        <v>NA</v>
      </c>
      <c r="AC153" s="155" t="str">
        <f>IF(S153=0,"NA",(SUMPRODUCT(AC191,S191)+SUMPRODUCT(AC229,S229))/S153)</f>
        <v>NA</v>
      </c>
      <c r="AD153" s="155" t="str">
        <f>IF(S153=0,"NA",(SUMPRODUCT(AD191,S191)+SUMPRODUCT(AD229,S229))/S153)</f>
        <v>NA</v>
      </c>
      <c r="AE153" s="155" t="str">
        <f>IF(S153=0,"NA",(SUMPRODUCT(AE191,S191)+SUMPRODUCT(AE229,S229))/S153)</f>
        <v>NA</v>
      </c>
      <c r="AF153" s="155" t="str">
        <f>IF(S153=0,"NA",(SUMPRODUCT(AF191,S191)+SUMPRODUCT(AF229,S229))/S153)</f>
        <v>NA</v>
      </c>
      <c r="AG153" s="156" t="str">
        <f>IF(S153=0,"NA",(SUMPRODUCT(AG191,S191)+SUMPRODUCT(AG229,S229))/S153)</f>
        <v>NA</v>
      </c>
      <c r="AH153" s="478" t="str">
        <f>IF(D153=0,"NA",S153/D153-1)</f>
        <v>NA</v>
      </c>
      <c r="AI153" s="479" t="str">
        <f>IF(D153=0,"NA",T153/E153-1)</f>
        <v>NA</v>
      </c>
      <c r="AJ153" s="480" t="str">
        <f>IF(D153=0,"NA",U153/F153-1)</f>
        <v>NA</v>
      </c>
      <c r="AK153" s="480" t="str">
        <f>IF(D153=0,"NA",V153/G153-1)</f>
        <v>NA</v>
      </c>
      <c r="AL153" s="480" t="str">
        <f>IF(D153=0,"NA",W153/H153-1)</f>
        <v>NA</v>
      </c>
      <c r="AM153" s="480" t="str">
        <f>IF(D153=0,"NA",X153/I153-1)</f>
        <v>NA</v>
      </c>
      <c r="AN153" s="480" t="str">
        <f>IF(D153=0,"NA",Y153/J153-1)</f>
        <v>NA</v>
      </c>
      <c r="AO153" s="480" t="str">
        <f>IF(D153=0,"NA",Z153/K153-1)</f>
        <v>NA</v>
      </c>
      <c r="AP153" s="480" t="str">
        <f>IF(D153=0,"NA",AA153/L153-1)</f>
        <v>NA</v>
      </c>
      <c r="AQ153" s="480" t="str">
        <f>IF(D153=0,"NA",AB153/M153-1)</f>
        <v>NA</v>
      </c>
      <c r="AR153" s="481" t="str">
        <f>IF(D153=0,"NA",AC153/N153-1)</f>
        <v>NA</v>
      </c>
      <c r="AS153" s="481" t="str">
        <f>IF(D153=0,"NA",AD153/O153-1)</f>
        <v>NA</v>
      </c>
      <c r="AT153" s="481" t="str">
        <f>IF(D153=0,"NA",AE153/P153-1)</f>
        <v>NA</v>
      </c>
      <c r="AU153" s="481" t="str">
        <f>IF(D153=0,"NA",AF153/Q153-1)</f>
        <v>NA</v>
      </c>
      <c r="AV153" s="482" t="str">
        <f>IF(D153=0,"NA",AG153/R153-1)</f>
        <v>NA</v>
      </c>
    </row>
    <row r="154" spans="1:48" ht="15" customHeight="1" x14ac:dyDescent="0.25">
      <c r="B154" s="167"/>
      <c r="C154" s="170" t="s">
        <v>319</v>
      </c>
      <c r="D154" s="508">
        <f>SUM(D122:D153)</f>
        <v>0</v>
      </c>
      <c r="E154" s="157" t="str">
        <f>IF(D154=0,"NA",(SUMPRODUCT(E192,D192)+SUMPRODUCT(E230,D230))/D154)</f>
        <v>NA</v>
      </c>
      <c r="F154" s="110" t="str">
        <f>IF(D154=0,"NA",(SUMPRODUCT(F192,D192)+SUMPRODUCT(F230,D230))/D154)</f>
        <v>NA</v>
      </c>
      <c r="G154" s="110" t="str">
        <f>IF(D154=0,"NA",(SUMPRODUCT(G192,D192)+SUMPRODUCT(G230,D230))/D154)</f>
        <v>NA</v>
      </c>
      <c r="H154" s="110" t="str">
        <f>IF(D154=0,"NA",(SUMPRODUCT(H192,D192)+SUMPRODUCT(H230,D230))/D154)</f>
        <v>NA</v>
      </c>
      <c r="I154" s="110" t="str">
        <f>IF(D154=0,"NA",(SUMPRODUCT(I192,D192)+SUMPRODUCT(I230,D230))/D154)</f>
        <v>NA</v>
      </c>
      <c r="J154" s="110" t="str">
        <f>IF(D154=0,"NA",(SUMPRODUCT(J192,D192)+SUMPRODUCT(J230,D230))/D154)</f>
        <v>NA</v>
      </c>
      <c r="K154" s="110" t="str">
        <f>IF(D154=0,"NA",(SUMPRODUCT(K192,D192)+SUMPRODUCT(K230,D230))/D154)</f>
        <v>NA</v>
      </c>
      <c r="L154" s="110" t="str">
        <f>IF(D154=0,"NA",(SUMPRODUCT(L192,D192)+SUMPRODUCT(L230,D230))/D154)</f>
        <v>NA</v>
      </c>
      <c r="M154" s="110" t="str">
        <f>IF(D154=0,"NA",(SUMPRODUCT(M192,D192)+SUMPRODUCT(M230,D230))/D154)</f>
        <v>NA</v>
      </c>
      <c r="N154" s="158" t="str">
        <f>IF(D154=0,"NA",(SUMPRODUCT(N192,D192)+SUMPRODUCT(N230,D230))/D154)</f>
        <v>NA</v>
      </c>
      <c r="O154" s="158" t="str">
        <f>IF(D154=0,"NA",(SUMPRODUCT(O192,D192)+SUMPRODUCT(O230,D230))/D154)</f>
        <v>NA</v>
      </c>
      <c r="P154" s="158" t="str">
        <f>IF(D154=0,"NA",(SUMPRODUCT(P192,D192)+SUMPRODUCT(P230,D230))/D154)</f>
        <v>NA</v>
      </c>
      <c r="Q154" s="158" t="str">
        <f>IF(D154=0,"NA",(SUMPRODUCT(Q192,D192)+SUMPRODUCT(Q230,D230))/D154)</f>
        <v>NA</v>
      </c>
      <c r="R154" s="158" t="str">
        <f>IF(D154=0,"NA",(SUMPRODUCT(R192,D192)+SUMPRODUCT(R230,D230))/D154)</f>
        <v>NA</v>
      </c>
      <c r="S154" s="508">
        <f>SUM(S122:S153)</f>
        <v>0</v>
      </c>
      <c r="T154" s="157" t="str">
        <f>IF(S154=0,"NA",(SUMPRODUCT(T192,S192)+SUMPRODUCT(T230,S230))/S154)</f>
        <v>NA</v>
      </c>
      <c r="U154" s="110" t="str">
        <f>IF(S154=0,"NA",(SUMPRODUCT(U192,S192)+SUMPRODUCT(U230,S230))/S154)</f>
        <v>NA</v>
      </c>
      <c r="V154" s="110" t="str">
        <f>IF(S154=0,"NA",(SUMPRODUCT(V192,S192)+SUMPRODUCT(V230,S230))/S154)</f>
        <v>NA</v>
      </c>
      <c r="W154" s="110" t="str">
        <f>IF(S154=0,"NA",(SUMPRODUCT(W192,S192)+SUMPRODUCT(W230,S230))/S154)</f>
        <v>NA</v>
      </c>
      <c r="X154" s="110" t="str">
        <f>IF(S154=0,"NA",(SUMPRODUCT(X192,S192)+SUMPRODUCT(X230,S230))/S154)</f>
        <v>NA</v>
      </c>
      <c r="Y154" s="110" t="str">
        <f>IF(S154=0,"NA",(SUMPRODUCT(Y192,S192)+SUMPRODUCT(Y230,S230))/S154)</f>
        <v>NA</v>
      </c>
      <c r="Z154" s="110" t="str">
        <f>IF(S154=0,"NA",(SUMPRODUCT(Z192,S192)+SUMPRODUCT(Z230,S230))/S154)</f>
        <v>NA</v>
      </c>
      <c r="AA154" s="110" t="str">
        <f>IF(S154=0,"NA",(SUMPRODUCT(AA192,S192)+SUMPRODUCT(AA230,S230))/S154)</f>
        <v>NA</v>
      </c>
      <c r="AB154" s="110" t="str">
        <f>IF(S154=0,"NA",(SUMPRODUCT(AB192,S192)+SUMPRODUCT(AB230,S230))/S154)</f>
        <v>NA</v>
      </c>
      <c r="AC154" s="158" t="str">
        <f>IF(S154=0,"NA",(SUMPRODUCT(AC192,S192)+SUMPRODUCT(AC230,S230))/S154)</f>
        <v>NA</v>
      </c>
      <c r="AD154" s="158" t="str">
        <f>IF(S154=0,"NA",(SUMPRODUCT(AD192,S192)+SUMPRODUCT(AD230,S230))/S154)</f>
        <v>NA</v>
      </c>
      <c r="AE154" s="158" t="str">
        <f>IF(S154=0,"NA",(SUMPRODUCT(AE192,S192)+SUMPRODUCT(AE230,S230))/S154)</f>
        <v>NA</v>
      </c>
      <c r="AF154" s="158" t="str">
        <f>IF(S154=0,"NA",(SUMPRODUCT(AF192,S192)+SUMPRODUCT(AF230,S230))/S154)</f>
        <v>NA</v>
      </c>
      <c r="AG154" s="159" t="str">
        <f>IF(S154=0,"NA",(SUMPRODUCT(AG192,S192)+SUMPRODUCT(AG230,S230))/S154)</f>
        <v>NA</v>
      </c>
      <c r="AH154" s="483" t="str">
        <f>IF(D154=0,"NA",S154/D154-1)</f>
        <v>NA</v>
      </c>
      <c r="AI154" s="484" t="str">
        <f>IF(D154=0,"NA",T154/E154-1)</f>
        <v>NA</v>
      </c>
      <c r="AJ154" s="485" t="str">
        <f>IF(D154=0,"NA",U154/F154-1)</f>
        <v>NA</v>
      </c>
      <c r="AK154" s="485" t="str">
        <f>IF(D154=0,"NA",V154/G154-1)</f>
        <v>NA</v>
      </c>
      <c r="AL154" s="485" t="str">
        <f>IF(D154=0,"NA",W154/H154-1)</f>
        <v>NA</v>
      </c>
      <c r="AM154" s="485" t="str">
        <f>IF(D154=0,"NA",X154/I154-1)</f>
        <v>NA</v>
      </c>
      <c r="AN154" s="485" t="str">
        <f>IF(D154=0,"NA",Y154/J154-1)</f>
        <v>NA</v>
      </c>
      <c r="AO154" s="485" t="str">
        <f>IF(D154=0,"NA",Z154/K154-1)</f>
        <v>NA</v>
      </c>
      <c r="AP154" s="485" t="str">
        <f>IF(D154=0,"NA",AA154/L154-1)</f>
        <v>NA</v>
      </c>
      <c r="AQ154" s="485" t="str">
        <f>IF(D154=0,"NA",AB154/M154-1)</f>
        <v>NA</v>
      </c>
      <c r="AR154" s="486" t="str">
        <f>IF(D154=0,"NA",AC154/N154-1)</f>
        <v>NA</v>
      </c>
      <c r="AS154" s="486" t="str">
        <f>IF(D154=0,"NA",AD154/O154-1)</f>
        <v>NA</v>
      </c>
      <c r="AT154" s="486" t="str">
        <f>IF(D154=0,"NA",AE154/P154-1)</f>
        <v>NA</v>
      </c>
      <c r="AU154" s="486" t="str">
        <f>IF(D154=0,"NA",AF154/Q154-1)</f>
        <v>NA</v>
      </c>
      <c r="AV154" s="487" t="str">
        <f>IF(D154=0,"NA",AG154/R154-1)</f>
        <v>NA</v>
      </c>
    </row>
    <row r="155" spans="1:48" ht="15.75" customHeight="1" thickBot="1" x14ac:dyDescent="0.3">
      <c r="B155" s="168"/>
      <c r="C155" s="171" t="s">
        <v>320</v>
      </c>
      <c r="D155" s="509">
        <f>D154</f>
        <v>0</v>
      </c>
      <c r="E155" s="160" t="str">
        <f>IF(D155=0,"NA",(SUMPRODUCT(E193,D193)+SUMPRODUCT(E231,D231))/D155)</f>
        <v>NA</v>
      </c>
      <c r="F155" s="161" t="str">
        <f>IF(D155=0,"NA",(SUMPRODUCT(F193,D193)+SUMPRODUCT(F231,D231))/D155)</f>
        <v>NA</v>
      </c>
      <c r="G155" s="161" t="str">
        <f>IF(D155=0,"NA",(SUMPRODUCT(G193,D193)+SUMPRODUCT(G231,D231))/D155)</f>
        <v>NA</v>
      </c>
      <c r="H155" s="161" t="str">
        <f>IF(D155=0,"NA",(SUMPRODUCT(H193,D193)+SUMPRODUCT(H231,D231))/D155)</f>
        <v>NA</v>
      </c>
      <c r="I155" s="161" t="str">
        <f>IF(D155=0,"NA",(SUMPRODUCT(I193,D193)+SUMPRODUCT(I231,D231))/D155)</f>
        <v>NA</v>
      </c>
      <c r="J155" s="161" t="str">
        <f>IF(D155=0,"NA",(SUMPRODUCT(J193,D193)+SUMPRODUCT(J231,D231))/D155)</f>
        <v>NA</v>
      </c>
      <c r="K155" s="161" t="str">
        <f>IF(D155=0,"NA",(SUMPRODUCT(K193,D193)+SUMPRODUCT(K231,D231))/D155)</f>
        <v>NA</v>
      </c>
      <c r="L155" s="161" t="str">
        <f>IF(D155=0,"NA",(SUMPRODUCT(L193,D193)+SUMPRODUCT(L231,D231))/D155)</f>
        <v>NA</v>
      </c>
      <c r="M155" s="161" t="str">
        <f>IF(D155=0,"NA",(SUMPRODUCT(M193,D193)+SUMPRODUCT(M231,D231))/D155)</f>
        <v>NA</v>
      </c>
      <c r="N155" s="162" t="str">
        <f>IF(D155=0,"NA",(SUMPRODUCT(N193,D193)+SUMPRODUCT(N231,D231))/D155)</f>
        <v>NA</v>
      </c>
      <c r="O155" s="162" t="str">
        <f>IF(D155=0,"NA",(SUMPRODUCT(O193,D193)+SUMPRODUCT(O231,D231))/D155)</f>
        <v>NA</v>
      </c>
      <c r="P155" s="162" t="str">
        <f>IF(D155=0,"NA",(SUMPRODUCT(P193,D193)+SUMPRODUCT(P231,D231))/D155)</f>
        <v>NA</v>
      </c>
      <c r="Q155" s="162" t="str">
        <f>IF(D155=0,"NA",(SUMPRODUCT(Q193,D193)+SUMPRODUCT(Q231,D231))/D155)</f>
        <v>NA</v>
      </c>
      <c r="R155" s="163" t="str">
        <f>IF(D155=0,"NA",(SUMPRODUCT(R193,D193)+SUMPRODUCT(R231,D231))/D155)</f>
        <v>NA</v>
      </c>
      <c r="S155" s="509">
        <f>S154</f>
        <v>0</v>
      </c>
      <c r="T155" s="160" t="str">
        <f>IF(S155=0,"NA",(SUMPRODUCT(T193,S193)+SUMPRODUCT(T231,S231))/S155)</f>
        <v>NA</v>
      </c>
      <c r="U155" s="161" t="str">
        <f>IF(S155=0,"NA",(SUMPRODUCT(U193,S193)+SUMPRODUCT(U231,S231))/S155)</f>
        <v>NA</v>
      </c>
      <c r="V155" s="161" t="str">
        <f>IF(S155=0,"NA",(SUMPRODUCT(V193,S193)+SUMPRODUCT(V231,S231))/S155)</f>
        <v>NA</v>
      </c>
      <c r="W155" s="161" t="str">
        <f>IF(S155=0,"NA",(SUMPRODUCT(W193,S193)+SUMPRODUCT(W231,S231))/S155)</f>
        <v>NA</v>
      </c>
      <c r="X155" s="161" t="str">
        <f>IF(S155=0,"NA",(SUMPRODUCT(X193,S193)+SUMPRODUCT(X231,S231))/S155)</f>
        <v>NA</v>
      </c>
      <c r="Y155" s="161" t="str">
        <f>IF(S155=0,"NA",(SUMPRODUCT(Y193,S193)+SUMPRODUCT(Y231,S231))/S155)</f>
        <v>NA</v>
      </c>
      <c r="Z155" s="161" t="str">
        <f>IF(S155=0,"NA",(SUMPRODUCT(Z193,S193)+SUMPRODUCT(Z231,S231))/S155)</f>
        <v>NA</v>
      </c>
      <c r="AA155" s="161" t="str">
        <f>IF(S155=0,"NA",(SUMPRODUCT(AA193,S193)+SUMPRODUCT(AA231,S231))/S155)</f>
        <v>NA</v>
      </c>
      <c r="AB155" s="161" t="str">
        <f>IF(S155=0,"NA",(SUMPRODUCT(AB193,S193)+SUMPRODUCT(AB231,S231))/S155)</f>
        <v>NA</v>
      </c>
      <c r="AC155" s="162" t="str">
        <f>IF(S155=0,"NA",(SUMPRODUCT(AC193,S193)+SUMPRODUCT(AC231,S231))/S155)</f>
        <v>NA</v>
      </c>
      <c r="AD155" s="162" t="str">
        <f>IF(S155=0,"NA",(SUMPRODUCT(AD193,S193)+SUMPRODUCT(AD231,S231))/S155)</f>
        <v>NA</v>
      </c>
      <c r="AE155" s="162" t="str">
        <f>IF(S155=0,"NA",(SUMPRODUCT(AE193,S193)+SUMPRODUCT(AE231,S231))/S155)</f>
        <v>NA</v>
      </c>
      <c r="AF155" s="162" t="str">
        <f>IF(S155=0,"NA",(SUMPRODUCT(AF193,S193)+SUMPRODUCT(AF231,S231))/S155)</f>
        <v>NA</v>
      </c>
      <c r="AG155" s="163" t="str">
        <f>IF(S155=0,"NA",(SUMPRODUCT(AG193,S193)+SUMPRODUCT(AG231,S231))/S155)</f>
        <v>NA</v>
      </c>
      <c r="AH155" s="488" t="str">
        <f>IF(D155=0,"NA",S155/D155-1)</f>
        <v>NA</v>
      </c>
      <c r="AI155" s="489" t="str">
        <f>IF(D155=0,"NA",T155/E155-1)</f>
        <v>NA</v>
      </c>
      <c r="AJ155" s="490" t="str">
        <f>IF(D155=0,"NA",U155/F155-1)</f>
        <v>NA</v>
      </c>
      <c r="AK155" s="490" t="str">
        <f>IF(D155=0,"NA",V155/G155-1)</f>
        <v>NA</v>
      </c>
      <c r="AL155" s="490" t="str">
        <f>IF(D155=0,"NA",W155/H155-1)</f>
        <v>NA</v>
      </c>
      <c r="AM155" s="490" t="str">
        <f>IF(D155=0,"NA",X155/I155-1)</f>
        <v>NA</v>
      </c>
      <c r="AN155" s="490" t="str">
        <f>IF(D155=0,"NA",Y155/J155-1)</f>
        <v>NA</v>
      </c>
      <c r="AO155" s="490" t="str">
        <f>IF(D155=0,"NA",Z155/K155-1)</f>
        <v>NA</v>
      </c>
      <c r="AP155" s="490" t="str">
        <f>IF(D155=0,"NA",AA155/L155-1)</f>
        <v>NA</v>
      </c>
      <c r="AQ155" s="490" t="str">
        <f>IF(D155=0,"NA",AB155/M155-1)</f>
        <v>NA</v>
      </c>
      <c r="AR155" s="491" t="str">
        <f>IF(D155=0,"NA",AC155/N155-1)</f>
        <v>NA</v>
      </c>
      <c r="AS155" s="491" t="str">
        <f>IF(D155=0,"NA",AD155/O155-1)</f>
        <v>NA</v>
      </c>
      <c r="AT155" s="491" t="str">
        <f>IF(D155=0,"NA",AE155/P155-1)</f>
        <v>NA</v>
      </c>
      <c r="AU155" s="491" t="str">
        <f>IF(D155=0,"NA",AF155/Q155-1)</f>
        <v>NA</v>
      </c>
      <c r="AV155" s="492" t="str">
        <f>IF(D155=0,"NA",AG155/R155-1)</f>
        <v>NA</v>
      </c>
    </row>
    <row r="157" spans="1:48" ht="16.5" thickBot="1" x14ac:dyDescent="0.3">
      <c r="B157" s="54" t="s">
        <v>325</v>
      </c>
      <c r="C157" s="526"/>
    </row>
    <row r="158" spans="1:48" x14ac:dyDescent="0.25">
      <c r="B158" s="598" t="s">
        <v>309</v>
      </c>
      <c r="C158" s="599"/>
      <c r="D158" s="605">
        <v>2022</v>
      </c>
      <c r="E158" s="606"/>
      <c r="F158" s="606"/>
      <c r="G158" s="606"/>
      <c r="H158" s="606"/>
      <c r="I158" s="606"/>
      <c r="J158" s="606"/>
      <c r="K158" s="606"/>
      <c r="L158" s="606"/>
      <c r="M158" s="606"/>
      <c r="N158" s="606"/>
      <c r="O158" s="606"/>
      <c r="P158" s="606"/>
      <c r="Q158" s="606"/>
      <c r="R158" s="606"/>
      <c r="S158" s="605">
        <v>2023</v>
      </c>
      <c r="T158" s="606"/>
      <c r="U158" s="606"/>
      <c r="V158" s="606"/>
      <c r="W158" s="606"/>
      <c r="X158" s="606"/>
      <c r="Y158" s="606"/>
      <c r="Z158" s="606"/>
      <c r="AA158" s="606"/>
      <c r="AB158" s="606"/>
      <c r="AC158" s="606"/>
      <c r="AD158" s="606"/>
      <c r="AE158" s="606"/>
      <c r="AF158" s="606"/>
      <c r="AG158" s="611"/>
      <c r="AH158" s="577" t="s">
        <v>454</v>
      </c>
      <c r="AI158" s="578"/>
      <c r="AJ158" s="579"/>
      <c r="AK158" s="579"/>
      <c r="AL158" s="579"/>
      <c r="AM158" s="579"/>
      <c r="AN158" s="579"/>
      <c r="AO158" s="579"/>
      <c r="AP158" s="579"/>
      <c r="AQ158" s="579"/>
      <c r="AR158" s="580"/>
      <c r="AS158" s="580"/>
      <c r="AT158" s="580"/>
      <c r="AU158" s="580"/>
      <c r="AV158" s="581"/>
    </row>
    <row r="159" spans="1:48" ht="30" x14ac:dyDescent="0.25">
      <c r="B159" s="71" t="s">
        <v>310</v>
      </c>
      <c r="C159" s="73" t="s">
        <v>311</v>
      </c>
      <c r="D159" s="71" t="s">
        <v>211</v>
      </c>
      <c r="E159" s="146" t="s">
        <v>102</v>
      </c>
      <c r="F159" s="72" t="s">
        <v>104</v>
      </c>
      <c r="G159" s="72" t="s">
        <v>106</v>
      </c>
      <c r="H159" s="72" t="s">
        <v>312</v>
      </c>
      <c r="I159" s="72" t="s">
        <v>108</v>
      </c>
      <c r="J159" s="72" t="s">
        <v>109</v>
      </c>
      <c r="K159" s="72" t="s">
        <v>313</v>
      </c>
      <c r="L159" s="72" t="s">
        <v>314</v>
      </c>
      <c r="M159" s="72" t="s">
        <v>115</v>
      </c>
      <c r="N159" s="152" t="s">
        <v>315</v>
      </c>
      <c r="O159" s="152" t="s">
        <v>316</v>
      </c>
      <c r="P159" s="152" t="s">
        <v>214</v>
      </c>
      <c r="Q159" s="152" t="s">
        <v>317</v>
      </c>
      <c r="R159" s="152" t="s">
        <v>318</v>
      </c>
      <c r="S159" s="71" t="s">
        <v>211</v>
      </c>
      <c r="T159" s="146" t="s">
        <v>102</v>
      </c>
      <c r="U159" s="72" t="s">
        <v>104</v>
      </c>
      <c r="V159" s="72" t="s">
        <v>106</v>
      </c>
      <c r="W159" s="72" t="s">
        <v>312</v>
      </c>
      <c r="X159" s="72" t="s">
        <v>108</v>
      </c>
      <c r="Y159" s="72" t="s">
        <v>109</v>
      </c>
      <c r="Z159" s="72" t="s">
        <v>313</v>
      </c>
      <c r="AA159" s="72" t="s">
        <v>314</v>
      </c>
      <c r="AB159" s="72" t="s">
        <v>115</v>
      </c>
      <c r="AC159" s="152" t="s">
        <v>315</v>
      </c>
      <c r="AD159" s="152" t="s">
        <v>316</v>
      </c>
      <c r="AE159" s="152" t="s">
        <v>214</v>
      </c>
      <c r="AF159" s="152" t="s">
        <v>317</v>
      </c>
      <c r="AG159" s="73" t="s">
        <v>318</v>
      </c>
      <c r="AH159" s="71" t="s">
        <v>211</v>
      </c>
      <c r="AI159" s="146" t="s">
        <v>102</v>
      </c>
      <c r="AJ159" s="72" t="s">
        <v>104</v>
      </c>
      <c r="AK159" s="72" t="s">
        <v>106</v>
      </c>
      <c r="AL159" s="72" t="s">
        <v>312</v>
      </c>
      <c r="AM159" s="72" t="s">
        <v>108</v>
      </c>
      <c r="AN159" s="72" t="s">
        <v>109</v>
      </c>
      <c r="AO159" s="72" t="s">
        <v>313</v>
      </c>
      <c r="AP159" s="72" t="s">
        <v>314</v>
      </c>
      <c r="AQ159" s="72" t="s">
        <v>115</v>
      </c>
      <c r="AR159" s="152" t="s">
        <v>315</v>
      </c>
      <c r="AS159" s="152" t="s">
        <v>316</v>
      </c>
      <c r="AT159" s="152" t="s">
        <v>214</v>
      </c>
      <c r="AU159" s="152" t="s">
        <v>317</v>
      </c>
      <c r="AV159" s="73" t="s">
        <v>318</v>
      </c>
    </row>
    <row r="160" spans="1:48" ht="15" customHeight="1" x14ac:dyDescent="0.25">
      <c r="A160" s="164"/>
      <c r="B160" s="166">
        <v>101</v>
      </c>
      <c r="C160" s="169" t="str">
        <f>_xlfn.XLOOKUP(B160, LgProvEntOrgIDs[Advanced Network/Insurer Carrier Org ID], LgProvEntOrgIDs[Advanced Network/Insurance Carrier Overall])</f>
        <v>Privia Quality Network of Connecticut (PQN CT) (formerly Community Medical Group)</v>
      </c>
      <c r="D160" s="507">
        <f>SUMIFS(AN_TME22[[#All],[Member Months]],AN_TME22[[#All],[Insurance Category Code]],1,AN_TME22[[#All],[Advanced Network/Insurance Carrier Org ID]],B160)</f>
        <v>0</v>
      </c>
      <c r="E160" s="155" t="str">
        <f>IF(D160=0,"NA",SUMIFS(AN_TME22[[#All],[Claims: Hospital Inpatient]],AN_TME22[[#All],[Insurance Category Code]],1,AN_TME22[[#All],[Advanced Network/Insurance Carrier Org ID]],B160)/D160)</f>
        <v>NA</v>
      </c>
      <c r="F160" s="109" t="str">
        <f>IF(D160=0,"NA",SUMIFS(AN_TME22[[#All],[Claims: Hospital Outpatient]],AN_TME22[[#All],[Insurance Category Code]],1,AN_TME22[[#All],[Advanced Network/Insurance Carrier Org ID]],B160)/D160)</f>
        <v>NA</v>
      </c>
      <c r="G160" s="109" t="str">
        <f>IF(D160=0,"NA",SUMIFS(AN_TME22[[#All],[Claims: Professional, Primary Care]],AN_TME22[[#All],[Insurance Category Code]],1,AN_TME22[[#All],[Advanced Network/Insurance Carrier Org ID]],B160)/D160)</f>
        <v>NA</v>
      </c>
      <c r="H160" s="109" t="str">
        <f>IF(D160=0,"NA",SUMIFS(AN_TME22[[#All],[Claims: Professional, Primary Care (for Monitoring Purposes)]],AN_TME22[[#All],[Insurance Category Code]],1,AN_TME22[[#All],[Advanced Network/Insurance Carrier Org ID]],B160)/D160)</f>
        <v>NA</v>
      </c>
      <c r="I160" s="109" t="str">
        <f>IF(D160=0,"NA",SUMIFS(AN_TME22[[#All],[Claims: Professional, Specialty]],AN_TME22[[#All],[Insurance Category Code]],1,AN_TME22[[#All],[Advanced Network/Insurance Carrier Org ID]],B160)/D160)</f>
        <v>NA</v>
      </c>
      <c r="J160" s="109" t="str">
        <f>IF(D160=0,"NA",SUMIFS(AN_TME22[[#All],[Claims: Professional Other]],AN_TME22[[#All],[Insurance Category Code]],1,AN_TME22[[#All],[Advanced Network/Insurance Carrier Org ID]],B160)/D160)</f>
        <v>NA</v>
      </c>
      <c r="K160" s="109" t="str">
        <f>IF(D160=0,"NA",SUMIFS(AN_TME22[[#All],[Claims: Pharmacy]],AN_TME22[[#All],[Insurance Category Code]],1,AN_TME22[[#All],[Advanced Network/Insurance Carrier Org ID]],B160)/D160)</f>
        <v>NA</v>
      </c>
      <c r="L160" s="109" t="str">
        <f>IF(D160=0,"NA",SUMIFS(AN_TME22[[#All],[Claims: Long-Term Care]],AN_TME22[[#All],[Insurance Category Code]],1,AN_TME22[[#All],[Advanced Network/Insurance Carrier Org ID]],B160)/D160)</f>
        <v>NA</v>
      </c>
      <c r="M160" s="109" t="str">
        <f>IF(D160=0,"NA",SUMIFS(AN_TME22[[#All],[Claims: Other]],AN_TME22[[#All],[Insurance Category Code]],1,AN_TME22[[#All],[Advanced Network/Insurance Carrier Org ID]],B160)/D160)</f>
        <v>NA</v>
      </c>
      <c r="N160" s="165" t="str">
        <f>IF(D160=0,"NA",SUMIFS(AN_TME22[[#All],[TOTAL Non-Truncated Unadjusted Claims Expenses]],AN_TME22[[#All],[Insurance Category Code]],1,AN_TME22[[#All],[Advanced Network/Insurance Carrier Org ID]],B160)/D160)</f>
        <v>NA</v>
      </c>
      <c r="O160" s="165" t="str">
        <f>IF(D160=0,"NA",SUMIFS(AN_TME22[[#All],[TOTAL Truncated Unadjusted Claims Expenses (A21 -A19)]],AN_TME22[[#All],[Insurance Category Code]],1,AN_TME22[[#All],[Advanced Network/Insurance Carrier Org ID]],B160)/D160)</f>
        <v>NA</v>
      </c>
      <c r="P160" s="165" t="str">
        <f>IF(D160=0,"NA",SUMIFS(AN_TME22[[#All],[TOTAL Non-Claims Expenses]],AN_TME22[[#All],[Insurance Category Code]],1,AN_TME22[[#All],[Advanced Network/Insurance Carrier Org ID]],B160)/D160)</f>
        <v>NA</v>
      </c>
      <c r="Q160" s="165" t="str">
        <f>IF(D160=0,"NA",SUMIFS(AN_TME22[[#All],[TOTAL Non-Truncated Unadjusted Expenses (A21 + A23)]],AN_TME22[[#All],[Insurance Category Code]],1,AN_TME22[[#All],[Advanced Network/Insurance Carrier Org ID]],B160)/D160)</f>
        <v>NA</v>
      </c>
      <c r="R160" s="165" t="str">
        <f>IF(D160=0,"NA",SUMIFS(AN_TME22[[#All],[TOTAL Truncated Unadjusted Expenses (A22 + A23)]],AN_TME22[[#All],[Insurance Category Code]],1,AN_TME22[[#All],[Advanced Network/Insurance Carrier Org ID]],B160)/D160)</f>
        <v>NA</v>
      </c>
      <c r="S160" s="507">
        <f>SUMIFS(AN_TME23[[#All],[Member Months]],AN_TME23[[#All],[Insurance Category Code]],1,AN_TME23[[#All],[Advanced Network/Insurance Carrier Org ID]],B160)</f>
        <v>0</v>
      </c>
      <c r="T160" s="155" t="str">
        <f>IF(S160=0,"NA",SUMIFS(AN_TME23[[#All],[Claims: Hospital Inpatient]],AN_TME23[[#All],[Insurance Category Code]],1,AN_TME23[[#All],[Advanced Network/Insurance Carrier Org ID]],B160)/S160)</f>
        <v>NA</v>
      </c>
      <c r="U160" s="109" t="str">
        <f>IF(S160=0,"NA",SUMIFS(AN_TME23[[#All],[Claims: Hospital Outpatient]],AN_TME23[[#All],[Insurance Category Code]],1,AN_TME23[[#All],[Advanced Network/Insurance Carrier Org ID]],B160)/S160)</f>
        <v>NA</v>
      </c>
      <c r="V160" s="109" t="str">
        <f>IF(S160=0,"NA",SUMIFS(AN_TME23[[#All],[Claims: Professional, Primary Care]],AN_TME23[[#All],[Insurance Category Code]],1,AN_TME23[[#All],[Advanced Network/Insurance Carrier Org ID]],B160)/S160)</f>
        <v>NA</v>
      </c>
      <c r="W160" s="109" t="str">
        <f>IF(S160=0,"NA",SUMIFS(AN_TME23[[#All],[Claims: Professional, Primary Care (for Monitoring Purposes)]],AN_TME23[[#All],[Insurance Category Code]],1,AN_TME23[[#All],[Advanced Network/Insurance Carrier Org ID]],B160)/S160)</f>
        <v>NA</v>
      </c>
      <c r="X160" s="109" t="str">
        <f>IF(S160=0,"NA",SUMIFS(AN_TME23[[#All],[Claims: Professional, Specialty]],AN_TME23[[#All],[Insurance Category Code]],1,AN_TME23[[#All],[Advanced Network/Insurance Carrier Org ID]],B160)/S160)</f>
        <v>NA</v>
      </c>
      <c r="Y160" s="109" t="str">
        <f>IF(S160=0,"NA",SUMIFS(AN_TME23[[#All],[Claims: Professional Other]],AN_TME23[[#All],[Insurance Category Code]],1,AN_TME23[[#All],[Advanced Network/Insurance Carrier Org ID]],B160)/S160)</f>
        <v>NA</v>
      </c>
      <c r="Z160" s="109" t="str">
        <f>IF(S160=0,"NA",SUMIFS(AN_TME23[[#All],[Claims: Pharmacy]],AN_TME23[[#All],[Insurance Category Code]],1,AN_TME23[[#All],[Advanced Network/Insurance Carrier Org ID]],B160)/S160)</f>
        <v>NA</v>
      </c>
      <c r="AA160" s="109" t="str">
        <f>IF(S160=0,"NA",SUMIFS(AN_TME23[[#All],[Claims: Long-Term Care]],AN_TME23[[#All],[Insurance Category Code]],1,AN_TME23[[#All],[Advanced Network/Insurance Carrier Org ID]],B160)/S160)</f>
        <v>NA</v>
      </c>
      <c r="AB160" s="109" t="str">
        <f>IF(S160=0,"NA",SUMIFS(AN_TME23[[#All],[Claims: Other]],AN_TME23[[#All],[Insurance Category Code]],1,AN_TME23[[#All],[Advanced Network/Insurance Carrier Org ID]],B160)/S160)</f>
        <v>NA</v>
      </c>
      <c r="AC160" s="165" t="str">
        <f>IF(S160=0,"NA",SUMIFS(AN_TME23[[#All],[TOTAL Non-Truncated Unadjusted Claims Expenses]],AN_TME23[[#All],[Insurance Category Code]],1,AN_TME23[[#All],[Advanced Network/Insurance Carrier Org ID]],B160)/S160)</f>
        <v>NA</v>
      </c>
      <c r="AD160" s="165" t="str">
        <f>IF(S160=0,"NA",SUMIFS(AN_TME23[[#All],[TOTAL Truncated Unadjusted Claims Expenses (A21 -A19)]],AN_TME23[[#All],[Insurance Category Code]],1,AN_TME23[[#All],[Advanced Network/Insurance Carrier Org ID]],B160)/S160)</f>
        <v>NA</v>
      </c>
      <c r="AE160" s="165" t="str">
        <f>IF(S160=0,"NA",SUMIFS(AN_TME23[[#All],[TOTAL Non-Claims Expenses]],AN_TME23[[#All],[Insurance Category Code]],1,AN_TME23[[#All],[Advanced Network/Insurance Carrier Org ID]],B160)/S160)</f>
        <v>NA</v>
      </c>
      <c r="AF160" s="165" t="str">
        <f>IF(S160=0,"NA",SUMIFS(AN_TME23[[#All],[TOTAL Non-Truncated Unadjusted Expenses (A21 + A23)]],AN_TME23[[#All],[Insurance Category Code]],1,AN_TME23[[#All],[Advanced Network/Insurance Carrier Org ID]],B160)/S160)</f>
        <v>NA</v>
      </c>
      <c r="AG160" s="156" t="str">
        <f>IF(S160=0,"NA",SUMIFS(AN_TME23[[#All],[TOTAL Truncated Unadjusted Expenses (A22 + A23)]],AN_TME23[[#All],[Insurance Category Code]],1,AN_TME23[[#All],[Advanced Network/Insurance Carrier Org ID]],B160)/S160)</f>
        <v>NA</v>
      </c>
      <c r="AH160" s="478" t="str">
        <f>IF(D160=0,"NA",S160/D160-1)</f>
        <v>NA</v>
      </c>
      <c r="AI160" s="479" t="str">
        <f>IF(D160=0,"NA",T160/E160-1)</f>
        <v>NA</v>
      </c>
      <c r="AJ160" s="480" t="str">
        <f>IF(D160=0,"NA",U160/F160-1)</f>
        <v>NA</v>
      </c>
      <c r="AK160" s="480" t="str">
        <f>IF(D160=0,"NA",V160/G160-1)</f>
        <v>NA</v>
      </c>
      <c r="AL160" s="480" t="str">
        <f>IF(D160=0,"NA",W160/H160-1)</f>
        <v>NA</v>
      </c>
      <c r="AM160" s="480" t="str">
        <f>IF(D160=0,"NA",X160/I160-1)</f>
        <v>NA</v>
      </c>
      <c r="AN160" s="480" t="str">
        <f>IF(D160=0,"NA",Y160/J160-1)</f>
        <v>NA</v>
      </c>
      <c r="AO160" s="480" t="str">
        <f>IF(D160=0,"NA",Z160/K160-1)</f>
        <v>NA</v>
      </c>
      <c r="AP160" s="480" t="str">
        <f>IF(D160=0,"NA",AA160/L160-1)</f>
        <v>NA</v>
      </c>
      <c r="AQ160" s="480" t="str">
        <f>IF(D160=0,"NA",AB160/M160-1)</f>
        <v>NA</v>
      </c>
      <c r="AR160" s="481" t="str">
        <f>IF(D160=0,"NA",AC160/N160-1)</f>
        <v>NA</v>
      </c>
      <c r="AS160" s="481" t="str">
        <f>IF(D160=0,"NA",AD160/O160-1)</f>
        <v>NA</v>
      </c>
      <c r="AT160" s="481" t="str">
        <f>IF(D160=0,"NA",AE160/P160-1)</f>
        <v>NA</v>
      </c>
      <c r="AU160" s="481" t="str">
        <f>IF(D160=0,"NA",AF160/Q160-1)</f>
        <v>NA</v>
      </c>
      <c r="AV160" s="482" t="str">
        <f>IF(D160=0,"NA",AG160/R160-1)</f>
        <v>NA</v>
      </c>
    </row>
    <row r="161" spans="1:48" ht="15" customHeight="1" x14ac:dyDescent="0.25">
      <c r="A161" s="164"/>
      <c r="B161" s="166">
        <v>102</v>
      </c>
      <c r="C161" s="169" t="str">
        <f>_xlfn.XLOOKUP(B161, LgProvEntOrgIDs[Advanced Network/Insurer Carrier Org ID], LgProvEntOrgIDs[Advanced Network/Insurance Carrier Overall])</f>
        <v>Connecticut Children's Care Network</v>
      </c>
      <c r="D161" s="507">
        <f>SUMIFS(AN_TME22[[#All],[Member Months]],AN_TME22[[#All],[Insurance Category Code]],1,AN_TME22[[#All],[Advanced Network/Insurance Carrier Org ID]],B161)</f>
        <v>0</v>
      </c>
      <c r="E161" s="155" t="str">
        <f>IF(D161=0,"NA",SUMIFS(AN_TME22[[#All],[Claims: Hospital Inpatient]],AN_TME22[[#All],[Insurance Category Code]],1,AN_TME22[[#All],[Advanced Network/Insurance Carrier Org ID]],B161)/D161)</f>
        <v>NA</v>
      </c>
      <c r="F161" s="109" t="str">
        <f>IF(D161=0,"NA",SUMIFS(AN_TME22[[#All],[Claims: Hospital Outpatient]],AN_TME22[[#All],[Insurance Category Code]],1,AN_TME22[[#All],[Advanced Network/Insurance Carrier Org ID]],B161)/D161)</f>
        <v>NA</v>
      </c>
      <c r="G161" s="109" t="str">
        <f>IF(D161=0,"NA",SUMIFS(AN_TME22[[#All],[Claims: Professional, Primary Care]],AN_TME22[[#All],[Insurance Category Code]],1,AN_TME22[[#All],[Advanced Network/Insurance Carrier Org ID]],B161)/D161)</f>
        <v>NA</v>
      </c>
      <c r="H161" s="109" t="str">
        <f>IF(D161=0,"NA",SUMIFS(AN_TME22[[#All],[Claims: Professional, Primary Care (for Monitoring Purposes)]],AN_TME22[[#All],[Insurance Category Code]],1,AN_TME22[[#All],[Advanced Network/Insurance Carrier Org ID]],B161)/D161)</f>
        <v>NA</v>
      </c>
      <c r="I161" s="109" t="str">
        <f>IF(D161=0,"NA",SUMIFS(AN_TME22[[#All],[Claims: Professional, Specialty]],AN_TME22[[#All],[Insurance Category Code]],1,AN_TME22[[#All],[Advanced Network/Insurance Carrier Org ID]],B161)/D161)</f>
        <v>NA</v>
      </c>
      <c r="J161" s="109" t="str">
        <f>IF(D161=0,"NA",SUMIFS(AN_TME22[[#All],[Claims: Professional Other]],AN_TME22[[#All],[Insurance Category Code]],1,AN_TME22[[#All],[Advanced Network/Insurance Carrier Org ID]],B161)/D161)</f>
        <v>NA</v>
      </c>
      <c r="K161" s="109" t="str">
        <f>IF(D161=0,"NA",SUMIFS(AN_TME22[[#All],[Claims: Pharmacy]],AN_TME22[[#All],[Insurance Category Code]],1,AN_TME22[[#All],[Advanced Network/Insurance Carrier Org ID]],B161)/D161)</f>
        <v>NA</v>
      </c>
      <c r="L161" s="109" t="str">
        <f>IF(D161=0,"NA",SUMIFS(AN_TME22[[#All],[Claims: Long-Term Care]],AN_TME22[[#All],[Insurance Category Code]],1,AN_TME22[[#All],[Advanced Network/Insurance Carrier Org ID]],B161)/D161)</f>
        <v>NA</v>
      </c>
      <c r="M161" s="109" t="str">
        <f>IF(D161=0,"NA",SUMIFS(AN_TME22[[#All],[Claims: Other]],AN_TME22[[#All],[Insurance Category Code]],1,AN_TME22[[#All],[Advanced Network/Insurance Carrier Org ID]],B161)/D161)</f>
        <v>NA</v>
      </c>
      <c r="N161" s="165" t="str">
        <f>IF(D161=0,"NA",SUMIFS(AN_TME22[[#All],[TOTAL Non-Truncated Unadjusted Claims Expenses]],AN_TME22[[#All],[Insurance Category Code]],1,AN_TME22[[#All],[Advanced Network/Insurance Carrier Org ID]],B161)/D161)</f>
        <v>NA</v>
      </c>
      <c r="O161" s="165" t="str">
        <f>IF(D161=0,"NA",SUMIFS(AN_TME22[[#All],[TOTAL Truncated Unadjusted Claims Expenses (A21 -A19)]],AN_TME22[[#All],[Insurance Category Code]],1,AN_TME22[[#All],[Advanced Network/Insurance Carrier Org ID]],B161)/D161)</f>
        <v>NA</v>
      </c>
      <c r="P161" s="165" t="str">
        <f>IF(D161=0,"NA",SUMIFS(AN_TME22[[#All],[TOTAL Non-Claims Expenses]],AN_TME22[[#All],[Insurance Category Code]],1,AN_TME22[[#All],[Advanced Network/Insurance Carrier Org ID]],B161)/D161)</f>
        <v>NA</v>
      </c>
      <c r="Q161" s="165" t="str">
        <f>IF(D161=0,"NA",SUMIFS(AN_TME22[[#All],[TOTAL Non-Truncated Unadjusted Expenses (A21 + A23)]],AN_TME22[[#All],[Insurance Category Code]],1,AN_TME22[[#All],[Advanced Network/Insurance Carrier Org ID]],B161)/D161)</f>
        <v>NA</v>
      </c>
      <c r="R161" s="165" t="str">
        <f>IF(D161=0,"NA",SUMIFS(AN_TME22[[#All],[TOTAL Truncated Unadjusted Expenses (A22 + A23)]],AN_TME22[[#All],[Insurance Category Code]],1,AN_TME22[[#All],[Advanced Network/Insurance Carrier Org ID]],B161)/D161)</f>
        <v>NA</v>
      </c>
      <c r="S161" s="507">
        <f>SUMIFS(AN_TME23[[#All],[Member Months]],AN_TME23[[#All],[Insurance Category Code]],1,AN_TME23[[#All],[Advanced Network/Insurance Carrier Org ID]],B161)</f>
        <v>0</v>
      </c>
      <c r="T161" s="155" t="str">
        <f>IF(S161=0,"NA",SUMIFS(AN_TME23[[#All],[Claims: Hospital Inpatient]],AN_TME23[[#All],[Insurance Category Code]],1,AN_TME23[[#All],[Advanced Network/Insurance Carrier Org ID]],B161)/S161)</f>
        <v>NA</v>
      </c>
      <c r="U161" s="109" t="str">
        <f>IF(S161=0,"NA",SUMIFS(AN_TME23[[#All],[Claims: Hospital Outpatient]],AN_TME23[[#All],[Insurance Category Code]],1,AN_TME23[[#All],[Advanced Network/Insurance Carrier Org ID]],B161)/S161)</f>
        <v>NA</v>
      </c>
      <c r="V161" s="109" t="str">
        <f>IF(S161=0,"NA",SUMIFS(AN_TME23[[#All],[Claims: Professional, Primary Care]],AN_TME23[[#All],[Insurance Category Code]],1,AN_TME23[[#All],[Advanced Network/Insurance Carrier Org ID]],B161)/S161)</f>
        <v>NA</v>
      </c>
      <c r="W161" s="109" t="str">
        <f>IF(S161=0,"NA",SUMIFS(AN_TME23[[#All],[Claims: Professional, Primary Care (for Monitoring Purposes)]],AN_TME23[[#All],[Insurance Category Code]],1,AN_TME23[[#All],[Advanced Network/Insurance Carrier Org ID]],B161)/S161)</f>
        <v>NA</v>
      </c>
      <c r="X161" s="109" t="str">
        <f>IF(S161=0,"NA",SUMIFS(AN_TME23[[#All],[Claims: Professional, Specialty]],AN_TME23[[#All],[Insurance Category Code]],1,AN_TME23[[#All],[Advanced Network/Insurance Carrier Org ID]],B161)/S161)</f>
        <v>NA</v>
      </c>
      <c r="Y161" s="109" t="str">
        <f>IF(S161=0,"NA",SUMIFS(AN_TME23[[#All],[Claims: Professional Other]],AN_TME23[[#All],[Insurance Category Code]],1,AN_TME23[[#All],[Advanced Network/Insurance Carrier Org ID]],B161)/S161)</f>
        <v>NA</v>
      </c>
      <c r="Z161" s="109" t="str">
        <f>IF(S161=0,"NA",SUMIFS(AN_TME23[[#All],[Claims: Pharmacy]],AN_TME23[[#All],[Insurance Category Code]],1,AN_TME23[[#All],[Advanced Network/Insurance Carrier Org ID]],B161)/S161)</f>
        <v>NA</v>
      </c>
      <c r="AA161" s="109" t="str">
        <f>IF(S161=0,"NA",SUMIFS(AN_TME23[[#All],[Claims: Long-Term Care]],AN_TME23[[#All],[Insurance Category Code]],1,AN_TME23[[#All],[Advanced Network/Insurance Carrier Org ID]],B161)/S161)</f>
        <v>NA</v>
      </c>
      <c r="AB161" s="109" t="str">
        <f>IF(S161=0,"NA",SUMIFS(AN_TME23[[#All],[Claims: Other]],AN_TME23[[#All],[Insurance Category Code]],1,AN_TME23[[#All],[Advanced Network/Insurance Carrier Org ID]],B161)/S161)</f>
        <v>NA</v>
      </c>
      <c r="AC161" s="165" t="str">
        <f>IF(S161=0,"NA",SUMIFS(AN_TME23[[#All],[TOTAL Non-Truncated Unadjusted Claims Expenses]],AN_TME23[[#All],[Insurance Category Code]],1,AN_TME23[[#All],[Advanced Network/Insurance Carrier Org ID]],B161)/S161)</f>
        <v>NA</v>
      </c>
      <c r="AD161" s="165" t="str">
        <f>IF(S161=0,"NA",SUMIFS(AN_TME23[[#All],[TOTAL Truncated Unadjusted Claims Expenses (A21 -A19)]],AN_TME23[[#All],[Insurance Category Code]],1,AN_TME23[[#All],[Advanced Network/Insurance Carrier Org ID]],B161)/S161)</f>
        <v>NA</v>
      </c>
      <c r="AE161" s="165" t="str">
        <f>IF(S161=0,"NA",SUMIFS(AN_TME23[[#All],[TOTAL Non-Claims Expenses]],AN_TME23[[#All],[Insurance Category Code]],1,AN_TME23[[#All],[Advanced Network/Insurance Carrier Org ID]],B161)/S161)</f>
        <v>NA</v>
      </c>
      <c r="AF161" s="165" t="str">
        <f>IF(S161=0,"NA",SUMIFS(AN_TME23[[#All],[TOTAL Non-Truncated Unadjusted Expenses (A21 + A23)]],AN_TME23[[#All],[Insurance Category Code]],1,AN_TME23[[#All],[Advanced Network/Insurance Carrier Org ID]],B161)/S161)</f>
        <v>NA</v>
      </c>
      <c r="AG161" s="156" t="str">
        <f>IF(S161=0,"NA",SUMIFS(AN_TME23[[#All],[TOTAL Truncated Unadjusted Expenses (A22 + A23)]],AN_TME23[[#All],[Insurance Category Code]],1,AN_TME23[[#All],[Advanced Network/Insurance Carrier Org ID]],B161)/S161)</f>
        <v>NA</v>
      </c>
      <c r="AH161" s="478" t="str">
        <f t="shared" ref="AH161:AH169" si="244">IF(D161=0,"NA",S161/D161-1)</f>
        <v>NA</v>
      </c>
      <c r="AI161" s="479" t="str">
        <f t="shared" ref="AI161:AI169" si="245">IF(D161=0,"NA",T161/E161-1)</f>
        <v>NA</v>
      </c>
      <c r="AJ161" s="480" t="str">
        <f t="shared" ref="AJ161:AJ169" si="246">IF(D161=0,"NA",U161/F161-1)</f>
        <v>NA</v>
      </c>
      <c r="AK161" s="480" t="str">
        <f t="shared" ref="AK161:AK169" si="247">IF(D161=0,"NA",V161/G161-1)</f>
        <v>NA</v>
      </c>
      <c r="AL161" s="480" t="str">
        <f t="shared" ref="AL161:AL169" si="248">IF(D161=0,"NA",W161/H161-1)</f>
        <v>NA</v>
      </c>
      <c r="AM161" s="480" t="str">
        <f t="shared" ref="AM161:AM169" si="249">IF(D161=0,"NA",X161/I161-1)</f>
        <v>NA</v>
      </c>
      <c r="AN161" s="480" t="str">
        <f t="shared" ref="AN161:AN169" si="250">IF(D161=0,"NA",Y161/J161-1)</f>
        <v>NA</v>
      </c>
      <c r="AO161" s="480" t="str">
        <f t="shared" ref="AO161:AO169" si="251">IF(D161=0,"NA",Z161/K161-1)</f>
        <v>NA</v>
      </c>
      <c r="AP161" s="480" t="str">
        <f t="shared" ref="AP161:AP169" si="252">IF(D161=0,"NA",AA161/L161-1)</f>
        <v>NA</v>
      </c>
      <c r="AQ161" s="480" t="str">
        <f t="shared" ref="AQ161:AQ169" si="253">IF(D161=0,"NA",AB161/M161-1)</f>
        <v>NA</v>
      </c>
      <c r="AR161" s="481" t="str">
        <f t="shared" ref="AR161:AR169" si="254">IF(D161=0,"NA",AC161/N161-1)</f>
        <v>NA</v>
      </c>
      <c r="AS161" s="481" t="str">
        <f t="shared" ref="AS161:AS169" si="255">IF(D161=0,"NA",AD161/O161-1)</f>
        <v>NA</v>
      </c>
      <c r="AT161" s="481" t="str">
        <f t="shared" ref="AT161:AT169" si="256">IF(D161=0,"NA",AE161/P161-1)</f>
        <v>NA</v>
      </c>
      <c r="AU161" s="481" t="str">
        <f t="shared" ref="AU161:AU169" si="257">IF(D161=0,"NA",AF161/Q161-1)</f>
        <v>NA</v>
      </c>
      <c r="AV161" s="482" t="str">
        <f t="shared" ref="AV161:AV169" si="258">IF(D161=0,"NA",AG161/R161-1)</f>
        <v>NA</v>
      </c>
    </row>
    <row r="162" spans="1:48" ht="15" customHeight="1" x14ac:dyDescent="0.25">
      <c r="A162" s="164"/>
      <c r="B162" s="166">
        <v>103</v>
      </c>
      <c r="C162" s="169" t="str">
        <f>_xlfn.XLOOKUP(B162, LgProvEntOrgIDs[Advanced Network/Insurer Carrier Org ID], LgProvEntOrgIDs[Advanced Network/Insurance Carrier Overall])</f>
        <v>Connecticut State Medical Society IPA</v>
      </c>
      <c r="D162" s="507">
        <f>SUMIFS(AN_TME22[[#All],[Member Months]],AN_TME22[[#All],[Insurance Category Code]],1,AN_TME22[[#All],[Advanced Network/Insurance Carrier Org ID]],B162)</f>
        <v>0</v>
      </c>
      <c r="E162" s="155" t="str">
        <f>IF(D162=0,"NA",SUMIFS(AN_TME22[[#All],[Claims: Hospital Inpatient]],AN_TME22[[#All],[Insurance Category Code]],1,AN_TME22[[#All],[Advanced Network/Insurance Carrier Org ID]],B162)/D162)</f>
        <v>NA</v>
      </c>
      <c r="F162" s="109" t="str">
        <f>IF(D162=0,"NA",SUMIFS(AN_TME22[[#All],[Claims: Hospital Outpatient]],AN_TME22[[#All],[Insurance Category Code]],1,AN_TME22[[#All],[Advanced Network/Insurance Carrier Org ID]],B162)/D162)</f>
        <v>NA</v>
      </c>
      <c r="G162" s="109" t="str">
        <f>IF(D162=0,"NA",SUMIFS(AN_TME22[[#All],[Claims: Professional, Primary Care]],AN_TME22[[#All],[Insurance Category Code]],1,AN_TME22[[#All],[Advanced Network/Insurance Carrier Org ID]],B162)/D162)</f>
        <v>NA</v>
      </c>
      <c r="H162" s="109" t="str">
        <f>IF(D162=0,"NA",SUMIFS(AN_TME22[[#All],[Claims: Professional, Primary Care (for Monitoring Purposes)]],AN_TME22[[#All],[Insurance Category Code]],1,AN_TME22[[#All],[Advanced Network/Insurance Carrier Org ID]],B162)/D162)</f>
        <v>NA</v>
      </c>
      <c r="I162" s="109" t="str">
        <f>IF(D162=0,"NA",SUMIFS(AN_TME22[[#All],[Claims: Professional, Specialty]],AN_TME22[[#All],[Insurance Category Code]],1,AN_TME22[[#All],[Advanced Network/Insurance Carrier Org ID]],B162)/D162)</f>
        <v>NA</v>
      </c>
      <c r="J162" s="109" t="str">
        <f>IF(D162=0,"NA",SUMIFS(AN_TME22[[#All],[Claims: Professional Other]],AN_TME22[[#All],[Insurance Category Code]],1,AN_TME22[[#All],[Advanced Network/Insurance Carrier Org ID]],B162)/D162)</f>
        <v>NA</v>
      </c>
      <c r="K162" s="109" t="str">
        <f>IF(D162=0,"NA",SUMIFS(AN_TME22[[#All],[Claims: Pharmacy]],AN_TME22[[#All],[Insurance Category Code]],1,AN_TME22[[#All],[Advanced Network/Insurance Carrier Org ID]],B162)/D162)</f>
        <v>NA</v>
      </c>
      <c r="L162" s="109" t="str">
        <f>IF(D162=0,"NA",SUMIFS(AN_TME22[[#All],[Claims: Long-Term Care]],AN_TME22[[#All],[Insurance Category Code]],1,AN_TME22[[#All],[Advanced Network/Insurance Carrier Org ID]],B162)/D162)</f>
        <v>NA</v>
      </c>
      <c r="M162" s="109" t="str">
        <f>IF(D162=0,"NA",SUMIFS(AN_TME22[[#All],[Claims: Other]],AN_TME22[[#All],[Insurance Category Code]],1,AN_TME22[[#All],[Advanced Network/Insurance Carrier Org ID]],B162)/D162)</f>
        <v>NA</v>
      </c>
      <c r="N162" s="165" t="str">
        <f>IF(D162=0,"NA",SUMIFS(AN_TME22[[#All],[TOTAL Non-Truncated Unadjusted Claims Expenses]],AN_TME22[[#All],[Insurance Category Code]],1,AN_TME22[[#All],[Advanced Network/Insurance Carrier Org ID]],B162)/D162)</f>
        <v>NA</v>
      </c>
      <c r="O162" s="165" t="str">
        <f>IF(D162=0,"NA",SUMIFS(AN_TME22[[#All],[TOTAL Truncated Unadjusted Claims Expenses (A21 -A19)]],AN_TME22[[#All],[Insurance Category Code]],1,AN_TME22[[#All],[Advanced Network/Insurance Carrier Org ID]],B162)/D162)</f>
        <v>NA</v>
      </c>
      <c r="P162" s="165" t="str">
        <f>IF(D162=0,"NA",SUMIFS(AN_TME22[[#All],[TOTAL Non-Claims Expenses]],AN_TME22[[#All],[Insurance Category Code]],1,AN_TME22[[#All],[Advanced Network/Insurance Carrier Org ID]],B162)/D162)</f>
        <v>NA</v>
      </c>
      <c r="Q162" s="165" t="str">
        <f>IF(D162=0,"NA",SUMIFS(AN_TME22[[#All],[TOTAL Non-Truncated Unadjusted Expenses (A21 + A23)]],AN_TME22[[#All],[Insurance Category Code]],1,AN_TME22[[#All],[Advanced Network/Insurance Carrier Org ID]],B162)/D162)</f>
        <v>NA</v>
      </c>
      <c r="R162" s="165" t="str">
        <f>IF(D162=0,"NA",SUMIFS(AN_TME22[[#All],[TOTAL Truncated Unadjusted Expenses (A22 + A23)]],AN_TME22[[#All],[Insurance Category Code]],1,AN_TME22[[#All],[Advanced Network/Insurance Carrier Org ID]],B162)/D162)</f>
        <v>NA</v>
      </c>
      <c r="S162" s="507">
        <f>SUMIFS(AN_TME23[[#All],[Member Months]],AN_TME23[[#All],[Insurance Category Code]],1,AN_TME23[[#All],[Advanced Network/Insurance Carrier Org ID]],B162)</f>
        <v>0</v>
      </c>
      <c r="T162" s="155" t="str">
        <f>IF(S162=0,"NA",SUMIFS(AN_TME23[[#All],[Claims: Hospital Inpatient]],AN_TME23[[#All],[Insurance Category Code]],1,AN_TME23[[#All],[Advanced Network/Insurance Carrier Org ID]],B162)/S162)</f>
        <v>NA</v>
      </c>
      <c r="U162" s="109" t="str">
        <f>IF(S162=0,"NA",SUMIFS(AN_TME23[[#All],[Claims: Hospital Outpatient]],AN_TME23[[#All],[Insurance Category Code]],1,AN_TME23[[#All],[Advanced Network/Insurance Carrier Org ID]],B162)/S162)</f>
        <v>NA</v>
      </c>
      <c r="V162" s="109" t="str">
        <f>IF(S162=0,"NA",SUMIFS(AN_TME23[[#All],[Claims: Professional, Primary Care]],AN_TME23[[#All],[Insurance Category Code]],1,AN_TME23[[#All],[Advanced Network/Insurance Carrier Org ID]],B162)/S162)</f>
        <v>NA</v>
      </c>
      <c r="W162" s="109" t="str">
        <f>IF(S162=0,"NA",SUMIFS(AN_TME23[[#All],[Claims: Professional, Primary Care (for Monitoring Purposes)]],AN_TME23[[#All],[Insurance Category Code]],1,AN_TME23[[#All],[Advanced Network/Insurance Carrier Org ID]],B162)/S162)</f>
        <v>NA</v>
      </c>
      <c r="X162" s="109" t="str">
        <f>IF(S162=0,"NA",SUMIFS(AN_TME23[[#All],[Claims: Professional, Specialty]],AN_TME23[[#All],[Insurance Category Code]],1,AN_TME23[[#All],[Advanced Network/Insurance Carrier Org ID]],B162)/S162)</f>
        <v>NA</v>
      </c>
      <c r="Y162" s="109" t="str">
        <f>IF(S162=0,"NA",SUMIFS(AN_TME23[[#All],[Claims: Professional Other]],AN_TME23[[#All],[Insurance Category Code]],1,AN_TME23[[#All],[Advanced Network/Insurance Carrier Org ID]],B162)/S162)</f>
        <v>NA</v>
      </c>
      <c r="Z162" s="109" t="str">
        <f>IF(S162=0,"NA",SUMIFS(AN_TME23[[#All],[Claims: Pharmacy]],AN_TME23[[#All],[Insurance Category Code]],1,AN_TME23[[#All],[Advanced Network/Insurance Carrier Org ID]],B162)/S162)</f>
        <v>NA</v>
      </c>
      <c r="AA162" s="109" t="str">
        <f>IF(S162=0,"NA",SUMIFS(AN_TME23[[#All],[Claims: Long-Term Care]],AN_TME23[[#All],[Insurance Category Code]],1,AN_TME23[[#All],[Advanced Network/Insurance Carrier Org ID]],B162)/S162)</f>
        <v>NA</v>
      </c>
      <c r="AB162" s="109" t="str">
        <f>IF(S162=0,"NA",SUMIFS(AN_TME23[[#All],[Claims: Other]],AN_TME23[[#All],[Insurance Category Code]],1,AN_TME23[[#All],[Advanced Network/Insurance Carrier Org ID]],B162)/S162)</f>
        <v>NA</v>
      </c>
      <c r="AC162" s="165" t="str">
        <f>IF(S162=0,"NA",SUMIFS(AN_TME23[[#All],[TOTAL Non-Truncated Unadjusted Claims Expenses]],AN_TME23[[#All],[Insurance Category Code]],1,AN_TME23[[#All],[Advanced Network/Insurance Carrier Org ID]],B162)/S162)</f>
        <v>NA</v>
      </c>
      <c r="AD162" s="165" t="str">
        <f>IF(S162=0,"NA",SUMIFS(AN_TME23[[#All],[TOTAL Truncated Unadjusted Claims Expenses (A21 -A19)]],AN_TME23[[#All],[Insurance Category Code]],1,AN_TME23[[#All],[Advanced Network/Insurance Carrier Org ID]],B162)/S162)</f>
        <v>NA</v>
      </c>
      <c r="AE162" s="165" t="str">
        <f>IF(S162=0,"NA",SUMIFS(AN_TME23[[#All],[TOTAL Non-Claims Expenses]],AN_TME23[[#All],[Insurance Category Code]],1,AN_TME23[[#All],[Advanced Network/Insurance Carrier Org ID]],B162)/S162)</f>
        <v>NA</v>
      </c>
      <c r="AF162" s="165" t="str">
        <f>IF(S162=0,"NA",SUMIFS(AN_TME23[[#All],[TOTAL Non-Truncated Unadjusted Expenses (A21 + A23)]],AN_TME23[[#All],[Insurance Category Code]],1,AN_TME23[[#All],[Advanced Network/Insurance Carrier Org ID]],B162)/S162)</f>
        <v>NA</v>
      </c>
      <c r="AG162" s="156" t="str">
        <f>IF(S162=0,"NA",SUMIFS(AN_TME23[[#All],[TOTAL Truncated Unadjusted Expenses (A22 + A23)]],AN_TME23[[#All],[Insurance Category Code]],1,AN_TME23[[#All],[Advanced Network/Insurance Carrier Org ID]],B162)/S162)</f>
        <v>NA</v>
      </c>
      <c r="AH162" s="478" t="str">
        <f t="shared" si="244"/>
        <v>NA</v>
      </c>
      <c r="AI162" s="479" t="str">
        <f t="shared" si="245"/>
        <v>NA</v>
      </c>
      <c r="AJ162" s="480" t="str">
        <f t="shared" si="246"/>
        <v>NA</v>
      </c>
      <c r="AK162" s="480" t="str">
        <f t="shared" si="247"/>
        <v>NA</v>
      </c>
      <c r="AL162" s="480" t="str">
        <f t="shared" si="248"/>
        <v>NA</v>
      </c>
      <c r="AM162" s="480" t="str">
        <f t="shared" si="249"/>
        <v>NA</v>
      </c>
      <c r="AN162" s="480" t="str">
        <f t="shared" si="250"/>
        <v>NA</v>
      </c>
      <c r="AO162" s="480" t="str">
        <f t="shared" si="251"/>
        <v>NA</v>
      </c>
      <c r="AP162" s="480" t="str">
        <f t="shared" si="252"/>
        <v>NA</v>
      </c>
      <c r="AQ162" s="480" t="str">
        <f t="shared" si="253"/>
        <v>NA</v>
      </c>
      <c r="AR162" s="481" t="str">
        <f t="shared" si="254"/>
        <v>NA</v>
      </c>
      <c r="AS162" s="481" t="str">
        <f t="shared" si="255"/>
        <v>NA</v>
      </c>
      <c r="AT162" s="481" t="str">
        <f t="shared" si="256"/>
        <v>NA</v>
      </c>
      <c r="AU162" s="481" t="str">
        <f t="shared" si="257"/>
        <v>NA</v>
      </c>
      <c r="AV162" s="482" t="str">
        <f t="shared" si="258"/>
        <v>NA</v>
      </c>
    </row>
    <row r="163" spans="1:48" ht="15" customHeight="1" x14ac:dyDescent="0.25">
      <c r="A163" s="164"/>
      <c r="B163" s="166">
        <v>104</v>
      </c>
      <c r="C163" s="169" t="str">
        <f>_xlfn.XLOOKUP(B163, LgProvEntOrgIDs[Advanced Network/Insurer Carrier Org ID], LgProvEntOrgIDs[Advanced Network/Insurance Carrier Overall])</f>
        <v>Integrated Care Partners</v>
      </c>
      <c r="D163" s="507">
        <f>SUMIFS(AN_TME22[[#All],[Member Months]],AN_TME22[[#All],[Insurance Category Code]],1,AN_TME22[[#All],[Advanced Network/Insurance Carrier Org ID]],B163)</f>
        <v>0</v>
      </c>
      <c r="E163" s="155" t="str">
        <f>IF(D163=0,"NA",SUMIFS(AN_TME22[[#All],[Claims: Hospital Inpatient]],AN_TME22[[#All],[Insurance Category Code]],1,AN_TME22[[#All],[Advanced Network/Insurance Carrier Org ID]],B163)/D163)</f>
        <v>NA</v>
      </c>
      <c r="F163" s="109" t="str">
        <f>IF(D163=0,"NA",SUMIFS(AN_TME22[[#All],[Claims: Hospital Outpatient]],AN_TME22[[#All],[Insurance Category Code]],1,AN_TME22[[#All],[Advanced Network/Insurance Carrier Org ID]],B163)/D163)</f>
        <v>NA</v>
      </c>
      <c r="G163" s="109" t="str">
        <f>IF(D163=0,"NA",SUMIFS(AN_TME22[[#All],[Claims: Professional, Primary Care]],AN_TME22[[#All],[Insurance Category Code]],1,AN_TME22[[#All],[Advanced Network/Insurance Carrier Org ID]],B163)/D163)</f>
        <v>NA</v>
      </c>
      <c r="H163" s="109" t="str">
        <f>IF(D163=0,"NA",SUMIFS(AN_TME22[[#All],[Claims: Professional, Primary Care (for Monitoring Purposes)]],AN_TME22[[#All],[Insurance Category Code]],1,AN_TME22[[#All],[Advanced Network/Insurance Carrier Org ID]],B163)/D163)</f>
        <v>NA</v>
      </c>
      <c r="I163" s="109" t="str">
        <f>IF(D163=0,"NA",SUMIFS(AN_TME22[[#All],[Claims: Professional, Specialty]],AN_TME22[[#All],[Insurance Category Code]],1,AN_TME22[[#All],[Advanced Network/Insurance Carrier Org ID]],B163)/D163)</f>
        <v>NA</v>
      </c>
      <c r="J163" s="109" t="str">
        <f>IF(D163=0,"NA",SUMIFS(AN_TME22[[#All],[Claims: Professional Other]],AN_TME22[[#All],[Insurance Category Code]],1,AN_TME22[[#All],[Advanced Network/Insurance Carrier Org ID]],B163)/D163)</f>
        <v>NA</v>
      </c>
      <c r="K163" s="109" t="str">
        <f>IF(D163=0,"NA",SUMIFS(AN_TME22[[#All],[Claims: Pharmacy]],AN_TME22[[#All],[Insurance Category Code]],1,AN_TME22[[#All],[Advanced Network/Insurance Carrier Org ID]],B163)/D163)</f>
        <v>NA</v>
      </c>
      <c r="L163" s="109" t="str">
        <f>IF(D163=0,"NA",SUMIFS(AN_TME22[[#All],[Claims: Long-Term Care]],AN_TME22[[#All],[Insurance Category Code]],1,AN_TME22[[#All],[Advanced Network/Insurance Carrier Org ID]],B163)/D163)</f>
        <v>NA</v>
      </c>
      <c r="M163" s="109" t="str">
        <f>IF(D163=0,"NA",SUMIFS(AN_TME22[[#All],[Claims: Other]],AN_TME22[[#All],[Insurance Category Code]],1,AN_TME22[[#All],[Advanced Network/Insurance Carrier Org ID]],B163)/D163)</f>
        <v>NA</v>
      </c>
      <c r="N163" s="165" t="str">
        <f>IF(D163=0,"NA",SUMIFS(AN_TME22[[#All],[TOTAL Non-Truncated Unadjusted Claims Expenses]],AN_TME22[[#All],[Insurance Category Code]],1,AN_TME22[[#All],[Advanced Network/Insurance Carrier Org ID]],B163)/D163)</f>
        <v>NA</v>
      </c>
      <c r="O163" s="165" t="str">
        <f>IF(D163=0,"NA",SUMIFS(AN_TME22[[#All],[TOTAL Truncated Unadjusted Claims Expenses (A21 -A19)]],AN_TME22[[#All],[Insurance Category Code]],1,AN_TME22[[#All],[Advanced Network/Insurance Carrier Org ID]],B163)/D163)</f>
        <v>NA</v>
      </c>
      <c r="P163" s="165" t="str">
        <f>IF(D163=0,"NA",SUMIFS(AN_TME22[[#All],[TOTAL Non-Claims Expenses]],AN_TME22[[#All],[Insurance Category Code]],1,AN_TME22[[#All],[Advanced Network/Insurance Carrier Org ID]],B163)/D163)</f>
        <v>NA</v>
      </c>
      <c r="Q163" s="165" t="str">
        <f>IF(D163=0,"NA",SUMIFS(AN_TME22[[#All],[TOTAL Non-Truncated Unadjusted Expenses (A21 + A23)]],AN_TME22[[#All],[Insurance Category Code]],1,AN_TME22[[#All],[Advanced Network/Insurance Carrier Org ID]],B163)/D163)</f>
        <v>NA</v>
      </c>
      <c r="R163" s="165" t="str">
        <f>IF(D163=0,"NA",SUMIFS(AN_TME22[[#All],[TOTAL Truncated Unadjusted Expenses (A22 + A23)]],AN_TME22[[#All],[Insurance Category Code]],1,AN_TME22[[#All],[Advanced Network/Insurance Carrier Org ID]],B163)/D163)</f>
        <v>NA</v>
      </c>
      <c r="S163" s="507">
        <f>SUMIFS(AN_TME23[[#All],[Member Months]],AN_TME23[[#All],[Insurance Category Code]],1,AN_TME23[[#All],[Advanced Network/Insurance Carrier Org ID]],B163)</f>
        <v>0</v>
      </c>
      <c r="T163" s="155" t="str">
        <f>IF(S163=0,"NA",SUMIFS(AN_TME23[[#All],[Claims: Hospital Inpatient]],AN_TME23[[#All],[Insurance Category Code]],1,AN_TME23[[#All],[Advanced Network/Insurance Carrier Org ID]],B163)/S163)</f>
        <v>NA</v>
      </c>
      <c r="U163" s="109" t="str">
        <f>IF(S163=0,"NA",SUMIFS(AN_TME23[[#All],[Claims: Hospital Outpatient]],AN_TME23[[#All],[Insurance Category Code]],1,AN_TME23[[#All],[Advanced Network/Insurance Carrier Org ID]],B163)/S163)</f>
        <v>NA</v>
      </c>
      <c r="V163" s="109" t="str">
        <f>IF(S163=0,"NA",SUMIFS(AN_TME23[[#All],[Claims: Professional, Primary Care]],AN_TME23[[#All],[Insurance Category Code]],1,AN_TME23[[#All],[Advanced Network/Insurance Carrier Org ID]],B163)/S163)</f>
        <v>NA</v>
      </c>
      <c r="W163" s="109" t="str">
        <f>IF(S163=0,"NA",SUMIFS(AN_TME23[[#All],[Claims: Professional, Primary Care (for Monitoring Purposes)]],AN_TME23[[#All],[Insurance Category Code]],1,AN_TME23[[#All],[Advanced Network/Insurance Carrier Org ID]],B163)/S163)</f>
        <v>NA</v>
      </c>
      <c r="X163" s="109" t="str">
        <f>IF(S163=0,"NA",SUMIFS(AN_TME23[[#All],[Claims: Professional, Specialty]],AN_TME23[[#All],[Insurance Category Code]],1,AN_TME23[[#All],[Advanced Network/Insurance Carrier Org ID]],B163)/S163)</f>
        <v>NA</v>
      </c>
      <c r="Y163" s="109" t="str">
        <f>IF(S163=0,"NA",SUMIFS(AN_TME23[[#All],[Claims: Professional Other]],AN_TME23[[#All],[Insurance Category Code]],1,AN_TME23[[#All],[Advanced Network/Insurance Carrier Org ID]],B163)/S163)</f>
        <v>NA</v>
      </c>
      <c r="Z163" s="109" t="str">
        <f>IF(S163=0,"NA",SUMIFS(AN_TME23[[#All],[Claims: Pharmacy]],AN_TME23[[#All],[Insurance Category Code]],1,AN_TME23[[#All],[Advanced Network/Insurance Carrier Org ID]],B163)/S163)</f>
        <v>NA</v>
      </c>
      <c r="AA163" s="109" t="str">
        <f>IF(S163=0,"NA",SUMIFS(AN_TME23[[#All],[Claims: Long-Term Care]],AN_TME23[[#All],[Insurance Category Code]],1,AN_TME23[[#All],[Advanced Network/Insurance Carrier Org ID]],B163)/S163)</f>
        <v>NA</v>
      </c>
      <c r="AB163" s="109" t="str">
        <f>IF(S163=0,"NA",SUMIFS(AN_TME23[[#All],[Claims: Other]],AN_TME23[[#All],[Insurance Category Code]],1,AN_TME23[[#All],[Advanced Network/Insurance Carrier Org ID]],B163)/S163)</f>
        <v>NA</v>
      </c>
      <c r="AC163" s="165" t="str">
        <f>IF(S163=0,"NA",SUMIFS(AN_TME23[[#All],[TOTAL Non-Truncated Unadjusted Claims Expenses]],AN_TME23[[#All],[Insurance Category Code]],1,AN_TME23[[#All],[Advanced Network/Insurance Carrier Org ID]],B163)/S163)</f>
        <v>NA</v>
      </c>
      <c r="AD163" s="165" t="str">
        <f>IF(S163=0,"NA",SUMIFS(AN_TME23[[#All],[TOTAL Truncated Unadjusted Claims Expenses (A21 -A19)]],AN_TME23[[#All],[Insurance Category Code]],1,AN_TME23[[#All],[Advanced Network/Insurance Carrier Org ID]],B163)/S163)</f>
        <v>NA</v>
      </c>
      <c r="AE163" s="165" t="str">
        <f>IF(S163=0,"NA",SUMIFS(AN_TME23[[#All],[TOTAL Non-Claims Expenses]],AN_TME23[[#All],[Insurance Category Code]],1,AN_TME23[[#All],[Advanced Network/Insurance Carrier Org ID]],B163)/S163)</f>
        <v>NA</v>
      </c>
      <c r="AF163" s="165" t="str">
        <f>IF(S163=0,"NA",SUMIFS(AN_TME23[[#All],[TOTAL Non-Truncated Unadjusted Expenses (A21 + A23)]],AN_TME23[[#All],[Insurance Category Code]],1,AN_TME23[[#All],[Advanced Network/Insurance Carrier Org ID]],B163)/S163)</f>
        <v>NA</v>
      </c>
      <c r="AG163" s="156" t="str">
        <f>IF(S163=0,"NA",SUMIFS(AN_TME23[[#All],[TOTAL Truncated Unadjusted Expenses (A22 + A23)]],AN_TME23[[#All],[Insurance Category Code]],1,AN_TME23[[#All],[Advanced Network/Insurance Carrier Org ID]],B163)/S163)</f>
        <v>NA</v>
      </c>
      <c r="AH163" s="478" t="str">
        <f t="shared" si="244"/>
        <v>NA</v>
      </c>
      <c r="AI163" s="479" t="str">
        <f t="shared" si="245"/>
        <v>NA</v>
      </c>
      <c r="AJ163" s="480" t="str">
        <f t="shared" si="246"/>
        <v>NA</v>
      </c>
      <c r="AK163" s="480" t="str">
        <f t="shared" si="247"/>
        <v>NA</v>
      </c>
      <c r="AL163" s="480" t="str">
        <f t="shared" si="248"/>
        <v>NA</v>
      </c>
      <c r="AM163" s="480" t="str">
        <f t="shared" si="249"/>
        <v>NA</v>
      </c>
      <c r="AN163" s="480" t="str">
        <f t="shared" si="250"/>
        <v>NA</v>
      </c>
      <c r="AO163" s="480" t="str">
        <f t="shared" si="251"/>
        <v>NA</v>
      </c>
      <c r="AP163" s="480" t="str">
        <f t="shared" si="252"/>
        <v>NA</v>
      </c>
      <c r="AQ163" s="480" t="str">
        <f t="shared" si="253"/>
        <v>NA</v>
      </c>
      <c r="AR163" s="481" t="str">
        <f t="shared" si="254"/>
        <v>NA</v>
      </c>
      <c r="AS163" s="481" t="str">
        <f t="shared" si="255"/>
        <v>NA</v>
      </c>
      <c r="AT163" s="481" t="str">
        <f t="shared" si="256"/>
        <v>NA</v>
      </c>
      <c r="AU163" s="481" t="str">
        <f t="shared" si="257"/>
        <v>NA</v>
      </c>
      <c r="AV163" s="482" t="str">
        <f t="shared" si="258"/>
        <v>NA</v>
      </c>
    </row>
    <row r="164" spans="1:48" ht="15" customHeight="1" x14ac:dyDescent="0.25">
      <c r="A164" s="164"/>
      <c r="B164" s="166">
        <v>105</v>
      </c>
      <c r="C164" s="169" t="str">
        <f>_xlfn.XLOOKUP(B164, LgProvEntOrgIDs[Advanced Network/Insurer Carrier Org ID], LgProvEntOrgIDs[Advanced Network/Insurance Carrier Overall])</f>
        <v>NA</v>
      </c>
      <c r="D164" s="507">
        <f>SUMIFS(AN_TME22[[#All],[Member Months]],AN_TME22[[#All],[Insurance Category Code]],1,AN_TME22[[#All],[Advanced Network/Insurance Carrier Org ID]],B164)</f>
        <v>0</v>
      </c>
      <c r="E164" s="155" t="str">
        <f>IF(D164=0,"NA",SUMIFS(AN_TME22[[#All],[Claims: Hospital Inpatient]],AN_TME22[[#All],[Insurance Category Code]],1,AN_TME22[[#All],[Advanced Network/Insurance Carrier Org ID]],B164)/D164)</f>
        <v>NA</v>
      </c>
      <c r="F164" s="109" t="str">
        <f>IF(D164=0,"NA",SUMIFS(AN_TME22[[#All],[Claims: Hospital Outpatient]],AN_TME22[[#All],[Insurance Category Code]],1,AN_TME22[[#All],[Advanced Network/Insurance Carrier Org ID]],B164)/D164)</f>
        <v>NA</v>
      </c>
      <c r="G164" s="109" t="str">
        <f>IF(D164=0,"NA",SUMIFS(AN_TME22[[#All],[Claims: Professional, Primary Care]],AN_TME22[[#All],[Insurance Category Code]],1,AN_TME22[[#All],[Advanced Network/Insurance Carrier Org ID]],B164)/D164)</f>
        <v>NA</v>
      </c>
      <c r="H164" s="109" t="str">
        <f>IF(D164=0,"NA",SUMIFS(AN_TME22[[#All],[Claims: Professional, Primary Care (for Monitoring Purposes)]],AN_TME22[[#All],[Insurance Category Code]],1,AN_TME22[[#All],[Advanced Network/Insurance Carrier Org ID]],B164)/D164)</f>
        <v>NA</v>
      </c>
      <c r="I164" s="109" t="str">
        <f>IF(D164=0,"NA",SUMIFS(AN_TME22[[#All],[Claims: Professional, Specialty]],AN_TME22[[#All],[Insurance Category Code]],1,AN_TME22[[#All],[Advanced Network/Insurance Carrier Org ID]],B164)/D164)</f>
        <v>NA</v>
      </c>
      <c r="J164" s="109" t="str">
        <f>IF(D164=0,"NA",SUMIFS(AN_TME22[[#All],[Claims: Professional Other]],AN_TME22[[#All],[Insurance Category Code]],1,AN_TME22[[#All],[Advanced Network/Insurance Carrier Org ID]],B164)/D164)</f>
        <v>NA</v>
      </c>
      <c r="K164" s="109" t="str">
        <f>IF(D164=0,"NA",SUMIFS(AN_TME22[[#All],[Claims: Pharmacy]],AN_TME22[[#All],[Insurance Category Code]],1,AN_TME22[[#All],[Advanced Network/Insurance Carrier Org ID]],B164)/D164)</f>
        <v>NA</v>
      </c>
      <c r="L164" s="109" t="str">
        <f>IF(D164=0,"NA",SUMIFS(AN_TME22[[#All],[Claims: Long-Term Care]],AN_TME22[[#All],[Insurance Category Code]],1,AN_TME22[[#All],[Advanced Network/Insurance Carrier Org ID]],B164)/D164)</f>
        <v>NA</v>
      </c>
      <c r="M164" s="109" t="str">
        <f>IF(D164=0,"NA",SUMIFS(AN_TME22[[#All],[Claims: Other]],AN_TME22[[#All],[Insurance Category Code]],1,AN_TME22[[#All],[Advanced Network/Insurance Carrier Org ID]],B164)/D164)</f>
        <v>NA</v>
      </c>
      <c r="N164" s="165" t="str">
        <f>IF(D164=0,"NA",SUMIFS(AN_TME22[[#All],[TOTAL Non-Truncated Unadjusted Claims Expenses]],AN_TME22[[#All],[Insurance Category Code]],1,AN_TME22[[#All],[Advanced Network/Insurance Carrier Org ID]],B164)/D164)</f>
        <v>NA</v>
      </c>
      <c r="O164" s="165" t="str">
        <f>IF(D164=0,"NA",SUMIFS(AN_TME22[[#All],[TOTAL Truncated Unadjusted Claims Expenses (A21 -A19)]],AN_TME22[[#All],[Insurance Category Code]],1,AN_TME22[[#All],[Advanced Network/Insurance Carrier Org ID]],B164)/D164)</f>
        <v>NA</v>
      </c>
      <c r="P164" s="165" t="str">
        <f>IF(D164=0,"NA",SUMIFS(AN_TME22[[#All],[TOTAL Non-Claims Expenses]],AN_TME22[[#All],[Insurance Category Code]],1,AN_TME22[[#All],[Advanced Network/Insurance Carrier Org ID]],B164)/D164)</f>
        <v>NA</v>
      </c>
      <c r="Q164" s="165" t="str">
        <f>IF(D164=0,"NA",SUMIFS(AN_TME22[[#All],[TOTAL Non-Truncated Unadjusted Expenses (A21 + A23)]],AN_TME22[[#All],[Insurance Category Code]],1,AN_TME22[[#All],[Advanced Network/Insurance Carrier Org ID]],B164)/D164)</f>
        <v>NA</v>
      </c>
      <c r="R164" s="165" t="str">
        <f>IF(D164=0,"NA",SUMIFS(AN_TME22[[#All],[TOTAL Truncated Unadjusted Expenses (A22 + A23)]],AN_TME22[[#All],[Insurance Category Code]],1,AN_TME22[[#All],[Advanced Network/Insurance Carrier Org ID]],B164)/D164)</f>
        <v>NA</v>
      </c>
      <c r="S164" s="507">
        <f>SUMIFS(AN_TME23[[#All],[Member Months]],AN_TME23[[#All],[Insurance Category Code]],1,AN_TME23[[#All],[Advanced Network/Insurance Carrier Org ID]],B164)</f>
        <v>0</v>
      </c>
      <c r="T164" s="155" t="str">
        <f>IF(S164=0,"NA",SUMIFS(AN_TME23[[#All],[Claims: Hospital Inpatient]],AN_TME23[[#All],[Insurance Category Code]],1,AN_TME23[[#All],[Advanced Network/Insurance Carrier Org ID]],B164)/S164)</f>
        <v>NA</v>
      </c>
      <c r="U164" s="109" t="str">
        <f>IF(S164=0,"NA",SUMIFS(AN_TME23[[#All],[Claims: Hospital Outpatient]],AN_TME23[[#All],[Insurance Category Code]],1,AN_TME23[[#All],[Advanced Network/Insurance Carrier Org ID]],B164)/S164)</f>
        <v>NA</v>
      </c>
      <c r="V164" s="109" t="str">
        <f>IF(S164=0,"NA",SUMIFS(AN_TME23[[#All],[Claims: Professional, Primary Care]],AN_TME23[[#All],[Insurance Category Code]],1,AN_TME23[[#All],[Advanced Network/Insurance Carrier Org ID]],B164)/S164)</f>
        <v>NA</v>
      </c>
      <c r="W164" s="109" t="str">
        <f>IF(S164=0,"NA",SUMIFS(AN_TME23[[#All],[Claims: Professional, Primary Care (for Monitoring Purposes)]],AN_TME23[[#All],[Insurance Category Code]],1,AN_TME23[[#All],[Advanced Network/Insurance Carrier Org ID]],B164)/S164)</f>
        <v>NA</v>
      </c>
      <c r="X164" s="109" t="str">
        <f>IF(S164=0,"NA",SUMIFS(AN_TME23[[#All],[Claims: Professional, Specialty]],AN_TME23[[#All],[Insurance Category Code]],1,AN_TME23[[#All],[Advanced Network/Insurance Carrier Org ID]],B164)/S164)</f>
        <v>NA</v>
      </c>
      <c r="Y164" s="109" t="str">
        <f>IF(S164=0,"NA",SUMIFS(AN_TME23[[#All],[Claims: Professional Other]],AN_TME23[[#All],[Insurance Category Code]],1,AN_TME23[[#All],[Advanced Network/Insurance Carrier Org ID]],B164)/S164)</f>
        <v>NA</v>
      </c>
      <c r="Z164" s="109" t="str">
        <f>IF(S164=0,"NA",SUMIFS(AN_TME23[[#All],[Claims: Pharmacy]],AN_TME23[[#All],[Insurance Category Code]],1,AN_TME23[[#All],[Advanced Network/Insurance Carrier Org ID]],B164)/S164)</f>
        <v>NA</v>
      </c>
      <c r="AA164" s="109" t="str">
        <f>IF(S164=0,"NA",SUMIFS(AN_TME23[[#All],[Claims: Long-Term Care]],AN_TME23[[#All],[Insurance Category Code]],1,AN_TME23[[#All],[Advanced Network/Insurance Carrier Org ID]],B164)/S164)</f>
        <v>NA</v>
      </c>
      <c r="AB164" s="109" t="str">
        <f>IF(S164=0,"NA",SUMIFS(AN_TME23[[#All],[Claims: Other]],AN_TME23[[#All],[Insurance Category Code]],1,AN_TME23[[#All],[Advanced Network/Insurance Carrier Org ID]],B164)/S164)</f>
        <v>NA</v>
      </c>
      <c r="AC164" s="165" t="str">
        <f>IF(S164=0,"NA",SUMIFS(AN_TME23[[#All],[TOTAL Non-Truncated Unadjusted Claims Expenses]],AN_TME23[[#All],[Insurance Category Code]],1,AN_TME23[[#All],[Advanced Network/Insurance Carrier Org ID]],B164)/S164)</f>
        <v>NA</v>
      </c>
      <c r="AD164" s="165" t="str">
        <f>IF(S164=0,"NA",SUMIFS(AN_TME23[[#All],[TOTAL Truncated Unadjusted Claims Expenses (A21 -A19)]],AN_TME23[[#All],[Insurance Category Code]],1,AN_TME23[[#All],[Advanced Network/Insurance Carrier Org ID]],B164)/S164)</f>
        <v>NA</v>
      </c>
      <c r="AE164" s="165" t="str">
        <f>IF(S164=0,"NA",SUMIFS(AN_TME23[[#All],[TOTAL Non-Claims Expenses]],AN_TME23[[#All],[Insurance Category Code]],1,AN_TME23[[#All],[Advanced Network/Insurance Carrier Org ID]],B164)/S164)</f>
        <v>NA</v>
      </c>
      <c r="AF164" s="165" t="str">
        <f>IF(S164=0,"NA",SUMIFS(AN_TME23[[#All],[TOTAL Non-Truncated Unadjusted Expenses (A21 + A23)]],AN_TME23[[#All],[Insurance Category Code]],1,AN_TME23[[#All],[Advanced Network/Insurance Carrier Org ID]],B164)/S164)</f>
        <v>NA</v>
      </c>
      <c r="AG164" s="156" t="str">
        <f>IF(S164=0,"NA",SUMIFS(AN_TME23[[#All],[TOTAL Truncated Unadjusted Expenses (A22 + A23)]],AN_TME23[[#All],[Insurance Category Code]],1,AN_TME23[[#All],[Advanced Network/Insurance Carrier Org ID]],B164)/S164)</f>
        <v>NA</v>
      </c>
      <c r="AH164" s="478" t="str">
        <f t="shared" si="244"/>
        <v>NA</v>
      </c>
      <c r="AI164" s="479" t="str">
        <f t="shared" si="245"/>
        <v>NA</v>
      </c>
      <c r="AJ164" s="480" t="str">
        <f t="shared" si="246"/>
        <v>NA</v>
      </c>
      <c r="AK164" s="480" t="str">
        <f t="shared" si="247"/>
        <v>NA</v>
      </c>
      <c r="AL164" s="480" t="str">
        <f t="shared" si="248"/>
        <v>NA</v>
      </c>
      <c r="AM164" s="480" t="str">
        <f t="shared" si="249"/>
        <v>NA</v>
      </c>
      <c r="AN164" s="480" t="str">
        <f t="shared" si="250"/>
        <v>NA</v>
      </c>
      <c r="AO164" s="480" t="str">
        <f t="shared" si="251"/>
        <v>NA</v>
      </c>
      <c r="AP164" s="480" t="str">
        <f t="shared" si="252"/>
        <v>NA</v>
      </c>
      <c r="AQ164" s="480" t="str">
        <f t="shared" si="253"/>
        <v>NA</v>
      </c>
      <c r="AR164" s="481" t="str">
        <f t="shared" si="254"/>
        <v>NA</v>
      </c>
      <c r="AS164" s="481" t="str">
        <f t="shared" si="255"/>
        <v>NA</v>
      </c>
      <c r="AT164" s="481" t="str">
        <f t="shared" si="256"/>
        <v>NA</v>
      </c>
      <c r="AU164" s="481" t="str">
        <f t="shared" si="257"/>
        <v>NA</v>
      </c>
      <c r="AV164" s="482" t="str">
        <f t="shared" si="258"/>
        <v>NA</v>
      </c>
    </row>
    <row r="165" spans="1:48" ht="15" customHeight="1" x14ac:dyDescent="0.25">
      <c r="A165" s="164"/>
      <c r="B165" s="166">
        <v>106</v>
      </c>
      <c r="C165" s="169" t="str">
        <f>_xlfn.XLOOKUP(B165, LgProvEntOrgIDs[Advanced Network/Insurer Carrier Org ID], LgProvEntOrgIDs[Advanced Network/Insurance Carrier Overall])</f>
        <v>Northeast Medical Group</v>
      </c>
      <c r="D165" s="507">
        <f>SUMIFS(AN_TME22[[#All],[Member Months]],AN_TME22[[#All],[Insurance Category Code]],1,AN_TME22[[#All],[Advanced Network/Insurance Carrier Org ID]],B165)</f>
        <v>0</v>
      </c>
      <c r="E165" s="155" t="str">
        <f>IF(D165=0,"NA",SUMIFS(AN_TME22[[#All],[Claims: Hospital Inpatient]],AN_TME22[[#All],[Insurance Category Code]],1,AN_TME22[[#All],[Advanced Network/Insurance Carrier Org ID]],B165)/D165)</f>
        <v>NA</v>
      </c>
      <c r="F165" s="109" t="str">
        <f>IF(D165=0,"NA",SUMIFS(AN_TME22[[#All],[Claims: Hospital Outpatient]],AN_TME22[[#All],[Insurance Category Code]],1,AN_TME22[[#All],[Advanced Network/Insurance Carrier Org ID]],B165)/D165)</f>
        <v>NA</v>
      </c>
      <c r="G165" s="109" t="str">
        <f>IF(D165=0,"NA",SUMIFS(AN_TME22[[#All],[Claims: Professional, Primary Care]],AN_TME22[[#All],[Insurance Category Code]],1,AN_TME22[[#All],[Advanced Network/Insurance Carrier Org ID]],B165)/D165)</f>
        <v>NA</v>
      </c>
      <c r="H165" s="109" t="str">
        <f>IF(D165=0,"NA",SUMIFS(AN_TME22[[#All],[Claims: Professional, Primary Care (for Monitoring Purposes)]],AN_TME22[[#All],[Insurance Category Code]],1,AN_TME22[[#All],[Advanced Network/Insurance Carrier Org ID]],B165)/D165)</f>
        <v>NA</v>
      </c>
      <c r="I165" s="109" t="str">
        <f>IF(D165=0,"NA",SUMIFS(AN_TME22[[#All],[Claims: Professional, Specialty]],AN_TME22[[#All],[Insurance Category Code]],1,AN_TME22[[#All],[Advanced Network/Insurance Carrier Org ID]],B165)/D165)</f>
        <v>NA</v>
      </c>
      <c r="J165" s="109" t="str">
        <f>IF(D165=0,"NA",SUMIFS(AN_TME22[[#All],[Claims: Professional Other]],AN_TME22[[#All],[Insurance Category Code]],1,AN_TME22[[#All],[Advanced Network/Insurance Carrier Org ID]],B165)/D165)</f>
        <v>NA</v>
      </c>
      <c r="K165" s="109" t="str">
        <f>IF(D165=0,"NA",SUMIFS(AN_TME22[[#All],[Claims: Pharmacy]],AN_TME22[[#All],[Insurance Category Code]],1,AN_TME22[[#All],[Advanced Network/Insurance Carrier Org ID]],B165)/D165)</f>
        <v>NA</v>
      </c>
      <c r="L165" s="109" t="str">
        <f>IF(D165=0,"NA",SUMIFS(AN_TME22[[#All],[Claims: Long-Term Care]],AN_TME22[[#All],[Insurance Category Code]],1,AN_TME22[[#All],[Advanced Network/Insurance Carrier Org ID]],B165)/D165)</f>
        <v>NA</v>
      </c>
      <c r="M165" s="109" t="str">
        <f>IF(D165=0,"NA",SUMIFS(AN_TME22[[#All],[Claims: Other]],AN_TME22[[#All],[Insurance Category Code]],1,AN_TME22[[#All],[Advanced Network/Insurance Carrier Org ID]],B165)/D165)</f>
        <v>NA</v>
      </c>
      <c r="N165" s="165" t="str">
        <f>IF(D165=0,"NA",SUMIFS(AN_TME22[[#All],[TOTAL Non-Truncated Unadjusted Claims Expenses]],AN_TME22[[#All],[Insurance Category Code]],1,AN_TME22[[#All],[Advanced Network/Insurance Carrier Org ID]],B165)/D165)</f>
        <v>NA</v>
      </c>
      <c r="O165" s="165" t="str">
        <f>IF(D165=0,"NA",SUMIFS(AN_TME22[[#All],[TOTAL Truncated Unadjusted Claims Expenses (A21 -A19)]],AN_TME22[[#All],[Insurance Category Code]],1,AN_TME22[[#All],[Advanced Network/Insurance Carrier Org ID]],B165)/D165)</f>
        <v>NA</v>
      </c>
      <c r="P165" s="165" t="str">
        <f>IF(D165=0,"NA",SUMIFS(AN_TME22[[#All],[TOTAL Non-Claims Expenses]],AN_TME22[[#All],[Insurance Category Code]],1,AN_TME22[[#All],[Advanced Network/Insurance Carrier Org ID]],B165)/D165)</f>
        <v>NA</v>
      </c>
      <c r="Q165" s="165" t="str">
        <f>IF(D165=0,"NA",SUMIFS(AN_TME22[[#All],[TOTAL Non-Truncated Unadjusted Expenses (A21 + A23)]],AN_TME22[[#All],[Insurance Category Code]],1,AN_TME22[[#All],[Advanced Network/Insurance Carrier Org ID]],B165)/D165)</f>
        <v>NA</v>
      </c>
      <c r="R165" s="165" t="str">
        <f>IF(D165=0,"NA",SUMIFS(AN_TME22[[#All],[TOTAL Truncated Unadjusted Expenses (A22 + A23)]],AN_TME22[[#All],[Insurance Category Code]],1,AN_TME22[[#All],[Advanced Network/Insurance Carrier Org ID]],B165)/D165)</f>
        <v>NA</v>
      </c>
      <c r="S165" s="507">
        <f>SUMIFS(AN_TME23[[#All],[Member Months]],AN_TME23[[#All],[Insurance Category Code]],1,AN_TME23[[#All],[Advanced Network/Insurance Carrier Org ID]],B165)</f>
        <v>0</v>
      </c>
      <c r="T165" s="155" t="str">
        <f>IF(S165=0,"NA",SUMIFS(AN_TME23[[#All],[Claims: Hospital Inpatient]],AN_TME23[[#All],[Insurance Category Code]],1,AN_TME23[[#All],[Advanced Network/Insurance Carrier Org ID]],B165)/S165)</f>
        <v>NA</v>
      </c>
      <c r="U165" s="109" t="str">
        <f>IF(S165=0,"NA",SUMIFS(AN_TME23[[#All],[Claims: Hospital Outpatient]],AN_TME23[[#All],[Insurance Category Code]],1,AN_TME23[[#All],[Advanced Network/Insurance Carrier Org ID]],B165)/S165)</f>
        <v>NA</v>
      </c>
      <c r="V165" s="109" t="str">
        <f>IF(S165=0,"NA",SUMIFS(AN_TME23[[#All],[Claims: Professional, Primary Care]],AN_TME23[[#All],[Insurance Category Code]],1,AN_TME23[[#All],[Advanced Network/Insurance Carrier Org ID]],B165)/S165)</f>
        <v>NA</v>
      </c>
      <c r="W165" s="109" t="str">
        <f>IF(S165=0,"NA",SUMIFS(AN_TME23[[#All],[Claims: Professional, Primary Care (for Monitoring Purposes)]],AN_TME23[[#All],[Insurance Category Code]],1,AN_TME23[[#All],[Advanced Network/Insurance Carrier Org ID]],B165)/S165)</f>
        <v>NA</v>
      </c>
      <c r="X165" s="109" t="str">
        <f>IF(S165=0,"NA",SUMIFS(AN_TME23[[#All],[Claims: Professional, Specialty]],AN_TME23[[#All],[Insurance Category Code]],1,AN_TME23[[#All],[Advanced Network/Insurance Carrier Org ID]],B165)/S165)</f>
        <v>NA</v>
      </c>
      <c r="Y165" s="109" t="str">
        <f>IF(S165=0,"NA",SUMIFS(AN_TME23[[#All],[Claims: Professional Other]],AN_TME23[[#All],[Insurance Category Code]],1,AN_TME23[[#All],[Advanced Network/Insurance Carrier Org ID]],B165)/S165)</f>
        <v>NA</v>
      </c>
      <c r="Z165" s="109" t="str">
        <f>IF(S165=0,"NA",SUMIFS(AN_TME23[[#All],[Claims: Pharmacy]],AN_TME23[[#All],[Insurance Category Code]],1,AN_TME23[[#All],[Advanced Network/Insurance Carrier Org ID]],B165)/S165)</f>
        <v>NA</v>
      </c>
      <c r="AA165" s="109" t="str">
        <f>IF(S165=0,"NA",SUMIFS(AN_TME23[[#All],[Claims: Long-Term Care]],AN_TME23[[#All],[Insurance Category Code]],1,AN_TME23[[#All],[Advanced Network/Insurance Carrier Org ID]],B165)/S165)</f>
        <v>NA</v>
      </c>
      <c r="AB165" s="109" t="str">
        <f>IF(S165=0,"NA",SUMIFS(AN_TME23[[#All],[Claims: Other]],AN_TME23[[#All],[Insurance Category Code]],1,AN_TME23[[#All],[Advanced Network/Insurance Carrier Org ID]],B165)/S165)</f>
        <v>NA</v>
      </c>
      <c r="AC165" s="165" t="str">
        <f>IF(S165=0,"NA",SUMIFS(AN_TME23[[#All],[TOTAL Non-Truncated Unadjusted Claims Expenses]],AN_TME23[[#All],[Insurance Category Code]],1,AN_TME23[[#All],[Advanced Network/Insurance Carrier Org ID]],B165)/S165)</f>
        <v>NA</v>
      </c>
      <c r="AD165" s="165" t="str">
        <f>IF(S165=0,"NA",SUMIFS(AN_TME23[[#All],[TOTAL Truncated Unadjusted Claims Expenses (A21 -A19)]],AN_TME23[[#All],[Insurance Category Code]],1,AN_TME23[[#All],[Advanced Network/Insurance Carrier Org ID]],B165)/S165)</f>
        <v>NA</v>
      </c>
      <c r="AE165" s="165" t="str">
        <f>IF(S165=0,"NA",SUMIFS(AN_TME23[[#All],[TOTAL Non-Claims Expenses]],AN_TME23[[#All],[Insurance Category Code]],1,AN_TME23[[#All],[Advanced Network/Insurance Carrier Org ID]],B165)/S165)</f>
        <v>NA</v>
      </c>
      <c r="AF165" s="165" t="str">
        <f>IF(S165=0,"NA",SUMIFS(AN_TME23[[#All],[TOTAL Non-Truncated Unadjusted Expenses (A21 + A23)]],AN_TME23[[#All],[Insurance Category Code]],1,AN_TME23[[#All],[Advanced Network/Insurance Carrier Org ID]],B165)/S165)</f>
        <v>NA</v>
      </c>
      <c r="AG165" s="156" t="str">
        <f>IF(S165=0,"NA",SUMIFS(AN_TME23[[#All],[TOTAL Truncated Unadjusted Expenses (A22 + A23)]],AN_TME23[[#All],[Insurance Category Code]],1,AN_TME23[[#All],[Advanced Network/Insurance Carrier Org ID]],B165)/S165)</f>
        <v>NA</v>
      </c>
      <c r="AH165" s="478" t="str">
        <f t="shared" si="244"/>
        <v>NA</v>
      </c>
      <c r="AI165" s="479" t="str">
        <f t="shared" si="245"/>
        <v>NA</v>
      </c>
      <c r="AJ165" s="480" t="str">
        <f t="shared" si="246"/>
        <v>NA</v>
      </c>
      <c r="AK165" s="480" t="str">
        <f t="shared" si="247"/>
        <v>NA</v>
      </c>
      <c r="AL165" s="480" t="str">
        <f t="shared" si="248"/>
        <v>NA</v>
      </c>
      <c r="AM165" s="480" t="str">
        <f t="shared" si="249"/>
        <v>NA</v>
      </c>
      <c r="AN165" s="480" t="str">
        <f t="shared" si="250"/>
        <v>NA</v>
      </c>
      <c r="AO165" s="480" t="str">
        <f t="shared" si="251"/>
        <v>NA</v>
      </c>
      <c r="AP165" s="480" t="str">
        <f t="shared" si="252"/>
        <v>NA</v>
      </c>
      <c r="AQ165" s="480" t="str">
        <f t="shared" si="253"/>
        <v>NA</v>
      </c>
      <c r="AR165" s="481" t="str">
        <f t="shared" si="254"/>
        <v>NA</v>
      </c>
      <c r="AS165" s="481" t="str">
        <f t="shared" si="255"/>
        <v>NA</v>
      </c>
      <c r="AT165" s="481" t="str">
        <f t="shared" si="256"/>
        <v>NA</v>
      </c>
      <c r="AU165" s="481" t="str">
        <f t="shared" si="257"/>
        <v>NA</v>
      </c>
      <c r="AV165" s="482" t="str">
        <f t="shared" si="258"/>
        <v>NA</v>
      </c>
    </row>
    <row r="166" spans="1:48" ht="15" customHeight="1" x14ac:dyDescent="0.25">
      <c r="A166" s="164"/>
      <c r="B166" s="166">
        <v>107</v>
      </c>
      <c r="C166" s="169" t="str">
        <f>_xlfn.XLOOKUP(B166, LgProvEntOrgIDs[Advanced Network/Insurer Carrier Org ID], LgProvEntOrgIDs[Advanced Network/Insurance Carrier Overall])</f>
        <v>OptumCare Network of Connecticut (including ProHealth)</v>
      </c>
      <c r="D166" s="507">
        <f>SUMIFS(AN_TME22[[#All],[Member Months]],AN_TME22[[#All],[Insurance Category Code]],1,AN_TME22[[#All],[Advanced Network/Insurance Carrier Org ID]],B166)</f>
        <v>0</v>
      </c>
      <c r="E166" s="155" t="str">
        <f>IF(D166=0,"NA",SUMIFS(AN_TME22[[#All],[Claims: Hospital Inpatient]],AN_TME22[[#All],[Insurance Category Code]],1,AN_TME22[[#All],[Advanced Network/Insurance Carrier Org ID]],B166)/D166)</f>
        <v>NA</v>
      </c>
      <c r="F166" s="109" t="str">
        <f>IF(D166=0,"NA",SUMIFS(AN_TME22[[#All],[Claims: Hospital Outpatient]],AN_TME22[[#All],[Insurance Category Code]],1,AN_TME22[[#All],[Advanced Network/Insurance Carrier Org ID]],B166)/D166)</f>
        <v>NA</v>
      </c>
      <c r="G166" s="109" t="str">
        <f>IF(D166=0,"NA",SUMIFS(AN_TME22[[#All],[Claims: Professional, Primary Care]],AN_TME22[[#All],[Insurance Category Code]],1,AN_TME22[[#All],[Advanced Network/Insurance Carrier Org ID]],B166)/D166)</f>
        <v>NA</v>
      </c>
      <c r="H166" s="109" t="str">
        <f>IF(D166=0,"NA",SUMIFS(AN_TME22[[#All],[Claims: Professional, Primary Care (for Monitoring Purposes)]],AN_TME22[[#All],[Insurance Category Code]],1,AN_TME22[[#All],[Advanced Network/Insurance Carrier Org ID]],B166)/D166)</f>
        <v>NA</v>
      </c>
      <c r="I166" s="109" t="str">
        <f>IF(D166=0,"NA",SUMIFS(AN_TME22[[#All],[Claims: Professional, Specialty]],AN_TME22[[#All],[Insurance Category Code]],1,AN_TME22[[#All],[Advanced Network/Insurance Carrier Org ID]],B166)/D166)</f>
        <v>NA</v>
      </c>
      <c r="J166" s="109" t="str">
        <f>IF(D166=0,"NA",SUMIFS(AN_TME22[[#All],[Claims: Professional Other]],AN_TME22[[#All],[Insurance Category Code]],1,AN_TME22[[#All],[Advanced Network/Insurance Carrier Org ID]],B166)/D166)</f>
        <v>NA</v>
      </c>
      <c r="K166" s="109" t="str">
        <f>IF(D166=0,"NA",SUMIFS(AN_TME22[[#All],[Claims: Pharmacy]],AN_TME22[[#All],[Insurance Category Code]],1,AN_TME22[[#All],[Advanced Network/Insurance Carrier Org ID]],B166)/D166)</f>
        <v>NA</v>
      </c>
      <c r="L166" s="109" t="str">
        <f>IF(D166=0,"NA",SUMIFS(AN_TME22[[#All],[Claims: Long-Term Care]],AN_TME22[[#All],[Insurance Category Code]],1,AN_TME22[[#All],[Advanced Network/Insurance Carrier Org ID]],B166)/D166)</f>
        <v>NA</v>
      </c>
      <c r="M166" s="109" t="str">
        <f>IF(D166=0,"NA",SUMIFS(AN_TME22[[#All],[Claims: Other]],AN_TME22[[#All],[Insurance Category Code]],1,AN_TME22[[#All],[Advanced Network/Insurance Carrier Org ID]],B166)/D166)</f>
        <v>NA</v>
      </c>
      <c r="N166" s="165" t="str">
        <f>IF(D166=0,"NA",SUMIFS(AN_TME22[[#All],[TOTAL Non-Truncated Unadjusted Claims Expenses]],AN_TME22[[#All],[Insurance Category Code]],1,AN_TME22[[#All],[Advanced Network/Insurance Carrier Org ID]],B166)/D166)</f>
        <v>NA</v>
      </c>
      <c r="O166" s="165" t="str">
        <f>IF(D166=0,"NA",SUMIFS(AN_TME22[[#All],[TOTAL Truncated Unadjusted Claims Expenses (A21 -A19)]],AN_TME22[[#All],[Insurance Category Code]],1,AN_TME22[[#All],[Advanced Network/Insurance Carrier Org ID]],B166)/D166)</f>
        <v>NA</v>
      </c>
      <c r="P166" s="165" t="str">
        <f>IF(D166=0,"NA",SUMIFS(AN_TME22[[#All],[TOTAL Non-Claims Expenses]],AN_TME22[[#All],[Insurance Category Code]],1,AN_TME22[[#All],[Advanced Network/Insurance Carrier Org ID]],B166)/D166)</f>
        <v>NA</v>
      </c>
      <c r="Q166" s="165" t="str">
        <f>IF(D166=0,"NA",SUMIFS(AN_TME22[[#All],[TOTAL Non-Truncated Unadjusted Expenses (A21 + A23)]],AN_TME22[[#All],[Insurance Category Code]],1,AN_TME22[[#All],[Advanced Network/Insurance Carrier Org ID]],B166)/D166)</f>
        <v>NA</v>
      </c>
      <c r="R166" s="165" t="str">
        <f>IF(D166=0,"NA",SUMIFS(AN_TME22[[#All],[TOTAL Truncated Unadjusted Expenses (A22 + A23)]],AN_TME22[[#All],[Insurance Category Code]],1,AN_TME22[[#All],[Advanced Network/Insurance Carrier Org ID]],B166)/D166)</f>
        <v>NA</v>
      </c>
      <c r="S166" s="507">
        <f>SUMIFS(AN_TME23[[#All],[Member Months]],AN_TME23[[#All],[Insurance Category Code]],1,AN_TME23[[#All],[Advanced Network/Insurance Carrier Org ID]],B166)</f>
        <v>0</v>
      </c>
      <c r="T166" s="155" t="str">
        <f>IF(S166=0,"NA",SUMIFS(AN_TME23[[#All],[Claims: Hospital Inpatient]],AN_TME23[[#All],[Insurance Category Code]],1,AN_TME23[[#All],[Advanced Network/Insurance Carrier Org ID]],B166)/S166)</f>
        <v>NA</v>
      </c>
      <c r="U166" s="109" t="str">
        <f>IF(S166=0,"NA",SUMIFS(AN_TME23[[#All],[Claims: Hospital Outpatient]],AN_TME23[[#All],[Insurance Category Code]],1,AN_TME23[[#All],[Advanced Network/Insurance Carrier Org ID]],B166)/S166)</f>
        <v>NA</v>
      </c>
      <c r="V166" s="109" t="str">
        <f>IF(S166=0,"NA",SUMIFS(AN_TME23[[#All],[Claims: Professional, Primary Care]],AN_TME23[[#All],[Insurance Category Code]],1,AN_TME23[[#All],[Advanced Network/Insurance Carrier Org ID]],B166)/S166)</f>
        <v>NA</v>
      </c>
      <c r="W166" s="109" t="str">
        <f>IF(S166=0,"NA",SUMIFS(AN_TME23[[#All],[Claims: Professional, Primary Care (for Monitoring Purposes)]],AN_TME23[[#All],[Insurance Category Code]],1,AN_TME23[[#All],[Advanced Network/Insurance Carrier Org ID]],B166)/S166)</f>
        <v>NA</v>
      </c>
      <c r="X166" s="109" t="str">
        <f>IF(S166=0,"NA",SUMIFS(AN_TME23[[#All],[Claims: Professional, Specialty]],AN_TME23[[#All],[Insurance Category Code]],1,AN_TME23[[#All],[Advanced Network/Insurance Carrier Org ID]],B166)/S166)</f>
        <v>NA</v>
      </c>
      <c r="Y166" s="109" t="str">
        <f>IF(S166=0,"NA",SUMIFS(AN_TME23[[#All],[Claims: Professional Other]],AN_TME23[[#All],[Insurance Category Code]],1,AN_TME23[[#All],[Advanced Network/Insurance Carrier Org ID]],B166)/S166)</f>
        <v>NA</v>
      </c>
      <c r="Z166" s="109" t="str">
        <f>IF(S166=0,"NA",SUMIFS(AN_TME23[[#All],[Claims: Pharmacy]],AN_TME23[[#All],[Insurance Category Code]],1,AN_TME23[[#All],[Advanced Network/Insurance Carrier Org ID]],B166)/S166)</f>
        <v>NA</v>
      </c>
      <c r="AA166" s="109" t="str">
        <f>IF(S166=0,"NA",SUMIFS(AN_TME23[[#All],[Claims: Long-Term Care]],AN_TME23[[#All],[Insurance Category Code]],1,AN_TME23[[#All],[Advanced Network/Insurance Carrier Org ID]],B166)/S166)</f>
        <v>NA</v>
      </c>
      <c r="AB166" s="109" t="str">
        <f>IF(S166=0,"NA",SUMIFS(AN_TME23[[#All],[Claims: Other]],AN_TME23[[#All],[Insurance Category Code]],1,AN_TME23[[#All],[Advanced Network/Insurance Carrier Org ID]],B166)/S166)</f>
        <v>NA</v>
      </c>
      <c r="AC166" s="165" t="str">
        <f>IF(S166=0,"NA",SUMIFS(AN_TME23[[#All],[TOTAL Non-Truncated Unadjusted Claims Expenses]],AN_TME23[[#All],[Insurance Category Code]],1,AN_TME23[[#All],[Advanced Network/Insurance Carrier Org ID]],B166)/S166)</f>
        <v>NA</v>
      </c>
      <c r="AD166" s="165" t="str">
        <f>IF(S166=0,"NA",SUMIFS(AN_TME23[[#All],[TOTAL Truncated Unadjusted Claims Expenses (A21 -A19)]],AN_TME23[[#All],[Insurance Category Code]],1,AN_TME23[[#All],[Advanced Network/Insurance Carrier Org ID]],B166)/S166)</f>
        <v>NA</v>
      </c>
      <c r="AE166" s="165" t="str">
        <f>IF(S166=0,"NA",SUMIFS(AN_TME23[[#All],[TOTAL Non-Claims Expenses]],AN_TME23[[#All],[Insurance Category Code]],1,AN_TME23[[#All],[Advanced Network/Insurance Carrier Org ID]],B166)/S166)</f>
        <v>NA</v>
      </c>
      <c r="AF166" s="165" t="str">
        <f>IF(S166=0,"NA",SUMIFS(AN_TME23[[#All],[TOTAL Non-Truncated Unadjusted Expenses (A21 + A23)]],AN_TME23[[#All],[Insurance Category Code]],1,AN_TME23[[#All],[Advanced Network/Insurance Carrier Org ID]],B166)/S166)</f>
        <v>NA</v>
      </c>
      <c r="AG166" s="156" t="str">
        <f>IF(S166=0,"NA",SUMIFS(AN_TME23[[#All],[TOTAL Truncated Unadjusted Expenses (A22 + A23)]],AN_TME23[[#All],[Insurance Category Code]],1,AN_TME23[[#All],[Advanced Network/Insurance Carrier Org ID]],B166)/S166)</f>
        <v>NA</v>
      </c>
      <c r="AH166" s="478" t="str">
        <f t="shared" si="244"/>
        <v>NA</v>
      </c>
      <c r="AI166" s="479" t="str">
        <f t="shared" si="245"/>
        <v>NA</v>
      </c>
      <c r="AJ166" s="480" t="str">
        <f t="shared" si="246"/>
        <v>NA</v>
      </c>
      <c r="AK166" s="480" t="str">
        <f t="shared" si="247"/>
        <v>NA</v>
      </c>
      <c r="AL166" s="480" t="str">
        <f t="shared" si="248"/>
        <v>NA</v>
      </c>
      <c r="AM166" s="480" t="str">
        <f t="shared" si="249"/>
        <v>NA</v>
      </c>
      <c r="AN166" s="480" t="str">
        <f t="shared" si="250"/>
        <v>NA</v>
      </c>
      <c r="AO166" s="480" t="str">
        <f t="shared" si="251"/>
        <v>NA</v>
      </c>
      <c r="AP166" s="480" t="str">
        <f t="shared" si="252"/>
        <v>NA</v>
      </c>
      <c r="AQ166" s="480" t="str">
        <f t="shared" si="253"/>
        <v>NA</v>
      </c>
      <c r="AR166" s="481" t="str">
        <f t="shared" si="254"/>
        <v>NA</v>
      </c>
      <c r="AS166" s="481" t="str">
        <f t="shared" si="255"/>
        <v>NA</v>
      </c>
      <c r="AT166" s="481" t="str">
        <f t="shared" si="256"/>
        <v>NA</v>
      </c>
      <c r="AU166" s="481" t="str">
        <f t="shared" si="257"/>
        <v>NA</v>
      </c>
      <c r="AV166" s="482" t="str">
        <f t="shared" si="258"/>
        <v>NA</v>
      </c>
    </row>
    <row r="167" spans="1:48" ht="45" customHeight="1" x14ac:dyDescent="0.25">
      <c r="A167" s="164"/>
      <c r="B167" s="166">
        <v>108</v>
      </c>
      <c r="C167" s="169" t="str">
        <f>_xlfn.XLOOKUP(B167, LgProvEntOrgIDs[Advanced Network/Insurer Carrier Org ID], LgProvEntOrgIDs[Advanced Network/Insurance Carrier Overall])</f>
        <v>Prospect Connecticut Medical Foundation Inc. (dba Prospect Medical, Prospect Health Services, Prospect Holdings)</v>
      </c>
      <c r="D167" s="507">
        <f>SUMIFS(AN_TME22[[#All],[Member Months]],AN_TME22[[#All],[Insurance Category Code]],1,AN_TME22[[#All],[Advanced Network/Insurance Carrier Org ID]],B167)</f>
        <v>0</v>
      </c>
      <c r="E167" s="155" t="str">
        <f>IF(D167=0,"NA",SUMIFS(AN_TME22[[#All],[Claims: Hospital Inpatient]],AN_TME22[[#All],[Insurance Category Code]],1,AN_TME22[[#All],[Advanced Network/Insurance Carrier Org ID]],B167)/D167)</f>
        <v>NA</v>
      </c>
      <c r="F167" s="109" t="str">
        <f>IF(D167=0,"NA",SUMIFS(AN_TME22[[#All],[Claims: Hospital Outpatient]],AN_TME22[[#All],[Insurance Category Code]],1,AN_TME22[[#All],[Advanced Network/Insurance Carrier Org ID]],B167)/D167)</f>
        <v>NA</v>
      </c>
      <c r="G167" s="109" t="str">
        <f>IF(D167=0,"NA",SUMIFS(AN_TME22[[#All],[Claims: Professional, Primary Care]],AN_TME22[[#All],[Insurance Category Code]],1,AN_TME22[[#All],[Advanced Network/Insurance Carrier Org ID]],B167)/D167)</f>
        <v>NA</v>
      </c>
      <c r="H167" s="109" t="str">
        <f>IF(D167=0,"NA",SUMIFS(AN_TME22[[#All],[Claims: Professional, Primary Care (for Monitoring Purposes)]],AN_TME22[[#All],[Insurance Category Code]],1,AN_TME22[[#All],[Advanced Network/Insurance Carrier Org ID]],B167)/D167)</f>
        <v>NA</v>
      </c>
      <c r="I167" s="109" t="str">
        <f>IF(D167=0,"NA",SUMIFS(AN_TME22[[#All],[Claims: Professional, Specialty]],AN_TME22[[#All],[Insurance Category Code]],1,AN_TME22[[#All],[Advanced Network/Insurance Carrier Org ID]],B167)/D167)</f>
        <v>NA</v>
      </c>
      <c r="J167" s="109" t="str">
        <f>IF(D167=0,"NA",SUMIFS(AN_TME22[[#All],[Claims: Professional Other]],AN_TME22[[#All],[Insurance Category Code]],1,AN_TME22[[#All],[Advanced Network/Insurance Carrier Org ID]],B167)/D167)</f>
        <v>NA</v>
      </c>
      <c r="K167" s="109" t="str">
        <f>IF(D167=0,"NA",SUMIFS(AN_TME22[[#All],[Claims: Pharmacy]],AN_TME22[[#All],[Insurance Category Code]],1,AN_TME22[[#All],[Advanced Network/Insurance Carrier Org ID]],B167)/D167)</f>
        <v>NA</v>
      </c>
      <c r="L167" s="109" t="str">
        <f>IF(D167=0,"NA",SUMIFS(AN_TME22[[#All],[Claims: Long-Term Care]],AN_TME22[[#All],[Insurance Category Code]],1,AN_TME22[[#All],[Advanced Network/Insurance Carrier Org ID]],B167)/D167)</f>
        <v>NA</v>
      </c>
      <c r="M167" s="109" t="str">
        <f>IF(D167=0,"NA",SUMIFS(AN_TME22[[#All],[Claims: Other]],AN_TME22[[#All],[Insurance Category Code]],1,AN_TME22[[#All],[Advanced Network/Insurance Carrier Org ID]],B167)/D167)</f>
        <v>NA</v>
      </c>
      <c r="N167" s="165" t="str">
        <f>IF(D167=0,"NA",SUMIFS(AN_TME22[[#All],[TOTAL Non-Truncated Unadjusted Claims Expenses]],AN_TME22[[#All],[Insurance Category Code]],1,AN_TME22[[#All],[Advanced Network/Insurance Carrier Org ID]],B167)/D167)</f>
        <v>NA</v>
      </c>
      <c r="O167" s="165" t="str">
        <f>IF(D167=0,"NA",SUMIFS(AN_TME22[[#All],[TOTAL Truncated Unadjusted Claims Expenses (A21 -A19)]],AN_TME22[[#All],[Insurance Category Code]],1,AN_TME22[[#All],[Advanced Network/Insurance Carrier Org ID]],B167)/D167)</f>
        <v>NA</v>
      </c>
      <c r="P167" s="165" t="str">
        <f>IF(D167=0,"NA",SUMIFS(AN_TME22[[#All],[TOTAL Non-Claims Expenses]],AN_TME22[[#All],[Insurance Category Code]],1,AN_TME22[[#All],[Advanced Network/Insurance Carrier Org ID]],B167)/D167)</f>
        <v>NA</v>
      </c>
      <c r="Q167" s="165" t="str">
        <f>IF(D167=0,"NA",SUMIFS(AN_TME22[[#All],[TOTAL Non-Truncated Unadjusted Expenses (A21 + A23)]],AN_TME22[[#All],[Insurance Category Code]],1,AN_TME22[[#All],[Advanced Network/Insurance Carrier Org ID]],B167)/D167)</f>
        <v>NA</v>
      </c>
      <c r="R167" s="165" t="str">
        <f>IF(D167=0,"NA",SUMIFS(AN_TME22[[#All],[TOTAL Truncated Unadjusted Expenses (A22 + A23)]],AN_TME22[[#All],[Insurance Category Code]],1,AN_TME22[[#All],[Advanced Network/Insurance Carrier Org ID]],B167)/D167)</f>
        <v>NA</v>
      </c>
      <c r="S167" s="507">
        <f>SUMIFS(AN_TME23[[#All],[Member Months]],AN_TME23[[#All],[Insurance Category Code]],1,AN_TME23[[#All],[Advanced Network/Insurance Carrier Org ID]],B167)</f>
        <v>0</v>
      </c>
      <c r="T167" s="155" t="str">
        <f>IF(S167=0,"NA",SUMIFS(AN_TME23[[#All],[Claims: Hospital Inpatient]],AN_TME23[[#All],[Insurance Category Code]],1,AN_TME23[[#All],[Advanced Network/Insurance Carrier Org ID]],B167)/S167)</f>
        <v>NA</v>
      </c>
      <c r="U167" s="109" t="str">
        <f>IF(S167=0,"NA",SUMIFS(AN_TME23[[#All],[Claims: Hospital Outpatient]],AN_TME23[[#All],[Insurance Category Code]],1,AN_TME23[[#All],[Advanced Network/Insurance Carrier Org ID]],B167)/S167)</f>
        <v>NA</v>
      </c>
      <c r="V167" s="109" t="str">
        <f>IF(S167=0,"NA",SUMIFS(AN_TME23[[#All],[Claims: Professional, Primary Care]],AN_TME23[[#All],[Insurance Category Code]],1,AN_TME23[[#All],[Advanced Network/Insurance Carrier Org ID]],B167)/S167)</f>
        <v>NA</v>
      </c>
      <c r="W167" s="109" t="str">
        <f>IF(S167=0,"NA",SUMIFS(AN_TME23[[#All],[Claims: Professional, Primary Care (for Monitoring Purposes)]],AN_TME23[[#All],[Insurance Category Code]],1,AN_TME23[[#All],[Advanced Network/Insurance Carrier Org ID]],B167)/S167)</f>
        <v>NA</v>
      </c>
      <c r="X167" s="109" t="str">
        <f>IF(S167=0,"NA",SUMIFS(AN_TME23[[#All],[Claims: Professional, Specialty]],AN_TME23[[#All],[Insurance Category Code]],1,AN_TME23[[#All],[Advanced Network/Insurance Carrier Org ID]],B167)/S167)</f>
        <v>NA</v>
      </c>
      <c r="Y167" s="109" t="str">
        <f>IF(S167=0,"NA",SUMIFS(AN_TME23[[#All],[Claims: Professional Other]],AN_TME23[[#All],[Insurance Category Code]],1,AN_TME23[[#All],[Advanced Network/Insurance Carrier Org ID]],B167)/S167)</f>
        <v>NA</v>
      </c>
      <c r="Z167" s="109" t="str">
        <f>IF(S167=0,"NA",SUMIFS(AN_TME23[[#All],[Claims: Pharmacy]],AN_TME23[[#All],[Insurance Category Code]],1,AN_TME23[[#All],[Advanced Network/Insurance Carrier Org ID]],B167)/S167)</f>
        <v>NA</v>
      </c>
      <c r="AA167" s="109" t="str">
        <f>IF(S167=0,"NA",SUMIFS(AN_TME23[[#All],[Claims: Long-Term Care]],AN_TME23[[#All],[Insurance Category Code]],1,AN_TME23[[#All],[Advanced Network/Insurance Carrier Org ID]],B167)/S167)</f>
        <v>NA</v>
      </c>
      <c r="AB167" s="109" t="str">
        <f>IF(S167=0,"NA",SUMIFS(AN_TME23[[#All],[Claims: Other]],AN_TME23[[#All],[Insurance Category Code]],1,AN_TME23[[#All],[Advanced Network/Insurance Carrier Org ID]],B167)/S167)</f>
        <v>NA</v>
      </c>
      <c r="AC167" s="165" t="str">
        <f>IF(S167=0,"NA",SUMIFS(AN_TME23[[#All],[TOTAL Non-Truncated Unadjusted Claims Expenses]],AN_TME23[[#All],[Insurance Category Code]],1,AN_TME23[[#All],[Advanced Network/Insurance Carrier Org ID]],B167)/S167)</f>
        <v>NA</v>
      </c>
      <c r="AD167" s="165" t="str">
        <f>IF(S167=0,"NA",SUMIFS(AN_TME23[[#All],[TOTAL Truncated Unadjusted Claims Expenses (A21 -A19)]],AN_TME23[[#All],[Insurance Category Code]],1,AN_TME23[[#All],[Advanced Network/Insurance Carrier Org ID]],B167)/S167)</f>
        <v>NA</v>
      </c>
      <c r="AE167" s="165" t="str">
        <f>IF(S167=0,"NA",SUMIFS(AN_TME23[[#All],[TOTAL Non-Claims Expenses]],AN_TME23[[#All],[Insurance Category Code]],1,AN_TME23[[#All],[Advanced Network/Insurance Carrier Org ID]],B167)/S167)</f>
        <v>NA</v>
      </c>
      <c r="AF167" s="165" t="str">
        <f>IF(S167=0,"NA",SUMIFS(AN_TME23[[#All],[TOTAL Non-Truncated Unadjusted Expenses (A21 + A23)]],AN_TME23[[#All],[Insurance Category Code]],1,AN_TME23[[#All],[Advanced Network/Insurance Carrier Org ID]],B167)/S167)</f>
        <v>NA</v>
      </c>
      <c r="AG167" s="156" t="str">
        <f>IF(S167=0,"NA",SUMIFS(AN_TME23[[#All],[TOTAL Truncated Unadjusted Expenses (A22 + A23)]],AN_TME23[[#All],[Insurance Category Code]],1,AN_TME23[[#All],[Advanced Network/Insurance Carrier Org ID]],B167)/S167)</f>
        <v>NA</v>
      </c>
      <c r="AH167" s="478" t="str">
        <f t="shared" si="244"/>
        <v>NA</v>
      </c>
      <c r="AI167" s="479" t="str">
        <f t="shared" si="245"/>
        <v>NA</v>
      </c>
      <c r="AJ167" s="480" t="str">
        <f t="shared" si="246"/>
        <v>NA</v>
      </c>
      <c r="AK167" s="480" t="str">
        <f t="shared" si="247"/>
        <v>NA</v>
      </c>
      <c r="AL167" s="480" t="str">
        <f t="shared" si="248"/>
        <v>NA</v>
      </c>
      <c r="AM167" s="480" t="str">
        <f t="shared" si="249"/>
        <v>NA</v>
      </c>
      <c r="AN167" s="480" t="str">
        <f t="shared" si="250"/>
        <v>NA</v>
      </c>
      <c r="AO167" s="480" t="str">
        <f t="shared" si="251"/>
        <v>NA</v>
      </c>
      <c r="AP167" s="480" t="str">
        <f t="shared" si="252"/>
        <v>NA</v>
      </c>
      <c r="AQ167" s="480" t="str">
        <f t="shared" si="253"/>
        <v>NA</v>
      </c>
      <c r="AR167" s="481" t="str">
        <f t="shared" si="254"/>
        <v>NA</v>
      </c>
      <c r="AS167" s="481" t="str">
        <f t="shared" si="255"/>
        <v>NA</v>
      </c>
      <c r="AT167" s="481" t="str">
        <f t="shared" si="256"/>
        <v>NA</v>
      </c>
      <c r="AU167" s="481" t="str">
        <f t="shared" si="257"/>
        <v>NA</v>
      </c>
      <c r="AV167" s="482" t="str">
        <f t="shared" si="258"/>
        <v>NA</v>
      </c>
    </row>
    <row r="168" spans="1:48" ht="45" customHeight="1" x14ac:dyDescent="0.25">
      <c r="A168" s="164"/>
      <c r="B168" s="166">
        <v>109</v>
      </c>
      <c r="C168" s="169" t="str">
        <f>_xlfn.XLOOKUP(B168, LgProvEntOrgIDs[Advanced Network/Insurer Carrier Org ID], LgProvEntOrgIDs[Advanced Network/Insurance Carrier Overall])</f>
        <v>Southern New England Health Care Organization (aka SOHO Health, Trinity Health of New England ACO, LLC)</v>
      </c>
      <c r="D168" s="507">
        <f>SUMIFS(AN_TME22[[#All],[Member Months]],AN_TME22[[#All],[Insurance Category Code]],1,AN_TME22[[#All],[Advanced Network/Insurance Carrier Org ID]],B168)</f>
        <v>0</v>
      </c>
      <c r="E168" s="155" t="str">
        <f>IF(D168=0,"NA",SUMIFS(AN_TME22[[#All],[Claims: Hospital Inpatient]],AN_TME22[[#All],[Insurance Category Code]],1,AN_TME22[[#All],[Advanced Network/Insurance Carrier Org ID]],B168)/D168)</f>
        <v>NA</v>
      </c>
      <c r="F168" s="109" t="str">
        <f>IF(D168=0,"NA",SUMIFS(AN_TME22[[#All],[Claims: Hospital Outpatient]],AN_TME22[[#All],[Insurance Category Code]],1,AN_TME22[[#All],[Advanced Network/Insurance Carrier Org ID]],B168)/D168)</f>
        <v>NA</v>
      </c>
      <c r="G168" s="109" t="str">
        <f>IF(D168=0,"NA",SUMIFS(AN_TME22[[#All],[Claims: Professional, Primary Care]],AN_TME22[[#All],[Insurance Category Code]],1,AN_TME22[[#All],[Advanced Network/Insurance Carrier Org ID]],B168)/D168)</f>
        <v>NA</v>
      </c>
      <c r="H168" s="109" t="str">
        <f>IF(D168=0,"NA",SUMIFS(AN_TME22[[#All],[Claims: Professional, Primary Care (for Monitoring Purposes)]],AN_TME22[[#All],[Insurance Category Code]],1,AN_TME22[[#All],[Advanced Network/Insurance Carrier Org ID]],B168)/D168)</f>
        <v>NA</v>
      </c>
      <c r="I168" s="109" t="str">
        <f>IF(D168=0,"NA",SUMIFS(AN_TME22[[#All],[Claims: Professional, Specialty]],AN_TME22[[#All],[Insurance Category Code]],1,AN_TME22[[#All],[Advanced Network/Insurance Carrier Org ID]],B168)/D168)</f>
        <v>NA</v>
      </c>
      <c r="J168" s="109" t="str">
        <f>IF(D168=0,"NA",SUMIFS(AN_TME22[[#All],[Claims: Professional Other]],AN_TME22[[#All],[Insurance Category Code]],1,AN_TME22[[#All],[Advanced Network/Insurance Carrier Org ID]],B168)/D168)</f>
        <v>NA</v>
      </c>
      <c r="K168" s="109" t="str">
        <f>IF(D168=0,"NA",SUMIFS(AN_TME22[[#All],[Claims: Pharmacy]],AN_TME22[[#All],[Insurance Category Code]],1,AN_TME22[[#All],[Advanced Network/Insurance Carrier Org ID]],B168)/D168)</f>
        <v>NA</v>
      </c>
      <c r="L168" s="109" t="str">
        <f>IF(D168=0,"NA",SUMIFS(AN_TME22[[#All],[Claims: Long-Term Care]],AN_TME22[[#All],[Insurance Category Code]],1,AN_TME22[[#All],[Advanced Network/Insurance Carrier Org ID]],B168)/D168)</f>
        <v>NA</v>
      </c>
      <c r="M168" s="109" t="str">
        <f>IF(D168=0,"NA",SUMIFS(AN_TME22[[#All],[Claims: Other]],AN_TME22[[#All],[Insurance Category Code]],1,AN_TME22[[#All],[Advanced Network/Insurance Carrier Org ID]],B168)/D168)</f>
        <v>NA</v>
      </c>
      <c r="N168" s="165" t="str">
        <f>IF(D168=0,"NA",SUMIFS(AN_TME22[[#All],[TOTAL Non-Truncated Unadjusted Claims Expenses]],AN_TME22[[#All],[Insurance Category Code]],1,AN_TME22[[#All],[Advanced Network/Insurance Carrier Org ID]],B168)/D168)</f>
        <v>NA</v>
      </c>
      <c r="O168" s="165" t="str">
        <f>IF(D168=0,"NA",SUMIFS(AN_TME22[[#All],[TOTAL Truncated Unadjusted Claims Expenses (A21 -A19)]],AN_TME22[[#All],[Insurance Category Code]],1,AN_TME22[[#All],[Advanced Network/Insurance Carrier Org ID]],B168)/D168)</f>
        <v>NA</v>
      </c>
      <c r="P168" s="165" t="str">
        <f>IF(D168=0,"NA",SUMIFS(AN_TME22[[#All],[TOTAL Non-Claims Expenses]],AN_TME22[[#All],[Insurance Category Code]],1,AN_TME22[[#All],[Advanced Network/Insurance Carrier Org ID]],B168)/D168)</f>
        <v>NA</v>
      </c>
      <c r="Q168" s="165" t="str">
        <f>IF(D168=0,"NA",SUMIFS(AN_TME22[[#All],[TOTAL Non-Truncated Unadjusted Expenses (A21 + A23)]],AN_TME22[[#All],[Insurance Category Code]],1,AN_TME22[[#All],[Advanced Network/Insurance Carrier Org ID]],B168)/D168)</f>
        <v>NA</v>
      </c>
      <c r="R168" s="165" t="str">
        <f>IF(D168=0,"NA",SUMIFS(AN_TME22[[#All],[TOTAL Truncated Unadjusted Expenses (A22 + A23)]],AN_TME22[[#All],[Insurance Category Code]],1,AN_TME22[[#All],[Advanced Network/Insurance Carrier Org ID]],B168)/D168)</f>
        <v>NA</v>
      </c>
      <c r="S168" s="507">
        <f>SUMIFS(AN_TME23[[#All],[Member Months]],AN_TME23[[#All],[Insurance Category Code]],1,AN_TME23[[#All],[Advanced Network/Insurance Carrier Org ID]],B168)</f>
        <v>0</v>
      </c>
      <c r="T168" s="155" t="str">
        <f>IF(S168=0,"NA",SUMIFS(AN_TME23[[#All],[Claims: Hospital Inpatient]],AN_TME23[[#All],[Insurance Category Code]],1,AN_TME23[[#All],[Advanced Network/Insurance Carrier Org ID]],B168)/S168)</f>
        <v>NA</v>
      </c>
      <c r="U168" s="109" t="str">
        <f>IF(S168=0,"NA",SUMIFS(AN_TME23[[#All],[Claims: Hospital Outpatient]],AN_TME23[[#All],[Insurance Category Code]],1,AN_TME23[[#All],[Advanced Network/Insurance Carrier Org ID]],B168)/S168)</f>
        <v>NA</v>
      </c>
      <c r="V168" s="109" t="str">
        <f>IF(S168=0,"NA",SUMIFS(AN_TME23[[#All],[Claims: Professional, Primary Care]],AN_TME23[[#All],[Insurance Category Code]],1,AN_TME23[[#All],[Advanced Network/Insurance Carrier Org ID]],B168)/S168)</f>
        <v>NA</v>
      </c>
      <c r="W168" s="109" t="str">
        <f>IF(S168=0,"NA",SUMIFS(AN_TME23[[#All],[Claims: Professional, Primary Care (for Monitoring Purposes)]],AN_TME23[[#All],[Insurance Category Code]],1,AN_TME23[[#All],[Advanced Network/Insurance Carrier Org ID]],B168)/S168)</f>
        <v>NA</v>
      </c>
      <c r="X168" s="109" t="str">
        <f>IF(S168=0,"NA",SUMIFS(AN_TME23[[#All],[Claims: Professional, Specialty]],AN_TME23[[#All],[Insurance Category Code]],1,AN_TME23[[#All],[Advanced Network/Insurance Carrier Org ID]],B168)/S168)</f>
        <v>NA</v>
      </c>
      <c r="Y168" s="109" t="str">
        <f>IF(S168=0,"NA",SUMIFS(AN_TME23[[#All],[Claims: Professional Other]],AN_TME23[[#All],[Insurance Category Code]],1,AN_TME23[[#All],[Advanced Network/Insurance Carrier Org ID]],B168)/S168)</f>
        <v>NA</v>
      </c>
      <c r="Z168" s="109" t="str">
        <f>IF(S168=0,"NA",SUMIFS(AN_TME23[[#All],[Claims: Pharmacy]],AN_TME23[[#All],[Insurance Category Code]],1,AN_TME23[[#All],[Advanced Network/Insurance Carrier Org ID]],B168)/S168)</f>
        <v>NA</v>
      </c>
      <c r="AA168" s="109" t="str">
        <f>IF(S168=0,"NA",SUMIFS(AN_TME23[[#All],[Claims: Long-Term Care]],AN_TME23[[#All],[Insurance Category Code]],1,AN_TME23[[#All],[Advanced Network/Insurance Carrier Org ID]],B168)/S168)</f>
        <v>NA</v>
      </c>
      <c r="AB168" s="109" t="str">
        <f>IF(S168=0,"NA",SUMIFS(AN_TME23[[#All],[Claims: Other]],AN_TME23[[#All],[Insurance Category Code]],1,AN_TME23[[#All],[Advanced Network/Insurance Carrier Org ID]],B168)/S168)</f>
        <v>NA</v>
      </c>
      <c r="AC168" s="165" t="str">
        <f>IF(S168=0,"NA",SUMIFS(AN_TME23[[#All],[TOTAL Non-Truncated Unadjusted Claims Expenses]],AN_TME23[[#All],[Insurance Category Code]],1,AN_TME23[[#All],[Advanced Network/Insurance Carrier Org ID]],B168)/S168)</f>
        <v>NA</v>
      </c>
      <c r="AD168" s="165" t="str">
        <f>IF(S168=0,"NA",SUMIFS(AN_TME23[[#All],[TOTAL Truncated Unadjusted Claims Expenses (A21 -A19)]],AN_TME23[[#All],[Insurance Category Code]],1,AN_TME23[[#All],[Advanced Network/Insurance Carrier Org ID]],B168)/S168)</f>
        <v>NA</v>
      </c>
      <c r="AE168" s="165" t="str">
        <f>IF(S168=0,"NA",SUMIFS(AN_TME23[[#All],[TOTAL Non-Claims Expenses]],AN_TME23[[#All],[Insurance Category Code]],1,AN_TME23[[#All],[Advanced Network/Insurance Carrier Org ID]],B168)/S168)</f>
        <v>NA</v>
      </c>
      <c r="AF168" s="165" t="str">
        <f>IF(S168=0,"NA",SUMIFS(AN_TME23[[#All],[TOTAL Non-Truncated Unadjusted Expenses (A21 + A23)]],AN_TME23[[#All],[Insurance Category Code]],1,AN_TME23[[#All],[Advanced Network/Insurance Carrier Org ID]],B168)/S168)</f>
        <v>NA</v>
      </c>
      <c r="AG168" s="156" t="str">
        <f>IF(S168=0,"NA",SUMIFS(AN_TME23[[#All],[TOTAL Truncated Unadjusted Expenses (A22 + A23)]],AN_TME23[[#All],[Insurance Category Code]],1,AN_TME23[[#All],[Advanced Network/Insurance Carrier Org ID]],B168)/S168)</f>
        <v>NA</v>
      </c>
      <c r="AH168" s="478" t="str">
        <f t="shared" si="244"/>
        <v>NA</v>
      </c>
      <c r="AI168" s="479" t="str">
        <f t="shared" si="245"/>
        <v>NA</v>
      </c>
      <c r="AJ168" s="480" t="str">
        <f t="shared" si="246"/>
        <v>NA</v>
      </c>
      <c r="AK168" s="480" t="str">
        <f t="shared" si="247"/>
        <v>NA</v>
      </c>
      <c r="AL168" s="480" t="str">
        <f t="shared" si="248"/>
        <v>NA</v>
      </c>
      <c r="AM168" s="480" t="str">
        <f t="shared" si="249"/>
        <v>NA</v>
      </c>
      <c r="AN168" s="480" t="str">
        <f t="shared" si="250"/>
        <v>NA</v>
      </c>
      <c r="AO168" s="480" t="str">
        <f t="shared" si="251"/>
        <v>NA</v>
      </c>
      <c r="AP168" s="480" t="str">
        <f t="shared" si="252"/>
        <v>NA</v>
      </c>
      <c r="AQ168" s="480" t="str">
        <f t="shared" si="253"/>
        <v>NA</v>
      </c>
      <c r="AR168" s="481" t="str">
        <f t="shared" si="254"/>
        <v>NA</v>
      </c>
      <c r="AS168" s="481" t="str">
        <f t="shared" si="255"/>
        <v>NA</v>
      </c>
      <c r="AT168" s="481" t="str">
        <f t="shared" si="256"/>
        <v>NA</v>
      </c>
      <c r="AU168" s="481" t="str">
        <f t="shared" si="257"/>
        <v>NA</v>
      </c>
      <c r="AV168" s="482" t="str">
        <f t="shared" si="258"/>
        <v>NA</v>
      </c>
    </row>
    <row r="169" spans="1:48" ht="15" customHeight="1" x14ac:dyDescent="0.25">
      <c r="A169" s="164"/>
      <c r="B169" s="166">
        <v>110</v>
      </c>
      <c r="C169" s="169" t="str">
        <f>_xlfn.XLOOKUP(B169, LgProvEntOrgIDs[Advanced Network/Insurer Carrier Org ID], LgProvEntOrgIDs[Advanced Network/Insurance Carrier Overall])</f>
        <v>Value Care Alliance</v>
      </c>
      <c r="D169" s="507">
        <f>SUMIFS(AN_TME22[[#All],[Member Months]],AN_TME22[[#All],[Insurance Category Code]],1,AN_TME22[[#All],[Advanced Network/Insurance Carrier Org ID]],B169)</f>
        <v>0</v>
      </c>
      <c r="E169" s="155" t="str">
        <f>IF(D169=0,"NA",SUMIFS(AN_TME22[[#All],[Claims: Hospital Inpatient]],AN_TME22[[#All],[Insurance Category Code]],1,AN_TME22[[#All],[Advanced Network/Insurance Carrier Org ID]],B169)/D169)</f>
        <v>NA</v>
      </c>
      <c r="F169" s="109" t="str">
        <f>IF(D169=0,"NA",SUMIFS(AN_TME22[[#All],[Claims: Hospital Outpatient]],AN_TME22[[#All],[Insurance Category Code]],1,AN_TME22[[#All],[Advanced Network/Insurance Carrier Org ID]],B169)/D169)</f>
        <v>NA</v>
      </c>
      <c r="G169" s="109" t="str">
        <f>IF(D169=0,"NA",SUMIFS(AN_TME22[[#All],[Claims: Professional, Primary Care]],AN_TME22[[#All],[Insurance Category Code]],1,AN_TME22[[#All],[Advanced Network/Insurance Carrier Org ID]],B169)/D169)</f>
        <v>NA</v>
      </c>
      <c r="H169" s="109" t="str">
        <f>IF(D169=0,"NA",SUMIFS(AN_TME22[[#All],[Claims: Professional, Primary Care (for Monitoring Purposes)]],AN_TME22[[#All],[Insurance Category Code]],1,AN_TME22[[#All],[Advanced Network/Insurance Carrier Org ID]],B169)/D169)</f>
        <v>NA</v>
      </c>
      <c r="I169" s="109" t="str">
        <f>IF(D169=0,"NA",SUMIFS(AN_TME22[[#All],[Claims: Professional, Specialty]],AN_TME22[[#All],[Insurance Category Code]],1,AN_TME22[[#All],[Advanced Network/Insurance Carrier Org ID]],B169)/D169)</f>
        <v>NA</v>
      </c>
      <c r="J169" s="109" t="str">
        <f>IF(D169=0,"NA",SUMIFS(AN_TME22[[#All],[Claims: Professional Other]],AN_TME22[[#All],[Insurance Category Code]],1,AN_TME22[[#All],[Advanced Network/Insurance Carrier Org ID]],B169)/D169)</f>
        <v>NA</v>
      </c>
      <c r="K169" s="109" t="str">
        <f>IF(D169=0,"NA",SUMIFS(AN_TME22[[#All],[Claims: Pharmacy]],AN_TME22[[#All],[Insurance Category Code]],1,AN_TME22[[#All],[Advanced Network/Insurance Carrier Org ID]],B169)/D169)</f>
        <v>NA</v>
      </c>
      <c r="L169" s="109" t="str">
        <f>IF(D169=0,"NA",SUMIFS(AN_TME22[[#All],[Claims: Long-Term Care]],AN_TME22[[#All],[Insurance Category Code]],1,AN_TME22[[#All],[Advanced Network/Insurance Carrier Org ID]],B169)/D169)</f>
        <v>NA</v>
      </c>
      <c r="M169" s="109" t="str">
        <f>IF(D169=0,"NA",SUMIFS(AN_TME22[[#All],[Claims: Other]],AN_TME22[[#All],[Insurance Category Code]],1,AN_TME22[[#All],[Advanced Network/Insurance Carrier Org ID]],B169)/D169)</f>
        <v>NA</v>
      </c>
      <c r="N169" s="165" t="str">
        <f>IF(D169=0,"NA",SUMIFS(AN_TME22[[#All],[TOTAL Non-Truncated Unadjusted Claims Expenses]],AN_TME22[[#All],[Insurance Category Code]],1,AN_TME22[[#All],[Advanced Network/Insurance Carrier Org ID]],B169)/D169)</f>
        <v>NA</v>
      </c>
      <c r="O169" s="165" t="str">
        <f>IF(D169=0,"NA",SUMIFS(AN_TME22[[#All],[TOTAL Truncated Unadjusted Claims Expenses (A21 -A19)]],AN_TME22[[#All],[Insurance Category Code]],1,AN_TME22[[#All],[Advanced Network/Insurance Carrier Org ID]],B169)/D169)</f>
        <v>NA</v>
      </c>
      <c r="P169" s="165" t="str">
        <f>IF(D169=0,"NA",SUMIFS(AN_TME22[[#All],[TOTAL Non-Claims Expenses]],AN_TME22[[#All],[Insurance Category Code]],1,AN_TME22[[#All],[Advanced Network/Insurance Carrier Org ID]],B169)/D169)</f>
        <v>NA</v>
      </c>
      <c r="Q169" s="165" t="str">
        <f>IF(D169=0,"NA",SUMIFS(AN_TME22[[#All],[TOTAL Non-Truncated Unadjusted Expenses (A21 + A23)]],AN_TME22[[#All],[Insurance Category Code]],1,AN_TME22[[#All],[Advanced Network/Insurance Carrier Org ID]],B169)/D169)</f>
        <v>NA</v>
      </c>
      <c r="R169" s="165" t="str">
        <f>IF(D169=0,"NA",SUMIFS(AN_TME22[[#All],[TOTAL Truncated Unadjusted Expenses (A22 + A23)]],AN_TME22[[#All],[Insurance Category Code]],1,AN_TME22[[#All],[Advanced Network/Insurance Carrier Org ID]],B169)/D169)</f>
        <v>NA</v>
      </c>
      <c r="S169" s="507">
        <f>SUMIFS(AN_TME23[[#All],[Member Months]],AN_TME23[[#All],[Insurance Category Code]],1,AN_TME23[[#All],[Advanced Network/Insurance Carrier Org ID]],B169)</f>
        <v>0</v>
      </c>
      <c r="T169" s="155" t="str">
        <f>IF(S169=0,"NA",SUMIFS(AN_TME23[[#All],[Claims: Hospital Inpatient]],AN_TME23[[#All],[Insurance Category Code]],1,AN_TME23[[#All],[Advanced Network/Insurance Carrier Org ID]],B169)/S169)</f>
        <v>NA</v>
      </c>
      <c r="U169" s="109" t="str">
        <f>IF(S169=0,"NA",SUMIFS(AN_TME23[[#All],[Claims: Hospital Outpatient]],AN_TME23[[#All],[Insurance Category Code]],1,AN_TME23[[#All],[Advanced Network/Insurance Carrier Org ID]],B169)/S169)</f>
        <v>NA</v>
      </c>
      <c r="V169" s="109" t="str">
        <f>IF(S169=0,"NA",SUMIFS(AN_TME23[[#All],[Claims: Professional, Primary Care]],AN_TME23[[#All],[Insurance Category Code]],1,AN_TME23[[#All],[Advanced Network/Insurance Carrier Org ID]],B169)/S169)</f>
        <v>NA</v>
      </c>
      <c r="W169" s="109" t="str">
        <f>IF(S169=0,"NA",SUMIFS(AN_TME23[[#All],[Claims: Professional, Primary Care (for Monitoring Purposes)]],AN_TME23[[#All],[Insurance Category Code]],1,AN_TME23[[#All],[Advanced Network/Insurance Carrier Org ID]],B169)/S169)</f>
        <v>NA</v>
      </c>
      <c r="X169" s="109" t="str">
        <f>IF(S169=0,"NA",SUMIFS(AN_TME23[[#All],[Claims: Professional, Specialty]],AN_TME23[[#All],[Insurance Category Code]],1,AN_TME23[[#All],[Advanced Network/Insurance Carrier Org ID]],B169)/S169)</f>
        <v>NA</v>
      </c>
      <c r="Y169" s="109" t="str">
        <f>IF(S169=0,"NA",SUMIFS(AN_TME23[[#All],[Claims: Professional Other]],AN_TME23[[#All],[Insurance Category Code]],1,AN_TME23[[#All],[Advanced Network/Insurance Carrier Org ID]],B169)/S169)</f>
        <v>NA</v>
      </c>
      <c r="Z169" s="109" t="str">
        <f>IF(S169=0,"NA",SUMIFS(AN_TME23[[#All],[Claims: Pharmacy]],AN_TME23[[#All],[Insurance Category Code]],1,AN_TME23[[#All],[Advanced Network/Insurance Carrier Org ID]],B169)/S169)</f>
        <v>NA</v>
      </c>
      <c r="AA169" s="109" t="str">
        <f>IF(S169=0,"NA",SUMIFS(AN_TME23[[#All],[Claims: Long-Term Care]],AN_TME23[[#All],[Insurance Category Code]],1,AN_TME23[[#All],[Advanced Network/Insurance Carrier Org ID]],B169)/S169)</f>
        <v>NA</v>
      </c>
      <c r="AB169" s="109" t="str">
        <f>IF(S169=0,"NA",SUMIFS(AN_TME23[[#All],[Claims: Other]],AN_TME23[[#All],[Insurance Category Code]],1,AN_TME23[[#All],[Advanced Network/Insurance Carrier Org ID]],B169)/S169)</f>
        <v>NA</v>
      </c>
      <c r="AC169" s="165" t="str">
        <f>IF(S169=0,"NA",SUMIFS(AN_TME23[[#All],[TOTAL Non-Truncated Unadjusted Claims Expenses]],AN_TME23[[#All],[Insurance Category Code]],1,AN_TME23[[#All],[Advanced Network/Insurance Carrier Org ID]],B169)/S169)</f>
        <v>NA</v>
      </c>
      <c r="AD169" s="165" t="str">
        <f>IF(S169=0,"NA",SUMIFS(AN_TME23[[#All],[TOTAL Truncated Unadjusted Claims Expenses (A21 -A19)]],AN_TME23[[#All],[Insurance Category Code]],1,AN_TME23[[#All],[Advanced Network/Insurance Carrier Org ID]],B169)/S169)</f>
        <v>NA</v>
      </c>
      <c r="AE169" s="165" t="str">
        <f>IF(S169=0,"NA",SUMIFS(AN_TME23[[#All],[TOTAL Non-Claims Expenses]],AN_TME23[[#All],[Insurance Category Code]],1,AN_TME23[[#All],[Advanced Network/Insurance Carrier Org ID]],B169)/S169)</f>
        <v>NA</v>
      </c>
      <c r="AF169" s="165" t="str">
        <f>IF(S169=0,"NA",SUMIFS(AN_TME23[[#All],[TOTAL Non-Truncated Unadjusted Expenses (A21 + A23)]],AN_TME23[[#All],[Insurance Category Code]],1,AN_TME23[[#All],[Advanced Network/Insurance Carrier Org ID]],B169)/S169)</f>
        <v>NA</v>
      </c>
      <c r="AG169" s="156" t="str">
        <f>IF(S169=0,"NA",SUMIFS(AN_TME23[[#All],[TOTAL Truncated Unadjusted Expenses (A22 + A23)]],AN_TME23[[#All],[Insurance Category Code]],1,AN_TME23[[#All],[Advanced Network/Insurance Carrier Org ID]],B169)/S169)</f>
        <v>NA</v>
      </c>
      <c r="AH169" s="478" t="str">
        <f t="shared" si="244"/>
        <v>NA</v>
      </c>
      <c r="AI169" s="479" t="str">
        <f t="shared" si="245"/>
        <v>NA</v>
      </c>
      <c r="AJ169" s="480" t="str">
        <f t="shared" si="246"/>
        <v>NA</v>
      </c>
      <c r="AK169" s="480" t="str">
        <f t="shared" si="247"/>
        <v>NA</v>
      </c>
      <c r="AL169" s="480" t="str">
        <f t="shared" si="248"/>
        <v>NA</v>
      </c>
      <c r="AM169" s="480" t="str">
        <f t="shared" si="249"/>
        <v>NA</v>
      </c>
      <c r="AN169" s="480" t="str">
        <f t="shared" si="250"/>
        <v>NA</v>
      </c>
      <c r="AO169" s="480" t="str">
        <f t="shared" si="251"/>
        <v>NA</v>
      </c>
      <c r="AP169" s="480" t="str">
        <f t="shared" si="252"/>
        <v>NA</v>
      </c>
      <c r="AQ169" s="480" t="str">
        <f t="shared" si="253"/>
        <v>NA</v>
      </c>
      <c r="AR169" s="481" t="str">
        <f t="shared" si="254"/>
        <v>NA</v>
      </c>
      <c r="AS169" s="481" t="str">
        <f t="shared" si="255"/>
        <v>NA</v>
      </c>
      <c r="AT169" s="481" t="str">
        <f t="shared" si="256"/>
        <v>NA</v>
      </c>
      <c r="AU169" s="481" t="str">
        <f t="shared" si="257"/>
        <v>NA</v>
      </c>
      <c r="AV169" s="482" t="str">
        <f t="shared" si="258"/>
        <v>NA</v>
      </c>
    </row>
    <row r="170" spans="1:48" ht="15" customHeight="1" x14ac:dyDescent="0.25">
      <c r="A170" s="164"/>
      <c r="B170" s="166">
        <v>111</v>
      </c>
      <c r="C170" s="169" t="str">
        <f>_xlfn.XLOOKUP(B170, LgProvEntOrgIDs[Advanced Network/Insurer Carrier Org ID], LgProvEntOrgIDs[Advanced Network/Insurance Carrier Overall])</f>
        <v>NA</v>
      </c>
      <c r="D170" s="507">
        <f>SUMIFS(AN_TME22[[#All],[Member Months]],AN_TME22[[#All],[Insurance Category Code]],1,AN_TME22[[#All],[Advanced Network/Insurance Carrier Org ID]],B170)</f>
        <v>0</v>
      </c>
      <c r="E170" s="155" t="str">
        <f>IF(D170=0,"NA",SUMIFS(AN_TME22[[#All],[Claims: Hospital Inpatient]],AN_TME22[[#All],[Insurance Category Code]],1,AN_TME22[[#All],[Advanced Network/Insurance Carrier Org ID]],B170)/D170)</f>
        <v>NA</v>
      </c>
      <c r="F170" s="109" t="str">
        <f>IF(D170=0,"NA",SUMIFS(AN_TME22[[#All],[Claims: Hospital Outpatient]],AN_TME22[[#All],[Insurance Category Code]],1,AN_TME22[[#All],[Advanced Network/Insurance Carrier Org ID]],B170)/D170)</f>
        <v>NA</v>
      </c>
      <c r="G170" s="109" t="str">
        <f>IF(D170=0,"NA",SUMIFS(AN_TME22[[#All],[Claims: Professional, Primary Care]],AN_TME22[[#All],[Insurance Category Code]],1,AN_TME22[[#All],[Advanced Network/Insurance Carrier Org ID]],B170)/D170)</f>
        <v>NA</v>
      </c>
      <c r="H170" s="109" t="str">
        <f>IF(D170=0,"NA",SUMIFS(AN_TME22[[#All],[Claims: Professional, Primary Care (for Monitoring Purposes)]],AN_TME22[[#All],[Insurance Category Code]],1,AN_TME22[[#All],[Advanced Network/Insurance Carrier Org ID]],B170)/D170)</f>
        <v>NA</v>
      </c>
      <c r="I170" s="109" t="str">
        <f>IF(D170=0,"NA",SUMIFS(AN_TME22[[#All],[Claims: Professional, Specialty]],AN_TME22[[#All],[Insurance Category Code]],1,AN_TME22[[#All],[Advanced Network/Insurance Carrier Org ID]],B170)/D170)</f>
        <v>NA</v>
      </c>
      <c r="J170" s="109" t="str">
        <f>IF(D170=0,"NA",SUMIFS(AN_TME22[[#All],[Claims: Professional Other]],AN_TME22[[#All],[Insurance Category Code]],1,AN_TME22[[#All],[Advanced Network/Insurance Carrier Org ID]],B170)/D170)</f>
        <v>NA</v>
      </c>
      <c r="K170" s="109" t="str">
        <f>IF(D170=0,"NA",SUMIFS(AN_TME22[[#All],[Claims: Pharmacy]],AN_TME22[[#All],[Insurance Category Code]],1,AN_TME22[[#All],[Advanced Network/Insurance Carrier Org ID]],B170)/D170)</f>
        <v>NA</v>
      </c>
      <c r="L170" s="109" t="str">
        <f>IF(D170=0,"NA",SUMIFS(AN_TME22[[#All],[Claims: Long-Term Care]],AN_TME22[[#All],[Insurance Category Code]],1,AN_TME22[[#All],[Advanced Network/Insurance Carrier Org ID]],B170)/D170)</f>
        <v>NA</v>
      </c>
      <c r="M170" s="109" t="str">
        <f>IF(D170=0,"NA",SUMIFS(AN_TME22[[#All],[Claims: Other]],AN_TME22[[#All],[Insurance Category Code]],1,AN_TME22[[#All],[Advanced Network/Insurance Carrier Org ID]],B170)/D170)</f>
        <v>NA</v>
      </c>
      <c r="N170" s="165" t="str">
        <f>IF(D170=0,"NA",SUMIFS(AN_TME22[[#All],[TOTAL Non-Truncated Unadjusted Claims Expenses]],AN_TME22[[#All],[Insurance Category Code]],1,AN_TME22[[#All],[Advanced Network/Insurance Carrier Org ID]],B170)/D170)</f>
        <v>NA</v>
      </c>
      <c r="O170" s="165" t="str">
        <f>IF(D170=0,"NA",SUMIFS(AN_TME22[[#All],[TOTAL Truncated Unadjusted Claims Expenses (A21 -A19)]],AN_TME22[[#All],[Insurance Category Code]],1,AN_TME22[[#All],[Advanced Network/Insurance Carrier Org ID]],B170)/D170)</f>
        <v>NA</v>
      </c>
      <c r="P170" s="165" t="str">
        <f>IF(D170=0,"NA",SUMIFS(AN_TME22[[#All],[TOTAL Non-Claims Expenses]],AN_TME22[[#All],[Insurance Category Code]],1,AN_TME22[[#All],[Advanced Network/Insurance Carrier Org ID]],B170)/D170)</f>
        <v>NA</v>
      </c>
      <c r="Q170" s="165" t="str">
        <f>IF(D170=0,"NA",SUMIFS(AN_TME22[[#All],[TOTAL Non-Truncated Unadjusted Expenses (A21 + A23)]],AN_TME22[[#All],[Insurance Category Code]],1,AN_TME22[[#All],[Advanced Network/Insurance Carrier Org ID]],B170)/D170)</f>
        <v>NA</v>
      </c>
      <c r="R170" s="165" t="str">
        <f>IF(D170=0,"NA",SUMIFS(AN_TME22[[#All],[TOTAL Truncated Unadjusted Expenses (A22 + A23)]],AN_TME22[[#All],[Insurance Category Code]],1,AN_TME22[[#All],[Advanced Network/Insurance Carrier Org ID]],B170)/D170)</f>
        <v>NA</v>
      </c>
      <c r="S170" s="507">
        <f>SUMIFS(AN_TME23[[#All],[Member Months]],AN_TME23[[#All],[Insurance Category Code]],1,AN_TME23[[#All],[Advanced Network/Insurance Carrier Org ID]],B170)</f>
        <v>0</v>
      </c>
      <c r="T170" s="155" t="str">
        <f>IF(S170=0,"NA",SUMIFS(AN_TME23[[#All],[Claims: Hospital Inpatient]],AN_TME23[[#All],[Insurance Category Code]],1,AN_TME23[[#All],[Advanced Network/Insurance Carrier Org ID]],B170)/S170)</f>
        <v>NA</v>
      </c>
      <c r="U170" s="109" t="str">
        <f>IF(S170=0,"NA",SUMIFS(AN_TME23[[#All],[Claims: Hospital Outpatient]],AN_TME23[[#All],[Insurance Category Code]],1,AN_TME23[[#All],[Advanced Network/Insurance Carrier Org ID]],B170)/S170)</f>
        <v>NA</v>
      </c>
      <c r="V170" s="109" t="str">
        <f>IF(S170=0,"NA",SUMIFS(AN_TME23[[#All],[Claims: Professional, Primary Care]],AN_TME23[[#All],[Insurance Category Code]],1,AN_TME23[[#All],[Advanced Network/Insurance Carrier Org ID]],B170)/S170)</f>
        <v>NA</v>
      </c>
      <c r="W170" s="109" t="str">
        <f>IF(S170=0,"NA",SUMIFS(AN_TME23[[#All],[Claims: Professional, Primary Care (for Monitoring Purposes)]],AN_TME23[[#All],[Insurance Category Code]],1,AN_TME23[[#All],[Advanced Network/Insurance Carrier Org ID]],B170)/S170)</f>
        <v>NA</v>
      </c>
      <c r="X170" s="109" t="str">
        <f>IF(S170=0,"NA",SUMIFS(AN_TME23[[#All],[Claims: Professional, Specialty]],AN_TME23[[#All],[Insurance Category Code]],1,AN_TME23[[#All],[Advanced Network/Insurance Carrier Org ID]],B170)/S170)</f>
        <v>NA</v>
      </c>
      <c r="Y170" s="109" t="str">
        <f>IF(S170=0,"NA",SUMIFS(AN_TME23[[#All],[Claims: Professional Other]],AN_TME23[[#All],[Insurance Category Code]],1,AN_TME23[[#All],[Advanced Network/Insurance Carrier Org ID]],B170)/S170)</f>
        <v>NA</v>
      </c>
      <c r="Z170" s="109" t="str">
        <f>IF(S170=0,"NA",SUMIFS(AN_TME23[[#All],[Claims: Pharmacy]],AN_TME23[[#All],[Insurance Category Code]],1,AN_TME23[[#All],[Advanced Network/Insurance Carrier Org ID]],B170)/S170)</f>
        <v>NA</v>
      </c>
      <c r="AA170" s="109" t="str">
        <f>IF(S170=0,"NA",SUMIFS(AN_TME23[[#All],[Claims: Long-Term Care]],AN_TME23[[#All],[Insurance Category Code]],1,AN_TME23[[#All],[Advanced Network/Insurance Carrier Org ID]],B170)/S170)</f>
        <v>NA</v>
      </c>
      <c r="AB170" s="109" t="str">
        <f>IF(S170=0,"NA",SUMIFS(AN_TME23[[#All],[Claims: Other]],AN_TME23[[#All],[Insurance Category Code]],1,AN_TME23[[#All],[Advanced Network/Insurance Carrier Org ID]],B170)/S170)</f>
        <v>NA</v>
      </c>
      <c r="AC170" s="165" t="str">
        <f>IF(S170=0,"NA",SUMIFS(AN_TME23[[#All],[TOTAL Non-Truncated Unadjusted Claims Expenses]],AN_TME23[[#All],[Insurance Category Code]],1,AN_TME23[[#All],[Advanced Network/Insurance Carrier Org ID]],B170)/S170)</f>
        <v>NA</v>
      </c>
      <c r="AD170" s="165" t="str">
        <f>IF(S170=0,"NA",SUMIFS(AN_TME23[[#All],[TOTAL Truncated Unadjusted Claims Expenses (A21 -A19)]],AN_TME23[[#All],[Insurance Category Code]],1,AN_TME23[[#All],[Advanced Network/Insurance Carrier Org ID]],B170)/S170)</f>
        <v>NA</v>
      </c>
      <c r="AE170" s="165" t="str">
        <f>IF(S170=0,"NA",SUMIFS(AN_TME23[[#All],[TOTAL Non-Claims Expenses]],AN_TME23[[#All],[Insurance Category Code]],1,AN_TME23[[#All],[Advanced Network/Insurance Carrier Org ID]],B170)/S170)</f>
        <v>NA</v>
      </c>
      <c r="AF170" s="165" t="str">
        <f>IF(S170=0,"NA",SUMIFS(AN_TME23[[#All],[TOTAL Non-Truncated Unadjusted Expenses (A21 + A23)]],AN_TME23[[#All],[Insurance Category Code]],1,AN_TME23[[#All],[Advanced Network/Insurance Carrier Org ID]],B170)/S170)</f>
        <v>NA</v>
      </c>
      <c r="AG170" s="156" t="str">
        <f>IF(S170=0,"NA",SUMIFS(AN_TME23[[#All],[TOTAL Truncated Unadjusted Expenses (A22 + A23)]],AN_TME23[[#All],[Insurance Category Code]],1,AN_TME23[[#All],[Advanced Network/Insurance Carrier Org ID]],B170)/S170)</f>
        <v>NA</v>
      </c>
      <c r="AH170" s="478" t="str">
        <f>IF(D170=0,"NA",S170/D170-1)</f>
        <v>NA</v>
      </c>
      <c r="AI170" s="479" t="str">
        <f>IF(D170=0,"NA",T170/E170-1)</f>
        <v>NA</v>
      </c>
      <c r="AJ170" s="480" t="str">
        <f>IF(D170=0,"NA",U170/F170-1)</f>
        <v>NA</v>
      </c>
      <c r="AK170" s="480" t="str">
        <f>IF(D170=0,"NA",V170/G170-1)</f>
        <v>NA</v>
      </c>
      <c r="AL170" s="480" t="str">
        <f>IF(D170=0,"NA",W170/H170-1)</f>
        <v>NA</v>
      </c>
      <c r="AM170" s="480" t="str">
        <f>IF(D170=0,"NA",X170/I170-1)</f>
        <v>NA</v>
      </c>
      <c r="AN170" s="480" t="str">
        <f>IF(D170=0,"NA",Y170/J170-1)</f>
        <v>NA</v>
      </c>
      <c r="AO170" s="480" t="str">
        <f>IF(D170=0,"NA",Z170/K170-1)</f>
        <v>NA</v>
      </c>
      <c r="AP170" s="480" t="str">
        <f>IF(D170=0,"NA",AA170/L170-1)</f>
        <v>NA</v>
      </c>
      <c r="AQ170" s="480" t="str">
        <f>IF(D170=0,"NA",AB170/M170-1)</f>
        <v>NA</v>
      </c>
      <c r="AR170" s="481" t="str">
        <f>IF(D170=0,"NA",AC170/N170-1)</f>
        <v>NA</v>
      </c>
      <c r="AS170" s="481" t="str">
        <f>IF(D170=0,"NA",AD170/O170-1)</f>
        <v>NA</v>
      </c>
      <c r="AT170" s="481" t="str">
        <f>IF(D170=0,"NA",AE170/P170-1)</f>
        <v>NA</v>
      </c>
      <c r="AU170" s="481" t="str">
        <f>IF(D170=0,"NA",AF170/Q170-1)</f>
        <v>NA</v>
      </c>
      <c r="AV170" s="482" t="str">
        <f>IF(D170=0,"NA",AG170/R170-1)</f>
        <v>NA</v>
      </c>
    </row>
    <row r="171" spans="1:48" ht="15" customHeight="1" x14ac:dyDescent="0.25">
      <c r="A171" s="164"/>
      <c r="B171" s="166">
        <v>112</v>
      </c>
      <c r="C171" s="169" t="str">
        <f>_xlfn.XLOOKUP(B171, LgProvEntOrgIDs[Advanced Network/Insurer Carrier Org ID], LgProvEntOrgIDs[Advanced Network/Insurance Carrier Overall])</f>
        <v>Charter Oak Health Center</v>
      </c>
      <c r="D171" s="507">
        <f>SUMIFS(AN_TME22[[#All],[Member Months]],AN_TME22[[#All],[Insurance Category Code]],1,AN_TME22[[#All],[Advanced Network/Insurance Carrier Org ID]],B171)</f>
        <v>0</v>
      </c>
      <c r="E171" s="155" t="str">
        <f>IF(D171=0,"NA",SUMIFS(AN_TME22[[#All],[Claims: Hospital Inpatient]],AN_TME22[[#All],[Insurance Category Code]],1,AN_TME22[[#All],[Advanced Network/Insurance Carrier Org ID]],B171)/D171)</f>
        <v>NA</v>
      </c>
      <c r="F171" s="109" t="str">
        <f>IF(D171=0,"NA",SUMIFS(AN_TME22[[#All],[Claims: Hospital Outpatient]],AN_TME22[[#All],[Insurance Category Code]],1,AN_TME22[[#All],[Advanced Network/Insurance Carrier Org ID]],B171)/D171)</f>
        <v>NA</v>
      </c>
      <c r="G171" s="109" t="str">
        <f>IF(D171=0,"NA",SUMIFS(AN_TME22[[#All],[Claims: Professional, Primary Care]],AN_TME22[[#All],[Insurance Category Code]],1,AN_TME22[[#All],[Advanced Network/Insurance Carrier Org ID]],B171)/D171)</f>
        <v>NA</v>
      </c>
      <c r="H171" s="109" t="str">
        <f>IF(D171=0,"NA",SUMIFS(AN_TME22[[#All],[Claims: Professional, Primary Care (for Monitoring Purposes)]],AN_TME22[[#All],[Insurance Category Code]],1,AN_TME22[[#All],[Advanced Network/Insurance Carrier Org ID]],B171)/D171)</f>
        <v>NA</v>
      </c>
      <c r="I171" s="109" t="str">
        <f>IF(D171=0,"NA",SUMIFS(AN_TME22[[#All],[Claims: Professional, Specialty]],AN_TME22[[#All],[Insurance Category Code]],1,AN_TME22[[#All],[Advanced Network/Insurance Carrier Org ID]],B171)/D171)</f>
        <v>NA</v>
      </c>
      <c r="J171" s="109" t="str">
        <f>IF(D171=0,"NA",SUMIFS(AN_TME22[[#All],[Claims: Professional Other]],AN_TME22[[#All],[Insurance Category Code]],1,AN_TME22[[#All],[Advanced Network/Insurance Carrier Org ID]],B171)/D171)</f>
        <v>NA</v>
      </c>
      <c r="K171" s="109" t="str">
        <f>IF(D171=0,"NA",SUMIFS(AN_TME22[[#All],[Claims: Pharmacy]],AN_TME22[[#All],[Insurance Category Code]],1,AN_TME22[[#All],[Advanced Network/Insurance Carrier Org ID]],B171)/D171)</f>
        <v>NA</v>
      </c>
      <c r="L171" s="109" t="str">
        <f>IF(D171=0,"NA",SUMIFS(AN_TME22[[#All],[Claims: Long-Term Care]],AN_TME22[[#All],[Insurance Category Code]],1,AN_TME22[[#All],[Advanced Network/Insurance Carrier Org ID]],B171)/D171)</f>
        <v>NA</v>
      </c>
      <c r="M171" s="109" t="str">
        <f>IF(D171=0,"NA",SUMIFS(AN_TME22[[#All],[Claims: Other]],AN_TME22[[#All],[Insurance Category Code]],1,AN_TME22[[#All],[Advanced Network/Insurance Carrier Org ID]],B171)/D171)</f>
        <v>NA</v>
      </c>
      <c r="N171" s="165" t="str">
        <f>IF(D171=0,"NA",SUMIFS(AN_TME22[[#All],[TOTAL Non-Truncated Unadjusted Claims Expenses]],AN_TME22[[#All],[Insurance Category Code]],1,AN_TME22[[#All],[Advanced Network/Insurance Carrier Org ID]],B171)/D171)</f>
        <v>NA</v>
      </c>
      <c r="O171" s="165" t="str">
        <f>IF(D171=0,"NA",SUMIFS(AN_TME22[[#All],[TOTAL Truncated Unadjusted Claims Expenses (A21 -A19)]],AN_TME22[[#All],[Insurance Category Code]],1,AN_TME22[[#All],[Advanced Network/Insurance Carrier Org ID]],B171)/D171)</f>
        <v>NA</v>
      </c>
      <c r="P171" s="165" t="str">
        <f>IF(D171=0,"NA",SUMIFS(AN_TME22[[#All],[TOTAL Non-Claims Expenses]],AN_TME22[[#All],[Insurance Category Code]],1,AN_TME22[[#All],[Advanced Network/Insurance Carrier Org ID]],B171)/D171)</f>
        <v>NA</v>
      </c>
      <c r="Q171" s="165" t="str">
        <f>IF(D171=0,"NA",SUMIFS(AN_TME22[[#All],[TOTAL Non-Truncated Unadjusted Expenses (A21 + A23)]],AN_TME22[[#All],[Insurance Category Code]],1,AN_TME22[[#All],[Advanced Network/Insurance Carrier Org ID]],B171)/D171)</f>
        <v>NA</v>
      </c>
      <c r="R171" s="165" t="str">
        <f>IF(D171=0,"NA",SUMIFS(AN_TME22[[#All],[TOTAL Truncated Unadjusted Expenses (A22 + A23)]],AN_TME22[[#All],[Insurance Category Code]],1,AN_TME22[[#All],[Advanced Network/Insurance Carrier Org ID]],B171)/D171)</f>
        <v>NA</v>
      </c>
      <c r="S171" s="507">
        <f>SUMIFS(AN_TME23[[#All],[Member Months]],AN_TME23[[#All],[Insurance Category Code]],1,AN_TME23[[#All],[Advanced Network/Insurance Carrier Org ID]],B171)</f>
        <v>0</v>
      </c>
      <c r="T171" s="155" t="str">
        <f>IF(S171=0,"NA",SUMIFS(AN_TME23[[#All],[Claims: Hospital Inpatient]],AN_TME23[[#All],[Insurance Category Code]],1,AN_TME23[[#All],[Advanced Network/Insurance Carrier Org ID]],B171)/S171)</f>
        <v>NA</v>
      </c>
      <c r="U171" s="109" t="str">
        <f>IF(S171=0,"NA",SUMIFS(AN_TME23[[#All],[Claims: Hospital Outpatient]],AN_TME23[[#All],[Insurance Category Code]],1,AN_TME23[[#All],[Advanced Network/Insurance Carrier Org ID]],B171)/S171)</f>
        <v>NA</v>
      </c>
      <c r="V171" s="109" t="str">
        <f>IF(S171=0,"NA",SUMIFS(AN_TME23[[#All],[Claims: Professional, Primary Care]],AN_TME23[[#All],[Insurance Category Code]],1,AN_TME23[[#All],[Advanced Network/Insurance Carrier Org ID]],B171)/S171)</f>
        <v>NA</v>
      </c>
      <c r="W171" s="109" t="str">
        <f>IF(S171=0,"NA",SUMIFS(AN_TME23[[#All],[Claims: Professional, Primary Care (for Monitoring Purposes)]],AN_TME23[[#All],[Insurance Category Code]],1,AN_TME23[[#All],[Advanced Network/Insurance Carrier Org ID]],B171)/S171)</f>
        <v>NA</v>
      </c>
      <c r="X171" s="109" t="str">
        <f>IF(S171=0,"NA",SUMIFS(AN_TME23[[#All],[Claims: Professional, Specialty]],AN_TME23[[#All],[Insurance Category Code]],1,AN_TME23[[#All],[Advanced Network/Insurance Carrier Org ID]],B171)/S171)</f>
        <v>NA</v>
      </c>
      <c r="Y171" s="109" t="str">
        <f>IF(S171=0,"NA",SUMIFS(AN_TME23[[#All],[Claims: Professional Other]],AN_TME23[[#All],[Insurance Category Code]],1,AN_TME23[[#All],[Advanced Network/Insurance Carrier Org ID]],B171)/S171)</f>
        <v>NA</v>
      </c>
      <c r="Z171" s="109" t="str">
        <f>IF(S171=0,"NA",SUMIFS(AN_TME23[[#All],[Claims: Pharmacy]],AN_TME23[[#All],[Insurance Category Code]],1,AN_TME23[[#All],[Advanced Network/Insurance Carrier Org ID]],B171)/S171)</f>
        <v>NA</v>
      </c>
      <c r="AA171" s="109" t="str">
        <f>IF(S171=0,"NA",SUMIFS(AN_TME23[[#All],[Claims: Long-Term Care]],AN_TME23[[#All],[Insurance Category Code]],1,AN_TME23[[#All],[Advanced Network/Insurance Carrier Org ID]],B171)/S171)</f>
        <v>NA</v>
      </c>
      <c r="AB171" s="109" t="str">
        <f>IF(S171=0,"NA",SUMIFS(AN_TME23[[#All],[Claims: Other]],AN_TME23[[#All],[Insurance Category Code]],1,AN_TME23[[#All],[Advanced Network/Insurance Carrier Org ID]],B171)/S171)</f>
        <v>NA</v>
      </c>
      <c r="AC171" s="165" t="str">
        <f>IF(S171=0,"NA",SUMIFS(AN_TME23[[#All],[TOTAL Non-Truncated Unadjusted Claims Expenses]],AN_TME23[[#All],[Insurance Category Code]],1,AN_TME23[[#All],[Advanced Network/Insurance Carrier Org ID]],B171)/S171)</f>
        <v>NA</v>
      </c>
      <c r="AD171" s="165" t="str">
        <f>IF(S171=0,"NA",SUMIFS(AN_TME23[[#All],[TOTAL Truncated Unadjusted Claims Expenses (A21 -A19)]],AN_TME23[[#All],[Insurance Category Code]],1,AN_TME23[[#All],[Advanced Network/Insurance Carrier Org ID]],B171)/S171)</f>
        <v>NA</v>
      </c>
      <c r="AE171" s="165" t="str">
        <f>IF(S171=0,"NA",SUMIFS(AN_TME23[[#All],[TOTAL Non-Claims Expenses]],AN_TME23[[#All],[Insurance Category Code]],1,AN_TME23[[#All],[Advanced Network/Insurance Carrier Org ID]],B171)/S171)</f>
        <v>NA</v>
      </c>
      <c r="AF171" s="165" t="str">
        <f>IF(S171=0,"NA",SUMIFS(AN_TME23[[#All],[TOTAL Non-Truncated Unadjusted Expenses (A21 + A23)]],AN_TME23[[#All],[Insurance Category Code]],1,AN_TME23[[#All],[Advanced Network/Insurance Carrier Org ID]],B171)/S171)</f>
        <v>NA</v>
      </c>
      <c r="AG171" s="156" t="str">
        <f>IF(S171=0,"NA",SUMIFS(AN_TME23[[#All],[TOTAL Truncated Unadjusted Expenses (A22 + A23)]],AN_TME23[[#All],[Insurance Category Code]],1,AN_TME23[[#All],[Advanced Network/Insurance Carrier Org ID]],B171)/S171)</f>
        <v>NA</v>
      </c>
      <c r="AH171" s="478" t="str">
        <f t="shared" ref="AH171:AH190" si="259">IF(D171=0,"NA",S171/D171-1)</f>
        <v>NA</v>
      </c>
      <c r="AI171" s="479" t="str">
        <f t="shared" ref="AI171:AI190" si="260">IF(D171=0,"NA",T171/E171-1)</f>
        <v>NA</v>
      </c>
      <c r="AJ171" s="480" t="str">
        <f t="shared" ref="AJ171:AJ190" si="261">IF(D171=0,"NA",U171/F171-1)</f>
        <v>NA</v>
      </c>
      <c r="AK171" s="480" t="str">
        <f t="shared" ref="AK171:AK190" si="262">IF(D171=0,"NA",V171/G171-1)</f>
        <v>NA</v>
      </c>
      <c r="AL171" s="480" t="str">
        <f t="shared" ref="AL171:AL190" si="263">IF(D171=0,"NA",W171/H171-1)</f>
        <v>NA</v>
      </c>
      <c r="AM171" s="480" t="str">
        <f t="shared" ref="AM171:AM190" si="264">IF(D171=0,"NA",X171/I171-1)</f>
        <v>NA</v>
      </c>
      <c r="AN171" s="480" t="str">
        <f t="shared" ref="AN171:AN190" si="265">IF(D171=0,"NA",Y171/J171-1)</f>
        <v>NA</v>
      </c>
      <c r="AO171" s="480" t="str">
        <f t="shared" ref="AO171:AO190" si="266">IF(D171=0,"NA",Z171/K171-1)</f>
        <v>NA</v>
      </c>
      <c r="AP171" s="480" t="str">
        <f t="shared" ref="AP171:AP190" si="267">IF(D171=0,"NA",AA171/L171-1)</f>
        <v>NA</v>
      </c>
      <c r="AQ171" s="480" t="str">
        <f t="shared" ref="AQ171:AQ190" si="268">IF(D171=0,"NA",AB171/M171-1)</f>
        <v>NA</v>
      </c>
      <c r="AR171" s="481" t="str">
        <f t="shared" ref="AR171:AR190" si="269">IF(D171=0,"NA",AC171/N171-1)</f>
        <v>NA</v>
      </c>
      <c r="AS171" s="481" t="str">
        <f t="shared" ref="AS171:AS190" si="270">IF(D171=0,"NA",AD171/O171-1)</f>
        <v>NA</v>
      </c>
      <c r="AT171" s="481" t="str">
        <f t="shared" ref="AT171:AT190" si="271">IF(D171=0,"NA",AE171/P171-1)</f>
        <v>NA</v>
      </c>
      <c r="AU171" s="481" t="str">
        <f t="shared" ref="AU171:AU190" si="272">IF(D171=0,"NA",AF171/Q171-1)</f>
        <v>NA</v>
      </c>
      <c r="AV171" s="482" t="str">
        <f t="shared" ref="AV171:AV190" si="273">IF(D171=0,"NA",AG171/R171-1)</f>
        <v>NA</v>
      </c>
    </row>
    <row r="172" spans="1:48" ht="15" customHeight="1" x14ac:dyDescent="0.25">
      <c r="A172" s="164"/>
      <c r="B172" s="166">
        <v>113</v>
      </c>
      <c r="C172" s="169" t="str">
        <f>_xlfn.XLOOKUP(B172, LgProvEntOrgIDs[Advanced Network/Insurer Carrier Org ID], LgProvEntOrgIDs[Advanced Network/Insurance Carrier Overall])</f>
        <v>CIFC Greater Danbury Community Health Center</v>
      </c>
      <c r="D172" s="507">
        <f>SUMIFS(AN_TME22[[#All],[Member Months]],AN_TME22[[#All],[Insurance Category Code]],1,AN_TME22[[#All],[Advanced Network/Insurance Carrier Org ID]],B172)</f>
        <v>0</v>
      </c>
      <c r="E172" s="155" t="str">
        <f>IF(D172=0,"NA",SUMIFS(AN_TME22[[#All],[Claims: Hospital Inpatient]],AN_TME22[[#All],[Insurance Category Code]],1,AN_TME22[[#All],[Advanced Network/Insurance Carrier Org ID]],B172)/D172)</f>
        <v>NA</v>
      </c>
      <c r="F172" s="109" t="str">
        <f>IF(D172=0,"NA",SUMIFS(AN_TME22[[#All],[Claims: Hospital Outpatient]],AN_TME22[[#All],[Insurance Category Code]],1,AN_TME22[[#All],[Advanced Network/Insurance Carrier Org ID]],B172)/D172)</f>
        <v>NA</v>
      </c>
      <c r="G172" s="109" t="str">
        <f>IF(D172=0,"NA",SUMIFS(AN_TME22[[#All],[Claims: Professional, Primary Care]],AN_TME22[[#All],[Insurance Category Code]],1,AN_TME22[[#All],[Advanced Network/Insurance Carrier Org ID]],B172)/D172)</f>
        <v>NA</v>
      </c>
      <c r="H172" s="109" t="str">
        <f>IF(D172=0,"NA",SUMIFS(AN_TME22[[#All],[Claims: Professional, Primary Care (for Monitoring Purposes)]],AN_TME22[[#All],[Insurance Category Code]],1,AN_TME22[[#All],[Advanced Network/Insurance Carrier Org ID]],B172)/D172)</f>
        <v>NA</v>
      </c>
      <c r="I172" s="109" t="str">
        <f>IF(D172=0,"NA",SUMIFS(AN_TME22[[#All],[Claims: Professional, Specialty]],AN_TME22[[#All],[Insurance Category Code]],1,AN_TME22[[#All],[Advanced Network/Insurance Carrier Org ID]],B172)/D172)</f>
        <v>NA</v>
      </c>
      <c r="J172" s="109" t="str">
        <f>IF(D172=0,"NA",SUMIFS(AN_TME22[[#All],[Claims: Professional Other]],AN_TME22[[#All],[Insurance Category Code]],1,AN_TME22[[#All],[Advanced Network/Insurance Carrier Org ID]],B172)/D172)</f>
        <v>NA</v>
      </c>
      <c r="K172" s="109" t="str">
        <f>IF(D172=0,"NA",SUMIFS(AN_TME22[[#All],[Claims: Pharmacy]],AN_TME22[[#All],[Insurance Category Code]],1,AN_TME22[[#All],[Advanced Network/Insurance Carrier Org ID]],B172)/D172)</f>
        <v>NA</v>
      </c>
      <c r="L172" s="109" t="str">
        <f>IF(D172=0,"NA",SUMIFS(AN_TME22[[#All],[Claims: Long-Term Care]],AN_TME22[[#All],[Insurance Category Code]],1,AN_TME22[[#All],[Advanced Network/Insurance Carrier Org ID]],B172)/D172)</f>
        <v>NA</v>
      </c>
      <c r="M172" s="109" t="str">
        <f>IF(D172=0,"NA",SUMIFS(AN_TME22[[#All],[Claims: Other]],AN_TME22[[#All],[Insurance Category Code]],1,AN_TME22[[#All],[Advanced Network/Insurance Carrier Org ID]],B172)/D172)</f>
        <v>NA</v>
      </c>
      <c r="N172" s="165" t="str">
        <f>IF(D172=0,"NA",SUMIFS(AN_TME22[[#All],[TOTAL Non-Truncated Unadjusted Claims Expenses]],AN_TME22[[#All],[Insurance Category Code]],1,AN_TME22[[#All],[Advanced Network/Insurance Carrier Org ID]],B172)/D172)</f>
        <v>NA</v>
      </c>
      <c r="O172" s="165" t="str">
        <f>IF(D172=0,"NA",SUMIFS(AN_TME22[[#All],[TOTAL Truncated Unadjusted Claims Expenses (A21 -A19)]],AN_TME22[[#All],[Insurance Category Code]],1,AN_TME22[[#All],[Advanced Network/Insurance Carrier Org ID]],B172)/D172)</f>
        <v>NA</v>
      </c>
      <c r="P172" s="165" t="str">
        <f>IF(D172=0,"NA",SUMIFS(AN_TME22[[#All],[TOTAL Non-Claims Expenses]],AN_TME22[[#All],[Insurance Category Code]],1,AN_TME22[[#All],[Advanced Network/Insurance Carrier Org ID]],B172)/D172)</f>
        <v>NA</v>
      </c>
      <c r="Q172" s="165" t="str">
        <f>IF(D172=0,"NA",SUMIFS(AN_TME22[[#All],[TOTAL Non-Truncated Unadjusted Expenses (A21 + A23)]],AN_TME22[[#All],[Insurance Category Code]],1,AN_TME22[[#All],[Advanced Network/Insurance Carrier Org ID]],B172)/D172)</f>
        <v>NA</v>
      </c>
      <c r="R172" s="165" t="str">
        <f>IF(D172=0,"NA",SUMIFS(AN_TME22[[#All],[TOTAL Truncated Unadjusted Expenses (A22 + A23)]],AN_TME22[[#All],[Insurance Category Code]],1,AN_TME22[[#All],[Advanced Network/Insurance Carrier Org ID]],B172)/D172)</f>
        <v>NA</v>
      </c>
      <c r="S172" s="507">
        <f>SUMIFS(AN_TME23[[#All],[Member Months]],AN_TME23[[#All],[Insurance Category Code]],1,AN_TME23[[#All],[Advanced Network/Insurance Carrier Org ID]],B172)</f>
        <v>0</v>
      </c>
      <c r="T172" s="155" t="str">
        <f>IF(S172=0,"NA",SUMIFS(AN_TME23[[#All],[Claims: Hospital Inpatient]],AN_TME23[[#All],[Insurance Category Code]],1,AN_TME23[[#All],[Advanced Network/Insurance Carrier Org ID]],B172)/S172)</f>
        <v>NA</v>
      </c>
      <c r="U172" s="109" t="str">
        <f>IF(S172=0,"NA",SUMIFS(AN_TME23[[#All],[Claims: Hospital Outpatient]],AN_TME23[[#All],[Insurance Category Code]],1,AN_TME23[[#All],[Advanced Network/Insurance Carrier Org ID]],B172)/S172)</f>
        <v>NA</v>
      </c>
      <c r="V172" s="109" t="str">
        <f>IF(S172=0,"NA",SUMIFS(AN_TME23[[#All],[Claims: Professional, Primary Care]],AN_TME23[[#All],[Insurance Category Code]],1,AN_TME23[[#All],[Advanced Network/Insurance Carrier Org ID]],B172)/S172)</f>
        <v>NA</v>
      </c>
      <c r="W172" s="109" t="str">
        <f>IF(S172=0,"NA",SUMIFS(AN_TME23[[#All],[Claims: Professional, Primary Care (for Monitoring Purposes)]],AN_TME23[[#All],[Insurance Category Code]],1,AN_TME23[[#All],[Advanced Network/Insurance Carrier Org ID]],B172)/S172)</f>
        <v>NA</v>
      </c>
      <c r="X172" s="109" t="str">
        <f>IF(S172=0,"NA",SUMIFS(AN_TME23[[#All],[Claims: Professional, Specialty]],AN_TME23[[#All],[Insurance Category Code]],1,AN_TME23[[#All],[Advanced Network/Insurance Carrier Org ID]],B172)/S172)</f>
        <v>NA</v>
      </c>
      <c r="Y172" s="109" t="str">
        <f>IF(S172=0,"NA",SUMIFS(AN_TME23[[#All],[Claims: Professional Other]],AN_TME23[[#All],[Insurance Category Code]],1,AN_TME23[[#All],[Advanced Network/Insurance Carrier Org ID]],B172)/S172)</f>
        <v>NA</v>
      </c>
      <c r="Z172" s="109" t="str">
        <f>IF(S172=0,"NA",SUMIFS(AN_TME23[[#All],[Claims: Pharmacy]],AN_TME23[[#All],[Insurance Category Code]],1,AN_TME23[[#All],[Advanced Network/Insurance Carrier Org ID]],B172)/S172)</f>
        <v>NA</v>
      </c>
      <c r="AA172" s="109" t="str">
        <f>IF(S172=0,"NA",SUMIFS(AN_TME23[[#All],[Claims: Long-Term Care]],AN_TME23[[#All],[Insurance Category Code]],1,AN_TME23[[#All],[Advanced Network/Insurance Carrier Org ID]],B172)/S172)</f>
        <v>NA</v>
      </c>
      <c r="AB172" s="109" t="str">
        <f>IF(S172=0,"NA",SUMIFS(AN_TME23[[#All],[Claims: Other]],AN_TME23[[#All],[Insurance Category Code]],1,AN_TME23[[#All],[Advanced Network/Insurance Carrier Org ID]],B172)/S172)</f>
        <v>NA</v>
      </c>
      <c r="AC172" s="165" t="str">
        <f>IF(S172=0,"NA",SUMIFS(AN_TME23[[#All],[TOTAL Non-Truncated Unadjusted Claims Expenses]],AN_TME23[[#All],[Insurance Category Code]],1,AN_TME23[[#All],[Advanced Network/Insurance Carrier Org ID]],B172)/S172)</f>
        <v>NA</v>
      </c>
      <c r="AD172" s="165" t="str">
        <f>IF(S172=0,"NA",SUMIFS(AN_TME23[[#All],[TOTAL Truncated Unadjusted Claims Expenses (A21 -A19)]],AN_TME23[[#All],[Insurance Category Code]],1,AN_TME23[[#All],[Advanced Network/Insurance Carrier Org ID]],B172)/S172)</f>
        <v>NA</v>
      </c>
      <c r="AE172" s="165" t="str">
        <f>IF(S172=0,"NA",SUMIFS(AN_TME23[[#All],[TOTAL Non-Claims Expenses]],AN_TME23[[#All],[Insurance Category Code]],1,AN_TME23[[#All],[Advanced Network/Insurance Carrier Org ID]],B172)/S172)</f>
        <v>NA</v>
      </c>
      <c r="AF172" s="165" t="str">
        <f>IF(S172=0,"NA",SUMIFS(AN_TME23[[#All],[TOTAL Non-Truncated Unadjusted Expenses (A21 + A23)]],AN_TME23[[#All],[Insurance Category Code]],1,AN_TME23[[#All],[Advanced Network/Insurance Carrier Org ID]],B172)/S172)</f>
        <v>NA</v>
      </c>
      <c r="AG172" s="156" t="str">
        <f>IF(S172=0,"NA",SUMIFS(AN_TME23[[#All],[TOTAL Truncated Unadjusted Expenses (A22 + A23)]],AN_TME23[[#All],[Insurance Category Code]],1,AN_TME23[[#All],[Advanced Network/Insurance Carrier Org ID]],B172)/S172)</f>
        <v>NA</v>
      </c>
      <c r="AH172" s="478" t="str">
        <f t="shared" si="259"/>
        <v>NA</v>
      </c>
      <c r="AI172" s="479" t="str">
        <f t="shared" si="260"/>
        <v>NA</v>
      </c>
      <c r="AJ172" s="480" t="str">
        <f t="shared" si="261"/>
        <v>NA</v>
      </c>
      <c r="AK172" s="480" t="str">
        <f t="shared" si="262"/>
        <v>NA</v>
      </c>
      <c r="AL172" s="480" t="str">
        <f t="shared" si="263"/>
        <v>NA</v>
      </c>
      <c r="AM172" s="480" t="str">
        <f t="shared" si="264"/>
        <v>NA</v>
      </c>
      <c r="AN172" s="480" t="str">
        <f t="shared" si="265"/>
        <v>NA</v>
      </c>
      <c r="AO172" s="480" t="str">
        <f t="shared" si="266"/>
        <v>NA</v>
      </c>
      <c r="AP172" s="480" t="str">
        <f t="shared" si="267"/>
        <v>NA</v>
      </c>
      <c r="AQ172" s="480" t="str">
        <f t="shared" si="268"/>
        <v>NA</v>
      </c>
      <c r="AR172" s="481" t="str">
        <f t="shared" si="269"/>
        <v>NA</v>
      </c>
      <c r="AS172" s="481" t="str">
        <f t="shared" si="270"/>
        <v>NA</v>
      </c>
      <c r="AT172" s="481" t="str">
        <f t="shared" si="271"/>
        <v>NA</v>
      </c>
      <c r="AU172" s="481" t="str">
        <f t="shared" si="272"/>
        <v>NA</v>
      </c>
      <c r="AV172" s="482" t="str">
        <f t="shared" si="273"/>
        <v>NA</v>
      </c>
    </row>
    <row r="173" spans="1:48" ht="15" customHeight="1" x14ac:dyDescent="0.25">
      <c r="A173" s="164"/>
      <c r="B173" s="166">
        <v>114</v>
      </c>
      <c r="C173" s="169" t="str">
        <f>_xlfn.XLOOKUP(B173, LgProvEntOrgIDs[Advanced Network/Insurer Carrier Org ID], LgProvEntOrgIDs[Advanced Network/Insurance Carrier Overall])</f>
        <v>Community Health and Wellness Center of Greater Torrington</v>
      </c>
      <c r="D173" s="507">
        <f>SUMIFS(AN_TME22[[#All],[Member Months]],AN_TME22[[#All],[Insurance Category Code]],1,AN_TME22[[#All],[Advanced Network/Insurance Carrier Org ID]],B173)</f>
        <v>0</v>
      </c>
      <c r="E173" s="155" t="str">
        <f>IF(D173=0,"NA",SUMIFS(AN_TME22[[#All],[Claims: Hospital Inpatient]],AN_TME22[[#All],[Insurance Category Code]],1,AN_TME22[[#All],[Advanced Network/Insurance Carrier Org ID]],B173)/D173)</f>
        <v>NA</v>
      </c>
      <c r="F173" s="109" t="str">
        <f>IF(D173=0,"NA",SUMIFS(AN_TME22[[#All],[Claims: Hospital Outpatient]],AN_TME22[[#All],[Insurance Category Code]],1,AN_TME22[[#All],[Advanced Network/Insurance Carrier Org ID]],B173)/D173)</f>
        <v>NA</v>
      </c>
      <c r="G173" s="109" t="str">
        <f>IF(D173=0,"NA",SUMIFS(AN_TME22[[#All],[Claims: Professional, Primary Care]],AN_TME22[[#All],[Insurance Category Code]],1,AN_TME22[[#All],[Advanced Network/Insurance Carrier Org ID]],B173)/D173)</f>
        <v>NA</v>
      </c>
      <c r="H173" s="109" t="str">
        <f>IF(D173=0,"NA",SUMIFS(AN_TME22[[#All],[Claims: Professional, Primary Care (for Monitoring Purposes)]],AN_TME22[[#All],[Insurance Category Code]],1,AN_TME22[[#All],[Advanced Network/Insurance Carrier Org ID]],B173)/D173)</f>
        <v>NA</v>
      </c>
      <c r="I173" s="109" t="str">
        <f>IF(D173=0,"NA",SUMIFS(AN_TME22[[#All],[Claims: Professional, Specialty]],AN_TME22[[#All],[Insurance Category Code]],1,AN_TME22[[#All],[Advanced Network/Insurance Carrier Org ID]],B173)/D173)</f>
        <v>NA</v>
      </c>
      <c r="J173" s="109" t="str">
        <f>IF(D173=0,"NA",SUMIFS(AN_TME22[[#All],[Claims: Professional Other]],AN_TME22[[#All],[Insurance Category Code]],1,AN_TME22[[#All],[Advanced Network/Insurance Carrier Org ID]],B173)/D173)</f>
        <v>NA</v>
      </c>
      <c r="K173" s="109" t="str">
        <f>IF(D173=0,"NA",SUMIFS(AN_TME22[[#All],[Claims: Pharmacy]],AN_TME22[[#All],[Insurance Category Code]],1,AN_TME22[[#All],[Advanced Network/Insurance Carrier Org ID]],B173)/D173)</f>
        <v>NA</v>
      </c>
      <c r="L173" s="109" t="str">
        <f>IF(D173=0,"NA",SUMIFS(AN_TME22[[#All],[Claims: Long-Term Care]],AN_TME22[[#All],[Insurance Category Code]],1,AN_TME22[[#All],[Advanced Network/Insurance Carrier Org ID]],B173)/D173)</f>
        <v>NA</v>
      </c>
      <c r="M173" s="109" t="str">
        <f>IF(D173=0,"NA",SUMIFS(AN_TME22[[#All],[Claims: Other]],AN_TME22[[#All],[Insurance Category Code]],1,AN_TME22[[#All],[Advanced Network/Insurance Carrier Org ID]],B173)/D173)</f>
        <v>NA</v>
      </c>
      <c r="N173" s="165" t="str">
        <f>IF(D173=0,"NA",SUMIFS(AN_TME22[[#All],[TOTAL Non-Truncated Unadjusted Claims Expenses]],AN_TME22[[#All],[Insurance Category Code]],1,AN_TME22[[#All],[Advanced Network/Insurance Carrier Org ID]],B173)/D173)</f>
        <v>NA</v>
      </c>
      <c r="O173" s="165" t="str">
        <f>IF(D173=0,"NA",SUMIFS(AN_TME22[[#All],[TOTAL Truncated Unadjusted Claims Expenses (A21 -A19)]],AN_TME22[[#All],[Insurance Category Code]],1,AN_TME22[[#All],[Advanced Network/Insurance Carrier Org ID]],B173)/D173)</f>
        <v>NA</v>
      </c>
      <c r="P173" s="165" t="str">
        <f>IF(D173=0,"NA",SUMIFS(AN_TME22[[#All],[TOTAL Non-Claims Expenses]],AN_TME22[[#All],[Insurance Category Code]],1,AN_TME22[[#All],[Advanced Network/Insurance Carrier Org ID]],B173)/D173)</f>
        <v>NA</v>
      </c>
      <c r="Q173" s="165" t="str">
        <f>IF(D173=0,"NA",SUMIFS(AN_TME22[[#All],[TOTAL Non-Truncated Unadjusted Expenses (A21 + A23)]],AN_TME22[[#All],[Insurance Category Code]],1,AN_TME22[[#All],[Advanced Network/Insurance Carrier Org ID]],B173)/D173)</f>
        <v>NA</v>
      </c>
      <c r="R173" s="165" t="str">
        <f>IF(D173=0,"NA",SUMIFS(AN_TME22[[#All],[TOTAL Truncated Unadjusted Expenses (A22 + A23)]],AN_TME22[[#All],[Insurance Category Code]],1,AN_TME22[[#All],[Advanced Network/Insurance Carrier Org ID]],B173)/D173)</f>
        <v>NA</v>
      </c>
      <c r="S173" s="507">
        <f>SUMIFS(AN_TME23[[#All],[Member Months]],AN_TME23[[#All],[Insurance Category Code]],1,AN_TME23[[#All],[Advanced Network/Insurance Carrier Org ID]],B173)</f>
        <v>0</v>
      </c>
      <c r="T173" s="155" t="str">
        <f>IF(S173=0,"NA",SUMIFS(AN_TME23[[#All],[Claims: Hospital Inpatient]],AN_TME23[[#All],[Insurance Category Code]],1,AN_TME23[[#All],[Advanced Network/Insurance Carrier Org ID]],B173)/S173)</f>
        <v>NA</v>
      </c>
      <c r="U173" s="109" t="str">
        <f>IF(S173=0,"NA",SUMIFS(AN_TME23[[#All],[Claims: Hospital Outpatient]],AN_TME23[[#All],[Insurance Category Code]],1,AN_TME23[[#All],[Advanced Network/Insurance Carrier Org ID]],B173)/S173)</f>
        <v>NA</v>
      </c>
      <c r="V173" s="109" t="str">
        <f>IF(S173=0,"NA",SUMIFS(AN_TME23[[#All],[Claims: Professional, Primary Care]],AN_TME23[[#All],[Insurance Category Code]],1,AN_TME23[[#All],[Advanced Network/Insurance Carrier Org ID]],B173)/S173)</f>
        <v>NA</v>
      </c>
      <c r="W173" s="109" t="str">
        <f>IF(S173=0,"NA",SUMIFS(AN_TME23[[#All],[Claims: Professional, Primary Care (for Monitoring Purposes)]],AN_TME23[[#All],[Insurance Category Code]],1,AN_TME23[[#All],[Advanced Network/Insurance Carrier Org ID]],B173)/S173)</f>
        <v>NA</v>
      </c>
      <c r="X173" s="109" t="str">
        <f>IF(S173=0,"NA",SUMIFS(AN_TME23[[#All],[Claims: Professional, Specialty]],AN_TME23[[#All],[Insurance Category Code]],1,AN_TME23[[#All],[Advanced Network/Insurance Carrier Org ID]],B173)/S173)</f>
        <v>NA</v>
      </c>
      <c r="Y173" s="109" t="str">
        <f>IF(S173=0,"NA",SUMIFS(AN_TME23[[#All],[Claims: Professional Other]],AN_TME23[[#All],[Insurance Category Code]],1,AN_TME23[[#All],[Advanced Network/Insurance Carrier Org ID]],B173)/S173)</f>
        <v>NA</v>
      </c>
      <c r="Z173" s="109" t="str">
        <f>IF(S173=0,"NA",SUMIFS(AN_TME23[[#All],[Claims: Pharmacy]],AN_TME23[[#All],[Insurance Category Code]],1,AN_TME23[[#All],[Advanced Network/Insurance Carrier Org ID]],B173)/S173)</f>
        <v>NA</v>
      </c>
      <c r="AA173" s="109" t="str">
        <f>IF(S173=0,"NA",SUMIFS(AN_TME23[[#All],[Claims: Long-Term Care]],AN_TME23[[#All],[Insurance Category Code]],1,AN_TME23[[#All],[Advanced Network/Insurance Carrier Org ID]],B173)/S173)</f>
        <v>NA</v>
      </c>
      <c r="AB173" s="109" t="str">
        <f>IF(S173=0,"NA",SUMIFS(AN_TME23[[#All],[Claims: Other]],AN_TME23[[#All],[Insurance Category Code]],1,AN_TME23[[#All],[Advanced Network/Insurance Carrier Org ID]],B173)/S173)</f>
        <v>NA</v>
      </c>
      <c r="AC173" s="165" t="str">
        <f>IF(S173=0,"NA",SUMIFS(AN_TME23[[#All],[TOTAL Non-Truncated Unadjusted Claims Expenses]],AN_TME23[[#All],[Insurance Category Code]],1,AN_TME23[[#All],[Advanced Network/Insurance Carrier Org ID]],B173)/S173)</f>
        <v>NA</v>
      </c>
      <c r="AD173" s="165" t="str">
        <f>IF(S173=0,"NA",SUMIFS(AN_TME23[[#All],[TOTAL Truncated Unadjusted Claims Expenses (A21 -A19)]],AN_TME23[[#All],[Insurance Category Code]],1,AN_TME23[[#All],[Advanced Network/Insurance Carrier Org ID]],B173)/S173)</f>
        <v>NA</v>
      </c>
      <c r="AE173" s="165" t="str">
        <f>IF(S173=0,"NA",SUMIFS(AN_TME23[[#All],[TOTAL Non-Claims Expenses]],AN_TME23[[#All],[Insurance Category Code]],1,AN_TME23[[#All],[Advanced Network/Insurance Carrier Org ID]],B173)/S173)</f>
        <v>NA</v>
      </c>
      <c r="AF173" s="165" t="str">
        <f>IF(S173=0,"NA",SUMIFS(AN_TME23[[#All],[TOTAL Non-Truncated Unadjusted Expenses (A21 + A23)]],AN_TME23[[#All],[Insurance Category Code]],1,AN_TME23[[#All],[Advanced Network/Insurance Carrier Org ID]],B173)/S173)</f>
        <v>NA</v>
      </c>
      <c r="AG173" s="156" t="str">
        <f>IF(S173=0,"NA",SUMIFS(AN_TME23[[#All],[TOTAL Truncated Unadjusted Expenses (A22 + A23)]],AN_TME23[[#All],[Insurance Category Code]],1,AN_TME23[[#All],[Advanced Network/Insurance Carrier Org ID]],B173)/S173)</f>
        <v>NA</v>
      </c>
      <c r="AH173" s="478" t="str">
        <f t="shared" si="259"/>
        <v>NA</v>
      </c>
      <c r="AI173" s="479" t="str">
        <f t="shared" si="260"/>
        <v>NA</v>
      </c>
      <c r="AJ173" s="480" t="str">
        <f t="shared" si="261"/>
        <v>NA</v>
      </c>
      <c r="AK173" s="480" t="str">
        <f t="shared" si="262"/>
        <v>NA</v>
      </c>
      <c r="AL173" s="480" t="str">
        <f t="shared" si="263"/>
        <v>NA</v>
      </c>
      <c r="AM173" s="480" t="str">
        <f t="shared" si="264"/>
        <v>NA</v>
      </c>
      <c r="AN173" s="480" t="str">
        <f t="shared" si="265"/>
        <v>NA</v>
      </c>
      <c r="AO173" s="480" t="str">
        <f t="shared" si="266"/>
        <v>NA</v>
      </c>
      <c r="AP173" s="480" t="str">
        <f t="shared" si="267"/>
        <v>NA</v>
      </c>
      <c r="AQ173" s="480" t="str">
        <f t="shared" si="268"/>
        <v>NA</v>
      </c>
      <c r="AR173" s="481" t="str">
        <f t="shared" si="269"/>
        <v>NA</v>
      </c>
      <c r="AS173" s="481" t="str">
        <f t="shared" si="270"/>
        <v>NA</v>
      </c>
      <c r="AT173" s="481" t="str">
        <f t="shared" si="271"/>
        <v>NA</v>
      </c>
      <c r="AU173" s="481" t="str">
        <f t="shared" si="272"/>
        <v>NA</v>
      </c>
      <c r="AV173" s="482" t="str">
        <f t="shared" si="273"/>
        <v>NA</v>
      </c>
    </row>
    <row r="174" spans="1:48" ht="15" customHeight="1" x14ac:dyDescent="0.25">
      <c r="A174" s="164"/>
      <c r="B174" s="166">
        <v>115</v>
      </c>
      <c r="C174" s="169" t="str">
        <f>_xlfn.XLOOKUP(B174, LgProvEntOrgIDs[Advanced Network/Insurer Carrier Org ID], LgProvEntOrgIDs[Advanced Network/Insurance Carrier Overall])</f>
        <v>Community Health Center</v>
      </c>
      <c r="D174" s="507">
        <f>SUMIFS(AN_TME22[[#All],[Member Months]],AN_TME22[[#All],[Insurance Category Code]],1,AN_TME22[[#All],[Advanced Network/Insurance Carrier Org ID]],B174)</f>
        <v>0</v>
      </c>
      <c r="E174" s="155" t="str">
        <f>IF(D174=0,"NA",SUMIFS(AN_TME22[[#All],[Claims: Hospital Inpatient]],AN_TME22[[#All],[Insurance Category Code]],1,AN_TME22[[#All],[Advanced Network/Insurance Carrier Org ID]],B174)/D174)</f>
        <v>NA</v>
      </c>
      <c r="F174" s="109" t="str">
        <f>IF(D174=0,"NA",SUMIFS(AN_TME22[[#All],[Claims: Hospital Outpatient]],AN_TME22[[#All],[Insurance Category Code]],1,AN_TME22[[#All],[Advanced Network/Insurance Carrier Org ID]],B174)/D174)</f>
        <v>NA</v>
      </c>
      <c r="G174" s="109" t="str">
        <f>IF(D174=0,"NA",SUMIFS(AN_TME22[[#All],[Claims: Professional, Primary Care]],AN_TME22[[#All],[Insurance Category Code]],1,AN_TME22[[#All],[Advanced Network/Insurance Carrier Org ID]],B174)/D174)</f>
        <v>NA</v>
      </c>
      <c r="H174" s="109" t="str">
        <f>IF(D174=0,"NA",SUMIFS(AN_TME22[[#All],[Claims: Professional, Primary Care (for Monitoring Purposes)]],AN_TME22[[#All],[Insurance Category Code]],1,AN_TME22[[#All],[Advanced Network/Insurance Carrier Org ID]],B174)/D174)</f>
        <v>NA</v>
      </c>
      <c r="I174" s="109" t="str">
        <f>IF(D174=0,"NA",SUMIFS(AN_TME22[[#All],[Claims: Professional, Specialty]],AN_TME22[[#All],[Insurance Category Code]],1,AN_TME22[[#All],[Advanced Network/Insurance Carrier Org ID]],B174)/D174)</f>
        <v>NA</v>
      </c>
      <c r="J174" s="109" t="str">
        <f>IF(D174=0,"NA",SUMIFS(AN_TME22[[#All],[Claims: Professional Other]],AN_TME22[[#All],[Insurance Category Code]],1,AN_TME22[[#All],[Advanced Network/Insurance Carrier Org ID]],B174)/D174)</f>
        <v>NA</v>
      </c>
      <c r="K174" s="109" t="str">
        <f>IF(D174=0,"NA",SUMIFS(AN_TME22[[#All],[Claims: Pharmacy]],AN_TME22[[#All],[Insurance Category Code]],1,AN_TME22[[#All],[Advanced Network/Insurance Carrier Org ID]],B174)/D174)</f>
        <v>NA</v>
      </c>
      <c r="L174" s="109" t="str">
        <f>IF(D174=0,"NA",SUMIFS(AN_TME22[[#All],[Claims: Long-Term Care]],AN_TME22[[#All],[Insurance Category Code]],1,AN_TME22[[#All],[Advanced Network/Insurance Carrier Org ID]],B174)/D174)</f>
        <v>NA</v>
      </c>
      <c r="M174" s="109" t="str">
        <f>IF(D174=0,"NA",SUMIFS(AN_TME22[[#All],[Claims: Other]],AN_TME22[[#All],[Insurance Category Code]],1,AN_TME22[[#All],[Advanced Network/Insurance Carrier Org ID]],B174)/D174)</f>
        <v>NA</v>
      </c>
      <c r="N174" s="165" t="str">
        <f>IF(D174=0,"NA",SUMIFS(AN_TME22[[#All],[TOTAL Non-Truncated Unadjusted Claims Expenses]],AN_TME22[[#All],[Insurance Category Code]],1,AN_TME22[[#All],[Advanced Network/Insurance Carrier Org ID]],B174)/D174)</f>
        <v>NA</v>
      </c>
      <c r="O174" s="165" t="str">
        <f>IF(D174=0,"NA",SUMIFS(AN_TME22[[#All],[TOTAL Truncated Unadjusted Claims Expenses (A21 -A19)]],AN_TME22[[#All],[Insurance Category Code]],1,AN_TME22[[#All],[Advanced Network/Insurance Carrier Org ID]],B174)/D174)</f>
        <v>NA</v>
      </c>
      <c r="P174" s="165" t="str">
        <f>IF(D174=0,"NA",SUMIFS(AN_TME22[[#All],[TOTAL Non-Claims Expenses]],AN_TME22[[#All],[Insurance Category Code]],1,AN_TME22[[#All],[Advanced Network/Insurance Carrier Org ID]],B174)/D174)</f>
        <v>NA</v>
      </c>
      <c r="Q174" s="165" t="str">
        <f>IF(D174=0,"NA",SUMIFS(AN_TME22[[#All],[TOTAL Non-Truncated Unadjusted Expenses (A21 + A23)]],AN_TME22[[#All],[Insurance Category Code]],1,AN_TME22[[#All],[Advanced Network/Insurance Carrier Org ID]],B174)/D174)</f>
        <v>NA</v>
      </c>
      <c r="R174" s="165" t="str">
        <f>IF(D174=0,"NA",SUMIFS(AN_TME22[[#All],[TOTAL Truncated Unadjusted Expenses (A22 + A23)]],AN_TME22[[#All],[Insurance Category Code]],1,AN_TME22[[#All],[Advanced Network/Insurance Carrier Org ID]],B174)/D174)</f>
        <v>NA</v>
      </c>
      <c r="S174" s="507">
        <f>SUMIFS(AN_TME23[[#All],[Member Months]],AN_TME23[[#All],[Insurance Category Code]],1,AN_TME23[[#All],[Advanced Network/Insurance Carrier Org ID]],B174)</f>
        <v>0</v>
      </c>
      <c r="T174" s="155" t="str">
        <f>IF(S174=0,"NA",SUMIFS(AN_TME23[[#All],[Claims: Hospital Inpatient]],AN_TME23[[#All],[Insurance Category Code]],1,AN_TME23[[#All],[Advanced Network/Insurance Carrier Org ID]],B174)/S174)</f>
        <v>NA</v>
      </c>
      <c r="U174" s="109" t="str">
        <f>IF(S174=0,"NA",SUMIFS(AN_TME23[[#All],[Claims: Hospital Outpatient]],AN_TME23[[#All],[Insurance Category Code]],1,AN_TME23[[#All],[Advanced Network/Insurance Carrier Org ID]],B174)/S174)</f>
        <v>NA</v>
      </c>
      <c r="V174" s="109" t="str">
        <f>IF(S174=0,"NA",SUMIFS(AN_TME23[[#All],[Claims: Professional, Primary Care]],AN_TME23[[#All],[Insurance Category Code]],1,AN_TME23[[#All],[Advanced Network/Insurance Carrier Org ID]],B174)/S174)</f>
        <v>NA</v>
      </c>
      <c r="W174" s="109" t="str">
        <f>IF(S174=0,"NA",SUMIFS(AN_TME23[[#All],[Claims: Professional, Primary Care (for Monitoring Purposes)]],AN_TME23[[#All],[Insurance Category Code]],1,AN_TME23[[#All],[Advanced Network/Insurance Carrier Org ID]],B174)/S174)</f>
        <v>NA</v>
      </c>
      <c r="X174" s="109" t="str">
        <f>IF(S174=0,"NA",SUMIFS(AN_TME23[[#All],[Claims: Professional, Specialty]],AN_TME23[[#All],[Insurance Category Code]],1,AN_TME23[[#All],[Advanced Network/Insurance Carrier Org ID]],B174)/S174)</f>
        <v>NA</v>
      </c>
      <c r="Y174" s="109" t="str">
        <f>IF(S174=0,"NA",SUMIFS(AN_TME23[[#All],[Claims: Professional Other]],AN_TME23[[#All],[Insurance Category Code]],1,AN_TME23[[#All],[Advanced Network/Insurance Carrier Org ID]],B174)/S174)</f>
        <v>NA</v>
      </c>
      <c r="Z174" s="109" t="str">
        <f>IF(S174=0,"NA",SUMIFS(AN_TME23[[#All],[Claims: Pharmacy]],AN_TME23[[#All],[Insurance Category Code]],1,AN_TME23[[#All],[Advanced Network/Insurance Carrier Org ID]],B174)/S174)</f>
        <v>NA</v>
      </c>
      <c r="AA174" s="109" t="str">
        <f>IF(S174=0,"NA",SUMIFS(AN_TME23[[#All],[Claims: Long-Term Care]],AN_TME23[[#All],[Insurance Category Code]],1,AN_TME23[[#All],[Advanced Network/Insurance Carrier Org ID]],B174)/S174)</f>
        <v>NA</v>
      </c>
      <c r="AB174" s="109" t="str">
        <f>IF(S174=0,"NA",SUMIFS(AN_TME23[[#All],[Claims: Other]],AN_TME23[[#All],[Insurance Category Code]],1,AN_TME23[[#All],[Advanced Network/Insurance Carrier Org ID]],B174)/S174)</f>
        <v>NA</v>
      </c>
      <c r="AC174" s="165" t="str">
        <f>IF(S174=0,"NA",SUMIFS(AN_TME23[[#All],[TOTAL Non-Truncated Unadjusted Claims Expenses]],AN_TME23[[#All],[Insurance Category Code]],1,AN_TME23[[#All],[Advanced Network/Insurance Carrier Org ID]],B174)/S174)</f>
        <v>NA</v>
      </c>
      <c r="AD174" s="165" t="str">
        <f>IF(S174=0,"NA",SUMIFS(AN_TME23[[#All],[TOTAL Truncated Unadjusted Claims Expenses (A21 -A19)]],AN_TME23[[#All],[Insurance Category Code]],1,AN_TME23[[#All],[Advanced Network/Insurance Carrier Org ID]],B174)/S174)</f>
        <v>NA</v>
      </c>
      <c r="AE174" s="165" t="str">
        <f>IF(S174=0,"NA",SUMIFS(AN_TME23[[#All],[TOTAL Non-Claims Expenses]],AN_TME23[[#All],[Insurance Category Code]],1,AN_TME23[[#All],[Advanced Network/Insurance Carrier Org ID]],B174)/S174)</f>
        <v>NA</v>
      </c>
      <c r="AF174" s="165" t="str">
        <f>IF(S174=0,"NA",SUMIFS(AN_TME23[[#All],[TOTAL Non-Truncated Unadjusted Expenses (A21 + A23)]],AN_TME23[[#All],[Insurance Category Code]],1,AN_TME23[[#All],[Advanced Network/Insurance Carrier Org ID]],B174)/S174)</f>
        <v>NA</v>
      </c>
      <c r="AG174" s="156" t="str">
        <f>IF(S174=0,"NA",SUMIFS(AN_TME23[[#All],[TOTAL Truncated Unadjusted Expenses (A22 + A23)]],AN_TME23[[#All],[Insurance Category Code]],1,AN_TME23[[#All],[Advanced Network/Insurance Carrier Org ID]],B174)/S174)</f>
        <v>NA</v>
      </c>
      <c r="AH174" s="478" t="str">
        <f t="shared" si="259"/>
        <v>NA</v>
      </c>
      <c r="AI174" s="479" t="str">
        <f t="shared" si="260"/>
        <v>NA</v>
      </c>
      <c r="AJ174" s="480" t="str">
        <f t="shared" si="261"/>
        <v>NA</v>
      </c>
      <c r="AK174" s="480" t="str">
        <f t="shared" si="262"/>
        <v>NA</v>
      </c>
      <c r="AL174" s="480" t="str">
        <f t="shared" si="263"/>
        <v>NA</v>
      </c>
      <c r="AM174" s="480" t="str">
        <f t="shared" si="264"/>
        <v>NA</v>
      </c>
      <c r="AN174" s="480" t="str">
        <f t="shared" si="265"/>
        <v>NA</v>
      </c>
      <c r="AO174" s="480" t="str">
        <f t="shared" si="266"/>
        <v>NA</v>
      </c>
      <c r="AP174" s="480" t="str">
        <f t="shared" si="267"/>
        <v>NA</v>
      </c>
      <c r="AQ174" s="480" t="str">
        <f t="shared" si="268"/>
        <v>NA</v>
      </c>
      <c r="AR174" s="481" t="str">
        <f t="shared" si="269"/>
        <v>NA</v>
      </c>
      <c r="AS174" s="481" t="str">
        <f t="shared" si="270"/>
        <v>NA</v>
      </c>
      <c r="AT174" s="481" t="str">
        <f t="shared" si="271"/>
        <v>NA</v>
      </c>
      <c r="AU174" s="481" t="str">
        <f t="shared" si="272"/>
        <v>NA</v>
      </c>
      <c r="AV174" s="482" t="str">
        <f t="shared" si="273"/>
        <v>NA</v>
      </c>
    </row>
    <row r="175" spans="1:48" ht="15" customHeight="1" x14ac:dyDescent="0.25">
      <c r="A175" s="164"/>
      <c r="B175" s="166">
        <v>116</v>
      </c>
      <c r="C175" s="169" t="str">
        <f>_xlfn.XLOOKUP(B175, LgProvEntOrgIDs[Advanced Network/Insurer Carrier Org ID], LgProvEntOrgIDs[Advanced Network/Insurance Carrier Overall])</f>
        <v>Community Health Services</v>
      </c>
      <c r="D175" s="507">
        <f>SUMIFS(AN_TME22[[#All],[Member Months]],AN_TME22[[#All],[Insurance Category Code]],1,AN_TME22[[#All],[Advanced Network/Insurance Carrier Org ID]],B175)</f>
        <v>0</v>
      </c>
      <c r="E175" s="155" t="str">
        <f>IF(D175=0,"NA",SUMIFS(AN_TME22[[#All],[Claims: Hospital Inpatient]],AN_TME22[[#All],[Insurance Category Code]],1,AN_TME22[[#All],[Advanced Network/Insurance Carrier Org ID]],B175)/D175)</f>
        <v>NA</v>
      </c>
      <c r="F175" s="109" t="str">
        <f>IF(D175=0,"NA",SUMIFS(AN_TME22[[#All],[Claims: Hospital Outpatient]],AN_TME22[[#All],[Insurance Category Code]],1,AN_TME22[[#All],[Advanced Network/Insurance Carrier Org ID]],B175)/D175)</f>
        <v>NA</v>
      </c>
      <c r="G175" s="109" t="str">
        <f>IF(D175=0,"NA",SUMIFS(AN_TME22[[#All],[Claims: Professional, Primary Care]],AN_TME22[[#All],[Insurance Category Code]],1,AN_TME22[[#All],[Advanced Network/Insurance Carrier Org ID]],B175)/D175)</f>
        <v>NA</v>
      </c>
      <c r="H175" s="109" t="str">
        <f>IF(D175=0,"NA",SUMIFS(AN_TME22[[#All],[Claims: Professional, Primary Care (for Monitoring Purposes)]],AN_TME22[[#All],[Insurance Category Code]],1,AN_TME22[[#All],[Advanced Network/Insurance Carrier Org ID]],B175)/D175)</f>
        <v>NA</v>
      </c>
      <c r="I175" s="109" t="str">
        <f>IF(D175=0,"NA",SUMIFS(AN_TME22[[#All],[Claims: Professional, Specialty]],AN_TME22[[#All],[Insurance Category Code]],1,AN_TME22[[#All],[Advanced Network/Insurance Carrier Org ID]],B175)/D175)</f>
        <v>NA</v>
      </c>
      <c r="J175" s="109" t="str">
        <f>IF(D175=0,"NA",SUMIFS(AN_TME22[[#All],[Claims: Professional Other]],AN_TME22[[#All],[Insurance Category Code]],1,AN_TME22[[#All],[Advanced Network/Insurance Carrier Org ID]],B175)/D175)</f>
        <v>NA</v>
      </c>
      <c r="K175" s="109" t="str">
        <f>IF(D175=0,"NA",SUMIFS(AN_TME22[[#All],[Claims: Pharmacy]],AN_TME22[[#All],[Insurance Category Code]],1,AN_TME22[[#All],[Advanced Network/Insurance Carrier Org ID]],B175)/D175)</f>
        <v>NA</v>
      </c>
      <c r="L175" s="109" t="str">
        <f>IF(D175=0,"NA",SUMIFS(AN_TME22[[#All],[Claims: Long-Term Care]],AN_TME22[[#All],[Insurance Category Code]],1,AN_TME22[[#All],[Advanced Network/Insurance Carrier Org ID]],B175)/D175)</f>
        <v>NA</v>
      </c>
      <c r="M175" s="109" t="str">
        <f>IF(D175=0,"NA",SUMIFS(AN_TME22[[#All],[Claims: Other]],AN_TME22[[#All],[Insurance Category Code]],1,AN_TME22[[#All],[Advanced Network/Insurance Carrier Org ID]],B175)/D175)</f>
        <v>NA</v>
      </c>
      <c r="N175" s="165" t="str">
        <f>IF(D175=0,"NA",SUMIFS(AN_TME22[[#All],[TOTAL Non-Truncated Unadjusted Claims Expenses]],AN_TME22[[#All],[Insurance Category Code]],1,AN_TME22[[#All],[Advanced Network/Insurance Carrier Org ID]],B175)/D175)</f>
        <v>NA</v>
      </c>
      <c r="O175" s="165" t="str">
        <f>IF(D175=0,"NA",SUMIFS(AN_TME22[[#All],[TOTAL Truncated Unadjusted Claims Expenses (A21 -A19)]],AN_TME22[[#All],[Insurance Category Code]],1,AN_TME22[[#All],[Advanced Network/Insurance Carrier Org ID]],B175)/D175)</f>
        <v>NA</v>
      </c>
      <c r="P175" s="165" t="str">
        <f>IF(D175=0,"NA",SUMIFS(AN_TME22[[#All],[TOTAL Non-Claims Expenses]],AN_TME22[[#All],[Insurance Category Code]],1,AN_TME22[[#All],[Advanced Network/Insurance Carrier Org ID]],B175)/D175)</f>
        <v>NA</v>
      </c>
      <c r="Q175" s="165" t="str">
        <f>IF(D175=0,"NA",SUMIFS(AN_TME22[[#All],[TOTAL Non-Truncated Unadjusted Expenses (A21 + A23)]],AN_TME22[[#All],[Insurance Category Code]],1,AN_TME22[[#All],[Advanced Network/Insurance Carrier Org ID]],B175)/D175)</f>
        <v>NA</v>
      </c>
      <c r="R175" s="165" t="str">
        <f>IF(D175=0,"NA",SUMIFS(AN_TME22[[#All],[TOTAL Truncated Unadjusted Expenses (A22 + A23)]],AN_TME22[[#All],[Insurance Category Code]],1,AN_TME22[[#All],[Advanced Network/Insurance Carrier Org ID]],B175)/D175)</f>
        <v>NA</v>
      </c>
      <c r="S175" s="507">
        <f>SUMIFS(AN_TME23[[#All],[Member Months]],AN_TME23[[#All],[Insurance Category Code]],1,AN_TME23[[#All],[Advanced Network/Insurance Carrier Org ID]],B175)</f>
        <v>0</v>
      </c>
      <c r="T175" s="155" t="str">
        <f>IF(S175=0,"NA",SUMIFS(AN_TME23[[#All],[Claims: Hospital Inpatient]],AN_TME23[[#All],[Insurance Category Code]],1,AN_TME23[[#All],[Advanced Network/Insurance Carrier Org ID]],B175)/S175)</f>
        <v>NA</v>
      </c>
      <c r="U175" s="109" t="str">
        <f>IF(S175=0,"NA",SUMIFS(AN_TME23[[#All],[Claims: Hospital Outpatient]],AN_TME23[[#All],[Insurance Category Code]],1,AN_TME23[[#All],[Advanced Network/Insurance Carrier Org ID]],B175)/S175)</f>
        <v>NA</v>
      </c>
      <c r="V175" s="109" t="str">
        <f>IF(S175=0,"NA",SUMIFS(AN_TME23[[#All],[Claims: Professional, Primary Care]],AN_TME23[[#All],[Insurance Category Code]],1,AN_TME23[[#All],[Advanced Network/Insurance Carrier Org ID]],B175)/S175)</f>
        <v>NA</v>
      </c>
      <c r="W175" s="109" t="str">
        <f>IF(S175=0,"NA",SUMIFS(AN_TME23[[#All],[Claims: Professional, Primary Care (for Monitoring Purposes)]],AN_TME23[[#All],[Insurance Category Code]],1,AN_TME23[[#All],[Advanced Network/Insurance Carrier Org ID]],B175)/S175)</f>
        <v>NA</v>
      </c>
      <c r="X175" s="109" t="str">
        <f>IF(S175=0,"NA",SUMIFS(AN_TME23[[#All],[Claims: Professional, Specialty]],AN_TME23[[#All],[Insurance Category Code]],1,AN_TME23[[#All],[Advanced Network/Insurance Carrier Org ID]],B175)/S175)</f>
        <v>NA</v>
      </c>
      <c r="Y175" s="109" t="str">
        <f>IF(S175=0,"NA",SUMIFS(AN_TME23[[#All],[Claims: Professional Other]],AN_TME23[[#All],[Insurance Category Code]],1,AN_TME23[[#All],[Advanced Network/Insurance Carrier Org ID]],B175)/S175)</f>
        <v>NA</v>
      </c>
      <c r="Z175" s="109" t="str">
        <f>IF(S175=0,"NA",SUMIFS(AN_TME23[[#All],[Claims: Pharmacy]],AN_TME23[[#All],[Insurance Category Code]],1,AN_TME23[[#All],[Advanced Network/Insurance Carrier Org ID]],B175)/S175)</f>
        <v>NA</v>
      </c>
      <c r="AA175" s="109" t="str">
        <f>IF(S175=0,"NA",SUMIFS(AN_TME23[[#All],[Claims: Long-Term Care]],AN_TME23[[#All],[Insurance Category Code]],1,AN_TME23[[#All],[Advanced Network/Insurance Carrier Org ID]],B175)/S175)</f>
        <v>NA</v>
      </c>
      <c r="AB175" s="109" t="str">
        <f>IF(S175=0,"NA",SUMIFS(AN_TME23[[#All],[Claims: Other]],AN_TME23[[#All],[Insurance Category Code]],1,AN_TME23[[#All],[Advanced Network/Insurance Carrier Org ID]],B175)/S175)</f>
        <v>NA</v>
      </c>
      <c r="AC175" s="165" t="str">
        <f>IF(S175=0,"NA",SUMIFS(AN_TME23[[#All],[TOTAL Non-Truncated Unadjusted Claims Expenses]],AN_TME23[[#All],[Insurance Category Code]],1,AN_TME23[[#All],[Advanced Network/Insurance Carrier Org ID]],B175)/S175)</f>
        <v>NA</v>
      </c>
      <c r="AD175" s="165" t="str">
        <f>IF(S175=0,"NA",SUMIFS(AN_TME23[[#All],[TOTAL Truncated Unadjusted Claims Expenses (A21 -A19)]],AN_TME23[[#All],[Insurance Category Code]],1,AN_TME23[[#All],[Advanced Network/Insurance Carrier Org ID]],B175)/S175)</f>
        <v>NA</v>
      </c>
      <c r="AE175" s="165" t="str">
        <f>IF(S175=0,"NA",SUMIFS(AN_TME23[[#All],[TOTAL Non-Claims Expenses]],AN_TME23[[#All],[Insurance Category Code]],1,AN_TME23[[#All],[Advanced Network/Insurance Carrier Org ID]],B175)/S175)</f>
        <v>NA</v>
      </c>
      <c r="AF175" s="165" t="str">
        <f>IF(S175=0,"NA",SUMIFS(AN_TME23[[#All],[TOTAL Non-Truncated Unadjusted Expenses (A21 + A23)]],AN_TME23[[#All],[Insurance Category Code]],1,AN_TME23[[#All],[Advanced Network/Insurance Carrier Org ID]],B175)/S175)</f>
        <v>NA</v>
      </c>
      <c r="AG175" s="156" t="str">
        <f>IF(S175=0,"NA",SUMIFS(AN_TME23[[#All],[TOTAL Truncated Unadjusted Expenses (A22 + A23)]],AN_TME23[[#All],[Insurance Category Code]],1,AN_TME23[[#All],[Advanced Network/Insurance Carrier Org ID]],B175)/S175)</f>
        <v>NA</v>
      </c>
      <c r="AH175" s="478" t="str">
        <f t="shared" si="259"/>
        <v>NA</v>
      </c>
      <c r="AI175" s="479" t="str">
        <f t="shared" si="260"/>
        <v>NA</v>
      </c>
      <c r="AJ175" s="480" t="str">
        <f t="shared" si="261"/>
        <v>NA</v>
      </c>
      <c r="AK175" s="480" t="str">
        <f t="shared" si="262"/>
        <v>NA</v>
      </c>
      <c r="AL175" s="480" t="str">
        <f t="shared" si="263"/>
        <v>NA</v>
      </c>
      <c r="AM175" s="480" t="str">
        <f t="shared" si="264"/>
        <v>NA</v>
      </c>
      <c r="AN175" s="480" t="str">
        <f t="shared" si="265"/>
        <v>NA</v>
      </c>
      <c r="AO175" s="480" t="str">
        <f t="shared" si="266"/>
        <v>NA</v>
      </c>
      <c r="AP175" s="480" t="str">
        <f t="shared" si="267"/>
        <v>NA</v>
      </c>
      <c r="AQ175" s="480" t="str">
        <f t="shared" si="268"/>
        <v>NA</v>
      </c>
      <c r="AR175" s="481" t="str">
        <f t="shared" si="269"/>
        <v>NA</v>
      </c>
      <c r="AS175" s="481" t="str">
        <f t="shared" si="270"/>
        <v>NA</v>
      </c>
      <c r="AT175" s="481" t="str">
        <f t="shared" si="271"/>
        <v>NA</v>
      </c>
      <c r="AU175" s="481" t="str">
        <f t="shared" si="272"/>
        <v>NA</v>
      </c>
      <c r="AV175" s="482" t="str">
        <f t="shared" si="273"/>
        <v>NA</v>
      </c>
    </row>
    <row r="176" spans="1:48" ht="15" customHeight="1" x14ac:dyDescent="0.25">
      <c r="A176" s="164"/>
      <c r="B176" s="166">
        <v>117</v>
      </c>
      <c r="C176" s="169" t="str">
        <f>_xlfn.XLOOKUP(B176, LgProvEntOrgIDs[Advanced Network/Insurer Carrier Org ID], LgProvEntOrgIDs[Advanced Network/Insurance Carrier Overall])</f>
        <v>Cornell Scott Hill Health Center</v>
      </c>
      <c r="D176" s="507">
        <f>SUMIFS(AN_TME22[[#All],[Member Months]],AN_TME22[[#All],[Insurance Category Code]],1,AN_TME22[[#All],[Advanced Network/Insurance Carrier Org ID]],B176)</f>
        <v>0</v>
      </c>
      <c r="E176" s="155" t="str">
        <f>IF(D176=0,"NA",SUMIFS(AN_TME22[[#All],[Claims: Hospital Inpatient]],AN_TME22[[#All],[Insurance Category Code]],1,AN_TME22[[#All],[Advanced Network/Insurance Carrier Org ID]],B176)/D176)</f>
        <v>NA</v>
      </c>
      <c r="F176" s="109" t="str">
        <f>IF(D176=0,"NA",SUMIFS(AN_TME22[[#All],[Claims: Hospital Outpatient]],AN_TME22[[#All],[Insurance Category Code]],1,AN_TME22[[#All],[Advanced Network/Insurance Carrier Org ID]],B176)/D176)</f>
        <v>NA</v>
      </c>
      <c r="G176" s="109" t="str">
        <f>IF(D176=0,"NA",SUMIFS(AN_TME22[[#All],[Claims: Professional, Primary Care]],AN_TME22[[#All],[Insurance Category Code]],1,AN_TME22[[#All],[Advanced Network/Insurance Carrier Org ID]],B176)/D176)</f>
        <v>NA</v>
      </c>
      <c r="H176" s="109" t="str">
        <f>IF(D176=0,"NA",SUMIFS(AN_TME22[[#All],[Claims: Professional, Primary Care (for Monitoring Purposes)]],AN_TME22[[#All],[Insurance Category Code]],1,AN_TME22[[#All],[Advanced Network/Insurance Carrier Org ID]],B176)/D176)</f>
        <v>NA</v>
      </c>
      <c r="I176" s="109" t="str">
        <f>IF(D176=0,"NA",SUMIFS(AN_TME22[[#All],[Claims: Professional, Specialty]],AN_TME22[[#All],[Insurance Category Code]],1,AN_TME22[[#All],[Advanced Network/Insurance Carrier Org ID]],B176)/D176)</f>
        <v>NA</v>
      </c>
      <c r="J176" s="109" t="str">
        <f>IF(D176=0,"NA",SUMIFS(AN_TME22[[#All],[Claims: Professional Other]],AN_TME22[[#All],[Insurance Category Code]],1,AN_TME22[[#All],[Advanced Network/Insurance Carrier Org ID]],B176)/D176)</f>
        <v>NA</v>
      </c>
      <c r="K176" s="109" t="str">
        <f>IF(D176=0,"NA",SUMIFS(AN_TME22[[#All],[Claims: Pharmacy]],AN_TME22[[#All],[Insurance Category Code]],1,AN_TME22[[#All],[Advanced Network/Insurance Carrier Org ID]],B176)/D176)</f>
        <v>NA</v>
      </c>
      <c r="L176" s="109" t="str">
        <f>IF(D176=0,"NA",SUMIFS(AN_TME22[[#All],[Claims: Long-Term Care]],AN_TME22[[#All],[Insurance Category Code]],1,AN_TME22[[#All],[Advanced Network/Insurance Carrier Org ID]],B176)/D176)</f>
        <v>NA</v>
      </c>
      <c r="M176" s="109" t="str">
        <f>IF(D176=0,"NA",SUMIFS(AN_TME22[[#All],[Claims: Other]],AN_TME22[[#All],[Insurance Category Code]],1,AN_TME22[[#All],[Advanced Network/Insurance Carrier Org ID]],B176)/D176)</f>
        <v>NA</v>
      </c>
      <c r="N176" s="165" t="str">
        <f>IF(D176=0,"NA",SUMIFS(AN_TME22[[#All],[TOTAL Non-Truncated Unadjusted Claims Expenses]],AN_TME22[[#All],[Insurance Category Code]],1,AN_TME22[[#All],[Advanced Network/Insurance Carrier Org ID]],B176)/D176)</f>
        <v>NA</v>
      </c>
      <c r="O176" s="165" t="str">
        <f>IF(D176=0,"NA",SUMIFS(AN_TME22[[#All],[TOTAL Truncated Unadjusted Claims Expenses (A21 -A19)]],AN_TME22[[#All],[Insurance Category Code]],1,AN_TME22[[#All],[Advanced Network/Insurance Carrier Org ID]],B176)/D176)</f>
        <v>NA</v>
      </c>
      <c r="P176" s="165" t="str">
        <f>IF(D176=0,"NA",SUMIFS(AN_TME22[[#All],[TOTAL Non-Claims Expenses]],AN_TME22[[#All],[Insurance Category Code]],1,AN_TME22[[#All],[Advanced Network/Insurance Carrier Org ID]],B176)/D176)</f>
        <v>NA</v>
      </c>
      <c r="Q176" s="165" t="str">
        <f>IF(D176=0,"NA",SUMIFS(AN_TME22[[#All],[TOTAL Non-Truncated Unadjusted Expenses (A21 + A23)]],AN_TME22[[#All],[Insurance Category Code]],1,AN_TME22[[#All],[Advanced Network/Insurance Carrier Org ID]],B176)/D176)</f>
        <v>NA</v>
      </c>
      <c r="R176" s="165" t="str">
        <f>IF(D176=0,"NA",SUMIFS(AN_TME22[[#All],[TOTAL Truncated Unadjusted Expenses (A22 + A23)]],AN_TME22[[#All],[Insurance Category Code]],1,AN_TME22[[#All],[Advanced Network/Insurance Carrier Org ID]],B176)/D176)</f>
        <v>NA</v>
      </c>
      <c r="S176" s="507">
        <f>SUMIFS(AN_TME23[[#All],[Member Months]],AN_TME23[[#All],[Insurance Category Code]],1,AN_TME23[[#All],[Advanced Network/Insurance Carrier Org ID]],B176)</f>
        <v>0</v>
      </c>
      <c r="T176" s="155" t="str">
        <f>IF(S176=0,"NA",SUMIFS(AN_TME23[[#All],[Claims: Hospital Inpatient]],AN_TME23[[#All],[Insurance Category Code]],1,AN_TME23[[#All],[Advanced Network/Insurance Carrier Org ID]],B176)/S176)</f>
        <v>NA</v>
      </c>
      <c r="U176" s="109" t="str">
        <f>IF(S176=0,"NA",SUMIFS(AN_TME23[[#All],[Claims: Hospital Outpatient]],AN_TME23[[#All],[Insurance Category Code]],1,AN_TME23[[#All],[Advanced Network/Insurance Carrier Org ID]],B176)/S176)</f>
        <v>NA</v>
      </c>
      <c r="V176" s="109" t="str">
        <f>IF(S176=0,"NA",SUMIFS(AN_TME23[[#All],[Claims: Professional, Primary Care]],AN_TME23[[#All],[Insurance Category Code]],1,AN_TME23[[#All],[Advanced Network/Insurance Carrier Org ID]],B176)/S176)</f>
        <v>NA</v>
      </c>
      <c r="W176" s="109" t="str">
        <f>IF(S176=0,"NA",SUMIFS(AN_TME23[[#All],[Claims: Professional, Primary Care (for Monitoring Purposes)]],AN_TME23[[#All],[Insurance Category Code]],1,AN_TME23[[#All],[Advanced Network/Insurance Carrier Org ID]],B176)/S176)</f>
        <v>NA</v>
      </c>
      <c r="X176" s="109" t="str">
        <f>IF(S176=0,"NA",SUMIFS(AN_TME23[[#All],[Claims: Professional, Specialty]],AN_TME23[[#All],[Insurance Category Code]],1,AN_TME23[[#All],[Advanced Network/Insurance Carrier Org ID]],B176)/S176)</f>
        <v>NA</v>
      </c>
      <c r="Y176" s="109" t="str">
        <f>IF(S176=0,"NA",SUMIFS(AN_TME23[[#All],[Claims: Professional Other]],AN_TME23[[#All],[Insurance Category Code]],1,AN_TME23[[#All],[Advanced Network/Insurance Carrier Org ID]],B176)/S176)</f>
        <v>NA</v>
      </c>
      <c r="Z176" s="109" t="str">
        <f>IF(S176=0,"NA",SUMIFS(AN_TME23[[#All],[Claims: Pharmacy]],AN_TME23[[#All],[Insurance Category Code]],1,AN_TME23[[#All],[Advanced Network/Insurance Carrier Org ID]],B176)/S176)</f>
        <v>NA</v>
      </c>
      <c r="AA176" s="109" t="str">
        <f>IF(S176=0,"NA",SUMIFS(AN_TME23[[#All],[Claims: Long-Term Care]],AN_TME23[[#All],[Insurance Category Code]],1,AN_TME23[[#All],[Advanced Network/Insurance Carrier Org ID]],B176)/S176)</f>
        <v>NA</v>
      </c>
      <c r="AB176" s="109" t="str">
        <f>IF(S176=0,"NA",SUMIFS(AN_TME23[[#All],[Claims: Other]],AN_TME23[[#All],[Insurance Category Code]],1,AN_TME23[[#All],[Advanced Network/Insurance Carrier Org ID]],B176)/S176)</f>
        <v>NA</v>
      </c>
      <c r="AC176" s="165" t="str">
        <f>IF(S176=0,"NA",SUMIFS(AN_TME23[[#All],[TOTAL Non-Truncated Unadjusted Claims Expenses]],AN_TME23[[#All],[Insurance Category Code]],1,AN_TME23[[#All],[Advanced Network/Insurance Carrier Org ID]],B176)/S176)</f>
        <v>NA</v>
      </c>
      <c r="AD176" s="165" t="str">
        <f>IF(S176=0,"NA",SUMIFS(AN_TME23[[#All],[TOTAL Truncated Unadjusted Claims Expenses (A21 -A19)]],AN_TME23[[#All],[Insurance Category Code]],1,AN_TME23[[#All],[Advanced Network/Insurance Carrier Org ID]],B176)/S176)</f>
        <v>NA</v>
      </c>
      <c r="AE176" s="165" t="str">
        <f>IF(S176=0,"NA",SUMIFS(AN_TME23[[#All],[TOTAL Non-Claims Expenses]],AN_TME23[[#All],[Insurance Category Code]],1,AN_TME23[[#All],[Advanced Network/Insurance Carrier Org ID]],B176)/S176)</f>
        <v>NA</v>
      </c>
      <c r="AF176" s="165" t="str">
        <f>IF(S176=0,"NA",SUMIFS(AN_TME23[[#All],[TOTAL Non-Truncated Unadjusted Expenses (A21 + A23)]],AN_TME23[[#All],[Insurance Category Code]],1,AN_TME23[[#All],[Advanced Network/Insurance Carrier Org ID]],B176)/S176)</f>
        <v>NA</v>
      </c>
      <c r="AG176" s="156" t="str">
        <f>IF(S176=0,"NA",SUMIFS(AN_TME23[[#All],[TOTAL Truncated Unadjusted Expenses (A22 + A23)]],AN_TME23[[#All],[Insurance Category Code]],1,AN_TME23[[#All],[Advanced Network/Insurance Carrier Org ID]],B176)/S176)</f>
        <v>NA</v>
      </c>
      <c r="AH176" s="478" t="str">
        <f t="shared" si="259"/>
        <v>NA</v>
      </c>
      <c r="AI176" s="479" t="str">
        <f t="shared" si="260"/>
        <v>NA</v>
      </c>
      <c r="AJ176" s="480" t="str">
        <f t="shared" si="261"/>
        <v>NA</v>
      </c>
      <c r="AK176" s="480" t="str">
        <f t="shared" si="262"/>
        <v>NA</v>
      </c>
      <c r="AL176" s="480" t="str">
        <f t="shared" si="263"/>
        <v>NA</v>
      </c>
      <c r="AM176" s="480" t="str">
        <f t="shared" si="264"/>
        <v>NA</v>
      </c>
      <c r="AN176" s="480" t="str">
        <f t="shared" si="265"/>
        <v>NA</v>
      </c>
      <c r="AO176" s="480" t="str">
        <f t="shared" si="266"/>
        <v>NA</v>
      </c>
      <c r="AP176" s="480" t="str">
        <f t="shared" si="267"/>
        <v>NA</v>
      </c>
      <c r="AQ176" s="480" t="str">
        <f t="shared" si="268"/>
        <v>NA</v>
      </c>
      <c r="AR176" s="481" t="str">
        <f t="shared" si="269"/>
        <v>NA</v>
      </c>
      <c r="AS176" s="481" t="str">
        <f t="shared" si="270"/>
        <v>NA</v>
      </c>
      <c r="AT176" s="481" t="str">
        <f t="shared" si="271"/>
        <v>NA</v>
      </c>
      <c r="AU176" s="481" t="str">
        <f t="shared" si="272"/>
        <v>NA</v>
      </c>
      <c r="AV176" s="482" t="str">
        <f t="shared" si="273"/>
        <v>NA</v>
      </c>
    </row>
    <row r="177" spans="1:48" ht="15" customHeight="1" x14ac:dyDescent="0.25">
      <c r="A177" s="164"/>
      <c r="B177" s="166">
        <v>118</v>
      </c>
      <c r="C177" s="169" t="str">
        <f>_xlfn.XLOOKUP(B177, LgProvEntOrgIDs[Advanced Network/Insurer Carrier Org ID], LgProvEntOrgIDs[Advanced Network/Insurance Carrier Overall])</f>
        <v>Fair Haven Community Health Center</v>
      </c>
      <c r="D177" s="507">
        <f>SUMIFS(AN_TME22[[#All],[Member Months]],AN_TME22[[#All],[Insurance Category Code]],1,AN_TME22[[#All],[Advanced Network/Insurance Carrier Org ID]],B177)</f>
        <v>0</v>
      </c>
      <c r="E177" s="155" t="str">
        <f>IF(D177=0,"NA",SUMIFS(AN_TME22[[#All],[Claims: Hospital Inpatient]],AN_TME22[[#All],[Insurance Category Code]],1,AN_TME22[[#All],[Advanced Network/Insurance Carrier Org ID]],B177)/D177)</f>
        <v>NA</v>
      </c>
      <c r="F177" s="109" t="str">
        <f>IF(D177=0,"NA",SUMIFS(AN_TME22[[#All],[Claims: Hospital Outpatient]],AN_TME22[[#All],[Insurance Category Code]],1,AN_TME22[[#All],[Advanced Network/Insurance Carrier Org ID]],B177)/D177)</f>
        <v>NA</v>
      </c>
      <c r="G177" s="109" t="str">
        <f>IF(D177=0,"NA",SUMIFS(AN_TME22[[#All],[Claims: Professional, Primary Care]],AN_TME22[[#All],[Insurance Category Code]],1,AN_TME22[[#All],[Advanced Network/Insurance Carrier Org ID]],B177)/D177)</f>
        <v>NA</v>
      </c>
      <c r="H177" s="109" t="str">
        <f>IF(D177=0,"NA",SUMIFS(AN_TME22[[#All],[Claims: Professional, Primary Care (for Monitoring Purposes)]],AN_TME22[[#All],[Insurance Category Code]],1,AN_TME22[[#All],[Advanced Network/Insurance Carrier Org ID]],B177)/D177)</f>
        <v>NA</v>
      </c>
      <c r="I177" s="109" t="str">
        <f>IF(D177=0,"NA",SUMIFS(AN_TME22[[#All],[Claims: Professional, Specialty]],AN_TME22[[#All],[Insurance Category Code]],1,AN_TME22[[#All],[Advanced Network/Insurance Carrier Org ID]],B177)/D177)</f>
        <v>NA</v>
      </c>
      <c r="J177" s="109" t="str">
        <f>IF(D177=0,"NA",SUMIFS(AN_TME22[[#All],[Claims: Professional Other]],AN_TME22[[#All],[Insurance Category Code]],1,AN_TME22[[#All],[Advanced Network/Insurance Carrier Org ID]],B177)/D177)</f>
        <v>NA</v>
      </c>
      <c r="K177" s="109" t="str">
        <f>IF(D177=0,"NA",SUMIFS(AN_TME22[[#All],[Claims: Pharmacy]],AN_TME22[[#All],[Insurance Category Code]],1,AN_TME22[[#All],[Advanced Network/Insurance Carrier Org ID]],B177)/D177)</f>
        <v>NA</v>
      </c>
      <c r="L177" s="109" t="str">
        <f>IF(D177=0,"NA",SUMIFS(AN_TME22[[#All],[Claims: Long-Term Care]],AN_TME22[[#All],[Insurance Category Code]],1,AN_TME22[[#All],[Advanced Network/Insurance Carrier Org ID]],B177)/D177)</f>
        <v>NA</v>
      </c>
      <c r="M177" s="109" t="str">
        <f>IF(D177=0,"NA",SUMIFS(AN_TME22[[#All],[Claims: Other]],AN_TME22[[#All],[Insurance Category Code]],1,AN_TME22[[#All],[Advanced Network/Insurance Carrier Org ID]],B177)/D177)</f>
        <v>NA</v>
      </c>
      <c r="N177" s="165" t="str">
        <f>IF(D177=0,"NA",SUMIFS(AN_TME22[[#All],[TOTAL Non-Truncated Unadjusted Claims Expenses]],AN_TME22[[#All],[Insurance Category Code]],1,AN_TME22[[#All],[Advanced Network/Insurance Carrier Org ID]],B177)/D177)</f>
        <v>NA</v>
      </c>
      <c r="O177" s="165" t="str">
        <f>IF(D177=0,"NA",SUMIFS(AN_TME22[[#All],[TOTAL Truncated Unadjusted Claims Expenses (A21 -A19)]],AN_TME22[[#All],[Insurance Category Code]],1,AN_TME22[[#All],[Advanced Network/Insurance Carrier Org ID]],B177)/D177)</f>
        <v>NA</v>
      </c>
      <c r="P177" s="165" t="str">
        <f>IF(D177=0,"NA",SUMIFS(AN_TME22[[#All],[TOTAL Non-Claims Expenses]],AN_TME22[[#All],[Insurance Category Code]],1,AN_TME22[[#All],[Advanced Network/Insurance Carrier Org ID]],B177)/D177)</f>
        <v>NA</v>
      </c>
      <c r="Q177" s="165" t="str">
        <f>IF(D177=0,"NA",SUMIFS(AN_TME22[[#All],[TOTAL Non-Truncated Unadjusted Expenses (A21 + A23)]],AN_TME22[[#All],[Insurance Category Code]],1,AN_TME22[[#All],[Advanced Network/Insurance Carrier Org ID]],B177)/D177)</f>
        <v>NA</v>
      </c>
      <c r="R177" s="165" t="str">
        <f>IF(D177=0,"NA",SUMIFS(AN_TME22[[#All],[TOTAL Truncated Unadjusted Expenses (A22 + A23)]],AN_TME22[[#All],[Insurance Category Code]],1,AN_TME22[[#All],[Advanced Network/Insurance Carrier Org ID]],B177)/D177)</f>
        <v>NA</v>
      </c>
      <c r="S177" s="507">
        <f>SUMIFS(AN_TME23[[#All],[Member Months]],AN_TME23[[#All],[Insurance Category Code]],1,AN_TME23[[#All],[Advanced Network/Insurance Carrier Org ID]],B177)</f>
        <v>0</v>
      </c>
      <c r="T177" s="155" t="str">
        <f>IF(S177=0,"NA",SUMIFS(AN_TME23[[#All],[Claims: Hospital Inpatient]],AN_TME23[[#All],[Insurance Category Code]],1,AN_TME23[[#All],[Advanced Network/Insurance Carrier Org ID]],B177)/S177)</f>
        <v>NA</v>
      </c>
      <c r="U177" s="109" t="str">
        <f>IF(S177=0,"NA",SUMIFS(AN_TME23[[#All],[Claims: Hospital Outpatient]],AN_TME23[[#All],[Insurance Category Code]],1,AN_TME23[[#All],[Advanced Network/Insurance Carrier Org ID]],B177)/S177)</f>
        <v>NA</v>
      </c>
      <c r="V177" s="109" t="str">
        <f>IF(S177=0,"NA",SUMIFS(AN_TME23[[#All],[Claims: Professional, Primary Care]],AN_TME23[[#All],[Insurance Category Code]],1,AN_TME23[[#All],[Advanced Network/Insurance Carrier Org ID]],B177)/S177)</f>
        <v>NA</v>
      </c>
      <c r="W177" s="109" t="str">
        <f>IF(S177=0,"NA",SUMIFS(AN_TME23[[#All],[Claims: Professional, Primary Care (for Monitoring Purposes)]],AN_TME23[[#All],[Insurance Category Code]],1,AN_TME23[[#All],[Advanced Network/Insurance Carrier Org ID]],B177)/S177)</f>
        <v>NA</v>
      </c>
      <c r="X177" s="109" t="str">
        <f>IF(S177=0,"NA",SUMIFS(AN_TME23[[#All],[Claims: Professional, Specialty]],AN_TME23[[#All],[Insurance Category Code]],1,AN_TME23[[#All],[Advanced Network/Insurance Carrier Org ID]],B177)/S177)</f>
        <v>NA</v>
      </c>
      <c r="Y177" s="109" t="str">
        <f>IF(S177=0,"NA",SUMIFS(AN_TME23[[#All],[Claims: Professional Other]],AN_TME23[[#All],[Insurance Category Code]],1,AN_TME23[[#All],[Advanced Network/Insurance Carrier Org ID]],B177)/S177)</f>
        <v>NA</v>
      </c>
      <c r="Z177" s="109" t="str">
        <f>IF(S177=0,"NA",SUMIFS(AN_TME23[[#All],[Claims: Pharmacy]],AN_TME23[[#All],[Insurance Category Code]],1,AN_TME23[[#All],[Advanced Network/Insurance Carrier Org ID]],B177)/S177)</f>
        <v>NA</v>
      </c>
      <c r="AA177" s="109" t="str">
        <f>IF(S177=0,"NA",SUMIFS(AN_TME23[[#All],[Claims: Long-Term Care]],AN_TME23[[#All],[Insurance Category Code]],1,AN_TME23[[#All],[Advanced Network/Insurance Carrier Org ID]],B177)/S177)</f>
        <v>NA</v>
      </c>
      <c r="AB177" s="109" t="str">
        <f>IF(S177=0,"NA",SUMIFS(AN_TME23[[#All],[Claims: Other]],AN_TME23[[#All],[Insurance Category Code]],1,AN_TME23[[#All],[Advanced Network/Insurance Carrier Org ID]],B177)/S177)</f>
        <v>NA</v>
      </c>
      <c r="AC177" s="165" t="str">
        <f>IF(S177=0,"NA",SUMIFS(AN_TME23[[#All],[TOTAL Non-Truncated Unadjusted Claims Expenses]],AN_TME23[[#All],[Insurance Category Code]],1,AN_TME23[[#All],[Advanced Network/Insurance Carrier Org ID]],B177)/S177)</f>
        <v>NA</v>
      </c>
      <c r="AD177" s="165" t="str">
        <f>IF(S177=0,"NA",SUMIFS(AN_TME23[[#All],[TOTAL Truncated Unadjusted Claims Expenses (A21 -A19)]],AN_TME23[[#All],[Insurance Category Code]],1,AN_TME23[[#All],[Advanced Network/Insurance Carrier Org ID]],B177)/S177)</f>
        <v>NA</v>
      </c>
      <c r="AE177" s="165" t="str">
        <f>IF(S177=0,"NA",SUMIFS(AN_TME23[[#All],[TOTAL Non-Claims Expenses]],AN_TME23[[#All],[Insurance Category Code]],1,AN_TME23[[#All],[Advanced Network/Insurance Carrier Org ID]],B177)/S177)</f>
        <v>NA</v>
      </c>
      <c r="AF177" s="165" t="str">
        <f>IF(S177=0,"NA",SUMIFS(AN_TME23[[#All],[TOTAL Non-Truncated Unadjusted Expenses (A21 + A23)]],AN_TME23[[#All],[Insurance Category Code]],1,AN_TME23[[#All],[Advanced Network/Insurance Carrier Org ID]],B177)/S177)</f>
        <v>NA</v>
      </c>
      <c r="AG177" s="156" t="str">
        <f>IF(S177=0,"NA",SUMIFS(AN_TME23[[#All],[TOTAL Truncated Unadjusted Expenses (A22 + A23)]],AN_TME23[[#All],[Insurance Category Code]],1,AN_TME23[[#All],[Advanced Network/Insurance Carrier Org ID]],B177)/S177)</f>
        <v>NA</v>
      </c>
      <c r="AH177" s="478" t="str">
        <f t="shared" si="259"/>
        <v>NA</v>
      </c>
      <c r="AI177" s="479" t="str">
        <f t="shared" si="260"/>
        <v>NA</v>
      </c>
      <c r="AJ177" s="480" t="str">
        <f t="shared" si="261"/>
        <v>NA</v>
      </c>
      <c r="AK177" s="480" t="str">
        <f t="shared" si="262"/>
        <v>NA</v>
      </c>
      <c r="AL177" s="480" t="str">
        <f t="shared" si="263"/>
        <v>NA</v>
      </c>
      <c r="AM177" s="480" t="str">
        <f t="shared" si="264"/>
        <v>NA</v>
      </c>
      <c r="AN177" s="480" t="str">
        <f t="shared" si="265"/>
        <v>NA</v>
      </c>
      <c r="AO177" s="480" t="str">
        <f t="shared" si="266"/>
        <v>NA</v>
      </c>
      <c r="AP177" s="480" t="str">
        <f t="shared" si="267"/>
        <v>NA</v>
      </c>
      <c r="AQ177" s="480" t="str">
        <f t="shared" si="268"/>
        <v>NA</v>
      </c>
      <c r="AR177" s="481" t="str">
        <f t="shared" si="269"/>
        <v>NA</v>
      </c>
      <c r="AS177" s="481" t="str">
        <f t="shared" si="270"/>
        <v>NA</v>
      </c>
      <c r="AT177" s="481" t="str">
        <f t="shared" si="271"/>
        <v>NA</v>
      </c>
      <c r="AU177" s="481" t="str">
        <f t="shared" si="272"/>
        <v>NA</v>
      </c>
      <c r="AV177" s="482" t="str">
        <f t="shared" si="273"/>
        <v>NA</v>
      </c>
    </row>
    <row r="178" spans="1:48" ht="15" customHeight="1" x14ac:dyDescent="0.25">
      <c r="A178" s="164"/>
      <c r="B178" s="166">
        <v>119</v>
      </c>
      <c r="C178" s="169" t="str">
        <f>_xlfn.XLOOKUP(B178, LgProvEntOrgIDs[Advanced Network/Insurer Carrier Org ID], LgProvEntOrgIDs[Advanced Network/Insurance Carrier Overall])</f>
        <v>Family Centers</v>
      </c>
      <c r="D178" s="507">
        <f>SUMIFS(AN_TME22[[#All],[Member Months]],AN_TME22[[#All],[Insurance Category Code]],1,AN_TME22[[#All],[Advanced Network/Insurance Carrier Org ID]],B178)</f>
        <v>0</v>
      </c>
      <c r="E178" s="155" t="str">
        <f>IF(D178=0,"NA",SUMIFS(AN_TME22[[#All],[Claims: Hospital Inpatient]],AN_TME22[[#All],[Insurance Category Code]],1,AN_TME22[[#All],[Advanced Network/Insurance Carrier Org ID]],B178)/D178)</f>
        <v>NA</v>
      </c>
      <c r="F178" s="109" t="str">
        <f>IF(D178=0,"NA",SUMIFS(AN_TME22[[#All],[Claims: Hospital Outpatient]],AN_TME22[[#All],[Insurance Category Code]],1,AN_TME22[[#All],[Advanced Network/Insurance Carrier Org ID]],B178)/D178)</f>
        <v>NA</v>
      </c>
      <c r="G178" s="109" t="str">
        <f>IF(D178=0,"NA",SUMIFS(AN_TME22[[#All],[Claims: Professional, Primary Care]],AN_TME22[[#All],[Insurance Category Code]],1,AN_TME22[[#All],[Advanced Network/Insurance Carrier Org ID]],B178)/D178)</f>
        <v>NA</v>
      </c>
      <c r="H178" s="109" t="str">
        <f>IF(D178=0,"NA",SUMIFS(AN_TME22[[#All],[Claims: Professional, Primary Care (for Monitoring Purposes)]],AN_TME22[[#All],[Insurance Category Code]],1,AN_TME22[[#All],[Advanced Network/Insurance Carrier Org ID]],B178)/D178)</f>
        <v>NA</v>
      </c>
      <c r="I178" s="109" t="str">
        <f>IF(D178=0,"NA",SUMIFS(AN_TME22[[#All],[Claims: Professional, Specialty]],AN_TME22[[#All],[Insurance Category Code]],1,AN_TME22[[#All],[Advanced Network/Insurance Carrier Org ID]],B178)/D178)</f>
        <v>NA</v>
      </c>
      <c r="J178" s="109" t="str">
        <f>IF(D178=0,"NA",SUMIFS(AN_TME22[[#All],[Claims: Professional Other]],AN_TME22[[#All],[Insurance Category Code]],1,AN_TME22[[#All],[Advanced Network/Insurance Carrier Org ID]],B178)/D178)</f>
        <v>NA</v>
      </c>
      <c r="K178" s="109" t="str">
        <f>IF(D178=0,"NA",SUMIFS(AN_TME22[[#All],[Claims: Pharmacy]],AN_TME22[[#All],[Insurance Category Code]],1,AN_TME22[[#All],[Advanced Network/Insurance Carrier Org ID]],B178)/D178)</f>
        <v>NA</v>
      </c>
      <c r="L178" s="109" t="str">
        <f>IF(D178=0,"NA",SUMIFS(AN_TME22[[#All],[Claims: Long-Term Care]],AN_TME22[[#All],[Insurance Category Code]],1,AN_TME22[[#All],[Advanced Network/Insurance Carrier Org ID]],B178)/D178)</f>
        <v>NA</v>
      </c>
      <c r="M178" s="109" t="str">
        <f>IF(D178=0,"NA",SUMIFS(AN_TME22[[#All],[Claims: Other]],AN_TME22[[#All],[Insurance Category Code]],1,AN_TME22[[#All],[Advanced Network/Insurance Carrier Org ID]],B178)/D178)</f>
        <v>NA</v>
      </c>
      <c r="N178" s="165" t="str">
        <f>IF(D178=0,"NA",SUMIFS(AN_TME22[[#All],[TOTAL Non-Truncated Unadjusted Claims Expenses]],AN_TME22[[#All],[Insurance Category Code]],1,AN_TME22[[#All],[Advanced Network/Insurance Carrier Org ID]],B178)/D178)</f>
        <v>NA</v>
      </c>
      <c r="O178" s="165" t="str">
        <f>IF(D178=0,"NA",SUMIFS(AN_TME22[[#All],[TOTAL Truncated Unadjusted Claims Expenses (A21 -A19)]],AN_TME22[[#All],[Insurance Category Code]],1,AN_TME22[[#All],[Advanced Network/Insurance Carrier Org ID]],B178)/D178)</f>
        <v>NA</v>
      </c>
      <c r="P178" s="165" t="str">
        <f>IF(D178=0,"NA",SUMIFS(AN_TME22[[#All],[TOTAL Non-Claims Expenses]],AN_TME22[[#All],[Insurance Category Code]],1,AN_TME22[[#All],[Advanced Network/Insurance Carrier Org ID]],B178)/D178)</f>
        <v>NA</v>
      </c>
      <c r="Q178" s="165" t="str">
        <f>IF(D178=0,"NA",SUMIFS(AN_TME22[[#All],[TOTAL Non-Truncated Unadjusted Expenses (A21 + A23)]],AN_TME22[[#All],[Insurance Category Code]],1,AN_TME22[[#All],[Advanced Network/Insurance Carrier Org ID]],B178)/D178)</f>
        <v>NA</v>
      </c>
      <c r="R178" s="165" t="str">
        <f>IF(D178=0,"NA",SUMIFS(AN_TME22[[#All],[TOTAL Truncated Unadjusted Expenses (A22 + A23)]],AN_TME22[[#All],[Insurance Category Code]],1,AN_TME22[[#All],[Advanced Network/Insurance Carrier Org ID]],B178)/D178)</f>
        <v>NA</v>
      </c>
      <c r="S178" s="507">
        <f>SUMIFS(AN_TME23[[#All],[Member Months]],AN_TME23[[#All],[Insurance Category Code]],1,AN_TME23[[#All],[Advanced Network/Insurance Carrier Org ID]],B178)</f>
        <v>0</v>
      </c>
      <c r="T178" s="155" t="str">
        <f>IF(S178=0,"NA",SUMIFS(AN_TME23[[#All],[Claims: Hospital Inpatient]],AN_TME23[[#All],[Insurance Category Code]],1,AN_TME23[[#All],[Advanced Network/Insurance Carrier Org ID]],B178)/S178)</f>
        <v>NA</v>
      </c>
      <c r="U178" s="109" t="str">
        <f>IF(S178=0,"NA",SUMIFS(AN_TME23[[#All],[Claims: Hospital Outpatient]],AN_TME23[[#All],[Insurance Category Code]],1,AN_TME23[[#All],[Advanced Network/Insurance Carrier Org ID]],B178)/S178)</f>
        <v>NA</v>
      </c>
      <c r="V178" s="109" t="str">
        <f>IF(S178=0,"NA",SUMIFS(AN_TME23[[#All],[Claims: Professional, Primary Care]],AN_TME23[[#All],[Insurance Category Code]],1,AN_TME23[[#All],[Advanced Network/Insurance Carrier Org ID]],B178)/S178)</f>
        <v>NA</v>
      </c>
      <c r="W178" s="109" t="str">
        <f>IF(S178=0,"NA",SUMIFS(AN_TME23[[#All],[Claims: Professional, Primary Care (for Monitoring Purposes)]],AN_TME23[[#All],[Insurance Category Code]],1,AN_TME23[[#All],[Advanced Network/Insurance Carrier Org ID]],B178)/S178)</f>
        <v>NA</v>
      </c>
      <c r="X178" s="109" t="str">
        <f>IF(S178=0,"NA",SUMIFS(AN_TME23[[#All],[Claims: Professional, Specialty]],AN_TME23[[#All],[Insurance Category Code]],1,AN_TME23[[#All],[Advanced Network/Insurance Carrier Org ID]],B178)/S178)</f>
        <v>NA</v>
      </c>
      <c r="Y178" s="109" t="str">
        <f>IF(S178=0,"NA",SUMIFS(AN_TME23[[#All],[Claims: Professional Other]],AN_TME23[[#All],[Insurance Category Code]],1,AN_TME23[[#All],[Advanced Network/Insurance Carrier Org ID]],B178)/S178)</f>
        <v>NA</v>
      </c>
      <c r="Z178" s="109" t="str">
        <f>IF(S178=0,"NA",SUMIFS(AN_TME23[[#All],[Claims: Pharmacy]],AN_TME23[[#All],[Insurance Category Code]],1,AN_TME23[[#All],[Advanced Network/Insurance Carrier Org ID]],B178)/S178)</f>
        <v>NA</v>
      </c>
      <c r="AA178" s="109" t="str">
        <f>IF(S178=0,"NA",SUMIFS(AN_TME23[[#All],[Claims: Long-Term Care]],AN_TME23[[#All],[Insurance Category Code]],1,AN_TME23[[#All],[Advanced Network/Insurance Carrier Org ID]],B178)/S178)</f>
        <v>NA</v>
      </c>
      <c r="AB178" s="109" t="str">
        <f>IF(S178=0,"NA",SUMIFS(AN_TME23[[#All],[Claims: Other]],AN_TME23[[#All],[Insurance Category Code]],1,AN_TME23[[#All],[Advanced Network/Insurance Carrier Org ID]],B178)/S178)</f>
        <v>NA</v>
      </c>
      <c r="AC178" s="165" t="str">
        <f>IF(S178=0,"NA",SUMIFS(AN_TME23[[#All],[TOTAL Non-Truncated Unadjusted Claims Expenses]],AN_TME23[[#All],[Insurance Category Code]],1,AN_TME23[[#All],[Advanced Network/Insurance Carrier Org ID]],B178)/S178)</f>
        <v>NA</v>
      </c>
      <c r="AD178" s="165" t="str">
        <f>IF(S178=0,"NA",SUMIFS(AN_TME23[[#All],[TOTAL Truncated Unadjusted Claims Expenses (A21 -A19)]],AN_TME23[[#All],[Insurance Category Code]],1,AN_TME23[[#All],[Advanced Network/Insurance Carrier Org ID]],B178)/S178)</f>
        <v>NA</v>
      </c>
      <c r="AE178" s="165" t="str">
        <f>IF(S178=0,"NA",SUMIFS(AN_TME23[[#All],[TOTAL Non-Claims Expenses]],AN_TME23[[#All],[Insurance Category Code]],1,AN_TME23[[#All],[Advanced Network/Insurance Carrier Org ID]],B178)/S178)</f>
        <v>NA</v>
      </c>
      <c r="AF178" s="165" t="str">
        <f>IF(S178=0,"NA",SUMIFS(AN_TME23[[#All],[TOTAL Non-Truncated Unadjusted Expenses (A21 + A23)]],AN_TME23[[#All],[Insurance Category Code]],1,AN_TME23[[#All],[Advanced Network/Insurance Carrier Org ID]],B178)/S178)</f>
        <v>NA</v>
      </c>
      <c r="AG178" s="156" t="str">
        <f>IF(S178=0,"NA",SUMIFS(AN_TME23[[#All],[TOTAL Truncated Unadjusted Expenses (A22 + A23)]],AN_TME23[[#All],[Insurance Category Code]],1,AN_TME23[[#All],[Advanced Network/Insurance Carrier Org ID]],B178)/S178)</f>
        <v>NA</v>
      </c>
      <c r="AH178" s="478" t="str">
        <f t="shared" si="259"/>
        <v>NA</v>
      </c>
      <c r="AI178" s="479" t="str">
        <f t="shared" si="260"/>
        <v>NA</v>
      </c>
      <c r="AJ178" s="480" t="str">
        <f t="shared" si="261"/>
        <v>NA</v>
      </c>
      <c r="AK178" s="480" t="str">
        <f t="shared" si="262"/>
        <v>NA</v>
      </c>
      <c r="AL178" s="480" t="str">
        <f t="shared" si="263"/>
        <v>NA</v>
      </c>
      <c r="AM178" s="480" t="str">
        <f t="shared" si="264"/>
        <v>NA</v>
      </c>
      <c r="AN178" s="480" t="str">
        <f t="shared" si="265"/>
        <v>NA</v>
      </c>
      <c r="AO178" s="480" t="str">
        <f t="shared" si="266"/>
        <v>NA</v>
      </c>
      <c r="AP178" s="480" t="str">
        <f t="shared" si="267"/>
        <v>NA</v>
      </c>
      <c r="AQ178" s="480" t="str">
        <f t="shared" si="268"/>
        <v>NA</v>
      </c>
      <c r="AR178" s="481" t="str">
        <f t="shared" si="269"/>
        <v>NA</v>
      </c>
      <c r="AS178" s="481" t="str">
        <f t="shared" si="270"/>
        <v>NA</v>
      </c>
      <c r="AT178" s="481" t="str">
        <f t="shared" si="271"/>
        <v>NA</v>
      </c>
      <c r="AU178" s="481" t="str">
        <f t="shared" si="272"/>
        <v>NA</v>
      </c>
      <c r="AV178" s="482" t="str">
        <f t="shared" si="273"/>
        <v>NA</v>
      </c>
    </row>
    <row r="179" spans="1:48" ht="15" customHeight="1" x14ac:dyDescent="0.25">
      <c r="A179" s="164"/>
      <c r="B179" s="166">
        <v>120</v>
      </c>
      <c r="C179" s="169" t="str">
        <f>_xlfn.XLOOKUP(B179, LgProvEntOrgIDs[Advanced Network/Insurer Carrier Org ID], LgProvEntOrgIDs[Advanced Network/Insurance Carrier Overall])</f>
        <v>First Choice Community Health Centers</v>
      </c>
      <c r="D179" s="507">
        <f>SUMIFS(AN_TME22[[#All],[Member Months]],AN_TME22[[#All],[Insurance Category Code]],1,AN_TME22[[#All],[Advanced Network/Insurance Carrier Org ID]],B179)</f>
        <v>0</v>
      </c>
      <c r="E179" s="155" t="str">
        <f>IF(D179=0,"NA",SUMIFS(AN_TME22[[#All],[Claims: Hospital Inpatient]],AN_TME22[[#All],[Insurance Category Code]],1,AN_TME22[[#All],[Advanced Network/Insurance Carrier Org ID]],B179)/D179)</f>
        <v>NA</v>
      </c>
      <c r="F179" s="109" t="str">
        <f>IF(D179=0,"NA",SUMIFS(AN_TME22[[#All],[Claims: Hospital Outpatient]],AN_TME22[[#All],[Insurance Category Code]],1,AN_TME22[[#All],[Advanced Network/Insurance Carrier Org ID]],B179)/D179)</f>
        <v>NA</v>
      </c>
      <c r="G179" s="109" t="str">
        <f>IF(D179=0,"NA",SUMIFS(AN_TME22[[#All],[Claims: Professional, Primary Care]],AN_TME22[[#All],[Insurance Category Code]],1,AN_TME22[[#All],[Advanced Network/Insurance Carrier Org ID]],B179)/D179)</f>
        <v>NA</v>
      </c>
      <c r="H179" s="109" t="str">
        <f>IF(D179=0,"NA",SUMIFS(AN_TME22[[#All],[Claims: Professional, Primary Care (for Monitoring Purposes)]],AN_TME22[[#All],[Insurance Category Code]],1,AN_TME22[[#All],[Advanced Network/Insurance Carrier Org ID]],B179)/D179)</f>
        <v>NA</v>
      </c>
      <c r="I179" s="109" t="str">
        <f>IF(D179=0,"NA",SUMIFS(AN_TME22[[#All],[Claims: Professional, Specialty]],AN_TME22[[#All],[Insurance Category Code]],1,AN_TME22[[#All],[Advanced Network/Insurance Carrier Org ID]],B179)/D179)</f>
        <v>NA</v>
      </c>
      <c r="J179" s="109" t="str">
        <f>IF(D179=0,"NA",SUMIFS(AN_TME22[[#All],[Claims: Professional Other]],AN_TME22[[#All],[Insurance Category Code]],1,AN_TME22[[#All],[Advanced Network/Insurance Carrier Org ID]],B179)/D179)</f>
        <v>NA</v>
      </c>
      <c r="K179" s="109" t="str">
        <f>IF(D179=0,"NA",SUMIFS(AN_TME22[[#All],[Claims: Pharmacy]],AN_TME22[[#All],[Insurance Category Code]],1,AN_TME22[[#All],[Advanced Network/Insurance Carrier Org ID]],B179)/D179)</f>
        <v>NA</v>
      </c>
      <c r="L179" s="109" t="str">
        <f>IF(D179=0,"NA",SUMIFS(AN_TME22[[#All],[Claims: Long-Term Care]],AN_TME22[[#All],[Insurance Category Code]],1,AN_TME22[[#All],[Advanced Network/Insurance Carrier Org ID]],B179)/D179)</f>
        <v>NA</v>
      </c>
      <c r="M179" s="109" t="str">
        <f>IF(D179=0,"NA",SUMIFS(AN_TME22[[#All],[Claims: Other]],AN_TME22[[#All],[Insurance Category Code]],1,AN_TME22[[#All],[Advanced Network/Insurance Carrier Org ID]],B179)/D179)</f>
        <v>NA</v>
      </c>
      <c r="N179" s="165" t="str">
        <f>IF(D179=0,"NA",SUMIFS(AN_TME22[[#All],[TOTAL Non-Truncated Unadjusted Claims Expenses]],AN_TME22[[#All],[Insurance Category Code]],1,AN_TME22[[#All],[Advanced Network/Insurance Carrier Org ID]],B179)/D179)</f>
        <v>NA</v>
      </c>
      <c r="O179" s="165" t="str">
        <f>IF(D179=0,"NA",SUMIFS(AN_TME22[[#All],[TOTAL Truncated Unadjusted Claims Expenses (A21 -A19)]],AN_TME22[[#All],[Insurance Category Code]],1,AN_TME22[[#All],[Advanced Network/Insurance Carrier Org ID]],B179)/D179)</f>
        <v>NA</v>
      </c>
      <c r="P179" s="165" t="str">
        <f>IF(D179=0,"NA",SUMIFS(AN_TME22[[#All],[TOTAL Non-Claims Expenses]],AN_TME22[[#All],[Insurance Category Code]],1,AN_TME22[[#All],[Advanced Network/Insurance Carrier Org ID]],B179)/D179)</f>
        <v>NA</v>
      </c>
      <c r="Q179" s="165" t="str">
        <f>IF(D179=0,"NA",SUMIFS(AN_TME22[[#All],[TOTAL Non-Truncated Unadjusted Expenses (A21 + A23)]],AN_TME22[[#All],[Insurance Category Code]],1,AN_TME22[[#All],[Advanced Network/Insurance Carrier Org ID]],B179)/D179)</f>
        <v>NA</v>
      </c>
      <c r="R179" s="165" t="str">
        <f>IF(D179=0,"NA",SUMIFS(AN_TME22[[#All],[TOTAL Truncated Unadjusted Expenses (A22 + A23)]],AN_TME22[[#All],[Insurance Category Code]],1,AN_TME22[[#All],[Advanced Network/Insurance Carrier Org ID]],B179)/D179)</f>
        <v>NA</v>
      </c>
      <c r="S179" s="507">
        <f>SUMIFS(AN_TME23[[#All],[Member Months]],AN_TME23[[#All],[Insurance Category Code]],1,AN_TME23[[#All],[Advanced Network/Insurance Carrier Org ID]],B179)</f>
        <v>0</v>
      </c>
      <c r="T179" s="155" t="str">
        <f>IF(S179=0,"NA",SUMIFS(AN_TME23[[#All],[Claims: Hospital Inpatient]],AN_TME23[[#All],[Insurance Category Code]],1,AN_TME23[[#All],[Advanced Network/Insurance Carrier Org ID]],B179)/S179)</f>
        <v>NA</v>
      </c>
      <c r="U179" s="109" t="str">
        <f>IF(S179=0,"NA",SUMIFS(AN_TME23[[#All],[Claims: Hospital Outpatient]],AN_TME23[[#All],[Insurance Category Code]],1,AN_TME23[[#All],[Advanced Network/Insurance Carrier Org ID]],B179)/S179)</f>
        <v>NA</v>
      </c>
      <c r="V179" s="109" t="str">
        <f>IF(S179=0,"NA",SUMIFS(AN_TME23[[#All],[Claims: Professional, Primary Care]],AN_TME23[[#All],[Insurance Category Code]],1,AN_TME23[[#All],[Advanced Network/Insurance Carrier Org ID]],B179)/S179)</f>
        <v>NA</v>
      </c>
      <c r="W179" s="109" t="str">
        <f>IF(S179=0,"NA",SUMIFS(AN_TME23[[#All],[Claims: Professional, Primary Care (for Monitoring Purposes)]],AN_TME23[[#All],[Insurance Category Code]],1,AN_TME23[[#All],[Advanced Network/Insurance Carrier Org ID]],B179)/S179)</f>
        <v>NA</v>
      </c>
      <c r="X179" s="109" t="str">
        <f>IF(S179=0,"NA",SUMIFS(AN_TME23[[#All],[Claims: Professional, Specialty]],AN_TME23[[#All],[Insurance Category Code]],1,AN_TME23[[#All],[Advanced Network/Insurance Carrier Org ID]],B179)/S179)</f>
        <v>NA</v>
      </c>
      <c r="Y179" s="109" t="str">
        <f>IF(S179=0,"NA",SUMIFS(AN_TME23[[#All],[Claims: Professional Other]],AN_TME23[[#All],[Insurance Category Code]],1,AN_TME23[[#All],[Advanced Network/Insurance Carrier Org ID]],B179)/S179)</f>
        <v>NA</v>
      </c>
      <c r="Z179" s="109" t="str">
        <f>IF(S179=0,"NA",SUMIFS(AN_TME23[[#All],[Claims: Pharmacy]],AN_TME23[[#All],[Insurance Category Code]],1,AN_TME23[[#All],[Advanced Network/Insurance Carrier Org ID]],B179)/S179)</f>
        <v>NA</v>
      </c>
      <c r="AA179" s="109" t="str">
        <f>IF(S179=0,"NA",SUMIFS(AN_TME23[[#All],[Claims: Long-Term Care]],AN_TME23[[#All],[Insurance Category Code]],1,AN_TME23[[#All],[Advanced Network/Insurance Carrier Org ID]],B179)/S179)</f>
        <v>NA</v>
      </c>
      <c r="AB179" s="109" t="str">
        <f>IF(S179=0,"NA",SUMIFS(AN_TME23[[#All],[Claims: Other]],AN_TME23[[#All],[Insurance Category Code]],1,AN_TME23[[#All],[Advanced Network/Insurance Carrier Org ID]],B179)/S179)</f>
        <v>NA</v>
      </c>
      <c r="AC179" s="165" t="str">
        <f>IF(S179=0,"NA",SUMIFS(AN_TME23[[#All],[TOTAL Non-Truncated Unadjusted Claims Expenses]],AN_TME23[[#All],[Insurance Category Code]],1,AN_TME23[[#All],[Advanced Network/Insurance Carrier Org ID]],B179)/S179)</f>
        <v>NA</v>
      </c>
      <c r="AD179" s="165" t="str">
        <f>IF(S179=0,"NA",SUMIFS(AN_TME23[[#All],[TOTAL Truncated Unadjusted Claims Expenses (A21 -A19)]],AN_TME23[[#All],[Insurance Category Code]],1,AN_TME23[[#All],[Advanced Network/Insurance Carrier Org ID]],B179)/S179)</f>
        <v>NA</v>
      </c>
      <c r="AE179" s="165" t="str">
        <f>IF(S179=0,"NA",SUMIFS(AN_TME23[[#All],[TOTAL Non-Claims Expenses]],AN_TME23[[#All],[Insurance Category Code]],1,AN_TME23[[#All],[Advanced Network/Insurance Carrier Org ID]],B179)/S179)</f>
        <v>NA</v>
      </c>
      <c r="AF179" s="165" t="str">
        <f>IF(S179=0,"NA",SUMIFS(AN_TME23[[#All],[TOTAL Non-Truncated Unadjusted Expenses (A21 + A23)]],AN_TME23[[#All],[Insurance Category Code]],1,AN_TME23[[#All],[Advanced Network/Insurance Carrier Org ID]],B179)/S179)</f>
        <v>NA</v>
      </c>
      <c r="AG179" s="156" t="str">
        <f>IF(S179=0,"NA",SUMIFS(AN_TME23[[#All],[TOTAL Truncated Unadjusted Expenses (A22 + A23)]],AN_TME23[[#All],[Insurance Category Code]],1,AN_TME23[[#All],[Advanced Network/Insurance Carrier Org ID]],B179)/S179)</f>
        <v>NA</v>
      </c>
      <c r="AH179" s="478" t="str">
        <f t="shared" si="259"/>
        <v>NA</v>
      </c>
      <c r="AI179" s="479" t="str">
        <f t="shared" si="260"/>
        <v>NA</v>
      </c>
      <c r="AJ179" s="480" t="str">
        <f t="shared" si="261"/>
        <v>NA</v>
      </c>
      <c r="AK179" s="480" t="str">
        <f t="shared" si="262"/>
        <v>NA</v>
      </c>
      <c r="AL179" s="480" t="str">
        <f t="shared" si="263"/>
        <v>NA</v>
      </c>
      <c r="AM179" s="480" t="str">
        <f t="shared" si="264"/>
        <v>NA</v>
      </c>
      <c r="AN179" s="480" t="str">
        <f t="shared" si="265"/>
        <v>NA</v>
      </c>
      <c r="AO179" s="480" t="str">
        <f t="shared" si="266"/>
        <v>NA</v>
      </c>
      <c r="AP179" s="480" t="str">
        <f t="shared" si="267"/>
        <v>NA</v>
      </c>
      <c r="AQ179" s="480" t="str">
        <f t="shared" si="268"/>
        <v>NA</v>
      </c>
      <c r="AR179" s="481" t="str">
        <f t="shared" si="269"/>
        <v>NA</v>
      </c>
      <c r="AS179" s="481" t="str">
        <f t="shared" si="270"/>
        <v>NA</v>
      </c>
      <c r="AT179" s="481" t="str">
        <f t="shared" si="271"/>
        <v>NA</v>
      </c>
      <c r="AU179" s="481" t="str">
        <f t="shared" si="272"/>
        <v>NA</v>
      </c>
      <c r="AV179" s="482" t="str">
        <f t="shared" si="273"/>
        <v>NA</v>
      </c>
    </row>
    <row r="180" spans="1:48" ht="15" customHeight="1" x14ac:dyDescent="0.25">
      <c r="A180" s="164"/>
      <c r="B180" s="166">
        <v>121</v>
      </c>
      <c r="C180" s="169" t="str">
        <f>_xlfn.XLOOKUP(B180, LgProvEntOrgIDs[Advanced Network/Insurer Carrier Org ID], LgProvEntOrgIDs[Advanced Network/Insurance Carrier Overall])</f>
        <v>Generations Family Health Center</v>
      </c>
      <c r="D180" s="507">
        <f>SUMIFS(AN_TME22[[#All],[Member Months]],AN_TME22[[#All],[Insurance Category Code]],1,AN_TME22[[#All],[Advanced Network/Insurance Carrier Org ID]],B180)</f>
        <v>0</v>
      </c>
      <c r="E180" s="155" t="str">
        <f>IF(D180=0,"NA",SUMIFS(AN_TME22[[#All],[Claims: Hospital Inpatient]],AN_TME22[[#All],[Insurance Category Code]],1,AN_TME22[[#All],[Advanced Network/Insurance Carrier Org ID]],B180)/D180)</f>
        <v>NA</v>
      </c>
      <c r="F180" s="109" t="str">
        <f>IF(D180=0,"NA",SUMIFS(AN_TME22[[#All],[Claims: Hospital Outpatient]],AN_TME22[[#All],[Insurance Category Code]],1,AN_TME22[[#All],[Advanced Network/Insurance Carrier Org ID]],B180)/D180)</f>
        <v>NA</v>
      </c>
      <c r="G180" s="109" t="str">
        <f>IF(D180=0,"NA",SUMIFS(AN_TME22[[#All],[Claims: Professional, Primary Care]],AN_TME22[[#All],[Insurance Category Code]],1,AN_TME22[[#All],[Advanced Network/Insurance Carrier Org ID]],B180)/D180)</f>
        <v>NA</v>
      </c>
      <c r="H180" s="109" t="str">
        <f>IF(D180=0,"NA",SUMIFS(AN_TME22[[#All],[Claims: Professional, Primary Care (for Monitoring Purposes)]],AN_TME22[[#All],[Insurance Category Code]],1,AN_TME22[[#All],[Advanced Network/Insurance Carrier Org ID]],B180)/D180)</f>
        <v>NA</v>
      </c>
      <c r="I180" s="109" t="str">
        <f>IF(D180=0,"NA",SUMIFS(AN_TME22[[#All],[Claims: Professional, Specialty]],AN_TME22[[#All],[Insurance Category Code]],1,AN_TME22[[#All],[Advanced Network/Insurance Carrier Org ID]],B180)/D180)</f>
        <v>NA</v>
      </c>
      <c r="J180" s="109" t="str">
        <f>IF(D180=0,"NA",SUMIFS(AN_TME22[[#All],[Claims: Professional Other]],AN_TME22[[#All],[Insurance Category Code]],1,AN_TME22[[#All],[Advanced Network/Insurance Carrier Org ID]],B180)/D180)</f>
        <v>NA</v>
      </c>
      <c r="K180" s="109" t="str">
        <f>IF(D180=0,"NA",SUMIFS(AN_TME22[[#All],[Claims: Pharmacy]],AN_TME22[[#All],[Insurance Category Code]],1,AN_TME22[[#All],[Advanced Network/Insurance Carrier Org ID]],B180)/D180)</f>
        <v>NA</v>
      </c>
      <c r="L180" s="109" t="str">
        <f>IF(D180=0,"NA",SUMIFS(AN_TME22[[#All],[Claims: Long-Term Care]],AN_TME22[[#All],[Insurance Category Code]],1,AN_TME22[[#All],[Advanced Network/Insurance Carrier Org ID]],B180)/D180)</f>
        <v>NA</v>
      </c>
      <c r="M180" s="109" t="str">
        <f>IF(D180=0,"NA",SUMIFS(AN_TME22[[#All],[Claims: Other]],AN_TME22[[#All],[Insurance Category Code]],1,AN_TME22[[#All],[Advanced Network/Insurance Carrier Org ID]],B180)/D180)</f>
        <v>NA</v>
      </c>
      <c r="N180" s="165" t="str">
        <f>IF(D180=0,"NA",SUMIFS(AN_TME22[[#All],[TOTAL Non-Truncated Unadjusted Claims Expenses]],AN_TME22[[#All],[Insurance Category Code]],1,AN_TME22[[#All],[Advanced Network/Insurance Carrier Org ID]],B180)/D180)</f>
        <v>NA</v>
      </c>
      <c r="O180" s="165" t="str">
        <f>IF(D180=0,"NA",SUMIFS(AN_TME22[[#All],[TOTAL Truncated Unadjusted Claims Expenses (A21 -A19)]],AN_TME22[[#All],[Insurance Category Code]],1,AN_TME22[[#All],[Advanced Network/Insurance Carrier Org ID]],B180)/D180)</f>
        <v>NA</v>
      </c>
      <c r="P180" s="165" t="str">
        <f>IF(D180=0,"NA",SUMIFS(AN_TME22[[#All],[TOTAL Non-Claims Expenses]],AN_TME22[[#All],[Insurance Category Code]],1,AN_TME22[[#All],[Advanced Network/Insurance Carrier Org ID]],B180)/D180)</f>
        <v>NA</v>
      </c>
      <c r="Q180" s="165" t="str">
        <f>IF(D180=0,"NA",SUMIFS(AN_TME22[[#All],[TOTAL Non-Truncated Unadjusted Expenses (A21 + A23)]],AN_TME22[[#All],[Insurance Category Code]],1,AN_TME22[[#All],[Advanced Network/Insurance Carrier Org ID]],B180)/D180)</f>
        <v>NA</v>
      </c>
      <c r="R180" s="165" t="str">
        <f>IF(D180=0,"NA",SUMIFS(AN_TME22[[#All],[TOTAL Truncated Unadjusted Expenses (A22 + A23)]],AN_TME22[[#All],[Insurance Category Code]],1,AN_TME22[[#All],[Advanced Network/Insurance Carrier Org ID]],B180)/D180)</f>
        <v>NA</v>
      </c>
      <c r="S180" s="507">
        <f>SUMIFS(AN_TME23[[#All],[Member Months]],AN_TME23[[#All],[Insurance Category Code]],1,AN_TME23[[#All],[Advanced Network/Insurance Carrier Org ID]],B180)</f>
        <v>0</v>
      </c>
      <c r="T180" s="155" t="str">
        <f>IF(S180=0,"NA",SUMIFS(AN_TME23[[#All],[Claims: Hospital Inpatient]],AN_TME23[[#All],[Insurance Category Code]],1,AN_TME23[[#All],[Advanced Network/Insurance Carrier Org ID]],B180)/S180)</f>
        <v>NA</v>
      </c>
      <c r="U180" s="109" t="str">
        <f>IF(S180=0,"NA",SUMIFS(AN_TME23[[#All],[Claims: Hospital Outpatient]],AN_TME23[[#All],[Insurance Category Code]],1,AN_TME23[[#All],[Advanced Network/Insurance Carrier Org ID]],B180)/S180)</f>
        <v>NA</v>
      </c>
      <c r="V180" s="109" t="str">
        <f>IF(S180=0,"NA",SUMIFS(AN_TME23[[#All],[Claims: Professional, Primary Care]],AN_TME23[[#All],[Insurance Category Code]],1,AN_TME23[[#All],[Advanced Network/Insurance Carrier Org ID]],B180)/S180)</f>
        <v>NA</v>
      </c>
      <c r="W180" s="109" t="str">
        <f>IF(S180=0,"NA",SUMIFS(AN_TME23[[#All],[Claims: Professional, Primary Care (for Monitoring Purposes)]],AN_TME23[[#All],[Insurance Category Code]],1,AN_TME23[[#All],[Advanced Network/Insurance Carrier Org ID]],B180)/S180)</f>
        <v>NA</v>
      </c>
      <c r="X180" s="109" t="str">
        <f>IF(S180=0,"NA",SUMIFS(AN_TME23[[#All],[Claims: Professional, Specialty]],AN_TME23[[#All],[Insurance Category Code]],1,AN_TME23[[#All],[Advanced Network/Insurance Carrier Org ID]],B180)/S180)</f>
        <v>NA</v>
      </c>
      <c r="Y180" s="109" t="str">
        <f>IF(S180=0,"NA",SUMIFS(AN_TME23[[#All],[Claims: Professional Other]],AN_TME23[[#All],[Insurance Category Code]],1,AN_TME23[[#All],[Advanced Network/Insurance Carrier Org ID]],B180)/S180)</f>
        <v>NA</v>
      </c>
      <c r="Z180" s="109" t="str">
        <f>IF(S180=0,"NA",SUMIFS(AN_TME23[[#All],[Claims: Pharmacy]],AN_TME23[[#All],[Insurance Category Code]],1,AN_TME23[[#All],[Advanced Network/Insurance Carrier Org ID]],B180)/S180)</f>
        <v>NA</v>
      </c>
      <c r="AA180" s="109" t="str">
        <f>IF(S180=0,"NA",SUMIFS(AN_TME23[[#All],[Claims: Long-Term Care]],AN_TME23[[#All],[Insurance Category Code]],1,AN_TME23[[#All],[Advanced Network/Insurance Carrier Org ID]],B180)/S180)</f>
        <v>NA</v>
      </c>
      <c r="AB180" s="109" t="str">
        <f>IF(S180=0,"NA",SUMIFS(AN_TME23[[#All],[Claims: Other]],AN_TME23[[#All],[Insurance Category Code]],1,AN_TME23[[#All],[Advanced Network/Insurance Carrier Org ID]],B180)/S180)</f>
        <v>NA</v>
      </c>
      <c r="AC180" s="165" t="str">
        <f>IF(S180=0,"NA",SUMIFS(AN_TME23[[#All],[TOTAL Non-Truncated Unadjusted Claims Expenses]],AN_TME23[[#All],[Insurance Category Code]],1,AN_TME23[[#All],[Advanced Network/Insurance Carrier Org ID]],B180)/S180)</f>
        <v>NA</v>
      </c>
      <c r="AD180" s="165" t="str">
        <f>IF(S180=0,"NA",SUMIFS(AN_TME23[[#All],[TOTAL Truncated Unadjusted Claims Expenses (A21 -A19)]],AN_TME23[[#All],[Insurance Category Code]],1,AN_TME23[[#All],[Advanced Network/Insurance Carrier Org ID]],B180)/S180)</f>
        <v>NA</v>
      </c>
      <c r="AE180" s="165" t="str">
        <f>IF(S180=0,"NA",SUMIFS(AN_TME23[[#All],[TOTAL Non-Claims Expenses]],AN_TME23[[#All],[Insurance Category Code]],1,AN_TME23[[#All],[Advanced Network/Insurance Carrier Org ID]],B180)/S180)</f>
        <v>NA</v>
      </c>
      <c r="AF180" s="165" t="str">
        <f>IF(S180=0,"NA",SUMIFS(AN_TME23[[#All],[TOTAL Non-Truncated Unadjusted Expenses (A21 + A23)]],AN_TME23[[#All],[Insurance Category Code]],1,AN_TME23[[#All],[Advanced Network/Insurance Carrier Org ID]],B180)/S180)</f>
        <v>NA</v>
      </c>
      <c r="AG180" s="156" t="str">
        <f>IF(S180=0,"NA",SUMIFS(AN_TME23[[#All],[TOTAL Truncated Unadjusted Expenses (A22 + A23)]],AN_TME23[[#All],[Insurance Category Code]],1,AN_TME23[[#All],[Advanced Network/Insurance Carrier Org ID]],B180)/S180)</f>
        <v>NA</v>
      </c>
      <c r="AH180" s="478" t="str">
        <f t="shared" si="259"/>
        <v>NA</v>
      </c>
      <c r="AI180" s="479" t="str">
        <f t="shared" si="260"/>
        <v>NA</v>
      </c>
      <c r="AJ180" s="480" t="str">
        <f t="shared" si="261"/>
        <v>NA</v>
      </c>
      <c r="AK180" s="480" t="str">
        <f t="shared" si="262"/>
        <v>NA</v>
      </c>
      <c r="AL180" s="480" t="str">
        <f t="shared" si="263"/>
        <v>NA</v>
      </c>
      <c r="AM180" s="480" t="str">
        <f t="shared" si="264"/>
        <v>NA</v>
      </c>
      <c r="AN180" s="480" t="str">
        <f t="shared" si="265"/>
        <v>NA</v>
      </c>
      <c r="AO180" s="480" t="str">
        <f t="shared" si="266"/>
        <v>NA</v>
      </c>
      <c r="AP180" s="480" t="str">
        <f t="shared" si="267"/>
        <v>NA</v>
      </c>
      <c r="AQ180" s="480" t="str">
        <f t="shared" si="268"/>
        <v>NA</v>
      </c>
      <c r="AR180" s="481" t="str">
        <f t="shared" si="269"/>
        <v>NA</v>
      </c>
      <c r="AS180" s="481" t="str">
        <f t="shared" si="270"/>
        <v>NA</v>
      </c>
      <c r="AT180" s="481" t="str">
        <f t="shared" si="271"/>
        <v>NA</v>
      </c>
      <c r="AU180" s="481" t="str">
        <f t="shared" si="272"/>
        <v>NA</v>
      </c>
      <c r="AV180" s="482" t="str">
        <f t="shared" si="273"/>
        <v>NA</v>
      </c>
    </row>
    <row r="181" spans="1:48" ht="15" customHeight="1" x14ac:dyDescent="0.25">
      <c r="A181" s="164"/>
      <c r="B181" s="166">
        <v>122</v>
      </c>
      <c r="C181" s="169" t="str">
        <f>_xlfn.XLOOKUP(B181, LgProvEntOrgIDs[Advanced Network/Insurer Carrier Org ID], LgProvEntOrgIDs[Advanced Network/Insurance Carrier Overall])</f>
        <v>Norwalk Community Health Center</v>
      </c>
      <c r="D181" s="507">
        <f>SUMIFS(AN_TME22[[#All],[Member Months]],AN_TME22[[#All],[Insurance Category Code]],1,AN_TME22[[#All],[Advanced Network/Insurance Carrier Org ID]],B181)</f>
        <v>0</v>
      </c>
      <c r="E181" s="155" t="str">
        <f>IF(D181=0,"NA",SUMIFS(AN_TME22[[#All],[Claims: Hospital Inpatient]],AN_TME22[[#All],[Insurance Category Code]],1,AN_TME22[[#All],[Advanced Network/Insurance Carrier Org ID]],B181)/D181)</f>
        <v>NA</v>
      </c>
      <c r="F181" s="109" t="str">
        <f>IF(D181=0,"NA",SUMIFS(AN_TME22[[#All],[Claims: Hospital Outpatient]],AN_TME22[[#All],[Insurance Category Code]],1,AN_TME22[[#All],[Advanced Network/Insurance Carrier Org ID]],B181)/D181)</f>
        <v>NA</v>
      </c>
      <c r="G181" s="109" t="str">
        <f>IF(D181=0,"NA",SUMIFS(AN_TME22[[#All],[Claims: Professional, Primary Care]],AN_TME22[[#All],[Insurance Category Code]],1,AN_TME22[[#All],[Advanced Network/Insurance Carrier Org ID]],B181)/D181)</f>
        <v>NA</v>
      </c>
      <c r="H181" s="109" t="str">
        <f>IF(D181=0,"NA",SUMIFS(AN_TME22[[#All],[Claims: Professional, Primary Care (for Monitoring Purposes)]],AN_TME22[[#All],[Insurance Category Code]],1,AN_TME22[[#All],[Advanced Network/Insurance Carrier Org ID]],B181)/D181)</f>
        <v>NA</v>
      </c>
      <c r="I181" s="109" t="str">
        <f>IF(D181=0,"NA",SUMIFS(AN_TME22[[#All],[Claims: Professional, Specialty]],AN_TME22[[#All],[Insurance Category Code]],1,AN_TME22[[#All],[Advanced Network/Insurance Carrier Org ID]],B181)/D181)</f>
        <v>NA</v>
      </c>
      <c r="J181" s="109" t="str">
        <f>IF(D181=0,"NA",SUMIFS(AN_TME22[[#All],[Claims: Professional Other]],AN_TME22[[#All],[Insurance Category Code]],1,AN_TME22[[#All],[Advanced Network/Insurance Carrier Org ID]],B181)/D181)</f>
        <v>NA</v>
      </c>
      <c r="K181" s="109" t="str">
        <f>IF(D181=0,"NA",SUMIFS(AN_TME22[[#All],[Claims: Pharmacy]],AN_TME22[[#All],[Insurance Category Code]],1,AN_TME22[[#All],[Advanced Network/Insurance Carrier Org ID]],B181)/D181)</f>
        <v>NA</v>
      </c>
      <c r="L181" s="109" t="str">
        <f>IF(D181=0,"NA",SUMIFS(AN_TME22[[#All],[Claims: Long-Term Care]],AN_TME22[[#All],[Insurance Category Code]],1,AN_TME22[[#All],[Advanced Network/Insurance Carrier Org ID]],B181)/D181)</f>
        <v>NA</v>
      </c>
      <c r="M181" s="109" t="str">
        <f>IF(D181=0,"NA",SUMIFS(AN_TME22[[#All],[Claims: Other]],AN_TME22[[#All],[Insurance Category Code]],1,AN_TME22[[#All],[Advanced Network/Insurance Carrier Org ID]],B181)/D181)</f>
        <v>NA</v>
      </c>
      <c r="N181" s="165" t="str">
        <f>IF(D181=0,"NA",SUMIFS(AN_TME22[[#All],[TOTAL Non-Truncated Unadjusted Claims Expenses]],AN_TME22[[#All],[Insurance Category Code]],1,AN_TME22[[#All],[Advanced Network/Insurance Carrier Org ID]],B181)/D181)</f>
        <v>NA</v>
      </c>
      <c r="O181" s="165" t="str">
        <f>IF(D181=0,"NA",SUMIFS(AN_TME22[[#All],[TOTAL Truncated Unadjusted Claims Expenses (A21 -A19)]],AN_TME22[[#All],[Insurance Category Code]],1,AN_TME22[[#All],[Advanced Network/Insurance Carrier Org ID]],B181)/D181)</f>
        <v>NA</v>
      </c>
      <c r="P181" s="165" t="str">
        <f>IF(D181=0,"NA",SUMIFS(AN_TME22[[#All],[TOTAL Non-Claims Expenses]],AN_TME22[[#All],[Insurance Category Code]],1,AN_TME22[[#All],[Advanced Network/Insurance Carrier Org ID]],B181)/D181)</f>
        <v>NA</v>
      </c>
      <c r="Q181" s="165" t="str">
        <f>IF(D181=0,"NA",SUMIFS(AN_TME22[[#All],[TOTAL Non-Truncated Unadjusted Expenses (A21 + A23)]],AN_TME22[[#All],[Insurance Category Code]],1,AN_TME22[[#All],[Advanced Network/Insurance Carrier Org ID]],B181)/D181)</f>
        <v>NA</v>
      </c>
      <c r="R181" s="165" t="str">
        <f>IF(D181=0,"NA",SUMIFS(AN_TME22[[#All],[TOTAL Truncated Unadjusted Expenses (A22 + A23)]],AN_TME22[[#All],[Insurance Category Code]],1,AN_TME22[[#All],[Advanced Network/Insurance Carrier Org ID]],B181)/D181)</f>
        <v>NA</v>
      </c>
      <c r="S181" s="507">
        <f>SUMIFS(AN_TME23[[#All],[Member Months]],AN_TME23[[#All],[Insurance Category Code]],1,AN_TME23[[#All],[Advanced Network/Insurance Carrier Org ID]],B181)</f>
        <v>0</v>
      </c>
      <c r="T181" s="155" t="str">
        <f>IF(S181=0,"NA",SUMIFS(AN_TME23[[#All],[Claims: Hospital Inpatient]],AN_TME23[[#All],[Insurance Category Code]],1,AN_TME23[[#All],[Advanced Network/Insurance Carrier Org ID]],B181)/S181)</f>
        <v>NA</v>
      </c>
      <c r="U181" s="109" t="str">
        <f>IF(S181=0,"NA",SUMIFS(AN_TME23[[#All],[Claims: Hospital Outpatient]],AN_TME23[[#All],[Insurance Category Code]],1,AN_TME23[[#All],[Advanced Network/Insurance Carrier Org ID]],B181)/S181)</f>
        <v>NA</v>
      </c>
      <c r="V181" s="109" t="str">
        <f>IF(S181=0,"NA",SUMIFS(AN_TME23[[#All],[Claims: Professional, Primary Care]],AN_TME23[[#All],[Insurance Category Code]],1,AN_TME23[[#All],[Advanced Network/Insurance Carrier Org ID]],B181)/S181)</f>
        <v>NA</v>
      </c>
      <c r="W181" s="109" t="str">
        <f>IF(S181=0,"NA",SUMIFS(AN_TME23[[#All],[Claims: Professional, Primary Care (for Monitoring Purposes)]],AN_TME23[[#All],[Insurance Category Code]],1,AN_TME23[[#All],[Advanced Network/Insurance Carrier Org ID]],B181)/S181)</f>
        <v>NA</v>
      </c>
      <c r="X181" s="109" t="str">
        <f>IF(S181=0,"NA",SUMIFS(AN_TME23[[#All],[Claims: Professional, Specialty]],AN_TME23[[#All],[Insurance Category Code]],1,AN_TME23[[#All],[Advanced Network/Insurance Carrier Org ID]],B181)/S181)</f>
        <v>NA</v>
      </c>
      <c r="Y181" s="109" t="str">
        <f>IF(S181=0,"NA",SUMIFS(AN_TME23[[#All],[Claims: Professional Other]],AN_TME23[[#All],[Insurance Category Code]],1,AN_TME23[[#All],[Advanced Network/Insurance Carrier Org ID]],B181)/S181)</f>
        <v>NA</v>
      </c>
      <c r="Z181" s="109" t="str">
        <f>IF(S181=0,"NA",SUMIFS(AN_TME23[[#All],[Claims: Pharmacy]],AN_TME23[[#All],[Insurance Category Code]],1,AN_TME23[[#All],[Advanced Network/Insurance Carrier Org ID]],B181)/S181)</f>
        <v>NA</v>
      </c>
      <c r="AA181" s="109" t="str">
        <f>IF(S181=0,"NA",SUMIFS(AN_TME23[[#All],[Claims: Long-Term Care]],AN_TME23[[#All],[Insurance Category Code]],1,AN_TME23[[#All],[Advanced Network/Insurance Carrier Org ID]],B181)/S181)</f>
        <v>NA</v>
      </c>
      <c r="AB181" s="109" t="str">
        <f>IF(S181=0,"NA",SUMIFS(AN_TME23[[#All],[Claims: Other]],AN_TME23[[#All],[Insurance Category Code]],1,AN_TME23[[#All],[Advanced Network/Insurance Carrier Org ID]],B181)/S181)</f>
        <v>NA</v>
      </c>
      <c r="AC181" s="165" t="str">
        <f>IF(S181=0,"NA",SUMIFS(AN_TME23[[#All],[TOTAL Non-Truncated Unadjusted Claims Expenses]],AN_TME23[[#All],[Insurance Category Code]],1,AN_TME23[[#All],[Advanced Network/Insurance Carrier Org ID]],B181)/S181)</f>
        <v>NA</v>
      </c>
      <c r="AD181" s="165" t="str">
        <f>IF(S181=0,"NA",SUMIFS(AN_TME23[[#All],[TOTAL Truncated Unadjusted Claims Expenses (A21 -A19)]],AN_TME23[[#All],[Insurance Category Code]],1,AN_TME23[[#All],[Advanced Network/Insurance Carrier Org ID]],B181)/S181)</f>
        <v>NA</v>
      </c>
      <c r="AE181" s="165" t="str">
        <f>IF(S181=0,"NA",SUMIFS(AN_TME23[[#All],[TOTAL Non-Claims Expenses]],AN_TME23[[#All],[Insurance Category Code]],1,AN_TME23[[#All],[Advanced Network/Insurance Carrier Org ID]],B181)/S181)</f>
        <v>NA</v>
      </c>
      <c r="AF181" s="165" t="str">
        <f>IF(S181=0,"NA",SUMIFS(AN_TME23[[#All],[TOTAL Non-Truncated Unadjusted Expenses (A21 + A23)]],AN_TME23[[#All],[Insurance Category Code]],1,AN_TME23[[#All],[Advanced Network/Insurance Carrier Org ID]],B181)/S181)</f>
        <v>NA</v>
      </c>
      <c r="AG181" s="156" t="str">
        <f>IF(S181=0,"NA",SUMIFS(AN_TME23[[#All],[TOTAL Truncated Unadjusted Expenses (A22 + A23)]],AN_TME23[[#All],[Insurance Category Code]],1,AN_TME23[[#All],[Advanced Network/Insurance Carrier Org ID]],B181)/S181)</f>
        <v>NA</v>
      </c>
      <c r="AH181" s="478" t="str">
        <f t="shared" si="259"/>
        <v>NA</v>
      </c>
      <c r="AI181" s="479" t="str">
        <f t="shared" si="260"/>
        <v>NA</v>
      </c>
      <c r="AJ181" s="480" t="str">
        <f t="shared" si="261"/>
        <v>NA</v>
      </c>
      <c r="AK181" s="480" t="str">
        <f t="shared" si="262"/>
        <v>NA</v>
      </c>
      <c r="AL181" s="480" t="str">
        <f t="shared" si="263"/>
        <v>NA</v>
      </c>
      <c r="AM181" s="480" t="str">
        <f t="shared" si="264"/>
        <v>NA</v>
      </c>
      <c r="AN181" s="480" t="str">
        <f t="shared" si="265"/>
        <v>NA</v>
      </c>
      <c r="AO181" s="480" t="str">
        <f t="shared" si="266"/>
        <v>NA</v>
      </c>
      <c r="AP181" s="480" t="str">
        <f t="shared" si="267"/>
        <v>NA</v>
      </c>
      <c r="AQ181" s="480" t="str">
        <f t="shared" si="268"/>
        <v>NA</v>
      </c>
      <c r="AR181" s="481" t="str">
        <f t="shared" si="269"/>
        <v>NA</v>
      </c>
      <c r="AS181" s="481" t="str">
        <f t="shared" si="270"/>
        <v>NA</v>
      </c>
      <c r="AT181" s="481" t="str">
        <f t="shared" si="271"/>
        <v>NA</v>
      </c>
      <c r="AU181" s="481" t="str">
        <f t="shared" si="272"/>
        <v>NA</v>
      </c>
      <c r="AV181" s="482" t="str">
        <f t="shared" si="273"/>
        <v>NA</v>
      </c>
    </row>
    <row r="182" spans="1:48" ht="15" customHeight="1" x14ac:dyDescent="0.25">
      <c r="A182" s="164"/>
      <c r="B182" s="166">
        <v>123</v>
      </c>
      <c r="C182" s="169" t="str">
        <f>_xlfn.XLOOKUP(B182, LgProvEntOrgIDs[Advanced Network/Insurer Carrier Org ID], LgProvEntOrgIDs[Advanced Network/Insurance Carrier Overall])</f>
        <v>Optimus Health Care, Inc.</v>
      </c>
      <c r="D182" s="507">
        <f>SUMIFS(AN_TME22[[#All],[Member Months]],AN_TME22[[#All],[Insurance Category Code]],1,AN_TME22[[#All],[Advanced Network/Insurance Carrier Org ID]],B182)</f>
        <v>0</v>
      </c>
      <c r="E182" s="155" t="str">
        <f>IF(D182=0,"NA",SUMIFS(AN_TME22[[#All],[Claims: Hospital Inpatient]],AN_TME22[[#All],[Insurance Category Code]],1,AN_TME22[[#All],[Advanced Network/Insurance Carrier Org ID]],B182)/D182)</f>
        <v>NA</v>
      </c>
      <c r="F182" s="109" t="str">
        <f>IF(D182=0,"NA",SUMIFS(AN_TME22[[#All],[Claims: Hospital Outpatient]],AN_TME22[[#All],[Insurance Category Code]],1,AN_TME22[[#All],[Advanced Network/Insurance Carrier Org ID]],B182)/D182)</f>
        <v>NA</v>
      </c>
      <c r="G182" s="109" t="str">
        <f>IF(D182=0,"NA",SUMIFS(AN_TME22[[#All],[Claims: Professional, Primary Care]],AN_TME22[[#All],[Insurance Category Code]],1,AN_TME22[[#All],[Advanced Network/Insurance Carrier Org ID]],B182)/D182)</f>
        <v>NA</v>
      </c>
      <c r="H182" s="109" t="str">
        <f>IF(D182=0,"NA",SUMIFS(AN_TME22[[#All],[Claims: Professional, Primary Care (for Monitoring Purposes)]],AN_TME22[[#All],[Insurance Category Code]],1,AN_TME22[[#All],[Advanced Network/Insurance Carrier Org ID]],B182)/D182)</f>
        <v>NA</v>
      </c>
      <c r="I182" s="109" t="str">
        <f>IF(D182=0,"NA",SUMIFS(AN_TME22[[#All],[Claims: Professional, Specialty]],AN_TME22[[#All],[Insurance Category Code]],1,AN_TME22[[#All],[Advanced Network/Insurance Carrier Org ID]],B182)/D182)</f>
        <v>NA</v>
      </c>
      <c r="J182" s="109" t="str">
        <f>IF(D182=0,"NA",SUMIFS(AN_TME22[[#All],[Claims: Professional Other]],AN_TME22[[#All],[Insurance Category Code]],1,AN_TME22[[#All],[Advanced Network/Insurance Carrier Org ID]],B182)/D182)</f>
        <v>NA</v>
      </c>
      <c r="K182" s="109" t="str">
        <f>IF(D182=0,"NA",SUMIFS(AN_TME22[[#All],[Claims: Pharmacy]],AN_TME22[[#All],[Insurance Category Code]],1,AN_TME22[[#All],[Advanced Network/Insurance Carrier Org ID]],B182)/D182)</f>
        <v>NA</v>
      </c>
      <c r="L182" s="109" t="str">
        <f>IF(D182=0,"NA",SUMIFS(AN_TME22[[#All],[Claims: Long-Term Care]],AN_TME22[[#All],[Insurance Category Code]],1,AN_TME22[[#All],[Advanced Network/Insurance Carrier Org ID]],B182)/D182)</f>
        <v>NA</v>
      </c>
      <c r="M182" s="109" t="str">
        <f>IF(D182=0,"NA",SUMIFS(AN_TME22[[#All],[Claims: Other]],AN_TME22[[#All],[Insurance Category Code]],1,AN_TME22[[#All],[Advanced Network/Insurance Carrier Org ID]],B182)/D182)</f>
        <v>NA</v>
      </c>
      <c r="N182" s="165" t="str">
        <f>IF(D182=0,"NA",SUMIFS(AN_TME22[[#All],[TOTAL Non-Truncated Unadjusted Claims Expenses]],AN_TME22[[#All],[Insurance Category Code]],1,AN_TME22[[#All],[Advanced Network/Insurance Carrier Org ID]],B182)/D182)</f>
        <v>NA</v>
      </c>
      <c r="O182" s="165" t="str">
        <f>IF(D182=0,"NA",SUMIFS(AN_TME22[[#All],[TOTAL Truncated Unadjusted Claims Expenses (A21 -A19)]],AN_TME22[[#All],[Insurance Category Code]],1,AN_TME22[[#All],[Advanced Network/Insurance Carrier Org ID]],B182)/D182)</f>
        <v>NA</v>
      </c>
      <c r="P182" s="165" t="str">
        <f>IF(D182=0,"NA",SUMIFS(AN_TME22[[#All],[TOTAL Non-Claims Expenses]],AN_TME22[[#All],[Insurance Category Code]],1,AN_TME22[[#All],[Advanced Network/Insurance Carrier Org ID]],B182)/D182)</f>
        <v>NA</v>
      </c>
      <c r="Q182" s="165" t="str">
        <f>IF(D182=0,"NA",SUMIFS(AN_TME22[[#All],[TOTAL Non-Truncated Unadjusted Expenses (A21 + A23)]],AN_TME22[[#All],[Insurance Category Code]],1,AN_TME22[[#All],[Advanced Network/Insurance Carrier Org ID]],B182)/D182)</f>
        <v>NA</v>
      </c>
      <c r="R182" s="165" t="str">
        <f>IF(D182=0,"NA",SUMIFS(AN_TME22[[#All],[TOTAL Truncated Unadjusted Expenses (A22 + A23)]],AN_TME22[[#All],[Insurance Category Code]],1,AN_TME22[[#All],[Advanced Network/Insurance Carrier Org ID]],B182)/D182)</f>
        <v>NA</v>
      </c>
      <c r="S182" s="507">
        <f>SUMIFS(AN_TME23[[#All],[Member Months]],AN_TME23[[#All],[Insurance Category Code]],1,AN_TME23[[#All],[Advanced Network/Insurance Carrier Org ID]],B182)</f>
        <v>0</v>
      </c>
      <c r="T182" s="155" t="str">
        <f>IF(S182=0,"NA",SUMIFS(AN_TME23[[#All],[Claims: Hospital Inpatient]],AN_TME23[[#All],[Insurance Category Code]],1,AN_TME23[[#All],[Advanced Network/Insurance Carrier Org ID]],B182)/S182)</f>
        <v>NA</v>
      </c>
      <c r="U182" s="109" t="str">
        <f>IF(S182=0,"NA",SUMIFS(AN_TME23[[#All],[Claims: Hospital Outpatient]],AN_TME23[[#All],[Insurance Category Code]],1,AN_TME23[[#All],[Advanced Network/Insurance Carrier Org ID]],B182)/S182)</f>
        <v>NA</v>
      </c>
      <c r="V182" s="109" t="str">
        <f>IF(S182=0,"NA",SUMIFS(AN_TME23[[#All],[Claims: Professional, Primary Care]],AN_TME23[[#All],[Insurance Category Code]],1,AN_TME23[[#All],[Advanced Network/Insurance Carrier Org ID]],B182)/S182)</f>
        <v>NA</v>
      </c>
      <c r="W182" s="109" t="str">
        <f>IF(S182=0,"NA",SUMIFS(AN_TME23[[#All],[Claims: Professional, Primary Care (for Monitoring Purposes)]],AN_TME23[[#All],[Insurance Category Code]],1,AN_TME23[[#All],[Advanced Network/Insurance Carrier Org ID]],B182)/S182)</f>
        <v>NA</v>
      </c>
      <c r="X182" s="109" t="str">
        <f>IF(S182=0,"NA",SUMIFS(AN_TME23[[#All],[Claims: Professional, Specialty]],AN_TME23[[#All],[Insurance Category Code]],1,AN_TME23[[#All],[Advanced Network/Insurance Carrier Org ID]],B182)/S182)</f>
        <v>NA</v>
      </c>
      <c r="Y182" s="109" t="str">
        <f>IF(S182=0,"NA",SUMIFS(AN_TME23[[#All],[Claims: Professional Other]],AN_TME23[[#All],[Insurance Category Code]],1,AN_TME23[[#All],[Advanced Network/Insurance Carrier Org ID]],B182)/S182)</f>
        <v>NA</v>
      </c>
      <c r="Z182" s="109" t="str">
        <f>IF(S182=0,"NA",SUMIFS(AN_TME23[[#All],[Claims: Pharmacy]],AN_TME23[[#All],[Insurance Category Code]],1,AN_TME23[[#All],[Advanced Network/Insurance Carrier Org ID]],B182)/S182)</f>
        <v>NA</v>
      </c>
      <c r="AA182" s="109" t="str">
        <f>IF(S182=0,"NA",SUMIFS(AN_TME23[[#All],[Claims: Long-Term Care]],AN_TME23[[#All],[Insurance Category Code]],1,AN_TME23[[#All],[Advanced Network/Insurance Carrier Org ID]],B182)/S182)</f>
        <v>NA</v>
      </c>
      <c r="AB182" s="109" t="str">
        <f>IF(S182=0,"NA",SUMIFS(AN_TME23[[#All],[Claims: Other]],AN_TME23[[#All],[Insurance Category Code]],1,AN_TME23[[#All],[Advanced Network/Insurance Carrier Org ID]],B182)/S182)</f>
        <v>NA</v>
      </c>
      <c r="AC182" s="165" t="str">
        <f>IF(S182=0,"NA",SUMIFS(AN_TME23[[#All],[TOTAL Non-Truncated Unadjusted Claims Expenses]],AN_TME23[[#All],[Insurance Category Code]],1,AN_TME23[[#All],[Advanced Network/Insurance Carrier Org ID]],B182)/S182)</f>
        <v>NA</v>
      </c>
      <c r="AD182" s="165" t="str">
        <f>IF(S182=0,"NA",SUMIFS(AN_TME23[[#All],[TOTAL Truncated Unadjusted Claims Expenses (A21 -A19)]],AN_TME23[[#All],[Insurance Category Code]],1,AN_TME23[[#All],[Advanced Network/Insurance Carrier Org ID]],B182)/S182)</f>
        <v>NA</v>
      </c>
      <c r="AE182" s="165" t="str">
        <f>IF(S182=0,"NA",SUMIFS(AN_TME23[[#All],[TOTAL Non-Claims Expenses]],AN_TME23[[#All],[Insurance Category Code]],1,AN_TME23[[#All],[Advanced Network/Insurance Carrier Org ID]],B182)/S182)</f>
        <v>NA</v>
      </c>
      <c r="AF182" s="165" t="str">
        <f>IF(S182=0,"NA",SUMIFS(AN_TME23[[#All],[TOTAL Non-Truncated Unadjusted Expenses (A21 + A23)]],AN_TME23[[#All],[Insurance Category Code]],1,AN_TME23[[#All],[Advanced Network/Insurance Carrier Org ID]],B182)/S182)</f>
        <v>NA</v>
      </c>
      <c r="AG182" s="156" t="str">
        <f>IF(S182=0,"NA",SUMIFS(AN_TME23[[#All],[TOTAL Truncated Unadjusted Expenses (A22 + A23)]],AN_TME23[[#All],[Insurance Category Code]],1,AN_TME23[[#All],[Advanced Network/Insurance Carrier Org ID]],B182)/S182)</f>
        <v>NA</v>
      </c>
      <c r="AH182" s="478" t="str">
        <f t="shared" si="259"/>
        <v>NA</v>
      </c>
      <c r="AI182" s="479" t="str">
        <f t="shared" si="260"/>
        <v>NA</v>
      </c>
      <c r="AJ182" s="480" t="str">
        <f t="shared" si="261"/>
        <v>NA</v>
      </c>
      <c r="AK182" s="480" t="str">
        <f t="shared" si="262"/>
        <v>NA</v>
      </c>
      <c r="AL182" s="480" t="str">
        <f t="shared" si="263"/>
        <v>NA</v>
      </c>
      <c r="AM182" s="480" t="str">
        <f t="shared" si="264"/>
        <v>NA</v>
      </c>
      <c r="AN182" s="480" t="str">
        <f t="shared" si="265"/>
        <v>NA</v>
      </c>
      <c r="AO182" s="480" t="str">
        <f t="shared" si="266"/>
        <v>NA</v>
      </c>
      <c r="AP182" s="480" t="str">
        <f t="shared" si="267"/>
        <v>NA</v>
      </c>
      <c r="AQ182" s="480" t="str">
        <f t="shared" si="268"/>
        <v>NA</v>
      </c>
      <c r="AR182" s="481" t="str">
        <f t="shared" si="269"/>
        <v>NA</v>
      </c>
      <c r="AS182" s="481" t="str">
        <f t="shared" si="270"/>
        <v>NA</v>
      </c>
      <c r="AT182" s="481" t="str">
        <f t="shared" si="271"/>
        <v>NA</v>
      </c>
      <c r="AU182" s="481" t="str">
        <f t="shared" si="272"/>
        <v>NA</v>
      </c>
      <c r="AV182" s="482" t="str">
        <f t="shared" si="273"/>
        <v>NA</v>
      </c>
    </row>
    <row r="183" spans="1:48" ht="15" customHeight="1" x14ac:dyDescent="0.25">
      <c r="A183" s="164"/>
      <c r="B183" s="166">
        <v>124</v>
      </c>
      <c r="C183" s="169" t="str">
        <f>_xlfn.XLOOKUP(B183, LgProvEntOrgIDs[Advanced Network/Insurer Carrier Org ID], LgProvEntOrgIDs[Advanced Network/Insurance Carrier Overall])</f>
        <v>Southwest Community Health Center, Inc.</v>
      </c>
      <c r="D183" s="507">
        <f>SUMIFS(AN_TME22[[#All],[Member Months]],AN_TME22[[#All],[Insurance Category Code]],1,AN_TME22[[#All],[Advanced Network/Insurance Carrier Org ID]],B183)</f>
        <v>0</v>
      </c>
      <c r="E183" s="155" t="str">
        <f>IF(D183=0,"NA",SUMIFS(AN_TME22[[#All],[Claims: Hospital Inpatient]],AN_TME22[[#All],[Insurance Category Code]],1,AN_TME22[[#All],[Advanced Network/Insurance Carrier Org ID]],B183)/D183)</f>
        <v>NA</v>
      </c>
      <c r="F183" s="109" t="str">
        <f>IF(D183=0,"NA",SUMIFS(AN_TME22[[#All],[Claims: Hospital Outpatient]],AN_TME22[[#All],[Insurance Category Code]],1,AN_TME22[[#All],[Advanced Network/Insurance Carrier Org ID]],B183)/D183)</f>
        <v>NA</v>
      </c>
      <c r="G183" s="109" t="str">
        <f>IF(D183=0,"NA",SUMIFS(AN_TME22[[#All],[Claims: Professional, Primary Care]],AN_TME22[[#All],[Insurance Category Code]],1,AN_TME22[[#All],[Advanced Network/Insurance Carrier Org ID]],B183)/D183)</f>
        <v>NA</v>
      </c>
      <c r="H183" s="109" t="str">
        <f>IF(D183=0,"NA",SUMIFS(AN_TME22[[#All],[Claims: Professional, Primary Care (for Monitoring Purposes)]],AN_TME22[[#All],[Insurance Category Code]],1,AN_TME22[[#All],[Advanced Network/Insurance Carrier Org ID]],B183)/D183)</f>
        <v>NA</v>
      </c>
      <c r="I183" s="109" t="str">
        <f>IF(D183=0,"NA",SUMIFS(AN_TME22[[#All],[Claims: Professional, Specialty]],AN_TME22[[#All],[Insurance Category Code]],1,AN_TME22[[#All],[Advanced Network/Insurance Carrier Org ID]],B183)/D183)</f>
        <v>NA</v>
      </c>
      <c r="J183" s="109" t="str">
        <f>IF(D183=0,"NA",SUMIFS(AN_TME22[[#All],[Claims: Professional Other]],AN_TME22[[#All],[Insurance Category Code]],1,AN_TME22[[#All],[Advanced Network/Insurance Carrier Org ID]],B183)/D183)</f>
        <v>NA</v>
      </c>
      <c r="K183" s="109" t="str">
        <f>IF(D183=0,"NA",SUMIFS(AN_TME22[[#All],[Claims: Pharmacy]],AN_TME22[[#All],[Insurance Category Code]],1,AN_TME22[[#All],[Advanced Network/Insurance Carrier Org ID]],B183)/D183)</f>
        <v>NA</v>
      </c>
      <c r="L183" s="109" t="str">
        <f>IF(D183=0,"NA",SUMIFS(AN_TME22[[#All],[Claims: Long-Term Care]],AN_TME22[[#All],[Insurance Category Code]],1,AN_TME22[[#All],[Advanced Network/Insurance Carrier Org ID]],B183)/D183)</f>
        <v>NA</v>
      </c>
      <c r="M183" s="109" t="str">
        <f>IF(D183=0,"NA",SUMIFS(AN_TME22[[#All],[Claims: Other]],AN_TME22[[#All],[Insurance Category Code]],1,AN_TME22[[#All],[Advanced Network/Insurance Carrier Org ID]],B183)/D183)</f>
        <v>NA</v>
      </c>
      <c r="N183" s="165" t="str">
        <f>IF(D183=0,"NA",SUMIFS(AN_TME22[[#All],[TOTAL Non-Truncated Unadjusted Claims Expenses]],AN_TME22[[#All],[Insurance Category Code]],1,AN_TME22[[#All],[Advanced Network/Insurance Carrier Org ID]],B183)/D183)</f>
        <v>NA</v>
      </c>
      <c r="O183" s="165" t="str">
        <f>IF(D183=0,"NA",SUMIFS(AN_TME22[[#All],[TOTAL Truncated Unadjusted Claims Expenses (A21 -A19)]],AN_TME22[[#All],[Insurance Category Code]],1,AN_TME22[[#All],[Advanced Network/Insurance Carrier Org ID]],B183)/D183)</f>
        <v>NA</v>
      </c>
      <c r="P183" s="165" t="str">
        <f>IF(D183=0,"NA",SUMIFS(AN_TME22[[#All],[TOTAL Non-Claims Expenses]],AN_TME22[[#All],[Insurance Category Code]],1,AN_TME22[[#All],[Advanced Network/Insurance Carrier Org ID]],B183)/D183)</f>
        <v>NA</v>
      </c>
      <c r="Q183" s="165" t="str">
        <f>IF(D183=0,"NA",SUMIFS(AN_TME22[[#All],[TOTAL Non-Truncated Unadjusted Expenses (A21 + A23)]],AN_TME22[[#All],[Insurance Category Code]],1,AN_TME22[[#All],[Advanced Network/Insurance Carrier Org ID]],B183)/D183)</f>
        <v>NA</v>
      </c>
      <c r="R183" s="165" t="str">
        <f>IF(D183=0,"NA",SUMIFS(AN_TME22[[#All],[TOTAL Truncated Unadjusted Expenses (A22 + A23)]],AN_TME22[[#All],[Insurance Category Code]],1,AN_TME22[[#All],[Advanced Network/Insurance Carrier Org ID]],B183)/D183)</f>
        <v>NA</v>
      </c>
      <c r="S183" s="507">
        <f>SUMIFS(AN_TME23[[#All],[Member Months]],AN_TME23[[#All],[Insurance Category Code]],1,AN_TME23[[#All],[Advanced Network/Insurance Carrier Org ID]],B183)</f>
        <v>0</v>
      </c>
      <c r="T183" s="155" t="str">
        <f>IF(S183=0,"NA",SUMIFS(AN_TME23[[#All],[Claims: Hospital Inpatient]],AN_TME23[[#All],[Insurance Category Code]],1,AN_TME23[[#All],[Advanced Network/Insurance Carrier Org ID]],B183)/S183)</f>
        <v>NA</v>
      </c>
      <c r="U183" s="109" t="str">
        <f>IF(S183=0,"NA",SUMIFS(AN_TME23[[#All],[Claims: Hospital Outpatient]],AN_TME23[[#All],[Insurance Category Code]],1,AN_TME23[[#All],[Advanced Network/Insurance Carrier Org ID]],B183)/S183)</f>
        <v>NA</v>
      </c>
      <c r="V183" s="109" t="str">
        <f>IF(S183=0,"NA",SUMIFS(AN_TME23[[#All],[Claims: Professional, Primary Care]],AN_TME23[[#All],[Insurance Category Code]],1,AN_TME23[[#All],[Advanced Network/Insurance Carrier Org ID]],B183)/S183)</f>
        <v>NA</v>
      </c>
      <c r="W183" s="109" t="str">
        <f>IF(S183=0,"NA",SUMIFS(AN_TME23[[#All],[Claims: Professional, Primary Care (for Monitoring Purposes)]],AN_TME23[[#All],[Insurance Category Code]],1,AN_TME23[[#All],[Advanced Network/Insurance Carrier Org ID]],B183)/S183)</f>
        <v>NA</v>
      </c>
      <c r="X183" s="109" t="str">
        <f>IF(S183=0,"NA",SUMIFS(AN_TME23[[#All],[Claims: Professional, Specialty]],AN_TME23[[#All],[Insurance Category Code]],1,AN_TME23[[#All],[Advanced Network/Insurance Carrier Org ID]],B183)/S183)</f>
        <v>NA</v>
      </c>
      <c r="Y183" s="109" t="str">
        <f>IF(S183=0,"NA",SUMIFS(AN_TME23[[#All],[Claims: Professional Other]],AN_TME23[[#All],[Insurance Category Code]],1,AN_TME23[[#All],[Advanced Network/Insurance Carrier Org ID]],B183)/S183)</f>
        <v>NA</v>
      </c>
      <c r="Z183" s="109" t="str">
        <f>IF(S183=0,"NA",SUMIFS(AN_TME23[[#All],[Claims: Pharmacy]],AN_TME23[[#All],[Insurance Category Code]],1,AN_TME23[[#All],[Advanced Network/Insurance Carrier Org ID]],B183)/S183)</f>
        <v>NA</v>
      </c>
      <c r="AA183" s="109" t="str">
        <f>IF(S183=0,"NA",SUMIFS(AN_TME23[[#All],[Claims: Long-Term Care]],AN_TME23[[#All],[Insurance Category Code]],1,AN_TME23[[#All],[Advanced Network/Insurance Carrier Org ID]],B183)/S183)</f>
        <v>NA</v>
      </c>
      <c r="AB183" s="109" t="str">
        <f>IF(S183=0,"NA",SUMIFS(AN_TME23[[#All],[Claims: Other]],AN_TME23[[#All],[Insurance Category Code]],1,AN_TME23[[#All],[Advanced Network/Insurance Carrier Org ID]],B183)/S183)</f>
        <v>NA</v>
      </c>
      <c r="AC183" s="165" t="str">
        <f>IF(S183=0,"NA",SUMIFS(AN_TME23[[#All],[TOTAL Non-Truncated Unadjusted Claims Expenses]],AN_TME23[[#All],[Insurance Category Code]],1,AN_TME23[[#All],[Advanced Network/Insurance Carrier Org ID]],B183)/S183)</f>
        <v>NA</v>
      </c>
      <c r="AD183" s="165" t="str">
        <f>IF(S183=0,"NA",SUMIFS(AN_TME23[[#All],[TOTAL Truncated Unadjusted Claims Expenses (A21 -A19)]],AN_TME23[[#All],[Insurance Category Code]],1,AN_TME23[[#All],[Advanced Network/Insurance Carrier Org ID]],B183)/S183)</f>
        <v>NA</v>
      </c>
      <c r="AE183" s="165" t="str">
        <f>IF(S183=0,"NA",SUMIFS(AN_TME23[[#All],[TOTAL Non-Claims Expenses]],AN_TME23[[#All],[Insurance Category Code]],1,AN_TME23[[#All],[Advanced Network/Insurance Carrier Org ID]],B183)/S183)</f>
        <v>NA</v>
      </c>
      <c r="AF183" s="165" t="str">
        <f>IF(S183=0,"NA",SUMIFS(AN_TME23[[#All],[TOTAL Non-Truncated Unadjusted Expenses (A21 + A23)]],AN_TME23[[#All],[Insurance Category Code]],1,AN_TME23[[#All],[Advanced Network/Insurance Carrier Org ID]],B183)/S183)</f>
        <v>NA</v>
      </c>
      <c r="AG183" s="156" t="str">
        <f>IF(S183=0,"NA",SUMIFS(AN_TME23[[#All],[TOTAL Truncated Unadjusted Expenses (A22 + A23)]],AN_TME23[[#All],[Insurance Category Code]],1,AN_TME23[[#All],[Advanced Network/Insurance Carrier Org ID]],B183)/S183)</f>
        <v>NA</v>
      </c>
      <c r="AH183" s="478" t="str">
        <f t="shared" si="259"/>
        <v>NA</v>
      </c>
      <c r="AI183" s="479" t="str">
        <f t="shared" si="260"/>
        <v>NA</v>
      </c>
      <c r="AJ183" s="480" t="str">
        <f t="shared" si="261"/>
        <v>NA</v>
      </c>
      <c r="AK183" s="480" t="str">
        <f t="shared" si="262"/>
        <v>NA</v>
      </c>
      <c r="AL183" s="480" t="str">
        <f t="shared" si="263"/>
        <v>NA</v>
      </c>
      <c r="AM183" s="480" t="str">
        <f t="shared" si="264"/>
        <v>NA</v>
      </c>
      <c r="AN183" s="480" t="str">
        <f t="shared" si="265"/>
        <v>NA</v>
      </c>
      <c r="AO183" s="480" t="str">
        <f t="shared" si="266"/>
        <v>NA</v>
      </c>
      <c r="AP183" s="480" t="str">
        <f t="shared" si="267"/>
        <v>NA</v>
      </c>
      <c r="AQ183" s="480" t="str">
        <f t="shared" si="268"/>
        <v>NA</v>
      </c>
      <c r="AR183" s="481" t="str">
        <f t="shared" si="269"/>
        <v>NA</v>
      </c>
      <c r="AS183" s="481" t="str">
        <f t="shared" si="270"/>
        <v>NA</v>
      </c>
      <c r="AT183" s="481" t="str">
        <f t="shared" si="271"/>
        <v>NA</v>
      </c>
      <c r="AU183" s="481" t="str">
        <f t="shared" si="272"/>
        <v>NA</v>
      </c>
      <c r="AV183" s="482" t="str">
        <f t="shared" si="273"/>
        <v>NA</v>
      </c>
    </row>
    <row r="184" spans="1:48" ht="15" customHeight="1" x14ac:dyDescent="0.25">
      <c r="A184" s="164"/>
      <c r="B184" s="166">
        <v>125</v>
      </c>
      <c r="C184" s="169" t="str">
        <f>_xlfn.XLOOKUP(B184, LgProvEntOrgIDs[Advanced Network/Insurer Carrier Org ID], LgProvEntOrgIDs[Advanced Network/Insurance Carrier Overall])</f>
        <v>Stamford Health Medical Group</v>
      </c>
      <c r="D184" s="507">
        <f>SUMIFS(AN_TME22[[#All],[Member Months]],AN_TME22[[#All],[Insurance Category Code]],1,AN_TME22[[#All],[Advanced Network/Insurance Carrier Org ID]],B184)</f>
        <v>0</v>
      </c>
      <c r="E184" s="155" t="str">
        <f>IF(D184=0,"NA",SUMIFS(AN_TME22[[#All],[Claims: Hospital Inpatient]],AN_TME22[[#All],[Insurance Category Code]],1,AN_TME22[[#All],[Advanced Network/Insurance Carrier Org ID]],B184)/D184)</f>
        <v>NA</v>
      </c>
      <c r="F184" s="109" t="str">
        <f>IF(D184=0,"NA",SUMIFS(AN_TME22[[#All],[Claims: Hospital Outpatient]],AN_TME22[[#All],[Insurance Category Code]],1,AN_TME22[[#All],[Advanced Network/Insurance Carrier Org ID]],B184)/D184)</f>
        <v>NA</v>
      </c>
      <c r="G184" s="109" t="str">
        <f>IF(D184=0,"NA",SUMIFS(AN_TME22[[#All],[Claims: Professional, Primary Care]],AN_TME22[[#All],[Insurance Category Code]],1,AN_TME22[[#All],[Advanced Network/Insurance Carrier Org ID]],B184)/D184)</f>
        <v>NA</v>
      </c>
      <c r="H184" s="109" t="str">
        <f>IF(D184=0,"NA",SUMIFS(AN_TME22[[#All],[Claims: Professional, Primary Care (for Monitoring Purposes)]],AN_TME22[[#All],[Insurance Category Code]],1,AN_TME22[[#All],[Advanced Network/Insurance Carrier Org ID]],B184)/D184)</f>
        <v>NA</v>
      </c>
      <c r="I184" s="109" t="str">
        <f>IF(D184=0,"NA",SUMIFS(AN_TME22[[#All],[Claims: Professional, Specialty]],AN_TME22[[#All],[Insurance Category Code]],1,AN_TME22[[#All],[Advanced Network/Insurance Carrier Org ID]],B184)/D184)</f>
        <v>NA</v>
      </c>
      <c r="J184" s="109" t="str">
        <f>IF(D184=0,"NA",SUMIFS(AN_TME22[[#All],[Claims: Professional Other]],AN_TME22[[#All],[Insurance Category Code]],1,AN_TME22[[#All],[Advanced Network/Insurance Carrier Org ID]],B184)/D184)</f>
        <v>NA</v>
      </c>
      <c r="K184" s="109" t="str">
        <f>IF(D184=0,"NA",SUMIFS(AN_TME22[[#All],[Claims: Pharmacy]],AN_TME22[[#All],[Insurance Category Code]],1,AN_TME22[[#All],[Advanced Network/Insurance Carrier Org ID]],B184)/D184)</f>
        <v>NA</v>
      </c>
      <c r="L184" s="109" t="str">
        <f>IF(D184=0,"NA",SUMIFS(AN_TME22[[#All],[Claims: Long-Term Care]],AN_TME22[[#All],[Insurance Category Code]],1,AN_TME22[[#All],[Advanced Network/Insurance Carrier Org ID]],B184)/D184)</f>
        <v>NA</v>
      </c>
      <c r="M184" s="109" t="str">
        <f>IF(D184=0,"NA",SUMIFS(AN_TME22[[#All],[Claims: Other]],AN_TME22[[#All],[Insurance Category Code]],1,AN_TME22[[#All],[Advanced Network/Insurance Carrier Org ID]],B184)/D184)</f>
        <v>NA</v>
      </c>
      <c r="N184" s="165" t="str">
        <f>IF(D184=0,"NA",SUMIFS(AN_TME22[[#All],[TOTAL Non-Truncated Unadjusted Claims Expenses]],AN_TME22[[#All],[Insurance Category Code]],1,AN_TME22[[#All],[Advanced Network/Insurance Carrier Org ID]],B184)/D184)</f>
        <v>NA</v>
      </c>
      <c r="O184" s="165" t="str">
        <f>IF(D184=0,"NA",SUMIFS(AN_TME22[[#All],[TOTAL Truncated Unadjusted Claims Expenses (A21 -A19)]],AN_TME22[[#All],[Insurance Category Code]],1,AN_TME22[[#All],[Advanced Network/Insurance Carrier Org ID]],B184)/D184)</f>
        <v>NA</v>
      </c>
      <c r="P184" s="165" t="str">
        <f>IF(D184=0,"NA",SUMIFS(AN_TME22[[#All],[TOTAL Non-Claims Expenses]],AN_TME22[[#All],[Insurance Category Code]],1,AN_TME22[[#All],[Advanced Network/Insurance Carrier Org ID]],B184)/D184)</f>
        <v>NA</v>
      </c>
      <c r="Q184" s="165" t="str">
        <f>IF(D184=0,"NA",SUMIFS(AN_TME22[[#All],[TOTAL Non-Truncated Unadjusted Expenses (A21 + A23)]],AN_TME22[[#All],[Insurance Category Code]],1,AN_TME22[[#All],[Advanced Network/Insurance Carrier Org ID]],B184)/D184)</f>
        <v>NA</v>
      </c>
      <c r="R184" s="165" t="str">
        <f>IF(D184=0,"NA",SUMIFS(AN_TME22[[#All],[TOTAL Truncated Unadjusted Expenses (A22 + A23)]],AN_TME22[[#All],[Insurance Category Code]],1,AN_TME22[[#All],[Advanced Network/Insurance Carrier Org ID]],B184)/D184)</f>
        <v>NA</v>
      </c>
      <c r="S184" s="507">
        <f>SUMIFS(AN_TME23[[#All],[Member Months]],AN_TME23[[#All],[Insurance Category Code]],1,AN_TME23[[#All],[Advanced Network/Insurance Carrier Org ID]],B184)</f>
        <v>0</v>
      </c>
      <c r="T184" s="155" t="str">
        <f>IF(S184=0,"NA",SUMIFS(AN_TME23[[#All],[Claims: Hospital Inpatient]],AN_TME23[[#All],[Insurance Category Code]],1,AN_TME23[[#All],[Advanced Network/Insurance Carrier Org ID]],B184)/S184)</f>
        <v>NA</v>
      </c>
      <c r="U184" s="109" t="str">
        <f>IF(S184=0,"NA",SUMIFS(AN_TME23[[#All],[Claims: Hospital Outpatient]],AN_TME23[[#All],[Insurance Category Code]],1,AN_TME23[[#All],[Advanced Network/Insurance Carrier Org ID]],B184)/S184)</f>
        <v>NA</v>
      </c>
      <c r="V184" s="109" t="str">
        <f>IF(S184=0,"NA",SUMIFS(AN_TME23[[#All],[Claims: Professional, Primary Care]],AN_TME23[[#All],[Insurance Category Code]],1,AN_TME23[[#All],[Advanced Network/Insurance Carrier Org ID]],B184)/S184)</f>
        <v>NA</v>
      </c>
      <c r="W184" s="109" t="str">
        <f>IF(S184=0,"NA",SUMIFS(AN_TME23[[#All],[Claims: Professional, Primary Care (for Monitoring Purposes)]],AN_TME23[[#All],[Insurance Category Code]],1,AN_TME23[[#All],[Advanced Network/Insurance Carrier Org ID]],B184)/S184)</f>
        <v>NA</v>
      </c>
      <c r="X184" s="109" t="str">
        <f>IF(S184=0,"NA",SUMIFS(AN_TME23[[#All],[Claims: Professional, Specialty]],AN_TME23[[#All],[Insurance Category Code]],1,AN_TME23[[#All],[Advanced Network/Insurance Carrier Org ID]],B184)/S184)</f>
        <v>NA</v>
      </c>
      <c r="Y184" s="109" t="str">
        <f>IF(S184=0,"NA",SUMIFS(AN_TME23[[#All],[Claims: Professional Other]],AN_TME23[[#All],[Insurance Category Code]],1,AN_TME23[[#All],[Advanced Network/Insurance Carrier Org ID]],B184)/S184)</f>
        <v>NA</v>
      </c>
      <c r="Z184" s="109" t="str">
        <f>IF(S184=0,"NA",SUMIFS(AN_TME23[[#All],[Claims: Pharmacy]],AN_TME23[[#All],[Insurance Category Code]],1,AN_TME23[[#All],[Advanced Network/Insurance Carrier Org ID]],B184)/S184)</f>
        <v>NA</v>
      </c>
      <c r="AA184" s="109" t="str">
        <f>IF(S184=0,"NA",SUMIFS(AN_TME23[[#All],[Claims: Long-Term Care]],AN_TME23[[#All],[Insurance Category Code]],1,AN_TME23[[#All],[Advanced Network/Insurance Carrier Org ID]],B184)/S184)</f>
        <v>NA</v>
      </c>
      <c r="AB184" s="109" t="str">
        <f>IF(S184=0,"NA",SUMIFS(AN_TME23[[#All],[Claims: Other]],AN_TME23[[#All],[Insurance Category Code]],1,AN_TME23[[#All],[Advanced Network/Insurance Carrier Org ID]],B184)/S184)</f>
        <v>NA</v>
      </c>
      <c r="AC184" s="165" t="str">
        <f>IF(S184=0,"NA",SUMIFS(AN_TME23[[#All],[TOTAL Non-Truncated Unadjusted Claims Expenses]],AN_TME23[[#All],[Insurance Category Code]],1,AN_TME23[[#All],[Advanced Network/Insurance Carrier Org ID]],B184)/S184)</f>
        <v>NA</v>
      </c>
      <c r="AD184" s="165" t="str">
        <f>IF(S184=0,"NA",SUMIFS(AN_TME23[[#All],[TOTAL Truncated Unadjusted Claims Expenses (A21 -A19)]],AN_TME23[[#All],[Insurance Category Code]],1,AN_TME23[[#All],[Advanced Network/Insurance Carrier Org ID]],B184)/S184)</f>
        <v>NA</v>
      </c>
      <c r="AE184" s="165" t="str">
        <f>IF(S184=0,"NA",SUMIFS(AN_TME23[[#All],[TOTAL Non-Claims Expenses]],AN_TME23[[#All],[Insurance Category Code]],1,AN_TME23[[#All],[Advanced Network/Insurance Carrier Org ID]],B184)/S184)</f>
        <v>NA</v>
      </c>
      <c r="AF184" s="165" t="str">
        <f>IF(S184=0,"NA",SUMIFS(AN_TME23[[#All],[TOTAL Non-Truncated Unadjusted Expenses (A21 + A23)]],AN_TME23[[#All],[Insurance Category Code]],1,AN_TME23[[#All],[Advanced Network/Insurance Carrier Org ID]],B184)/S184)</f>
        <v>NA</v>
      </c>
      <c r="AG184" s="156" t="str">
        <f>IF(S184=0,"NA",SUMIFS(AN_TME23[[#All],[TOTAL Truncated Unadjusted Expenses (A22 + A23)]],AN_TME23[[#All],[Insurance Category Code]],1,AN_TME23[[#All],[Advanced Network/Insurance Carrier Org ID]],B184)/S184)</f>
        <v>NA</v>
      </c>
      <c r="AH184" s="478" t="str">
        <f t="shared" si="259"/>
        <v>NA</v>
      </c>
      <c r="AI184" s="479" t="str">
        <f t="shared" si="260"/>
        <v>NA</v>
      </c>
      <c r="AJ184" s="480" t="str">
        <f t="shared" si="261"/>
        <v>NA</v>
      </c>
      <c r="AK184" s="480" t="str">
        <f t="shared" si="262"/>
        <v>NA</v>
      </c>
      <c r="AL184" s="480" t="str">
        <f t="shared" si="263"/>
        <v>NA</v>
      </c>
      <c r="AM184" s="480" t="str">
        <f t="shared" si="264"/>
        <v>NA</v>
      </c>
      <c r="AN184" s="480" t="str">
        <f t="shared" si="265"/>
        <v>NA</v>
      </c>
      <c r="AO184" s="480" t="str">
        <f t="shared" si="266"/>
        <v>NA</v>
      </c>
      <c r="AP184" s="480" t="str">
        <f t="shared" si="267"/>
        <v>NA</v>
      </c>
      <c r="AQ184" s="480" t="str">
        <f t="shared" si="268"/>
        <v>NA</v>
      </c>
      <c r="AR184" s="481" t="str">
        <f t="shared" si="269"/>
        <v>NA</v>
      </c>
      <c r="AS184" s="481" t="str">
        <f t="shared" si="270"/>
        <v>NA</v>
      </c>
      <c r="AT184" s="481" t="str">
        <f t="shared" si="271"/>
        <v>NA</v>
      </c>
      <c r="AU184" s="481" t="str">
        <f t="shared" si="272"/>
        <v>NA</v>
      </c>
      <c r="AV184" s="482" t="str">
        <f t="shared" si="273"/>
        <v>NA</v>
      </c>
    </row>
    <row r="185" spans="1:48" ht="15" customHeight="1" x14ac:dyDescent="0.25">
      <c r="A185" s="164"/>
      <c r="B185" s="166">
        <v>126</v>
      </c>
      <c r="C185" s="169" t="str">
        <f>_xlfn.XLOOKUP(B185, LgProvEntOrgIDs[Advanced Network/Insurer Carrier Org ID], LgProvEntOrgIDs[Advanced Network/Insurance Carrier Overall])</f>
        <v>Starling Physicians</v>
      </c>
      <c r="D185" s="507">
        <f>SUMIFS(AN_TME22[[#All],[Member Months]],AN_TME22[[#All],[Insurance Category Code]],1,AN_TME22[[#All],[Advanced Network/Insurance Carrier Org ID]],B185)</f>
        <v>0</v>
      </c>
      <c r="E185" s="155" t="str">
        <f>IF(D185=0,"NA",SUMIFS(AN_TME22[[#All],[Claims: Hospital Inpatient]],AN_TME22[[#All],[Insurance Category Code]],1,AN_TME22[[#All],[Advanced Network/Insurance Carrier Org ID]],B185)/D185)</f>
        <v>NA</v>
      </c>
      <c r="F185" s="109" t="str">
        <f>IF(D185=0,"NA",SUMIFS(AN_TME22[[#All],[Claims: Hospital Outpatient]],AN_TME22[[#All],[Insurance Category Code]],1,AN_TME22[[#All],[Advanced Network/Insurance Carrier Org ID]],B185)/D185)</f>
        <v>NA</v>
      </c>
      <c r="G185" s="109" t="str">
        <f>IF(D185=0,"NA",SUMIFS(AN_TME22[[#All],[Claims: Professional, Primary Care]],AN_TME22[[#All],[Insurance Category Code]],1,AN_TME22[[#All],[Advanced Network/Insurance Carrier Org ID]],B185)/D185)</f>
        <v>NA</v>
      </c>
      <c r="H185" s="109" t="str">
        <f>IF(D185=0,"NA",SUMIFS(AN_TME22[[#All],[Claims: Professional, Primary Care (for Monitoring Purposes)]],AN_TME22[[#All],[Insurance Category Code]],1,AN_TME22[[#All],[Advanced Network/Insurance Carrier Org ID]],B185)/D185)</f>
        <v>NA</v>
      </c>
      <c r="I185" s="109" t="str">
        <f>IF(D185=0,"NA",SUMIFS(AN_TME22[[#All],[Claims: Professional, Specialty]],AN_TME22[[#All],[Insurance Category Code]],1,AN_TME22[[#All],[Advanced Network/Insurance Carrier Org ID]],B185)/D185)</f>
        <v>NA</v>
      </c>
      <c r="J185" s="109" t="str">
        <f>IF(D185=0,"NA",SUMIFS(AN_TME22[[#All],[Claims: Professional Other]],AN_TME22[[#All],[Insurance Category Code]],1,AN_TME22[[#All],[Advanced Network/Insurance Carrier Org ID]],B185)/D185)</f>
        <v>NA</v>
      </c>
      <c r="K185" s="109" t="str">
        <f>IF(D185=0,"NA",SUMIFS(AN_TME22[[#All],[Claims: Pharmacy]],AN_TME22[[#All],[Insurance Category Code]],1,AN_TME22[[#All],[Advanced Network/Insurance Carrier Org ID]],B185)/D185)</f>
        <v>NA</v>
      </c>
      <c r="L185" s="109" t="str">
        <f>IF(D185=0,"NA",SUMIFS(AN_TME22[[#All],[Claims: Long-Term Care]],AN_TME22[[#All],[Insurance Category Code]],1,AN_TME22[[#All],[Advanced Network/Insurance Carrier Org ID]],B185)/D185)</f>
        <v>NA</v>
      </c>
      <c r="M185" s="109" t="str">
        <f>IF(D185=0,"NA",SUMIFS(AN_TME22[[#All],[Claims: Other]],AN_TME22[[#All],[Insurance Category Code]],1,AN_TME22[[#All],[Advanced Network/Insurance Carrier Org ID]],B185)/D185)</f>
        <v>NA</v>
      </c>
      <c r="N185" s="165" t="str">
        <f>IF(D185=0,"NA",SUMIFS(AN_TME22[[#All],[TOTAL Non-Truncated Unadjusted Claims Expenses]],AN_TME22[[#All],[Insurance Category Code]],1,AN_TME22[[#All],[Advanced Network/Insurance Carrier Org ID]],B185)/D185)</f>
        <v>NA</v>
      </c>
      <c r="O185" s="165" t="str">
        <f>IF(D185=0,"NA",SUMIFS(AN_TME22[[#All],[TOTAL Truncated Unadjusted Claims Expenses (A21 -A19)]],AN_TME22[[#All],[Insurance Category Code]],1,AN_TME22[[#All],[Advanced Network/Insurance Carrier Org ID]],B185)/D185)</f>
        <v>NA</v>
      </c>
      <c r="P185" s="165" t="str">
        <f>IF(D185=0,"NA",SUMIFS(AN_TME22[[#All],[TOTAL Non-Claims Expenses]],AN_TME22[[#All],[Insurance Category Code]],1,AN_TME22[[#All],[Advanced Network/Insurance Carrier Org ID]],B185)/D185)</f>
        <v>NA</v>
      </c>
      <c r="Q185" s="165" t="str">
        <f>IF(D185=0,"NA",SUMIFS(AN_TME22[[#All],[TOTAL Non-Truncated Unadjusted Expenses (A21 + A23)]],AN_TME22[[#All],[Insurance Category Code]],1,AN_TME22[[#All],[Advanced Network/Insurance Carrier Org ID]],B185)/D185)</f>
        <v>NA</v>
      </c>
      <c r="R185" s="165" t="str">
        <f>IF(D185=0,"NA",SUMIFS(AN_TME22[[#All],[TOTAL Truncated Unadjusted Expenses (A22 + A23)]],AN_TME22[[#All],[Insurance Category Code]],1,AN_TME22[[#All],[Advanced Network/Insurance Carrier Org ID]],B185)/D185)</f>
        <v>NA</v>
      </c>
      <c r="S185" s="507">
        <f>SUMIFS(AN_TME23[[#All],[Member Months]],AN_TME23[[#All],[Insurance Category Code]],1,AN_TME23[[#All],[Advanced Network/Insurance Carrier Org ID]],B185)</f>
        <v>0</v>
      </c>
      <c r="T185" s="155" t="str">
        <f>IF(S185=0,"NA",SUMIFS(AN_TME23[[#All],[Claims: Hospital Inpatient]],AN_TME23[[#All],[Insurance Category Code]],1,AN_TME23[[#All],[Advanced Network/Insurance Carrier Org ID]],B185)/S185)</f>
        <v>NA</v>
      </c>
      <c r="U185" s="109" t="str">
        <f>IF(S185=0,"NA",SUMIFS(AN_TME23[[#All],[Claims: Hospital Outpatient]],AN_TME23[[#All],[Insurance Category Code]],1,AN_TME23[[#All],[Advanced Network/Insurance Carrier Org ID]],B185)/S185)</f>
        <v>NA</v>
      </c>
      <c r="V185" s="109" t="str">
        <f>IF(S185=0,"NA",SUMIFS(AN_TME23[[#All],[Claims: Professional, Primary Care]],AN_TME23[[#All],[Insurance Category Code]],1,AN_TME23[[#All],[Advanced Network/Insurance Carrier Org ID]],B185)/S185)</f>
        <v>NA</v>
      </c>
      <c r="W185" s="109" t="str">
        <f>IF(S185=0,"NA",SUMIFS(AN_TME23[[#All],[Claims: Professional, Primary Care (for Monitoring Purposes)]],AN_TME23[[#All],[Insurance Category Code]],1,AN_TME23[[#All],[Advanced Network/Insurance Carrier Org ID]],B185)/S185)</f>
        <v>NA</v>
      </c>
      <c r="X185" s="109" t="str">
        <f>IF(S185=0,"NA",SUMIFS(AN_TME23[[#All],[Claims: Professional, Specialty]],AN_TME23[[#All],[Insurance Category Code]],1,AN_TME23[[#All],[Advanced Network/Insurance Carrier Org ID]],B185)/S185)</f>
        <v>NA</v>
      </c>
      <c r="Y185" s="109" t="str">
        <f>IF(S185=0,"NA",SUMIFS(AN_TME23[[#All],[Claims: Professional Other]],AN_TME23[[#All],[Insurance Category Code]],1,AN_TME23[[#All],[Advanced Network/Insurance Carrier Org ID]],B185)/S185)</f>
        <v>NA</v>
      </c>
      <c r="Z185" s="109" t="str">
        <f>IF(S185=0,"NA",SUMIFS(AN_TME23[[#All],[Claims: Pharmacy]],AN_TME23[[#All],[Insurance Category Code]],1,AN_TME23[[#All],[Advanced Network/Insurance Carrier Org ID]],B185)/S185)</f>
        <v>NA</v>
      </c>
      <c r="AA185" s="109" t="str">
        <f>IF(S185=0,"NA",SUMIFS(AN_TME23[[#All],[Claims: Long-Term Care]],AN_TME23[[#All],[Insurance Category Code]],1,AN_TME23[[#All],[Advanced Network/Insurance Carrier Org ID]],B185)/S185)</f>
        <v>NA</v>
      </c>
      <c r="AB185" s="109" t="str">
        <f>IF(S185=0,"NA",SUMIFS(AN_TME23[[#All],[Claims: Other]],AN_TME23[[#All],[Insurance Category Code]],1,AN_TME23[[#All],[Advanced Network/Insurance Carrier Org ID]],B185)/S185)</f>
        <v>NA</v>
      </c>
      <c r="AC185" s="165" t="str">
        <f>IF(S185=0,"NA",SUMIFS(AN_TME23[[#All],[TOTAL Non-Truncated Unadjusted Claims Expenses]],AN_TME23[[#All],[Insurance Category Code]],1,AN_TME23[[#All],[Advanced Network/Insurance Carrier Org ID]],B185)/S185)</f>
        <v>NA</v>
      </c>
      <c r="AD185" s="165" t="str">
        <f>IF(S185=0,"NA",SUMIFS(AN_TME23[[#All],[TOTAL Truncated Unadjusted Claims Expenses (A21 -A19)]],AN_TME23[[#All],[Insurance Category Code]],1,AN_TME23[[#All],[Advanced Network/Insurance Carrier Org ID]],B185)/S185)</f>
        <v>NA</v>
      </c>
      <c r="AE185" s="165" t="str">
        <f>IF(S185=0,"NA",SUMIFS(AN_TME23[[#All],[TOTAL Non-Claims Expenses]],AN_TME23[[#All],[Insurance Category Code]],1,AN_TME23[[#All],[Advanced Network/Insurance Carrier Org ID]],B185)/S185)</f>
        <v>NA</v>
      </c>
      <c r="AF185" s="165" t="str">
        <f>IF(S185=0,"NA",SUMIFS(AN_TME23[[#All],[TOTAL Non-Truncated Unadjusted Expenses (A21 + A23)]],AN_TME23[[#All],[Insurance Category Code]],1,AN_TME23[[#All],[Advanced Network/Insurance Carrier Org ID]],B185)/S185)</f>
        <v>NA</v>
      </c>
      <c r="AG185" s="156" t="str">
        <f>IF(S185=0,"NA",SUMIFS(AN_TME23[[#All],[TOTAL Truncated Unadjusted Expenses (A22 + A23)]],AN_TME23[[#All],[Insurance Category Code]],1,AN_TME23[[#All],[Advanced Network/Insurance Carrier Org ID]],B185)/S185)</f>
        <v>NA</v>
      </c>
      <c r="AH185" s="478" t="str">
        <f t="shared" si="259"/>
        <v>NA</v>
      </c>
      <c r="AI185" s="479" t="str">
        <f t="shared" si="260"/>
        <v>NA</v>
      </c>
      <c r="AJ185" s="480" t="str">
        <f t="shared" si="261"/>
        <v>NA</v>
      </c>
      <c r="AK185" s="480" t="str">
        <f t="shared" si="262"/>
        <v>NA</v>
      </c>
      <c r="AL185" s="480" t="str">
        <f t="shared" si="263"/>
        <v>NA</v>
      </c>
      <c r="AM185" s="480" t="str">
        <f t="shared" si="264"/>
        <v>NA</v>
      </c>
      <c r="AN185" s="480" t="str">
        <f t="shared" si="265"/>
        <v>NA</v>
      </c>
      <c r="AO185" s="480" t="str">
        <f t="shared" si="266"/>
        <v>NA</v>
      </c>
      <c r="AP185" s="480" t="str">
        <f t="shared" si="267"/>
        <v>NA</v>
      </c>
      <c r="AQ185" s="480" t="str">
        <f t="shared" si="268"/>
        <v>NA</v>
      </c>
      <c r="AR185" s="481" t="str">
        <f t="shared" si="269"/>
        <v>NA</v>
      </c>
      <c r="AS185" s="481" t="str">
        <f t="shared" si="270"/>
        <v>NA</v>
      </c>
      <c r="AT185" s="481" t="str">
        <f t="shared" si="271"/>
        <v>NA</v>
      </c>
      <c r="AU185" s="481" t="str">
        <f t="shared" si="272"/>
        <v>NA</v>
      </c>
      <c r="AV185" s="482" t="str">
        <f t="shared" si="273"/>
        <v>NA</v>
      </c>
    </row>
    <row r="186" spans="1:48" ht="15" customHeight="1" x14ac:dyDescent="0.25">
      <c r="A186" s="164"/>
      <c r="B186" s="166">
        <v>127</v>
      </c>
      <c r="C186" s="169" t="str">
        <f>_xlfn.XLOOKUP(B186, LgProvEntOrgIDs[Advanced Network/Insurer Carrier Org ID], LgProvEntOrgIDs[Advanced Network/Insurance Carrier Overall])</f>
        <v>UConn Medical Group</v>
      </c>
      <c r="D186" s="507">
        <f>SUMIFS(AN_TME22[[#All],[Member Months]],AN_TME22[[#All],[Insurance Category Code]],1,AN_TME22[[#All],[Advanced Network/Insurance Carrier Org ID]],B186)</f>
        <v>0</v>
      </c>
      <c r="E186" s="155" t="str">
        <f>IF(D186=0,"NA",SUMIFS(AN_TME22[[#All],[Claims: Hospital Inpatient]],AN_TME22[[#All],[Insurance Category Code]],1,AN_TME22[[#All],[Advanced Network/Insurance Carrier Org ID]],B186)/D186)</f>
        <v>NA</v>
      </c>
      <c r="F186" s="109" t="str">
        <f>IF(D186=0,"NA",SUMIFS(AN_TME22[[#All],[Claims: Hospital Outpatient]],AN_TME22[[#All],[Insurance Category Code]],1,AN_TME22[[#All],[Advanced Network/Insurance Carrier Org ID]],B186)/D186)</f>
        <v>NA</v>
      </c>
      <c r="G186" s="109" t="str">
        <f>IF(D186=0,"NA",SUMIFS(AN_TME22[[#All],[Claims: Professional, Primary Care]],AN_TME22[[#All],[Insurance Category Code]],1,AN_TME22[[#All],[Advanced Network/Insurance Carrier Org ID]],B186)/D186)</f>
        <v>NA</v>
      </c>
      <c r="H186" s="109" t="str">
        <f>IF(D186=0,"NA",SUMIFS(AN_TME22[[#All],[Claims: Professional, Primary Care (for Monitoring Purposes)]],AN_TME22[[#All],[Insurance Category Code]],1,AN_TME22[[#All],[Advanced Network/Insurance Carrier Org ID]],B186)/D186)</f>
        <v>NA</v>
      </c>
      <c r="I186" s="109" t="str">
        <f>IF(D186=0,"NA",SUMIFS(AN_TME22[[#All],[Claims: Professional, Specialty]],AN_TME22[[#All],[Insurance Category Code]],1,AN_TME22[[#All],[Advanced Network/Insurance Carrier Org ID]],B186)/D186)</f>
        <v>NA</v>
      </c>
      <c r="J186" s="109" t="str">
        <f>IF(D186=0,"NA",SUMIFS(AN_TME22[[#All],[Claims: Professional Other]],AN_TME22[[#All],[Insurance Category Code]],1,AN_TME22[[#All],[Advanced Network/Insurance Carrier Org ID]],B186)/D186)</f>
        <v>NA</v>
      </c>
      <c r="K186" s="109" t="str">
        <f>IF(D186=0,"NA",SUMIFS(AN_TME22[[#All],[Claims: Pharmacy]],AN_TME22[[#All],[Insurance Category Code]],1,AN_TME22[[#All],[Advanced Network/Insurance Carrier Org ID]],B186)/D186)</f>
        <v>NA</v>
      </c>
      <c r="L186" s="109" t="str">
        <f>IF(D186=0,"NA",SUMIFS(AN_TME22[[#All],[Claims: Long-Term Care]],AN_TME22[[#All],[Insurance Category Code]],1,AN_TME22[[#All],[Advanced Network/Insurance Carrier Org ID]],B186)/D186)</f>
        <v>NA</v>
      </c>
      <c r="M186" s="109" t="str">
        <f>IF(D186=0,"NA",SUMIFS(AN_TME22[[#All],[Claims: Other]],AN_TME22[[#All],[Insurance Category Code]],1,AN_TME22[[#All],[Advanced Network/Insurance Carrier Org ID]],B186)/D186)</f>
        <v>NA</v>
      </c>
      <c r="N186" s="165" t="str">
        <f>IF(D186=0,"NA",SUMIFS(AN_TME22[[#All],[TOTAL Non-Truncated Unadjusted Claims Expenses]],AN_TME22[[#All],[Insurance Category Code]],1,AN_TME22[[#All],[Advanced Network/Insurance Carrier Org ID]],B186)/D186)</f>
        <v>NA</v>
      </c>
      <c r="O186" s="165" t="str">
        <f>IF(D186=0,"NA",SUMIFS(AN_TME22[[#All],[TOTAL Truncated Unadjusted Claims Expenses (A21 -A19)]],AN_TME22[[#All],[Insurance Category Code]],1,AN_TME22[[#All],[Advanced Network/Insurance Carrier Org ID]],B186)/D186)</f>
        <v>NA</v>
      </c>
      <c r="P186" s="165" t="str">
        <f>IF(D186=0,"NA",SUMIFS(AN_TME22[[#All],[TOTAL Non-Claims Expenses]],AN_TME22[[#All],[Insurance Category Code]],1,AN_TME22[[#All],[Advanced Network/Insurance Carrier Org ID]],B186)/D186)</f>
        <v>NA</v>
      </c>
      <c r="Q186" s="165" t="str">
        <f>IF(D186=0,"NA",SUMIFS(AN_TME22[[#All],[TOTAL Non-Truncated Unadjusted Expenses (A21 + A23)]],AN_TME22[[#All],[Insurance Category Code]],1,AN_TME22[[#All],[Advanced Network/Insurance Carrier Org ID]],B186)/D186)</f>
        <v>NA</v>
      </c>
      <c r="R186" s="165" t="str">
        <f>IF(D186=0,"NA",SUMIFS(AN_TME22[[#All],[TOTAL Truncated Unadjusted Expenses (A22 + A23)]],AN_TME22[[#All],[Insurance Category Code]],1,AN_TME22[[#All],[Advanced Network/Insurance Carrier Org ID]],B186)/D186)</f>
        <v>NA</v>
      </c>
      <c r="S186" s="507">
        <f>SUMIFS(AN_TME23[[#All],[Member Months]],AN_TME23[[#All],[Insurance Category Code]],1,AN_TME23[[#All],[Advanced Network/Insurance Carrier Org ID]],B186)</f>
        <v>0</v>
      </c>
      <c r="T186" s="155" t="str">
        <f>IF(S186=0,"NA",SUMIFS(AN_TME23[[#All],[Claims: Hospital Inpatient]],AN_TME23[[#All],[Insurance Category Code]],1,AN_TME23[[#All],[Advanced Network/Insurance Carrier Org ID]],B186)/S186)</f>
        <v>NA</v>
      </c>
      <c r="U186" s="109" t="str">
        <f>IF(S186=0,"NA",SUMIFS(AN_TME23[[#All],[Claims: Hospital Outpatient]],AN_TME23[[#All],[Insurance Category Code]],1,AN_TME23[[#All],[Advanced Network/Insurance Carrier Org ID]],B186)/S186)</f>
        <v>NA</v>
      </c>
      <c r="V186" s="109" t="str">
        <f>IF(S186=0,"NA",SUMIFS(AN_TME23[[#All],[Claims: Professional, Primary Care]],AN_TME23[[#All],[Insurance Category Code]],1,AN_TME23[[#All],[Advanced Network/Insurance Carrier Org ID]],B186)/S186)</f>
        <v>NA</v>
      </c>
      <c r="W186" s="109" t="str">
        <f>IF(S186=0,"NA",SUMIFS(AN_TME23[[#All],[Claims: Professional, Primary Care (for Monitoring Purposes)]],AN_TME23[[#All],[Insurance Category Code]],1,AN_TME23[[#All],[Advanced Network/Insurance Carrier Org ID]],B186)/S186)</f>
        <v>NA</v>
      </c>
      <c r="X186" s="109" t="str">
        <f>IF(S186=0,"NA",SUMIFS(AN_TME23[[#All],[Claims: Professional, Specialty]],AN_TME23[[#All],[Insurance Category Code]],1,AN_TME23[[#All],[Advanced Network/Insurance Carrier Org ID]],B186)/S186)</f>
        <v>NA</v>
      </c>
      <c r="Y186" s="109" t="str">
        <f>IF(S186=0,"NA",SUMIFS(AN_TME23[[#All],[Claims: Professional Other]],AN_TME23[[#All],[Insurance Category Code]],1,AN_TME23[[#All],[Advanced Network/Insurance Carrier Org ID]],B186)/S186)</f>
        <v>NA</v>
      </c>
      <c r="Z186" s="109" t="str">
        <f>IF(S186=0,"NA",SUMIFS(AN_TME23[[#All],[Claims: Pharmacy]],AN_TME23[[#All],[Insurance Category Code]],1,AN_TME23[[#All],[Advanced Network/Insurance Carrier Org ID]],B186)/S186)</f>
        <v>NA</v>
      </c>
      <c r="AA186" s="109" t="str">
        <f>IF(S186=0,"NA",SUMIFS(AN_TME23[[#All],[Claims: Long-Term Care]],AN_TME23[[#All],[Insurance Category Code]],1,AN_TME23[[#All],[Advanced Network/Insurance Carrier Org ID]],B186)/S186)</f>
        <v>NA</v>
      </c>
      <c r="AB186" s="109" t="str">
        <f>IF(S186=0,"NA",SUMIFS(AN_TME23[[#All],[Claims: Other]],AN_TME23[[#All],[Insurance Category Code]],1,AN_TME23[[#All],[Advanced Network/Insurance Carrier Org ID]],B186)/S186)</f>
        <v>NA</v>
      </c>
      <c r="AC186" s="165" t="str">
        <f>IF(S186=0,"NA",SUMIFS(AN_TME23[[#All],[TOTAL Non-Truncated Unadjusted Claims Expenses]],AN_TME23[[#All],[Insurance Category Code]],1,AN_TME23[[#All],[Advanced Network/Insurance Carrier Org ID]],B186)/S186)</f>
        <v>NA</v>
      </c>
      <c r="AD186" s="165" t="str">
        <f>IF(S186=0,"NA",SUMIFS(AN_TME23[[#All],[TOTAL Truncated Unadjusted Claims Expenses (A21 -A19)]],AN_TME23[[#All],[Insurance Category Code]],1,AN_TME23[[#All],[Advanced Network/Insurance Carrier Org ID]],B186)/S186)</f>
        <v>NA</v>
      </c>
      <c r="AE186" s="165" t="str">
        <f>IF(S186=0,"NA",SUMIFS(AN_TME23[[#All],[TOTAL Non-Claims Expenses]],AN_TME23[[#All],[Insurance Category Code]],1,AN_TME23[[#All],[Advanced Network/Insurance Carrier Org ID]],B186)/S186)</f>
        <v>NA</v>
      </c>
      <c r="AF186" s="165" t="str">
        <f>IF(S186=0,"NA",SUMIFS(AN_TME23[[#All],[TOTAL Non-Truncated Unadjusted Expenses (A21 + A23)]],AN_TME23[[#All],[Insurance Category Code]],1,AN_TME23[[#All],[Advanced Network/Insurance Carrier Org ID]],B186)/S186)</f>
        <v>NA</v>
      </c>
      <c r="AG186" s="156" t="str">
        <f>IF(S186=0,"NA",SUMIFS(AN_TME23[[#All],[TOTAL Truncated Unadjusted Expenses (A22 + A23)]],AN_TME23[[#All],[Insurance Category Code]],1,AN_TME23[[#All],[Advanced Network/Insurance Carrier Org ID]],B186)/S186)</f>
        <v>NA</v>
      </c>
      <c r="AH186" s="478" t="str">
        <f t="shared" si="259"/>
        <v>NA</v>
      </c>
      <c r="AI186" s="479" t="str">
        <f t="shared" si="260"/>
        <v>NA</v>
      </c>
      <c r="AJ186" s="480" t="str">
        <f t="shared" si="261"/>
        <v>NA</v>
      </c>
      <c r="AK186" s="480" t="str">
        <f t="shared" si="262"/>
        <v>NA</v>
      </c>
      <c r="AL186" s="480" t="str">
        <f t="shared" si="263"/>
        <v>NA</v>
      </c>
      <c r="AM186" s="480" t="str">
        <f t="shared" si="264"/>
        <v>NA</v>
      </c>
      <c r="AN186" s="480" t="str">
        <f t="shared" si="265"/>
        <v>NA</v>
      </c>
      <c r="AO186" s="480" t="str">
        <f t="shared" si="266"/>
        <v>NA</v>
      </c>
      <c r="AP186" s="480" t="str">
        <f t="shared" si="267"/>
        <v>NA</v>
      </c>
      <c r="AQ186" s="480" t="str">
        <f t="shared" si="268"/>
        <v>NA</v>
      </c>
      <c r="AR186" s="481" t="str">
        <f t="shared" si="269"/>
        <v>NA</v>
      </c>
      <c r="AS186" s="481" t="str">
        <f t="shared" si="270"/>
        <v>NA</v>
      </c>
      <c r="AT186" s="481" t="str">
        <f t="shared" si="271"/>
        <v>NA</v>
      </c>
      <c r="AU186" s="481" t="str">
        <f t="shared" si="272"/>
        <v>NA</v>
      </c>
      <c r="AV186" s="482" t="str">
        <f t="shared" si="273"/>
        <v>NA</v>
      </c>
    </row>
    <row r="187" spans="1:48" ht="15" customHeight="1" x14ac:dyDescent="0.25">
      <c r="A187" s="164"/>
      <c r="B187" s="166">
        <v>128</v>
      </c>
      <c r="C187" s="169" t="str">
        <f>_xlfn.XLOOKUP(B187, LgProvEntOrgIDs[Advanced Network/Insurer Carrier Org ID], LgProvEntOrgIDs[Advanced Network/Insurance Carrier Overall])</f>
        <v>United Community and Family Services</v>
      </c>
      <c r="D187" s="507">
        <f>SUMIFS(AN_TME22[[#All],[Member Months]],AN_TME22[[#All],[Insurance Category Code]],1,AN_TME22[[#All],[Advanced Network/Insurance Carrier Org ID]],B187)</f>
        <v>0</v>
      </c>
      <c r="E187" s="155" t="str">
        <f>IF(D187=0,"NA",SUMIFS(AN_TME22[[#All],[Claims: Hospital Inpatient]],AN_TME22[[#All],[Insurance Category Code]],1,AN_TME22[[#All],[Advanced Network/Insurance Carrier Org ID]],B187)/D187)</f>
        <v>NA</v>
      </c>
      <c r="F187" s="109" t="str">
        <f>IF(D187=0,"NA",SUMIFS(AN_TME22[[#All],[Claims: Hospital Outpatient]],AN_TME22[[#All],[Insurance Category Code]],1,AN_TME22[[#All],[Advanced Network/Insurance Carrier Org ID]],B187)/D187)</f>
        <v>NA</v>
      </c>
      <c r="G187" s="109" t="str">
        <f>IF(D187=0,"NA",SUMIFS(AN_TME22[[#All],[Claims: Professional, Primary Care]],AN_TME22[[#All],[Insurance Category Code]],1,AN_TME22[[#All],[Advanced Network/Insurance Carrier Org ID]],B187)/D187)</f>
        <v>NA</v>
      </c>
      <c r="H187" s="109" t="str">
        <f>IF(D187=0,"NA",SUMIFS(AN_TME22[[#All],[Claims: Professional, Primary Care (for Monitoring Purposes)]],AN_TME22[[#All],[Insurance Category Code]],1,AN_TME22[[#All],[Advanced Network/Insurance Carrier Org ID]],B187)/D187)</f>
        <v>NA</v>
      </c>
      <c r="I187" s="109" t="str">
        <f>IF(D187=0,"NA",SUMIFS(AN_TME22[[#All],[Claims: Professional, Specialty]],AN_TME22[[#All],[Insurance Category Code]],1,AN_TME22[[#All],[Advanced Network/Insurance Carrier Org ID]],B187)/D187)</f>
        <v>NA</v>
      </c>
      <c r="J187" s="109" t="str">
        <f>IF(D187=0,"NA",SUMIFS(AN_TME22[[#All],[Claims: Professional Other]],AN_TME22[[#All],[Insurance Category Code]],1,AN_TME22[[#All],[Advanced Network/Insurance Carrier Org ID]],B187)/D187)</f>
        <v>NA</v>
      </c>
      <c r="K187" s="109" t="str">
        <f>IF(D187=0,"NA",SUMIFS(AN_TME22[[#All],[Claims: Pharmacy]],AN_TME22[[#All],[Insurance Category Code]],1,AN_TME22[[#All],[Advanced Network/Insurance Carrier Org ID]],B187)/D187)</f>
        <v>NA</v>
      </c>
      <c r="L187" s="109" t="str">
        <f>IF(D187=0,"NA",SUMIFS(AN_TME22[[#All],[Claims: Long-Term Care]],AN_TME22[[#All],[Insurance Category Code]],1,AN_TME22[[#All],[Advanced Network/Insurance Carrier Org ID]],B187)/D187)</f>
        <v>NA</v>
      </c>
      <c r="M187" s="109" t="str">
        <f>IF(D187=0,"NA",SUMIFS(AN_TME22[[#All],[Claims: Other]],AN_TME22[[#All],[Insurance Category Code]],1,AN_TME22[[#All],[Advanced Network/Insurance Carrier Org ID]],B187)/D187)</f>
        <v>NA</v>
      </c>
      <c r="N187" s="165" t="str">
        <f>IF(D187=0,"NA",SUMIFS(AN_TME22[[#All],[TOTAL Non-Truncated Unadjusted Claims Expenses]],AN_TME22[[#All],[Insurance Category Code]],1,AN_TME22[[#All],[Advanced Network/Insurance Carrier Org ID]],B187)/D187)</f>
        <v>NA</v>
      </c>
      <c r="O187" s="165" t="str">
        <f>IF(D187=0,"NA",SUMIFS(AN_TME22[[#All],[TOTAL Truncated Unadjusted Claims Expenses (A21 -A19)]],AN_TME22[[#All],[Insurance Category Code]],1,AN_TME22[[#All],[Advanced Network/Insurance Carrier Org ID]],B187)/D187)</f>
        <v>NA</v>
      </c>
      <c r="P187" s="165" t="str">
        <f>IF(D187=0,"NA",SUMIFS(AN_TME22[[#All],[TOTAL Non-Claims Expenses]],AN_TME22[[#All],[Insurance Category Code]],1,AN_TME22[[#All],[Advanced Network/Insurance Carrier Org ID]],B187)/D187)</f>
        <v>NA</v>
      </c>
      <c r="Q187" s="165" t="str">
        <f>IF(D187=0,"NA",SUMIFS(AN_TME22[[#All],[TOTAL Non-Truncated Unadjusted Expenses (A21 + A23)]],AN_TME22[[#All],[Insurance Category Code]],1,AN_TME22[[#All],[Advanced Network/Insurance Carrier Org ID]],B187)/D187)</f>
        <v>NA</v>
      </c>
      <c r="R187" s="165" t="str">
        <f>IF(D187=0,"NA",SUMIFS(AN_TME22[[#All],[TOTAL Truncated Unadjusted Expenses (A22 + A23)]],AN_TME22[[#All],[Insurance Category Code]],1,AN_TME22[[#All],[Advanced Network/Insurance Carrier Org ID]],B187)/D187)</f>
        <v>NA</v>
      </c>
      <c r="S187" s="507">
        <f>SUMIFS(AN_TME23[[#All],[Member Months]],AN_TME23[[#All],[Insurance Category Code]],1,AN_TME23[[#All],[Advanced Network/Insurance Carrier Org ID]],B187)</f>
        <v>0</v>
      </c>
      <c r="T187" s="155" t="str">
        <f>IF(S187=0,"NA",SUMIFS(AN_TME23[[#All],[Claims: Hospital Inpatient]],AN_TME23[[#All],[Insurance Category Code]],1,AN_TME23[[#All],[Advanced Network/Insurance Carrier Org ID]],B187)/S187)</f>
        <v>NA</v>
      </c>
      <c r="U187" s="109" t="str">
        <f>IF(S187=0,"NA",SUMIFS(AN_TME23[[#All],[Claims: Hospital Outpatient]],AN_TME23[[#All],[Insurance Category Code]],1,AN_TME23[[#All],[Advanced Network/Insurance Carrier Org ID]],B187)/S187)</f>
        <v>NA</v>
      </c>
      <c r="V187" s="109" t="str">
        <f>IF(S187=0,"NA",SUMIFS(AN_TME23[[#All],[Claims: Professional, Primary Care]],AN_TME23[[#All],[Insurance Category Code]],1,AN_TME23[[#All],[Advanced Network/Insurance Carrier Org ID]],B187)/S187)</f>
        <v>NA</v>
      </c>
      <c r="W187" s="109" t="str">
        <f>IF(S187=0,"NA",SUMIFS(AN_TME23[[#All],[Claims: Professional, Primary Care (for Monitoring Purposes)]],AN_TME23[[#All],[Insurance Category Code]],1,AN_TME23[[#All],[Advanced Network/Insurance Carrier Org ID]],B187)/S187)</f>
        <v>NA</v>
      </c>
      <c r="X187" s="109" t="str">
        <f>IF(S187=0,"NA",SUMIFS(AN_TME23[[#All],[Claims: Professional, Specialty]],AN_TME23[[#All],[Insurance Category Code]],1,AN_TME23[[#All],[Advanced Network/Insurance Carrier Org ID]],B187)/S187)</f>
        <v>NA</v>
      </c>
      <c r="Y187" s="109" t="str">
        <f>IF(S187=0,"NA",SUMIFS(AN_TME23[[#All],[Claims: Professional Other]],AN_TME23[[#All],[Insurance Category Code]],1,AN_TME23[[#All],[Advanced Network/Insurance Carrier Org ID]],B187)/S187)</f>
        <v>NA</v>
      </c>
      <c r="Z187" s="109" t="str">
        <f>IF(S187=0,"NA",SUMIFS(AN_TME23[[#All],[Claims: Pharmacy]],AN_TME23[[#All],[Insurance Category Code]],1,AN_TME23[[#All],[Advanced Network/Insurance Carrier Org ID]],B187)/S187)</f>
        <v>NA</v>
      </c>
      <c r="AA187" s="109" t="str">
        <f>IF(S187=0,"NA",SUMIFS(AN_TME23[[#All],[Claims: Long-Term Care]],AN_TME23[[#All],[Insurance Category Code]],1,AN_TME23[[#All],[Advanced Network/Insurance Carrier Org ID]],B187)/S187)</f>
        <v>NA</v>
      </c>
      <c r="AB187" s="109" t="str">
        <f>IF(S187=0,"NA",SUMIFS(AN_TME23[[#All],[Claims: Other]],AN_TME23[[#All],[Insurance Category Code]],1,AN_TME23[[#All],[Advanced Network/Insurance Carrier Org ID]],B187)/S187)</f>
        <v>NA</v>
      </c>
      <c r="AC187" s="165" t="str">
        <f>IF(S187=0,"NA",SUMIFS(AN_TME23[[#All],[TOTAL Non-Truncated Unadjusted Claims Expenses]],AN_TME23[[#All],[Insurance Category Code]],1,AN_TME23[[#All],[Advanced Network/Insurance Carrier Org ID]],B187)/S187)</f>
        <v>NA</v>
      </c>
      <c r="AD187" s="165" t="str">
        <f>IF(S187=0,"NA",SUMIFS(AN_TME23[[#All],[TOTAL Truncated Unadjusted Claims Expenses (A21 -A19)]],AN_TME23[[#All],[Insurance Category Code]],1,AN_TME23[[#All],[Advanced Network/Insurance Carrier Org ID]],B187)/S187)</f>
        <v>NA</v>
      </c>
      <c r="AE187" s="165" t="str">
        <f>IF(S187=0,"NA",SUMIFS(AN_TME23[[#All],[TOTAL Non-Claims Expenses]],AN_TME23[[#All],[Insurance Category Code]],1,AN_TME23[[#All],[Advanced Network/Insurance Carrier Org ID]],B187)/S187)</f>
        <v>NA</v>
      </c>
      <c r="AF187" s="165" t="str">
        <f>IF(S187=0,"NA",SUMIFS(AN_TME23[[#All],[TOTAL Non-Truncated Unadjusted Expenses (A21 + A23)]],AN_TME23[[#All],[Insurance Category Code]],1,AN_TME23[[#All],[Advanced Network/Insurance Carrier Org ID]],B187)/S187)</f>
        <v>NA</v>
      </c>
      <c r="AG187" s="156" t="str">
        <f>IF(S187=0,"NA",SUMIFS(AN_TME23[[#All],[TOTAL Truncated Unadjusted Expenses (A22 + A23)]],AN_TME23[[#All],[Insurance Category Code]],1,AN_TME23[[#All],[Advanced Network/Insurance Carrier Org ID]],B187)/S187)</f>
        <v>NA</v>
      </c>
      <c r="AH187" s="478" t="str">
        <f t="shared" si="259"/>
        <v>NA</v>
      </c>
      <c r="AI187" s="479" t="str">
        <f t="shared" si="260"/>
        <v>NA</v>
      </c>
      <c r="AJ187" s="480" t="str">
        <f t="shared" si="261"/>
        <v>NA</v>
      </c>
      <c r="AK187" s="480" t="str">
        <f t="shared" si="262"/>
        <v>NA</v>
      </c>
      <c r="AL187" s="480" t="str">
        <f t="shared" si="263"/>
        <v>NA</v>
      </c>
      <c r="AM187" s="480" t="str">
        <f t="shared" si="264"/>
        <v>NA</v>
      </c>
      <c r="AN187" s="480" t="str">
        <f t="shared" si="265"/>
        <v>NA</v>
      </c>
      <c r="AO187" s="480" t="str">
        <f t="shared" si="266"/>
        <v>NA</v>
      </c>
      <c r="AP187" s="480" t="str">
        <f t="shared" si="267"/>
        <v>NA</v>
      </c>
      <c r="AQ187" s="480" t="str">
        <f t="shared" si="268"/>
        <v>NA</v>
      </c>
      <c r="AR187" s="481" t="str">
        <f t="shared" si="269"/>
        <v>NA</v>
      </c>
      <c r="AS187" s="481" t="str">
        <f t="shared" si="270"/>
        <v>NA</v>
      </c>
      <c r="AT187" s="481" t="str">
        <f t="shared" si="271"/>
        <v>NA</v>
      </c>
      <c r="AU187" s="481" t="str">
        <f t="shared" si="272"/>
        <v>NA</v>
      </c>
      <c r="AV187" s="482" t="str">
        <f t="shared" si="273"/>
        <v>NA</v>
      </c>
    </row>
    <row r="188" spans="1:48" ht="15" customHeight="1" x14ac:dyDescent="0.25">
      <c r="A188" s="164"/>
      <c r="B188" s="166">
        <v>129</v>
      </c>
      <c r="C188" s="169" t="str">
        <f>_xlfn.XLOOKUP(B188, LgProvEntOrgIDs[Advanced Network/Insurer Carrier Org ID], LgProvEntOrgIDs[Advanced Network/Insurance Carrier Overall])</f>
        <v>Summit Health (formerly WestMed Medical Group)</v>
      </c>
      <c r="D188" s="507">
        <f>SUMIFS(AN_TME22[[#All],[Member Months]],AN_TME22[[#All],[Insurance Category Code]],1,AN_TME22[[#All],[Advanced Network/Insurance Carrier Org ID]],B188)</f>
        <v>0</v>
      </c>
      <c r="E188" s="155" t="str">
        <f>IF(D188=0,"NA",SUMIFS(AN_TME22[[#All],[Claims: Hospital Inpatient]],AN_TME22[[#All],[Insurance Category Code]],1,AN_TME22[[#All],[Advanced Network/Insurance Carrier Org ID]],B188)/D188)</f>
        <v>NA</v>
      </c>
      <c r="F188" s="109" t="str">
        <f>IF(D188=0,"NA",SUMIFS(AN_TME22[[#All],[Claims: Hospital Outpatient]],AN_TME22[[#All],[Insurance Category Code]],1,AN_TME22[[#All],[Advanced Network/Insurance Carrier Org ID]],B188)/D188)</f>
        <v>NA</v>
      </c>
      <c r="G188" s="109" t="str">
        <f>IF(D188=0,"NA",SUMIFS(AN_TME22[[#All],[Claims: Professional, Primary Care]],AN_TME22[[#All],[Insurance Category Code]],1,AN_TME22[[#All],[Advanced Network/Insurance Carrier Org ID]],B188)/D188)</f>
        <v>NA</v>
      </c>
      <c r="H188" s="109" t="str">
        <f>IF(D188=0,"NA",SUMIFS(AN_TME22[[#All],[Claims: Professional, Primary Care (for Monitoring Purposes)]],AN_TME22[[#All],[Insurance Category Code]],1,AN_TME22[[#All],[Advanced Network/Insurance Carrier Org ID]],B188)/D188)</f>
        <v>NA</v>
      </c>
      <c r="I188" s="109" t="str">
        <f>IF(D188=0,"NA",SUMIFS(AN_TME22[[#All],[Claims: Professional, Specialty]],AN_TME22[[#All],[Insurance Category Code]],1,AN_TME22[[#All],[Advanced Network/Insurance Carrier Org ID]],B188)/D188)</f>
        <v>NA</v>
      </c>
      <c r="J188" s="109" t="str">
        <f>IF(D188=0,"NA",SUMIFS(AN_TME22[[#All],[Claims: Professional Other]],AN_TME22[[#All],[Insurance Category Code]],1,AN_TME22[[#All],[Advanced Network/Insurance Carrier Org ID]],B188)/D188)</f>
        <v>NA</v>
      </c>
      <c r="K188" s="109" t="str">
        <f>IF(D188=0,"NA",SUMIFS(AN_TME22[[#All],[Claims: Pharmacy]],AN_TME22[[#All],[Insurance Category Code]],1,AN_TME22[[#All],[Advanced Network/Insurance Carrier Org ID]],B188)/D188)</f>
        <v>NA</v>
      </c>
      <c r="L188" s="109" t="str">
        <f>IF(D188=0,"NA",SUMIFS(AN_TME22[[#All],[Claims: Long-Term Care]],AN_TME22[[#All],[Insurance Category Code]],1,AN_TME22[[#All],[Advanced Network/Insurance Carrier Org ID]],B188)/D188)</f>
        <v>NA</v>
      </c>
      <c r="M188" s="109" t="str">
        <f>IF(D188=0,"NA",SUMIFS(AN_TME22[[#All],[Claims: Other]],AN_TME22[[#All],[Insurance Category Code]],1,AN_TME22[[#All],[Advanced Network/Insurance Carrier Org ID]],B188)/D188)</f>
        <v>NA</v>
      </c>
      <c r="N188" s="165" t="str">
        <f>IF(D188=0,"NA",SUMIFS(AN_TME22[[#All],[TOTAL Non-Truncated Unadjusted Claims Expenses]],AN_TME22[[#All],[Insurance Category Code]],1,AN_TME22[[#All],[Advanced Network/Insurance Carrier Org ID]],B188)/D188)</f>
        <v>NA</v>
      </c>
      <c r="O188" s="165" t="str">
        <f>IF(D188=0,"NA",SUMIFS(AN_TME22[[#All],[TOTAL Truncated Unadjusted Claims Expenses (A21 -A19)]],AN_TME22[[#All],[Insurance Category Code]],1,AN_TME22[[#All],[Advanced Network/Insurance Carrier Org ID]],B188)/D188)</f>
        <v>NA</v>
      </c>
      <c r="P188" s="165" t="str">
        <f>IF(D188=0,"NA",SUMIFS(AN_TME22[[#All],[TOTAL Non-Claims Expenses]],AN_TME22[[#All],[Insurance Category Code]],1,AN_TME22[[#All],[Advanced Network/Insurance Carrier Org ID]],B188)/D188)</f>
        <v>NA</v>
      </c>
      <c r="Q188" s="165" t="str">
        <f>IF(D188=0,"NA",SUMIFS(AN_TME22[[#All],[TOTAL Non-Truncated Unadjusted Expenses (A21 + A23)]],AN_TME22[[#All],[Insurance Category Code]],1,AN_TME22[[#All],[Advanced Network/Insurance Carrier Org ID]],B188)/D188)</f>
        <v>NA</v>
      </c>
      <c r="R188" s="165" t="str">
        <f>IF(D188=0,"NA",SUMIFS(AN_TME22[[#All],[TOTAL Truncated Unadjusted Expenses (A22 + A23)]],AN_TME22[[#All],[Insurance Category Code]],1,AN_TME22[[#All],[Advanced Network/Insurance Carrier Org ID]],B188)/D188)</f>
        <v>NA</v>
      </c>
      <c r="S188" s="507">
        <f>SUMIFS(AN_TME23[[#All],[Member Months]],AN_TME23[[#All],[Insurance Category Code]],1,AN_TME23[[#All],[Advanced Network/Insurance Carrier Org ID]],B188)</f>
        <v>0</v>
      </c>
      <c r="T188" s="155" t="str">
        <f>IF(S188=0,"NA",SUMIFS(AN_TME23[[#All],[Claims: Hospital Inpatient]],AN_TME23[[#All],[Insurance Category Code]],1,AN_TME23[[#All],[Advanced Network/Insurance Carrier Org ID]],B188)/S188)</f>
        <v>NA</v>
      </c>
      <c r="U188" s="109" t="str">
        <f>IF(S188=0,"NA",SUMIFS(AN_TME23[[#All],[Claims: Hospital Outpatient]],AN_TME23[[#All],[Insurance Category Code]],1,AN_TME23[[#All],[Advanced Network/Insurance Carrier Org ID]],B188)/S188)</f>
        <v>NA</v>
      </c>
      <c r="V188" s="109" t="str">
        <f>IF(S188=0,"NA",SUMIFS(AN_TME23[[#All],[Claims: Professional, Primary Care]],AN_TME23[[#All],[Insurance Category Code]],1,AN_TME23[[#All],[Advanced Network/Insurance Carrier Org ID]],B188)/S188)</f>
        <v>NA</v>
      </c>
      <c r="W188" s="109" t="str">
        <f>IF(S188=0,"NA",SUMIFS(AN_TME23[[#All],[Claims: Professional, Primary Care (for Monitoring Purposes)]],AN_TME23[[#All],[Insurance Category Code]],1,AN_TME23[[#All],[Advanced Network/Insurance Carrier Org ID]],B188)/S188)</f>
        <v>NA</v>
      </c>
      <c r="X188" s="109" t="str">
        <f>IF(S188=0,"NA",SUMIFS(AN_TME23[[#All],[Claims: Professional, Specialty]],AN_TME23[[#All],[Insurance Category Code]],1,AN_TME23[[#All],[Advanced Network/Insurance Carrier Org ID]],B188)/S188)</f>
        <v>NA</v>
      </c>
      <c r="Y188" s="109" t="str">
        <f>IF(S188=0,"NA",SUMIFS(AN_TME23[[#All],[Claims: Professional Other]],AN_TME23[[#All],[Insurance Category Code]],1,AN_TME23[[#All],[Advanced Network/Insurance Carrier Org ID]],B188)/S188)</f>
        <v>NA</v>
      </c>
      <c r="Z188" s="109" t="str">
        <f>IF(S188=0,"NA",SUMIFS(AN_TME23[[#All],[Claims: Pharmacy]],AN_TME23[[#All],[Insurance Category Code]],1,AN_TME23[[#All],[Advanced Network/Insurance Carrier Org ID]],B188)/S188)</f>
        <v>NA</v>
      </c>
      <c r="AA188" s="109" t="str">
        <f>IF(S188=0,"NA",SUMIFS(AN_TME23[[#All],[Claims: Long-Term Care]],AN_TME23[[#All],[Insurance Category Code]],1,AN_TME23[[#All],[Advanced Network/Insurance Carrier Org ID]],B188)/S188)</f>
        <v>NA</v>
      </c>
      <c r="AB188" s="109" t="str">
        <f>IF(S188=0,"NA",SUMIFS(AN_TME23[[#All],[Claims: Other]],AN_TME23[[#All],[Insurance Category Code]],1,AN_TME23[[#All],[Advanced Network/Insurance Carrier Org ID]],B188)/S188)</f>
        <v>NA</v>
      </c>
      <c r="AC188" s="165" t="str">
        <f>IF(S188=0,"NA",SUMIFS(AN_TME23[[#All],[TOTAL Non-Truncated Unadjusted Claims Expenses]],AN_TME23[[#All],[Insurance Category Code]],1,AN_TME23[[#All],[Advanced Network/Insurance Carrier Org ID]],B188)/S188)</f>
        <v>NA</v>
      </c>
      <c r="AD188" s="165" t="str">
        <f>IF(S188=0,"NA",SUMIFS(AN_TME23[[#All],[TOTAL Truncated Unadjusted Claims Expenses (A21 -A19)]],AN_TME23[[#All],[Insurance Category Code]],1,AN_TME23[[#All],[Advanced Network/Insurance Carrier Org ID]],B188)/S188)</f>
        <v>NA</v>
      </c>
      <c r="AE188" s="165" t="str">
        <f>IF(S188=0,"NA",SUMIFS(AN_TME23[[#All],[TOTAL Non-Claims Expenses]],AN_TME23[[#All],[Insurance Category Code]],1,AN_TME23[[#All],[Advanced Network/Insurance Carrier Org ID]],B188)/S188)</f>
        <v>NA</v>
      </c>
      <c r="AF188" s="165" t="str">
        <f>IF(S188=0,"NA",SUMIFS(AN_TME23[[#All],[TOTAL Non-Truncated Unadjusted Expenses (A21 + A23)]],AN_TME23[[#All],[Insurance Category Code]],1,AN_TME23[[#All],[Advanced Network/Insurance Carrier Org ID]],B188)/S188)</f>
        <v>NA</v>
      </c>
      <c r="AG188" s="156" t="str">
        <f>IF(S188=0,"NA",SUMIFS(AN_TME23[[#All],[TOTAL Truncated Unadjusted Expenses (A22 + A23)]],AN_TME23[[#All],[Insurance Category Code]],1,AN_TME23[[#All],[Advanced Network/Insurance Carrier Org ID]],B188)/S188)</f>
        <v>NA</v>
      </c>
      <c r="AH188" s="478" t="str">
        <f t="shared" si="259"/>
        <v>NA</v>
      </c>
      <c r="AI188" s="479" t="str">
        <f t="shared" si="260"/>
        <v>NA</v>
      </c>
      <c r="AJ188" s="480" t="str">
        <f t="shared" si="261"/>
        <v>NA</v>
      </c>
      <c r="AK188" s="480" t="str">
        <f t="shared" si="262"/>
        <v>NA</v>
      </c>
      <c r="AL188" s="480" t="str">
        <f t="shared" si="263"/>
        <v>NA</v>
      </c>
      <c r="AM188" s="480" t="str">
        <f t="shared" si="264"/>
        <v>NA</v>
      </c>
      <c r="AN188" s="480" t="str">
        <f t="shared" si="265"/>
        <v>NA</v>
      </c>
      <c r="AO188" s="480" t="str">
        <f t="shared" si="266"/>
        <v>NA</v>
      </c>
      <c r="AP188" s="480" t="str">
        <f t="shared" si="267"/>
        <v>NA</v>
      </c>
      <c r="AQ188" s="480" t="str">
        <f t="shared" si="268"/>
        <v>NA</v>
      </c>
      <c r="AR188" s="481" t="str">
        <f t="shared" si="269"/>
        <v>NA</v>
      </c>
      <c r="AS188" s="481" t="str">
        <f t="shared" si="270"/>
        <v>NA</v>
      </c>
      <c r="AT188" s="481" t="str">
        <f t="shared" si="271"/>
        <v>NA</v>
      </c>
      <c r="AU188" s="481" t="str">
        <f t="shared" si="272"/>
        <v>NA</v>
      </c>
      <c r="AV188" s="482" t="str">
        <f t="shared" si="273"/>
        <v>NA</v>
      </c>
    </row>
    <row r="189" spans="1:48" ht="15" customHeight="1" x14ac:dyDescent="0.25">
      <c r="A189" s="164"/>
      <c r="B189" s="166">
        <v>130</v>
      </c>
      <c r="C189" s="169" t="str">
        <f>_xlfn.XLOOKUP(B189, LgProvEntOrgIDs[Advanced Network/Insurer Carrier Org ID], LgProvEntOrgIDs[Advanced Network/Insurance Carrier Overall])</f>
        <v>Wheeler Clinic</v>
      </c>
      <c r="D189" s="507">
        <f>SUMIFS(AN_TME22[[#All],[Member Months]],AN_TME22[[#All],[Insurance Category Code]],1,AN_TME22[[#All],[Advanced Network/Insurance Carrier Org ID]],B189)</f>
        <v>0</v>
      </c>
      <c r="E189" s="155" t="str">
        <f>IF(D189=0,"NA",SUMIFS(AN_TME22[[#All],[Claims: Hospital Inpatient]],AN_TME22[[#All],[Insurance Category Code]],1,AN_TME22[[#All],[Advanced Network/Insurance Carrier Org ID]],B189)/D189)</f>
        <v>NA</v>
      </c>
      <c r="F189" s="109" t="str">
        <f>IF(D189=0,"NA",SUMIFS(AN_TME22[[#All],[Claims: Hospital Outpatient]],AN_TME22[[#All],[Insurance Category Code]],1,AN_TME22[[#All],[Advanced Network/Insurance Carrier Org ID]],B189)/D189)</f>
        <v>NA</v>
      </c>
      <c r="G189" s="109" t="str">
        <f>IF(D189=0,"NA",SUMIFS(AN_TME22[[#All],[Claims: Professional, Primary Care]],AN_TME22[[#All],[Insurance Category Code]],1,AN_TME22[[#All],[Advanced Network/Insurance Carrier Org ID]],B189)/D189)</f>
        <v>NA</v>
      </c>
      <c r="H189" s="109" t="str">
        <f>IF(D189=0,"NA",SUMIFS(AN_TME22[[#All],[Claims: Professional, Primary Care (for Monitoring Purposes)]],AN_TME22[[#All],[Insurance Category Code]],1,AN_TME22[[#All],[Advanced Network/Insurance Carrier Org ID]],B189)/D189)</f>
        <v>NA</v>
      </c>
      <c r="I189" s="109" t="str">
        <f>IF(D189=0,"NA",SUMIFS(AN_TME22[[#All],[Claims: Professional, Specialty]],AN_TME22[[#All],[Insurance Category Code]],1,AN_TME22[[#All],[Advanced Network/Insurance Carrier Org ID]],B189)/D189)</f>
        <v>NA</v>
      </c>
      <c r="J189" s="109" t="str">
        <f>IF(D189=0,"NA",SUMIFS(AN_TME22[[#All],[Claims: Professional Other]],AN_TME22[[#All],[Insurance Category Code]],1,AN_TME22[[#All],[Advanced Network/Insurance Carrier Org ID]],B189)/D189)</f>
        <v>NA</v>
      </c>
      <c r="K189" s="109" t="str">
        <f>IF(D189=0,"NA",SUMIFS(AN_TME22[[#All],[Claims: Pharmacy]],AN_TME22[[#All],[Insurance Category Code]],1,AN_TME22[[#All],[Advanced Network/Insurance Carrier Org ID]],B189)/D189)</f>
        <v>NA</v>
      </c>
      <c r="L189" s="109" t="str">
        <f>IF(D189=0,"NA",SUMIFS(AN_TME22[[#All],[Claims: Long-Term Care]],AN_TME22[[#All],[Insurance Category Code]],1,AN_TME22[[#All],[Advanced Network/Insurance Carrier Org ID]],B189)/D189)</f>
        <v>NA</v>
      </c>
      <c r="M189" s="109" t="str">
        <f>IF(D189=0,"NA",SUMIFS(AN_TME22[[#All],[Claims: Other]],AN_TME22[[#All],[Insurance Category Code]],1,AN_TME22[[#All],[Advanced Network/Insurance Carrier Org ID]],B189)/D189)</f>
        <v>NA</v>
      </c>
      <c r="N189" s="165" t="str">
        <f>IF(D189=0,"NA",SUMIFS(AN_TME22[[#All],[TOTAL Non-Truncated Unadjusted Claims Expenses]],AN_TME22[[#All],[Insurance Category Code]],1,AN_TME22[[#All],[Advanced Network/Insurance Carrier Org ID]],B189)/D189)</f>
        <v>NA</v>
      </c>
      <c r="O189" s="165" t="str">
        <f>IF(D189=0,"NA",SUMIFS(AN_TME22[[#All],[TOTAL Truncated Unadjusted Claims Expenses (A21 -A19)]],AN_TME22[[#All],[Insurance Category Code]],1,AN_TME22[[#All],[Advanced Network/Insurance Carrier Org ID]],B189)/D189)</f>
        <v>NA</v>
      </c>
      <c r="P189" s="165" t="str">
        <f>IF(D189=0,"NA",SUMIFS(AN_TME22[[#All],[TOTAL Non-Claims Expenses]],AN_TME22[[#All],[Insurance Category Code]],1,AN_TME22[[#All],[Advanced Network/Insurance Carrier Org ID]],B189)/D189)</f>
        <v>NA</v>
      </c>
      <c r="Q189" s="165" t="str">
        <f>IF(D189=0,"NA",SUMIFS(AN_TME22[[#All],[TOTAL Non-Truncated Unadjusted Expenses (A21 + A23)]],AN_TME22[[#All],[Insurance Category Code]],1,AN_TME22[[#All],[Advanced Network/Insurance Carrier Org ID]],B189)/D189)</f>
        <v>NA</v>
      </c>
      <c r="R189" s="165" t="str">
        <f>IF(D189=0,"NA",SUMIFS(AN_TME22[[#All],[TOTAL Truncated Unadjusted Expenses (A22 + A23)]],AN_TME22[[#All],[Insurance Category Code]],1,AN_TME22[[#All],[Advanced Network/Insurance Carrier Org ID]],B189)/D189)</f>
        <v>NA</v>
      </c>
      <c r="S189" s="507">
        <f>SUMIFS(AN_TME23[[#All],[Member Months]],AN_TME23[[#All],[Insurance Category Code]],1,AN_TME23[[#All],[Advanced Network/Insurance Carrier Org ID]],B189)</f>
        <v>0</v>
      </c>
      <c r="T189" s="155" t="str">
        <f>IF(S189=0,"NA",SUMIFS(AN_TME23[[#All],[Claims: Hospital Inpatient]],AN_TME23[[#All],[Insurance Category Code]],1,AN_TME23[[#All],[Advanced Network/Insurance Carrier Org ID]],B189)/S189)</f>
        <v>NA</v>
      </c>
      <c r="U189" s="109" t="str">
        <f>IF(S189=0,"NA",SUMIFS(AN_TME23[[#All],[Claims: Hospital Outpatient]],AN_TME23[[#All],[Insurance Category Code]],1,AN_TME23[[#All],[Advanced Network/Insurance Carrier Org ID]],B189)/S189)</f>
        <v>NA</v>
      </c>
      <c r="V189" s="109" t="str">
        <f>IF(S189=0,"NA",SUMIFS(AN_TME23[[#All],[Claims: Professional, Primary Care]],AN_TME23[[#All],[Insurance Category Code]],1,AN_TME23[[#All],[Advanced Network/Insurance Carrier Org ID]],B189)/S189)</f>
        <v>NA</v>
      </c>
      <c r="W189" s="109" t="str">
        <f>IF(S189=0,"NA",SUMIFS(AN_TME23[[#All],[Claims: Professional, Primary Care (for Monitoring Purposes)]],AN_TME23[[#All],[Insurance Category Code]],1,AN_TME23[[#All],[Advanced Network/Insurance Carrier Org ID]],B189)/S189)</f>
        <v>NA</v>
      </c>
      <c r="X189" s="109" t="str">
        <f>IF(S189=0,"NA",SUMIFS(AN_TME23[[#All],[Claims: Professional, Specialty]],AN_TME23[[#All],[Insurance Category Code]],1,AN_TME23[[#All],[Advanced Network/Insurance Carrier Org ID]],B189)/S189)</f>
        <v>NA</v>
      </c>
      <c r="Y189" s="109" t="str">
        <f>IF(S189=0,"NA",SUMIFS(AN_TME23[[#All],[Claims: Professional Other]],AN_TME23[[#All],[Insurance Category Code]],1,AN_TME23[[#All],[Advanced Network/Insurance Carrier Org ID]],B189)/S189)</f>
        <v>NA</v>
      </c>
      <c r="Z189" s="109" t="str">
        <f>IF(S189=0,"NA",SUMIFS(AN_TME23[[#All],[Claims: Pharmacy]],AN_TME23[[#All],[Insurance Category Code]],1,AN_TME23[[#All],[Advanced Network/Insurance Carrier Org ID]],B189)/S189)</f>
        <v>NA</v>
      </c>
      <c r="AA189" s="109" t="str">
        <f>IF(S189=0,"NA",SUMIFS(AN_TME23[[#All],[Claims: Long-Term Care]],AN_TME23[[#All],[Insurance Category Code]],1,AN_TME23[[#All],[Advanced Network/Insurance Carrier Org ID]],B189)/S189)</f>
        <v>NA</v>
      </c>
      <c r="AB189" s="109" t="str">
        <f>IF(S189=0,"NA",SUMIFS(AN_TME23[[#All],[Claims: Other]],AN_TME23[[#All],[Insurance Category Code]],1,AN_TME23[[#All],[Advanced Network/Insurance Carrier Org ID]],B189)/S189)</f>
        <v>NA</v>
      </c>
      <c r="AC189" s="165" t="str">
        <f>IF(S189=0,"NA",SUMIFS(AN_TME23[[#All],[TOTAL Non-Truncated Unadjusted Claims Expenses]],AN_TME23[[#All],[Insurance Category Code]],1,AN_TME23[[#All],[Advanced Network/Insurance Carrier Org ID]],B189)/S189)</f>
        <v>NA</v>
      </c>
      <c r="AD189" s="165" t="str">
        <f>IF(S189=0,"NA",SUMIFS(AN_TME23[[#All],[TOTAL Truncated Unadjusted Claims Expenses (A21 -A19)]],AN_TME23[[#All],[Insurance Category Code]],1,AN_TME23[[#All],[Advanced Network/Insurance Carrier Org ID]],B189)/S189)</f>
        <v>NA</v>
      </c>
      <c r="AE189" s="165" t="str">
        <f>IF(S189=0,"NA",SUMIFS(AN_TME23[[#All],[TOTAL Non-Claims Expenses]],AN_TME23[[#All],[Insurance Category Code]],1,AN_TME23[[#All],[Advanced Network/Insurance Carrier Org ID]],B189)/S189)</f>
        <v>NA</v>
      </c>
      <c r="AF189" s="165" t="str">
        <f>IF(S189=0,"NA",SUMIFS(AN_TME23[[#All],[TOTAL Non-Truncated Unadjusted Expenses (A21 + A23)]],AN_TME23[[#All],[Insurance Category Code]],1,AN_TME23[[#All],[Advanced Network/Insurance Carrier Org ID]],B189)/S189)</f>
        <v>NA</v>
      </c>
      <c r="AG189" s="156" t="str">
        <f>IF(S189=0,"NA",SUMIFS(AN_TME23[[#All],[TOTAL Truncated Unadjusted Expenses (A22 + A23)]],AN_TME23[[#All],[Insurance Category Code]],1,AN_TME23[[#All],[Advanced Network/Insurance Carrier Org ID]],B189)/S189)</f>
        <v>NA</v>
      </c>
      <c r="AH189" s="478" t="str">
        <f t="shared" si="259"/>
        <v>NA</v>
      </c>
      <c r="AI189" s="479" t="str">
        <f t="shared" si="260"/>
        <v>NA</v>
      </c>
      <c r="AJ189" s="480" t="str">
        <f t="shared" si="261"/>
        <v>NA</v>
      </c>
      <c r="AK189" s="480" t="str">
        <f t="shared" si="262"/>
        <v>NA</v>
      </c>
      <c r="AL189" s="480" t="str">
        <f t="shared" si="263"/>
        <v>NA</v>
      </c>
      <c r="AM189" s="480" t="str">
        <f t="shared" si="264"/>
        <v>NA</v>
      </c>
      <c r="AN189" s="480" t="str">
        <f t="shared" si="265"/>
        <v>NA</v>
      </c>
      <c r="AO189" s="480" t="str">
        <f t="shared" si="266"/>
        <v>NA</v>
      </c>
      <c r="AP189" s="480" t="str">
        <f t="shared" si="267"/>
        <v>NA</v>
      </c>
      <c r="AQ189" s="480" t="str">
        <f t="shared" si="268"/>
        <v>NA</v>
      </c>
      <c r="AR189" s="481" t="str">
        <f t="shared" si="269"/>
        <v>NA</v>
      </c>
      <c r="AS189" s="481" t="str">
        <f t="shared" si="270"/>
        <v>NA</v>
      </c>
      <c r="AT189" s="481" t="str">
        <f t="shared" si="271"/>
        <v>NA</v>
      </c>
      <c r="AU189" s="481" t="str">
        <f t="shared" si="272"/>
        <v>NA</v>
      </c>
      <c r="AV189" s="482" t="str">
        <f t="shared" si="273"/>
        <v>NA</v>
      </c>
    </row>
    <row r="190" spans="1:48" ht="15" customHeight="1" x14ac:dyDescent="0.25">
      <c r="A190" s="164"/>
      <c r="B190" s="166">
        <v>131</v>
      </c>
      <c r="C190" s="169" t="str">
        <f>_xlfn.XLOOKUP(B190, LgProvEntOrgIDs[Advanced Network/Insurer Carrier Org ID], LgProvEntOrgIDs[Advanced Network/Insurance Carrier Overall])</f>
        <v>Yale Medicine</v>
      </c>
      <c r="D190" s="507">
        <f>SUMIFS(AN_TME22[[#All],[Member Months]],AN_TME22[[#All],[Insurance Category Code]],1,AN_TME22[[#All],[Advanced Network/Insurance Carrier Org ID]],B190)</f>
        <v>0</v>
      </c>
      <c r="E190" s="155" t="str">
        <f>IF(D190=0,"NA",SUMIFS(AN_TME22[[#All],[Claims: Hospital Inpatient]],AN_TME22[[#All],[Insurance Category Code]],1,AN_TME22[[#All],[Advanced Network/Insurance Carrier Org ID]],B190)/D190)</f>
        <v>NA</v>
      </c>
      <c r="F190" s="109" t="str">
        <f>IF(D190=0,"NA",SUMIFS(AN_TME22[[#All],[Claims: Hospital Outpatient]],AN_TME22[[#All],[Insurance Category Code]],1,AN_TME22[[#All],[Advanced Network/Insurance Carrier Org ID]],B190)/D190)</f>
        <v>NA</v>
      </c>
      <c r="G190" s="109" t="str">
        <f>IF(D190=0,"NA",SUMIFS(AN_TME22[[#All],[Claims: Professional, Primary Care]],AN_TME22[[#All],[Insurance Category Code]],1,AN_TME22[[#All],[Advanced Network/Insurance Carrier Org ID]],B190)/D190)</f>
        <v>NA</v>
      </c>
      <c r="H190" s="109" t="str">
        <f>IF(D190=0,"NA",SUMIFS(AN_TME22[[#All],[Claims: Professional, Primary Care (for Monitoring Purposes)]],AN_TME22[[#All],[Insurance Category Code]],1,AN_TME22[[#All],[Advanced Network/Insurance Carrier Org ID]],B190)/D190)</f>
        <v>NA</v>
      </c>
      <c r="I190" s="109" t="str">
        <f>IF(D190=0,"NA",SUMIFS(AN_TME22[[#All],[Claims: Professional, Specialty]],AN_TME22[[#All],[Insurance Category Code]],1,AN_TME22[[#All],[Advanced Network/Insurance Carrier Org ID]],B190)/D190)</f>
        <v>NA</v>
      </c>
      <c r="J190" s="109" t="str">
        <f>IF(D190=0,"NA",SUMIFS(AN_TME22[[#All],[Claims: Professional Other]],AN_TME22[[#All],[Insurance Category Code]],1,AN_TME22[[#All],[Advanced Network/Insurance Carrier Org ID]],B190)/D190)</f>
        <v>NA</v>
      </c>
      <c r="K190" s="109" t="str">
        <f>IF(D190=0,"NA",SUMIFS(AN_TME22[[#All],[Claims: Pharmacy]],AN_TME22[[#All],[Insurance Category Code]],1,AN_TME22[[#All],[Advanced Network/Insurance Carrier Org ID]],B190)/D190)</f>
        <v>NA</v>
      </c>
      <c r="L190" s="109" t="str">
        <f>IF(D190=0,"NA",SUMIFS(AN_TME22[[#All],[Claims: Long-Term Care]],AN_TME22[[#All],[Insurance Category Code]],1,AN_TME22[[#All],[Advanced Network/Insurance Carrier Org ID]],B190)/D190)</f>
        <v>NA</v>
      </c>
      <c r="M190" s="109" t="str">
        <f>IF(D190=0,"NA",SUMIFS(AN_TME22[[#All],[Claims: Other]],AN_TME22[[#All],[Insurance Category Code]],1,AN_TME22[[#All],[Advanced Network/Insurance Carrier Org ID]],B190)/D190)</f>
        <v>NA</v>
      </c>
      <c r="N190" s="165" t="str">
        <f>IF(D190=0,"NA",SUMIFS(AN_TME22[[#All],[TOTAL Non-Truncated Unadjusted Claims Expenses]],AN_TME22[[#All],[Insurance Category Code]],1,AN_TME22[[#All],[Advanced Network/Insurance Carrier Org ID]],B190)/D190)</f>
        <v>NA</v>
      </c>
      <c r="O190" s="165" t="str">
        <f>IF(D190=0,"NA",SUMIFS(AN_TME22[[#All],[TOTAL Truncated Unadjusted Claims Expenses (A21 -A19)]],AN_TME22[[#All],[Insurance Category Code]],1,AN_TME22[[#All],[Advanced Network/Insurance Carrier Org ID]],B190)/D190)</f>
        <v>NA</v>
      </c>
      <c r="P190" s="165" t="str">
        <f>IF(D190=0,"NA",SUMIFS(AN_TME22[[#All],[TOTAL Non-Claims Expenses]],AN_TME22[[#All],[Insurance Category Code]],1,AN_TME22[[#All],[Advanced Network/Insurance Carrier Org ID]],B190)/D190)</f>
        <v>NA</v>
      </c>
      <c r="Q190" s="165" t="str">
        <f>IF(D190=0,"NA",SUMIFS(AN_TME22[[#All],[TOTAL Non-Truncated Unadjusted Expenses (A21 + A23)]],AN_TME22[[#All],[Insurance Category Code]],1,AN_TME22[[#All],[Advanced Network/Insurance Carrier Org ID]],B190)/D190)</f>
        <v>NA</v>
      </c>
      <c r="R190" s="165" t="str">
        <f>IF(D190=0,"NA",SUMIFS(AN_TME22[[#All],[TOTAL Truncated Unadjusted Expenses (A22 + A23)]],AN_TME22[[#All],[Insurance Category Code]],1,AN_TME22[[#All],[Advanced Network/Insurance Carrier Org ID]],B190)/D190)</f>
        <v>NA</v>
      </c>
      <c r="S190" s="507">
        <f>SUMIFS(AN_TME23[[#All],[Member Months]],AN_TME23[[#All],[Insurance Category Code]],1,AN_TME23[[#All],[Advanced Network/Insurance Carrier Org ID]],B190)</f>
        <v>0</v>
      </c>
      <c r="T190" s="155" t="str">
        <f>IF(S190=0,"NA",SUMIFS(AN_TME23[[#All],[Claims: Hospital Inpatient]],AN_TME23[[#All],[Insurance Category Code]],1,AN_TME23[[#All],[Advanced Network/Insurance Carrier Org ID]],B190)/S190)</f>
        <v>NA</v>
      </c>
      <c r="U190" s="109" t="str">
        <f>IF(S190=0,"NA",SUMIFS(AN_TME23[[#All],[Claims: Hospital Outpatient]],AN_TME23[[#All],[Insurance Category Code]],1,AN_TME23[[#All],[Advanced Network/Insurance Carrier Org ID]],B190)/S190)</f>
        <v>NA</v>
      </c>
      <c r="V190" s="109" t="str">
        <f>IF(S190=0,"NA",SUMIFS(AN_TME23[[#All],[Claims: Professional, Primary Care]],AN_TME23[[#All],[Insurance Category Code]],1,AN_TME23[[#All],[Advanced Network/Insurance Carrier Org ID]],B190)/S190)</f>
        <v>NA</v>
      </c>
      <c r="W190" s="109" t="str">
        <f>IF(S190=0,"NA",SUMIFS(AN_TME23[[#All],[Claims: Professional, Primary Care (for Monitoring Purposes)]],AN_TME23[[#All],[Insurance Category Code]],1,AN_TME23[[#All],[Advanced Network/Insurance Carrier Org ID]],B190)/S190)</f>
        <v>NA</v>
      </c>
      <c r="X190" s="109" t="str">
        <f>IF(S190=0,"NA",SUMIFS(AN_TME23[[#All],[Claims: Professional, Specialty]],AN_TME23[[#All],[Insurance Category Code]],1,AN_TME23[[#All],[Advanced Network/Insurance Carrier Org ID]],B190)/S190)</f>
        <v>NA</v>
      </c>
      <c r="Y190" s="109" t="str">
        <f>IF(S190=0,"NA",SUMIFS(AN_TME23[[#All],[Claims: Professional Other]],AN_TME23[[#All],[Insurance Category Code]],1,AN_TME23[[#All],[Advanced Network/Insurance Carrier Org ID]],B190)/S190)</f>
        <v>NA</v>
      </c>
      <c r="Z190" s="109" t="str">
        <f>IF(S190=0,"NA",SUMIFS(AN_TME23[[#All],[Claims: Pharmacy]],AN_TME23[[#All],[Insurance Category Code]],1,AN_TME23[[#All],[Advanced Network/Insurance Carrier Org ID]],B190)/S190)</f>
        <v>NA</v>
      </c>
      <c r="AA190" s="109" t="str">
        <f>IF(S190=0,"NA",SUMIFS(AN_TME23[[#All],[Claims: Long-Term Care]],AN_TME23[[#All],[Insurance Category Code]],1,AN_TME23[[#All],[Advanced Network/Insurance Carrier Org ID]],B190)/S190)</f>
        <v>NA</v>
      </c>
      <c r="AB190" s="109" t="str">
        <f>IF(S190=0,"NA",SUMIFS(AN_TME23[[#All],[Claims: Other]],AN_TME23[[#All],[Insurance Category Code]],1,AN_TME23[[#All],[Advanced Network/Insurance Carrier Org ID]],B190)/S190)</f>
        <v>NA</v>
      </c>
      <c r="AC190" s="165" t="str">
        <f>IF(S190=0,"NA",SUMIFS(AN_TME23[[#All],[TOTAL Non-Truncated Unadjusted Claims Expenses]],AN_TME23[[#All],[Insurance Category Code]],1,AN_TME23[[#All],[Advanced Network/Insurance Carrier Org ID]],B190)/S190)</f>
        <v>NA</v>
      </c>
      <c r="AD190" s="165" t="str">
        <f>IF(S190=0,"NA",SUMIFS(AN_TME23[[#All],[TOTAL Truncated Unadjusted Claims Expenses (A21 -A19)]],AN_TME23[[#All],[Insurance Category Code]],1,AN_TME23[[#All],[Advanced Network/Insurance Carrier Org ID]],B190)/S190)</f>
        <v>NA</v>
      </c>
      <c r="AE190" s="165" t="str">
        <f>IF(S190=0,"NA",SUMIFS(AN_TME23[[#All],[TOTAL Non-Claims Expenses]],AN_TME23[[#All],[Insurance Category Code]],1,AN_TME23[[#All],[Advanced Network/Insurance Carrier Org ID]],B190)/S190)</f>
        <v>NA</v>
      </c>
      <c r="AF190" s="165" t="str">
        <f>IF(S190=0,"NA",SUMIFS(AN_TME23[[#All],[TOTAL Non-Truncated Unadjusted Expenses (A21 + A23)]],AN_TME23[[#All],[Insurance Category Code]],1,AN_TME23[[#All],[Advanced Network/Insurance Carrier Org ID]],B190)/S190)</f>
        <v>NA</v>
      </c>
      <c r="AG190" s="156" t="str">
        <f>IF(S190=0,"NA",SUMIFS(AN_TME23[[#All],[TOTAL Truncated Unadjusted Expenses (A22 + A23)]],AN_TME23[[#All],[Insurance Category Code]],1,AN_TME23[[#All],[Advanced Network/Insurance Carrier Org ID]],B190)/S190)</f>
        <v>NA</v>
      </c>
      <c r="AH190" s="478" t="str">
        <f t="shared" si="259"/>
        <v>NA</v>
      </c>
      <c r="AI190" s="479" t="str">
        <f t="shared" si="260"/>
        <v>NA</v>
      </c>
      <c r="AJ190" s="480" t="str">
        <f t="shared" si="261"/>
        <v>NA</v>
      </c>
      <c r="AK190" s="480" t="str">
        <f t="shared" si="262"/>
        <v>NA</v>
      </c>
      <c r="AL190" s="480" t="str">
        <f t="shared" si="263"/>
        <v>NA</v>
      </c>
      <c r="AM190" s="480" t="str">
        <f t="shared" si="264"/>
        <v>NA</v>
      </c>
      <c r="AN190" s="480" t="str">
        <f t="shared" si="265"/>
        <v>NA</v>
      </c>
      <c r="AO190" s="480" t="str">
        <f t="shared" si="266"/>
        <v>NA</v>
      </c>
      <c r="AP190" s="480" t="str">
        <f t="shared" si="267"/>
        <v>NA</v>
      </c>
      <c r="AQ190" s="480" t="str">
        <f t="shared" si="268"/>
        <v>NA</v>
      </c>
      <c r="AR190" s="481" t="str">
        <f t="shared" si="269"/>
        <v>NA</v>
      </c>
      <c r="AS190" s="481" t="str">
        <f t="shared" si="270"/>
        <v>NA</v>
      </c>
      <c r="AT190" s="481" t="str">
        <f t="shared" si="271"/>
        <v>NA</v>
      </c>
      <c r="AU190" s="481" t="str">
        <f t="shared" si="272"/>
        <v>NA</v>
      </c>
      <c r="AV190" s="482" t="str">
        <f t="shared" si="273"/>
        <v>NA</v>
      </c>
    </row>
    <row r="191" spans="1:48" ht="15" customHeight="1" x14ac:dyDescent="0.25">
      <c r="A191" s="164"/>
      <c r="B191" s="166">
        <v>999</v>
      </c>
      <c r="C191" s="169" t="str">
        <f>_xlfn.XLOOKUP(B191, LgProvEntOrgIDs[Advanced Network/Insurer Carrier Org ID], LgProvEntOrgIDs[Advanced Network/Insurance Carrier Overall])</f>
        <v>Members Not Attributed to an Advanced Network</v>
      </c>
      <c r="D191" s="507">
        <f>SUMIFS(AN_TME22[[#All],[Member Months]],AN_TME22[[#All],[Insurance Category Code]],1,AN_TME22[[#All],[Advanced Network/Insurance Carrier Org ID]],B191)</f>
        <v>0</v>
      </c>
      <c r="E191" s="155" t="str">
        <f>IF(D191=0,"NA",SUMIFS(AN_TME22[[#All],[Claims: Hospital Inpatient]],AN_TME22[[#All],[Insurance Category Code]],1,AN_TME22[[#All],[Advanced Network/Insurance Carrier Org ID]],B191)/D191)</f>
        <v>NA</v>
      </c>
      <c r="F191" s="109" t="str">
        <f>IF(D191=0,"NA",SUMIFS(AN_TME22[[#All],[Claims: Hospital Outpatient]],AN_TME22[[#All],[Insurance Category Code]],1,AN_TME22[[#All],[Advanced Network/Insurance Carrier Org ID]],B191)/D191)</f>
        <v>NA</v>
      </c>
      <c r="G191" s="109" t="str">
        <f>IF(D191=0,"NA",SUMIFS(AN_TME22[[#All],[Claims: Professional, Primary Care]],AN_TME22[[#All],[Insurance Category Code]],1,AN_TME22[[#All],[Advanced Network/Insurance Carrier Org ID]],B191)/D191)</f>
        <v>NA</v>
      </c>
      <c r="H191" s="109" t="str">
        <f>IF(D191=0,"NA",SUMIFS(AN_TME22[[#All],[Claims: Professional, Primary Care (for Monitoring Purposes)]],AN_TME22[[#All],[Insurance Category Code]],1,AN_TME22[[#All],[Advanced Network/Insurance Carrier Org ID]],B191)/D191)</f>
        <v>NA</v>
      </c>
      <c r="I191" s="109" t="str">
        <f>IF(D191=0,"NA",SUMIFS(AN_TME22[[#All],[Claims: Professional, Specialty]],AN_TME22[[#All],[Insurance Category Code]],1,AN_TME22[[#All],[Advanced Network/Insurance Carrier Org ID]],B191)/D191)</f>
        <v>NA</v>
      </c>
      <c r="J191" s="109" t="str">
        <f>IF(D191=0,"NA",SUMIFS(AN_TME22[[#All],[Claims: Professional Other]],AN_TME22[[#All],[Insurance Category Code]],1,AN_TME22[[#All],[Advanced Network/Insurance Carrier Org ID]],B191)/D191)</f>
        <v>NA</v>
      </c>
      <c r="K191" s="109" t="str">
        <f>IF(D191=0,"NA",SUMIFS(AN_TME22[[#All],[Claims: Pharmacy]],AN_TME22[[#All],[Insurance Category Code]],1,AN_TME22[[#All],[Advanced Network/Insurance Carrier Org ID]],B191)/D191)</f>
        <v>NA</v>
      </c>
      <c r="L191" s="109" t="str">
        <f>IF(D191=0,"NA",SUMIFS(AN_TME22[[#All],[Claims: Long-Term Care]],AN_TME22[[#All],[Insurance Category Code]],1,AN_TME22[[#All],[Advanced Network/Insurance Carrier Org ID]],B191)/D191)</f>
        <v>NA</v>
      </c>
      <c r="M191" s="109" t="str">
        <f>IF(D191=0,"NA",SUMIFS(AN_TME22[[#All],[Claims: Other]],AN_TME22[[#All],[Insurance Category Code]],1,AN_TME22[[#All],[Advanced Network/Insurance Carrier Org ID]],B191)/D191)</f>
        <v>NA</v>
      </c>
      <c r="N191" s="165" t="str">
        <f>IF(D191=0,"NA",SUMIFS(AN_TME22[[#All],[TOTAL Non-Truncated Unadjusted Claims Expenses]],AN_TME22[[#All],[Insurance Category Code]],1,AN_TME22[[#All],[Advanced Network/Insurance Carrier Org ID]],B191)/D191)</f>
        <v>NA</v>
      </c>
      <c r="O191" s="165" t="str">
        <f>IF(D191=0,"NA",SUMIFS(AN_TME22[[#All],[TOTAL Truncated Unadjusted Claims Expenses (A21 -A19)]],AN_TME22[[#All],[Insurance Category Code]],1,AN_TME22[[#All],[Advanced Network/Insurance Carrier Org ID]],B191)/D191)</f>
        <v>NA</v>
      </c>
      <c r="P191" s="165" t="str">
        <f>IF(D191=0,"NA",SUMIFS(AN_TME22[[#All],[TOTAL Non-Claims Expenses]],AN_TME22[[#All],[Insurance Category Code]],1,AN_TME22[[#All],[Advanced Network/Insurance Carrier Org ID]],B191)/D191)</f>
        <v>NA</v>
      </c>
      <c r="Q191" s="165" t="str">
        <f>IF(D191=0,"NA",SUMIFS(AN_TME22[[#All],[TOTAL Non-Truncated Unadjusted Expenses (A21 + A23)]],AN_TME22[[#All],[Insurance Category Code]],1,AN_TME22[[#All],[Advanced Network/Insurance Carrier Org ID]],B191)/D191)</f>
        <v>NA</v>
      </c>
      <c r="R191" s="165" t="str">
        <f>IF(D191=0,"NA",SUMIFS(AN_TME22[[#All],[TOTAL Truncated Unadjusted Expenses (A22 + A23)]],AN_TME22[[#All],[Insurance Category Code]],1,AN_TME22[[#All],[Advanced Network/Insurance Carrier Org ID]],B191)/D191)</f>
        <v>NA</v>
      </c>
      <c r="S191" s="507">
        <f>SUMIFS(AN_TME23[[#All],[Member Months]],AN_TME23[[#All],[Insurance Category Code]],1,AN_TME23[[#All],[Advanced Network/Insurance Carrier Org ID]],B191)</f>
        <v>0</v>
      </c>
      <c r="T191" s="155" t="str">
        <f>IF(S191=0,"NA",SUMIFS(AN_TME23[[#All],[Claims: Hospital Inpatient]],AN_TME23[[#All],[Insurance Category Code]],1,AN_TME23[[#All],[Advanced Network/Insurance Carrier Org ID]],B191)/S191)</f>
        <v>NA</v>
      </c>
      <c r="U191" s="109" t="str">
        <f>IF(S191=0,"NA",SUMIFS(AN_TME23[[#All],[Claims: Hospital Outpatient]],AN_TME23[[#All],[Insurance Category Code]],1,AN_TME23[[#All],[Advanced Network/Insurance Carrier Org ID]],B191)/S191)</f>
        <v>NA</v>
      </c>
      <c r="V191" s="109" t="str">
        <f>IF(S191=0,"NA",SUMIFS(AN_TME23[[#All],[Claims: Professional, Primary Care]],AN_TME23[[#All],[Insurance Category Code]],1,AN_TME23[[#All],[Advanced Network/Insurance Carrier Org ID]],B191)/S191)</f>
        <v>NA</v>
      </c>
      <c r="W191" s="109" t="str">
        <f>IF(S191=0,"NA",SUMIFS(AN_TME23[[#All],[Claims: Professional, Primary Care (for Monitoring Purposes)]],AN_TME23[[#All],[Insurance Category Code]],1,AN_TME23[[#All],[Advanced Network/Insurance Carrier Org ID]],B191)/S191)</f>
        <v>NA</v>
      </c>
      <c r="X191" s="109" t="str">
        <f>IF(S191=0,"NA",SUMIFS(AN_TME23[[#All],[Claims: Professional, Specialty]],AN_TME23[[#All],[Insurance Category Code]],1,AN_TME23[[#All],[Advanced Network/Insurance Carrier Org ID]],B191)/S191)</f>
        <v>NA</v>
      </c>
      <c r="Y191" s="109" t="str">
        <f>IF(S191=0,"NA",SUMIFS(AN_TME23[[#All],[Claims: Professional Other]],AN_TME23[[#All],[Insurance Category Code]],1,AN_TME23[[#All],[Advanced Network/Insurance Carrier Org ID]],B191)/S191)</f>
        <v>NA</v>
      </c>
      <c r="Z191" s="109" t="str">
        <f>IF(S191=0,"NA",SUMIFS(AN_TME23[[#All],[Claims: Pharmacy]],AN_TME23[[#All],[Insurance Category Code]],1,AN_TME23[[#All],[Advanced Network/Insurance Carrier Org ID]],B191)/S191)</f>
        <v>NA</v>
      </c>
      <c r="AA191" s="109" t="str">
        <f>IF(S191=0,"NA",SUMIFS(AN_TME23[[#All],[Claims: Long-Term Care]],AN_TME23[[#All],[Insurance Category Code]],1,AN_TME23[[#All],[Advanced Network/Insurance Carrier Org ID]],B191)/S191)</f>
        <v>NA</v>
      </c>
      <c r="AB191" s="109" t="str">
        <f>IF(S191=0,"NA",SUMIFS(AN_TME23[[#All],[Claims: Other]],AN_TME23[[#All],[Insurance Category Code]],1,AN_TME23[[#All],[Advanced Network/Insurance Carrier Org ID]],B191)/S191)</f>
        <v>NA</v>
      </c>
      <c r="AC191" s="165" t="str">
        <f>IF(S191=0,"NA",SUMIFS(AN_TME23[[#All],[TOTAL Non-Truncated Unadjusted Claims Expenses]],AN_TME23[[#All],[Insurance Category Code]],1,AN_TME23[[#All],[Advanced Network/Insurance Carrier Org ID]],B191)/S191)</f>
        <v>NA</v>
      </c>
      <c r="AD191" s="165" t="str">
        <f>IF(S191=0,"NA",SUMIFS(AN_TME23[[#All],[TOTAL Truncated Unadjusted Claims Expenses (A21 -A19)]],AN_TME23[[#All],[Insurance Category Code]],1,AN_TME23[[#All],[Advanced Network/Insurance Carrier Org ID]],B191)/S191)</f>
        <v>NA</v>
      </c>
      <c r="AE191" s="165" t="str">
        <f>IF(S191=0,"NA",SUMIFS(AN_TME23[[#All],[TOTAL Non-Claims Expenses]],AN_TME23[[#All],[Insurance Category Code]],1,AN_TME23[[#All],[Advanced Network/Insurance Carrier Org ID]],B191)/S191)</f>
        <v>NA</v>
      </c>
      <c r="AF191" s="165" t="str">
        <f>IF(S191=0,"NA",SUMIFS(AN_TME23[[#All],[TOTAL Non-Truncated Unadjusted Expenses (A21 + A23)]],AN_TME23[[#All],[Insurance Category Code]],1,AN_TME23[[#All],[Advanced Network/Insurance Carrier Org ID]],B191)/S191)</f>
        <v>NA</v>
      </c>
      <c r="AG191" s="156" t="str">
        <f>IF(S191=0,"NA",SUMIFS(AN_TME23[[#All],[TOTAL Truncated Unadjusted Expenses (A22 + A23)]],AN_TME23[[#All],[Insurance Category Code]],1,AN_TME23[[#All],[Advanced Network/Insurance Carrier Org ID]],B191)/S191)</f>
        <v>NA</v>
      </c>
      <c r="AH191" s="478" t="str">
        <f>IF(D191=0,"NA",S191/D191-1)</f>
        <v>NA</v>
      </c>
      <c r="AI191" s="479" t="str">
        <f>IF(D191=0,"NA",T191/E191-1)</f>
        <v>NA</v>
      </c>
      <c r="AJ191" s="480" t="str">
        <f>IF(D191=0,"NA",U191/F191-1)</f>
        <v>NA</v>
      </c>
      <c r="AK191" s="480" t="str">
        <f>IF(D191=0,"NA",V191/G191-1)</f>
        <v>NA</v>
      </c>
      <c r="AL191" s="480" t="str">
        <f>IF(D191=0,"NA",W191/H191-1)</f>
        <v>NA</v>
      </c>
      <c r="AM191" s="480" t="str">
        <f>IF(D191=0,"NA",X191/I191-1)</f>
        <v>NA</v>
      </c>
      <c r="AN191" s="480" t="str">
        <f>IF(D191=0,"NA",Y191/J191-1)</f>
        <v>NA</v>
      </c>
      <c r="AO191" s="480" t="str">
        <f>IF(D191=0,"NA",Z191/K191-1)</f>
        <v>NA</v>
      </c>
      <c r="AP191" s="480" t="str">
        <f>IF(D191=0,"NA",AA191/L191-1)</f>
        <v>NA</v>
      </c>
      <c r="AQ191" s="480" t="str">
        <f>IF(D191=0,"NA",AB191/M191-1)</f>
        <v>NA</v>
      </c>
      <c r="AR191" s="481" t="str">
        <f>IF(D191=0,"NA",AC191/N191-1)</f>
        <v>NA</v>
      </c>
      <c r="AS191" s="481" t="str">
        <f>IF(D191=0,"NA",AD191/O191-1)</f>
        <v>NA</v>
      </c>
      <c r="AT191" s="481" t="str">
        <f>IF(D191=0,"NA",AE191/P191-1)</f>
        <v>NA</v>
      </c>
      <c r="AU191" s="481" t="str">
        <f>IF(D191=0,"NA",AF191/Q191-1)</f>
        <v>NA</v>
      </c>
      <c r="AV191" s="482" t="str">
        <f>IF(D191=0,"NA",AG191/R191-1)</f>
        <v>NA</v>
      </c>
    </row>
    <row r="192" spans="1:48" ht="15" customHeight="1" x14ac:dyDescent="0.25">
      <c r="B192" s="167"/>
      <c r="C192" s="170" t="s">
        <v>319</v>
      </c>
      <c r="D192" s="508">
        <f>SUM(D160:D191)</f>
        <v>0</v>
      </c>
      <c r="E192" s="157" t="str">
        <f>IF(D192=0,"NA",SUMPRODUCT(E160:E191,D160:D191)/D192)</f>
        <v>NA</v>
      </c>
      <c r="F192" s="110" t="str">
        <f>IF(D192=0,"NA",SUMPRODUCT(F160:F191,D160:D191)/D192)</f>
        <v>NA</v>
      </c>
      <c r="G192" s="110" t="str">
        <f>IF(D192=0,"NA",SUMPRODUCT(G160:G191,D160:D191)/D192)</f>
        <v>NA</v>
      </c>
      <c r="H192" s="110" t="str">
        <f>IF(D192=0,"NA",SUMPRODUCT(H160:H191,D160:D191)/D192)</f>
        <v>NA</v>
      </c>
      <c r="I192" s="110" t="str">
        <f>IF(D192=0,"NA",SUMPRODUCT(I160:I191,D160:D191)/D192)</f>
        <v>NA</v>
      </c>
      <c r="J192" s="110" t="str">
        <f>IF(D192=0,"NA",SUMPRODUCT(J160:J191,D160:D191)/D192)</f>
        <v>NA</v>
      </c>
      <c r="K192" s="110" t="str">
        <f>IF(D192=0,"NA",SUMPRODUCT(K160:K191,D160:D191)/D192)</f>
        <v>NA</v>
      </c>
      <c r="L192" s="110" t="str">
        <f>IF(D192=0,"NA",SUMPRODUCT(L160:L191,D160:D191)/D192)</f>
        <v>NA</v>
      </c>
      <c r="M192" s="110" t="str">
        <f>IF(D192=0,"NA",SUMPRODUCT(M160:M191,D160:D191)/D192)</f>
        <v>NA</v>
      </c>
      <c r="N192" s="158" t="str">
        <f>IF(D192=0,"NA",SUMPRODUCT(N160:N191,D160:D191)/D192)</f>
        <v>NA</v>
      </c>
      <c r="O192" s="158" t="str">
        <f>IF(D192=0,"NA",SUMPRODUCT(O160:O191,D160:D191)/D192)</f>
        <v>NA</v>
      </c>
      <c r="P192" s="158" t="str">
        <f>IF(D192=0,"NA",SUMPRODUCT(P160:P191,D160:D191)/D192)</f>
        <v>NA</v>
      </c>
      <c r="Q192" s="158" t="str">
        <f>IF(D192=0,"NA",SUMPRODUCT(Q160:Q191,D160:D191)/D192)</f>
        <v>NA</v>
      </c>
      <c r="R192" s="158" t="str">
        <f>IF(D192=0,"NA",SUMPRODUCT(R160:R191,D160:D191)/D192)</f>
        <v>NA</v>
      </c>
      <c r="S192" s="508">
        <f>SUM(S160:S191)</f>
        <v>0</v>
      </c>
      <c r="T192" s="157" t="str">
        <f>IF(S192=0,"NA",SUMPRODUCT(T160:T191,S160:S191)/S192)</f>
        <v>NA</v>
      </c>
      <c r="U192" s="110" t="str">
        <f>IF(S192=0,"NA",SUMPRODUCT(U160:U191,S160:S191)/S192)</f>
        <v>NA</v>
      </c>
      <c r="V192" s="110" t="str">
        <f>IF(S192=0,"NA",SUMPRODUCT(V160:V191,S160:S191)/S192)</f>
        <v>NA</v>
      </c>
      <c r="W192" s="110" t="str">
        <f>IF(S192=0,"NA",SUMPRODUCT(W160:W191,S160:S191)/S192)</f>
        <v>NA</v>
      </c>
      <c r="X192" s="110" t="str">
        <f>IF(S192=0,"NA",SUMPRODUCT(X160:X191,S160:S191)/S192)</f>
        <v>NA</v>
      </c>
      <c r="Y192" s="110" t="str">
        <f>IF(S192=0,"NA",SUMPRODUCT(Y160:Y191,S160:S191)/S192)</f>
        <v>NA</v>
      </c>
      <c r="Z192" s="110" t="str">
        <f>IF(S192=0,"NA",SUMPRODUCT(Z160:Z191,S160:S191)/S192)</f>
        <v>NA</v>
      </c>
      <c r="AA192" s="110" t="str">
        <f>IF(S192=0,"NA",SUMPRODUCT(AA160:AA191,S160:S191)/S192)</f>
        <v>NA</v>
      </c>
      <c r="AB192" s="110" t="str">
        <f>IF(S192=0,"NA",SUMPRODUCT(AB160:AB191,S160:S191)/S192)</f>
        <v>NA</v>
      </c>
      <c r="AC192" s="158" t="str">
        <f>IF(S192=0,"NA",SUMPRODUCT(AC160:AC191,S160:S191)/S192)</f>
        <v>NA</v>
      </c>
      <c r="AD192" s="158" t="str">
        <f>IF(S192=0,"NA",SUMPRODUCT(AD160:AD191,S160:S191)/S192)</f>
        <v>NA</v>
      </c>
      <c r="AE192" s="158" t="str">
        <f>IF(S192=0,"NA",SUMPRODUCT(AE160:AE191,S160:S191)/S192)</f>
        <v>NA</v>
      </c>
      <c r="AF192" s="158" t="str">
        <f>IF(S192=0,"NA",SUMPRODUCT(AF160:AF191,S160:S191)/S192)</f>
        <v>NA</v>
      </c>
      <c r="AG192" s="159" t="str">
        <f>IF(S192=0,"NA",SUMPRODUCT(AG160:AG191,S160:S191)/S192)</f>
        <v>NA</v>
      </c>
      <c r="AH192" s="483" t="str">
        <f>IF(D192=0,"NA",S192/D192-1)</f>
        <v>NA</v>
      </c>
      <c r="AI192" s="484" t="str">
        <f>IF(D192=0,"NA",T192/E192-1)</f>
        <v>NA</v>
      </c>
      <c r="AJ192" s="485" t="str">
        <f>IF(D192=0,"NA",U192/F192-1)</f>
        <v>NA</v>
      </c>
      <c r="AK192" s="485" t="str">
        <f>IF(D192=0,"NA",V192/G192-1)</f>
        <v>NA</v>
      </c>
      <c r="AL192" s="485" t="str">
        <f>IF(D192=0,"NA",W192/H192-1)</f>
        <v>NA</v>
      </c>
      <c r="AM192" s="485" t="str">
        <f>IF(D192=0,"NA",X192/I192-1)</f>
        <v>NA</v>
      </c>
      <c r="AN192" s="485" t="str">
        <f>IF(D192=0,"NA",Y192/J192-1)</f>
        <v>NA</v>
      </c>
      <c r="AO192" s="485" t="str">
        <f>IF(D192=0,"NA",Z192/K192-1)</f>
        <v>NA</v>
      </c>
      <c r="AP192" s="485" t="str">
        <f>IF(D192=0,"NA",AA192/L192-1)</f>
        <v>NA</v>
      </c>
      <c r="AQ192" s="485" t="str">
        <f>IF(D192=0,"NA",AB192/M192-1)</f>
        <v>NA</v>
      </c>
      <c r="AR192" s="486" t="str">
        <f>IF(D192=0,"NA",AC192/N192-1)</f>
        <v>NA</v>
      </c>
      <c r="AS192" s="486" t="str">
        <f>IF(D192=0,"NA",AD192/O192-1)</f>
        <v>NA</v>
      </c>
      <c r="AT192" s="486" t="str">
        <f>IF(D192=0,"NA",AE192/P192-1)</f>
        <v>NA</v>
      </c>
      <c r="AU192" s="486" t="str">
        <f>IF(D192=0,"NA",AF192/Q192-1)</f>
        <v>NA</v>
      </c>
      <c r="AV192" s="487" t="str">
        <f>IF(D192=0,"NA",AG192/R192-1)</f>
        <v>NA</v>
      </c>
    </row>
    <row r="193" spans="1:48" ht="15.75" customHeight="1" thickBot="1" x14ac:dyDescent="0.3">
      <c r="B193" s="168"/>
      <c r="C193" s="171" t="s">
        <v>320</v>
      </c>
      <c r="D193" s="509">
        <f t="shared" ref="D193:J193" si="274">D192</f>
        <v>0</v>
      </c>
      <c r="E193" s="160" t="str">
        <f t="shared" si="274"/>
        <v>NA</v>
      </c>
      <c r="F193" s="161" t="str">
        <f t="shared" si="274"/>
        <v>NA</v>
      </c>
      <c r="G193" s="161" t="str">
        <f t="shared" si="274"/>
        <v>NA</v>
      </c>
      <c r="H193" s="161" t="str">
        <f t="shared" si="274"/>
        <v>NA</v>
      </c>
      <c r="I193" s="161" t="str">
        <f t="shared" si="274"/>
        <v>NA</v>
      </c>
      <c r="J193" s="161" t="str">
        <f t="shared" si="274"/>
        <v>NA</v>
      </c>
      <c r="K193" s="161" t="str">
        <f>IF(D193=0,"NA",(SUMPRODUCT(K160:K191,D160:D191)-ABS(SUMIF(RX_REBATES22[[#All],[Insurance Category Code]],1,RX_REBATES22[[#All],[Total Pharmacy Rebates]])))/D193)</f>
        <v>NA</v>
      </c>
      <c r="L193" s="161" t="str">
        <f>L192</f>
        <v>NA</v>
      </c>
      <c r="M193" s="161" t="str">
        <f>M192</f>
        <v>NA</v>
      </c>
      <c r="N193" s="162" t="str">
        <f>IF(D193=0,"NA",(SUMPRODUCT(N160:N191,D160:D191)-ABS(SUMIF(RX_REBATES22[[#All],[Insurance Category Code]],1,RX_REBATES22[[#All],[Total Pharmacy Rebates]])))/D193)</f>
        <v>NA</v>
      </c>
      <c r="O193" s="162" t="str">
        <f>IF(D193=0,"NA",(SUMPRODUCT(O160:O191,D160:D191)-ABS(SUMIF(RX_REBATES22[[#All],[Insurance Category Code]],1,RX_REBATES22[[#All],[Total Pharmacy Rebates]])))/D193)</f>
        <v>NA</v>
      </c>
      <c r="P193" s="162" t="str">
        <f>IF(D193=0,"NA",(SUMPRODUCT(P160:P191,D160:D191)-ABS(SUMIF(RX_REBATES22[[#All],[Insurance Category Code]],1,RX_REBATES22[[#All],[Total Pharmacy Rebates]])))/D193)</f>
        <v>NA</v>
      </c>
      <c r="Q193" s="162" t="str">
        <f>IF(D193=0,"NA",(SUMPRODUCT(Q160:Q191,D160:D191)-ABS(SUMIF(RX_REBATES22[[#All],[Insurance Category Code]],1,RX_REBATES22[[#All],[Total Pharmacy Rebates]])))/D193)</f>
        <v>NA</v>
      </c>
      <c r="R193" s="162" t="str">
        <f>IF(D193=0,"NA",(SUMPRODUCT(R160:R191,D160:D191)-ABS(SUMIF(RX_REBATES22[[#All],[Insurance Category Code]],1,RX_REBATES22[[#All],[Total Pharmacy Rebates]])))/D193)</f>
        <v>NA</v>
      </c>
      <c r="S193" s="509">
        <f t="shared" ref="S193:Y193" si="275">S192</f>
        <v>0</v>
      </c>
      <c r="T193" s="160" t="str">
        <f t="shared" si="275"/>
        <v>NA</v>
      </c>
      <c r="U193" s="161" t="str">
        <f t="shared" si="275"/>
        <v>NA</v>
      </c>
      <c r="V193" s="161" t="str">
        <f t="shared" si="275"/>
        <v>NA</v>
      </c>
      <c r="W193" s="161" t="str">
        <f t="shared" si="275"/>
        <v>NA</v>
      </c>
      <c r="X193" s="161" t="str">
        <f t="shared" si="275"/>
        <v>NA</v>
      </c>
      <c r="Y193" s="161" t="str">
        <f t="shared" si="275"/>
        <v>NA</v>
      </c>
      <c r="Z193" s="161" t="str">
        <f>IF(S193=0,"NA",(SUMPRODUCT(Z160:Z191,S160:S191)-ABS(SUMIF(RX_REBATES23[[#All],[Insurance Category Code]],1,RX_REBATES23[[#All],[Total Pharmacy Rebates]])))/S193)</f>
        <v>NA</v>
      </c>
      <c r="AA193" s="161" t="str">
        <f>AA192</f>
        <v>NA</v>
      </c>
      <c r="AB193" s="161" t="str">
        <f>AB192</f>
        <v>NA</v>
      </c>
      <c r="AC193" s="162" t="str">
        <f>IF(S193=0,"NA",(SUMPRODUCT(AC160:AC191,S160:S191)-ABS(SUMIF(RX_REBATES23[[#All],[Insurance Category Code]],1,RX_REBATES23[[#All],[Total Pharmacy Rebates]])))/S193)</f>
        <v>NA</v>
      </c>
      <c r="AD193" s="162" t="str">
        <f>IF(S193=0,"NA",(SUMPRODUCT(AD160:AD191,S160:S191)-ABS(SUMIF(RX_REBATES23[[#All],[Insurance Category Code]],1,RX_REBATES23[[#All],[Total Pharmacy Rebates]])))/S193)</f>
        <v>NA</v>
      </c>
      <c r="AE193" s="162" t="str">
        <f>IF(S193=0,"NA",(SUMPRODUCT(AE160:AE191,S160:S191)-ABS(SUMIF(RX_REBATES23[[#All],[Insurance Category Code]],1,RX_REBATES23[[#All],[Total Pharmacy Rebates]])))/S193)</f>
        <v>NA</v>
      </c>
      <c r="AF193" s="162" t="str">
        <f>IF(S193=0,"NA",(SUMPRODUCT(AF160:AF191,S160:S191)-ABS(SUMIF(RX_REBATES23[[#All],[Insurance Category Code]],1,RX_REBATES23[[#All],[Total Pharmacy Rebates]])))/S193)</f>
        <v>NA</v>
      </c>
      <c r="AG193" s="162" t="str">
        <f>IF(S193=0,"NA",(SUMPRODUCT(AG160:AG191,S160:S191)-ABS(SUMIF(RX_REBATES23[[#All],[Insurance Category Code]],1,RX_REBATES23[[#All],[Total Pharmacy Rebates]])))/S193)</f>
        <v>NA</v>
      </c>
      <c r="AH193" s="488" t="str">
        <f>IF(D193=0,"NA",S193/D193-1)</f>
        <v>NA</v>
      </c>
      <c r="AI193" s="489" t="str">
        <f>IF(D193=0,"NA",T193/E193-1)</f>
        <v>NA</v>
      </c>
      <c r="AJ193" s="490" t="str">
        <f>IF(D193=0,"NA",U193/F193-1)</f>
        <v>NA</v>
      </c>
      <c r="AK193" s="490" t="str">
        <f>IF(D193=0,"NA",V193/G193-1)</f>
        <v>NA</v>
      </c>
      <c r="AL193" s="490" t="str">
        <f>IF(D193=0,"NA",W193/H193-1)</f>
        <v>NA</v>
      </c>
      <c r="AM193" s="490" t="str">
        <f>IF(D193=0,"NA",X193/I193-1)</f>
        <v>NA</v>
      </c>
      <c r="AN193" s="490" t="str">
        <f>IF(D193=0,"NA",Y193/J193-1)</f>
        <v>NA</v>
      </c>
      <c r="AO193" s="490" t="str">
        <f>IF(D193=0,"NA",Z193/K193-1)</f>
        <v>NA</v>
      </c>
      <c r="AP193" s="490" t="str">
        <f>IF(D193=0,"NA",AA193/L193-1)</f>
        <v>NA</v>
      </c>
      <c r="AQ193" s="490" t="str">
        <f>IF(D193=0,"NA",AB193/M193-1)</f>
        <v>NA</v>
      </c>
      <c r="AR193" s="491" t="str">
        <f>IF(D193=0,"NA",AC193/N193-1)</f>
        <v>NA</v>
      </c>
      <c r="AS193" s="491" t="str">
        <f>IF(D193=0,"NA",AD193/O193-1)</f>
        <v>NA</v>
      </c>
      <c r="AT193" s="491" t="str">
        <f>IF(D193=0,"NA",AE193/P193-1)</f>
        <v>NA</v>
      </c>
      <c r="AU193" s="491" t="str">
        <f>IF(D193=0,"NA",AF193/Q193-1)</f>
        <v>NA</v>
      </c>
      <c r="AV193" s="492" t="str">
        <f>IF(D193=0,"NA",AG193/R193-1)</f>
        <v>NA</v>
      </c>
    </row>
    <row r="195" spans="1:48" ht="16.5" thickBot="1" x14ac:dyDescent="0.3">
      <c r="B195" s="54" t="s">
        <v>326</v>
      </c>
      <c r="C195" s="526"/>
    </row>
    <row r="196" spans="1:48" x14ac:dyDescent="0.25">
      <c r="B196" s="601" t="s">
        <v>309</v>
      </c>
      <c r="C196" s="602"/>
      <c r="D196" s="609">
        <v>2022</v>
      </c>
      <c r="E196" s="610"/>
      <c r="F196" s="610"/>
      <c r="G196" s="610"/>
      <c r="H196" s="610"/>
      <c r="I196" s="610"/>
      <c r="J196" s="610"/>
      <c r="K196" s="610"/>
      <c r="L196" s="610"/>
      <c r="M196" s="610"/>
      <c r="N196" s="610"/>
      <c r="O196" s="610"/>
      <c r="P196" s="610"/>
      <c r="Q196" s="610"/>
      <c r="R196" s="610"/>
      <c r="S196" s="609">
        <v>2023</v>
      </c>
      <c r="T196" s="610"/>
      <c r="U196" s="610"/>
      <c r="V196" s="610"/>
      <c r="W196" s="610"/>
      <c r="X196" s="610"/>
      <c r="Y196" s="610"/>
      <c r="Z196" s="610"/>
      <c r="AA196" s="610"/>
      <c r="AB196" s="610"/>
      <c r="AC196" s="610"/>
      <c r="AD196" s="610"/>
      <c r="AE196" s="610"/>
      <c r="AF196" s="610"/>
      <c r="AG196" s="612"/>
      <c r="AH196" s="544" t="s">
        <v>454</v>
      </c>
      <c r="AI196" s="545"/>
      <c r="AJ196" s="546"/>
      <c r="AK196" s="546"/>
      <c r="AL196" s="546"/>
      <c r="AM196" s="546"/>
      <c r="AN196" s="546"/>
      <c r="AO196" s="546"/>
      <c r="AP196" s="546"/>
      <c r="AQ196" s="546"/>
      <c r="AR196" s="547"/>
      <c r="AS196" s="547"/>
      <c r="AT196" s="547"/>
      <c r="AU196" s="547"/>
      <c r="AV196" s="548"/>
    </row>
    <row r="197" spans="1:48" ht="30" x14ac:dyDescent="0.25">
      <c r="B197" s="74" t="s">
        <v>310</v>
      </c>
      <c r="C197" s="76" t="s">
        <v>311</v>
      </c>
      <c r="D197" s="74" t="s">
        <v>211</v>
      </c>
      <c r="E197" s="147" t="s">
        <v>102</v>
      </c>
      <c r="F197" s="75" t="s">
        <v>104</v>
      </c>
      <c r="G197" s="75" t="s">
        <v>106</v>
      </c>
      <c r="H197" s="75" t="s">
        <v>312</v>
      </c>
      <c r="I197" s="75" t="s">
        <v>108</v>
      </c>
      <c r="J197" s="75" t="s">
        <v>109</v>
      </c>
      <c r="K197" s="75" t="s">
        <v>313</v>
      </c>
      <c r="L197" s="75" t="s">
        <v>314</v>
      </c>
      <c r="M197" s="75" t="s">
        <v>115</v>
      </c>
      <c r="N197" s="153" t="s">
        <v>315</v>
      </c>
      <c r="O197" s="153" t="s">
        <v>316</v>
      </c>
      <c r="P197" s="153" t="s">
        <v>214</v>
      </c>
      <c r="Q197" s="153" t="s">
        <v>317</v>
      </c>
      <c r="R197" s="153" t="s">
        <v>318</v>
      </c>
      <c r="S197" s="74" t="s">
        <v>211</v>
      </c>
      <c r="T197" s="147" t="s">
        <v>102</v>
      </c>
      <c r="U197" s="75" t="s">
        <v>104</v>
      </c>
      <c r="V197" s="75" t="s">
        <v>106</v>
      </c>
      <c r="W197" s="75" t="s">
        <v>312</v>
      </c>
      <c r="X197" s="75" t="s">
        <v>108</v>
      </c>
      <c r="Y197" s="75" t="s">
        <v>109</v>
      </c>
      <c r="Z197" s="75" t="s">
        <v>313</v>
      </c>
      <c r="AA197" s="75" t="s">
        <v>314</v>
      </c>
      <c r="AB197" s="75" t="s">
        <v>115</v>
      </c>
      <c r="AC197" s="153" t="s">
        <v>315</v>
      </c>
      <c r="AD197" s="153" t="s">
        <v>316</v>
      </c>
      <c r="AE197" s="153" t="s">
        <v>214</v>
      </c>
      <c r="AF197" s="153" t="s">
        <v>317</v>
      </c>
      <c r="AG197" s="76" t="s">
        <v>318</v>
      </c>
      <c r="AH197" s="74" t="s">
        <v>211</v>
      </c>
      <c r="AI197" s="147" t="s">
        <v>102</v>
      </c>
      <c r="AJ197" s="75" t="s">
        <v>104</v>
      </c>
      <c r="AK197" s="75" t="s">
        <v>106</v>
      </c>
      <c r="AL197" s="75" t="s">
        <v>312</v>
      </c>
      <c r="AM197" s="75" t="s">
        <v>108</v>
      </c>
      <c r="AN197" s="75" t="s">
        <v>109</v>
      </c>
      <c r="AO197" s="75" t="s">
        <v>313</v>
      </c>
      <c r="AP197" s="75" t="s">
        <v>314</v>
      </c>
      <c r="AQ197" s="75" t="s">
        <v>115</v>
      </c>
      <c r="AR197" s="153" t="s">
        <v>315</v>
      </c>
      <c r="AS197" s="153" t="s">
        <v>316</v>
      </c>
      <c r="AT197" s="153" t="s">
        <v>214</v>
      </c>
      <c r="AU197" s="153" t="s">
        <v>317</v>
      </c>
      <c r="AV197" s="76" t="s">
        <v>318</v>
      </c>
    </row>
    <row r="198" spans="1:48" ht="15" customHeight="1" x14ac:dyDescent="0.25">
      <c r="A198" s="164"/>
      <c r="B198" s="166">
        <v>101</v>
      </c>
      <c r="C198" s="169" t="str">
        <f>_xlfn.XLOOKUP(B198, LgProvEntOrgIDs[Advanced Network/Insurer Carrier Org ID], LgProvEntOrgIDs[Advanced Network/Insurance Carrier Overall])</f>
        <v>Privia Quality Network of Connecticut (PQN CT) (formerly Community Medical Group)</v>
      </c>
      <c r="D198" s="507">
        <f>SUMIFS(AN_TME22[[#All],[Member Months]],AN_TME22[[#All],[Insurance Category Code]],5,AN_TME22[[#All],[Advanced Network/Insurance Carrier Org ID]],B198)</f>
        <v>0</v>
      </c>
      <c r="E198" s="155" t="str">
        <f>IF(D198=0,"NA",SUMIFS(AN_TME22[[#All],[Claims: Hospital Inpatient]],AN_TME22[[#All],[Insurance Category Code]],5,AN_TME22[[#All],[Advanced Network/Insurance Carrier Org ID]],B198)/D198)</f>
        <v>NA</v>
      </c>
      <c r="F198" s="109" t="str">
        <f>IF(D198=0,"NA",SUMIFS(AN_TME22[[#All],[Claims: Hospital Outpatient]],AN_TME22[[#All],[Insurance Category Code]],5,AN_TME22[[#All],[Advanced Network/Insurance Carrier Org ID]],B198)/D198)</f>
        <v>NA</v>
      </c>
      <c r="G198" s="109" t="str">
        <f>IF(D198=0,"NA",SUMIFS(AN_TME22[[#All],[Claims: Professional, Primary Care]],AN_TME22[[#All],[Insurance Category Code]],5,AN_TME22[[#All],[Advanced Network/Insurance Carrier Org ID]],B198)/D198)</f>
        <v>NA</v>
      </c>
      <c r="H198" s="109" t="str">
        <f>IF(D198=0,"NA",SUMIFS(AN_TME22[[#All],[Claims: Professional, Primary Care (for Monitoring Purposes)]],AN_TME22[[#All],[Insurance Category Code]],5,AN_TME22[[#All],[Advanced Network/Insurance Carrier Org ID]],B198)/D198)</f>
        <v>NA</v>
      </c>
      <c r="I198" s="109" t="str">
        <f>IF(D198=0,"NA",SUMIFS(AN_TME22[[#All],[Claims: Professional, Specialty]],AN_TME22[[#All],[Insurance Category Code]],5,AN_TME22[[#All],[Advanced Network/Insurance Carrier Org ID]],B198)/D198)</f>
        <v>NA</v>
      </c>
      <c r="J198" s="109" t="str">
        <f>IF(D198=0,"NA",SUMIFS(AN_TME22[[#All],[Claims: Professional Other]],AN_TME22[[#All],[Insurance Category Code]],5,AN_TME22[[#All],[Advanced Network/Insurance Carrier Org ID]],B198)/D198)</f>
        <v>NA</v>
      </c>
      <c r="K198" s="109" t="str">
        <f>IF(D198=0,"NA",SUMIFS(AN_TME22[[#All],[Claims: Pharmacy]],AN_TME22[[#All],[Insurance Category Code]],5,AN_TME22[[#All],[Advanced Network/Insurance Carrier Org ID]],B198)/D198)</f>
        <v>NA</v>
      </c>
      <c r="L198" s="109" t="str">
        <f>IF(D198=0,"NA",SUMIFS(AN_TME22[[#All],[Claims: Long-Term Care]],AN_TME22[[#All],[Insurance Category Code]],5,AN_TME22[[#All],[Advanced Network/Insurance Carrier Org ID]],B198)/D198)</f>
        <v>NA</v>
      </c>
      <c r="M198" s="109" t="str">
        <f>IF(D198=0,"NA",SUMIFS(AN_TME22[[#All],[Claims: Other]],AN_TME22[[#All],[Insurance Category Code]],5,AN_TME22[[#All],[Advanced Network/Insurance Carrier Org ID]],B198)/D198)</f>
        <v>NA</v>
      </c>
      <c r="N198" s="165" t="str">
        <f>IF(D198=0,"NA",SUMIFS(AN_TME22[[#All],[TOTAL Non-Truncated Unadjusted Claims Expenses]],AN_TME22[[#All],[Insurance Category Code]],5,AN_TME22[[#All],[Advanced Network/Insurance Carrier Org ID]],B198)/D198)</f>
        <v>NA</v>
      </c>
      <c r="O198" s="165" t="str">
        <f>IF(D198=0,"NA",SUMIFS(AN_TME22[[#All],[TOTAL Truncated Unadjusted Claims Expenses (A21 -A19)]],AN_TME22[[#All],[Insurance Category Code]],5,AN_TME22[[#All],[Advanced Network/Insurance Carrier Org ID]],B198)/D198)</f>
        <v>NA</v>
      </c>
      <c r="P198" s="165" t="str">
        <f>IF(D198=0,"NA",SUMIFS(AN_TME22[[#All],[TOTAL Non-Claims Expenses]],AN_TME22[[#All],[Insurance Category Code]],5,AN_TME22[[#All],[Advanced Network/Insurance Carrier Org ID]],B198)/D198)</f>
        <v>NA</v>
      </c>
      <c r="Q198" s="165" t="str">
        <f>IF(D198=0,"NA",SUMIFS(AN_TME22[[#All],[TOTAL Non-Truncated Unadjusted Expenses (A21 + A23)]],AN_TME22[[#All],[Insurance Category Code]],5,AN_TME22[[#All],[Advanced Network/Insurance Carrier Org ID]],B198)/D198)</f>
        <v>NA</v>
      </c>
      <c r="R198" s="165" t="str">
        <f>IF(D198=0,"NA",SUMIFS(AN_TME22[[#All],[TOTAL Truncated Unadjusted Expenses (A22 + A23)]],AN_TME22[[#All],[Insurance Category Code]],5,AN_TME22[[#All],[Advanced Network/Insurance Carrier Org ID]],B198)/D198)</f>
        <v>NA</v>
      </c>
      <c r="S198" s="507">
        <f>SUMIFS(AN_TME23[[#All],[Member Months]],AN_TME23[[#All],[Insurance Category Code]],5,AN_TME23[[#All],[Advanced Network/Insurance Carrier Org ID]],B198)</f>
        <v>0</v>
      </c>
      <c r="T198" s="155" t="str">
        <f>IF(S198=0,"NA",SUMIFS(AN_TME23[[#All],[Claims: Hospital Inpatient]],AN_TME23[[#All],[Insurance Category Code]],5,AN_TME23[[#All],[Advanced Network/Insurance Carrier Org ID]],B198)/S198)</f>
        <v>NA</v>
      </c>
      <c r="U198" s="109" t="str">
        <f>IF(S198=0,"NA",SUMIFS(AN_TME23[[#All],[Claims: Hospital Outpatient]],AN_TME23[[#All],[Insurance Category Code]],5,AN_TME23[[#All],[Advanced Network/Insurance Carrier Org ID]],B198)/S198)</f>
        <v>NA</v>
      </c>
      <c r="V198" s="109" t="str">
        <f>IF(S198=0,"NA",SUMIFS(AN_TME23[[#All],[Claims: Professional, Primary Care]],AN_TME23[[#All],[Insurance Category Code]],5,AN_TME23[[#All],[Advanced Network/Insurance Carrier Org ID]],B198)/S198)</f>
        <v>NA</v>
      </c>
      <c r="W198" s="109" t="str">
        <f>IF(S198=0,"NA",SUMIFS(AN_TME23[[#All],[Claims: Professional, Primary Care (for Monitoring Purposes)]],AN_TME23[[#All],[Insurance Category Code]],5,AN_TME23[[#All],[Advanced Network/Insurance Carrier Org ID]],B198)/S198)</f>
        <v>NA</v>
      </c>
      <c r="X198" s="109" t="str">
        <f>IF(S198=0,"NA",SUMIFS(AN_TME23[[#All],[Claims: Professional, Specialty]],AN_TME23[[#All],[Insurance Category Code]],5,AN_TME23[[#All],[Advanced Network/Insurance Carrier Org ID]],B198)/S198)</f>
        <v>NA</v>
      </c>
      <c r="Y198" s="109" t="str">
        <f>IF(S198=0,"NA",SUMIFS(AN_TME23[[#All],[Claims: Professional Other]],AN_TME23[[#All],[Insurance Category Code]],5,AN_TME23[[#All],[Advanced Network/Insurance Carrier Org ID]],B198)/S198)</f>
        <v>NA</v>
      </c>
      <c r="Z198" s="109" t="str">
        <f>IF(S198=0,"NA",SUMIFS(AN_TME23[[#All],[Claims: Pharmacy]],AN_TME23[[#All],[Insurance Category Code]],5,AN_TME23[[#All],[Advanced Network/Insurance Carrier Org ID]],B198)/S198)</f>
        <v>NA</v>
      </c>
      <c r="AA198" s="109" t="str">
        <f>IF(S198=0,"NA",SUMIFS(AN_TME23[[#All],[Claims: Long-Term Care]],AN_TME23[[#All],[Insurance Category Code]],5,AN_TME23[[#All],[Advanced Network/Insurance Carrier Org ID]],B198)/S198)</f>
        <v>NA</v>
      </c>
      <c r="AB198" s="109" t="str">
        <f>IF(S198=0,"NA",SUMIFS(AN_TME23[[#All],[Claims: Other]],AN_TME23[[#All],[Insurance Category Code]],5,AN_TME23[[#All],[Advanced Network/Insurance Carrier Org ID]],B198)/S198)</f>
        <v>NA</v>
      </c>
      <c r="AC198" s="165" t="str">
        <f>IF(S198=0,"NA",SUMIFS(AN_TME23[[#All],[TOTAL Non-Truncated Unadjusted Claims Expenses]],AN_TME23[[#All],[Insurance Category Code]],5,AN_TME23[[#All],[Advanced Network/Insurance Carrier Org ID]],B198)/S198)</f>
        <v>NA</v>
      </c>
      <c r="AD198" s="165" t="str">
        <f>IF(S198=0,"NA",SUMIFS(AN_TME23[[#All],[TOTAL Truncated Unadjusted Claims Expenses (A21 -A19)]],AN_TME23[[#All],[Insurance Category Code]],5,AN_TME23[[#All],[Advanced Network/Insurance Carrier Org ID]],B198)/S198)</f>
        <v>NA</v>
      </c>
      <c r="AE198" s="165" t="str">
        <f>IF(S198=0,"NA",SUMIFS(AN_TME23[[#All],[TOTAL Non-Claims Expenses]],AN_TME23[[#All],[Insurance Category Code]],5,AN_TME23[[#All],[Advanced Network/Insurance Carrier Org ID]],B198)/S198)</f>
        <v>NA</v>
      </c>
      <c r="AF198" s="165" t="str">
        <f>IF(S198=0,"NA",SUMIFS(AN_TME23[[#All],[TOTAL Non-Truncated Unadjusted Expenses (A21 + A23)]],AN_TME23[[#All],[Insurance Category Code]],5,AN_TME23[[#All],[Advanced Network/Insurance Carrier Org ID]],B198)/S198)</f>
        <v>NA</v>
      </c>
      <c r="AG198" s="156" t="str">
        <f>IF(S198=0,"NA",SUMIFS(AN_TME23[[#All],[TOTAL Truncated Unadjusted Expenses (A22 + A23)]],AN_TME23[[#All],[Insurance Category Code]],5,AN_TME23[[#All],[Advanced Network/Insurance Carrier Org ID]],B198)/S198)</f>
        <v>NA</v>
      </c>
      <c r="AH198" s="478" t="str">
        <f>IF(D198=0,"NA",S198/D198-1)</f>
        <v>NA</v>
      </c>
      <c r="AI198" s="479" t="str">
        <f>IF(D198=0,"NA",T198/E198-1)</f>
        <v>NA</v>
      </c>
      <c r="AJ198" s="480" t="str">
        <f>IF(D198=0,"NA",U198/F198-1)</f>
        <v>NA</v>
      </c>
      <c r="AK198" s="480" t="str">
        <f>IF(D198=0,"NA",V198/G198-1)</f>
        <v>NA</v>
      </c>
      <c r="AL198" s="480" t="str">
        <f>IF(D198=0,"NA",W198/H198-1)</f>
        <v>NA</v>
      </c>
      <c r="AM198" s="480" t="str">
        <f>IF(D198=0,"NA",X198/I198-1)</f>
        <v>NA</v>
      </c>
      <c r="AN198" s="480" t="str">
        <f>IF(D198=0,"NA",Y198/J198-1)</f>
        <v>NA</v>
      </c>
      <c r="AO198" s="480" t="str">
        <f>IF(D198=0,"NA",Z198/K198-1)</f>
        <v>NA</v>
      </c>
      <c r="AP198" s="480" t="str">
        <f>IF(D198=0,"NA",AA198/L198-1)</f>
        <v>NA</v>
      </c>
      <c r="AQ198" s="480" t="str">
        <f>IF(D198=0,"NA",AB198/M198-1)</f>
        <v>NA</v>
      </c>
      <c r="AR198" s="481" t="str">
        <f>IF(D198=0,"NA",AC198/N198-1)</f>
        <v>NA</v>
      </c>
      <c r="AS198" s="481" t="str">
        <f>IF(D198=0,"NA",AD198/O198-1)</f>
        <v>NA</v>
      </c>
      <c r="AT198" s="481" t="str">
        <f>IF(D198=0,"NA",AE198/P198-1)</f>
        <v>NA</v>
      </c>
      <c r="AU198" s="481" t="str">
        <f>IF(D198=0,"NA",AF198/Q198-1)</f>
        <v>NA</v>
      </c>
      <c r="AV198" s="482" t="str">
        <f>IF(D198=0,"NA",AG198/R198-1)</f>
        <v>NA</v>
      </c>
    </row>
    <row r="199" spans="1:48" ht="15" customHeight="1" x14ac:dyDescent="0.25">
      <c r="A199" s="164"/>
      <c r="B199" s="166">
        <v>102</v>
      </c>
      <c r="C199" s="169" t="str">
        <f>_xlfn.XLOOKUP(B199, LgProvEntOrgIDs[Advanced Network/Insurer Carrier Org ID], LgProvEntOrgIDs[Advanced Network/Insurance Carrier Overall])</f>
        <v>Connecticut Children's Care Network</v>
      </c>
      <c r="D199" s="507">
        <f>SUMIFS(AN_TME22[[#All],[Member Months]],AN_TME22[[#All],[Insurance Category Code]],5,AN_TME22[[#All],[Advanced Network/Insurance Carrier Org ID]],B199)</f>
        <v>0</v>
      </c>
      <c r="E199" s="155" t="str">
        <f>IF(D199=0,"NA",SUMIFS(AN_TME22[[#All],[Claims: Hospital Inpatient]],AN_TME22[[#All],[Insurance Category Code]],5,AN_TME22[[#All],[Advanced Network/Insurance Carrier Org ID]],B199)/D199)</f>
        <v>NA</v>
      </c>
      <c r="F199" s="109" t="str">
        <f>IF(D199=0,"NA",SUMIFS(AN_TME22[[#All],[Claims: Hospital Outpatient]],AN_TME22[[#All],[Insurance Category Code]],5,AN_TME22[[#All],[Advanced Network/Insurance Carrier Org ID]],B199)/D199)</f>
        <v>NA</v>
      </c>
      <c r="G199" s="109" t="str">
        <f>IF(D199=0,"NA",SUMIFS(AN_TME22[[#All],[Claims: Professional, Primary Care]],AN_TME22[[#All],[Insurance Category Code]],5,AN_TME22[[#All],[Advanced Network/Insurance Carrier Org ID]],B199)/D199)</f>
        <v>NA</v>
      </c>
      <c r="H199" s="109" t="str">
        <f>IF(D199=0,"NA",SUMIFS(AN_TME22[[#All],[Claims: Professional, Primary Care (for Monitoring Purposes)]],AN_TME22[[#All],[Insurance Category Code]],5,AN_TME22[[#All],[Advanced Network/Insurance Carrier Org ID]],B199)/D199)</f>
        <v>NA</v>
      </c>
      <c r="I199" s="109" t="str">
        <f>IF(D199=0,"NA",SUMIFS(AN_TME22[[#All],[Claims: Professional, Specialty]],AN_TME22[[#All],[Insurance Category Code]],5,AN_TME22[[#All],[Advanced Network/Insurance Carrier Org ID]],B199)/D199)</f>
        <v>NA</v>
      </c>
      <c r="J199" s="109" t="str">
        <f>IF(D199=0,"NA",SUMIFS(AN_TME22[[#All],[Claims: Professional Other]],AN_TME22[[#All],[Insurance Category Code]],5,AN_TME22[[#All],[Advanced Network/Insurance Carrier Org ID]],B199)/D199)</f>
        <v>NA</v>
      </c>
      <c r="K199" s="109" t="str">
        <f>IF(D199=0,"NA",SUMIFS(AN_TME22[[#All],[Claims: Pharmacy]],AN_TME22[[#All],[Insurance Category Code]],5,AN_TME22[[#All],[Advanced Network/Insurance Carrier Org ID]],B199)/D199)</f>
        <v>NA</v>
      </c>
      <c r="L199" s="109" t="str">
        <f>IF(D199=0,"NA",SUMIFS(AN_TME22[[#All],[Claims: Long-Term Care]],AN_TME22[[#All],[Insurance Category Code]],5,AN_TME22[[#All],[Advanced Network/Insurance Carrier Org ID]],B199)/D199)</f>
        <v>NA</v>
      </c>
      <c r="M199" s="109" t="str">
        <f>IF(D199=0,"NA",SUMIFS(AN_TME22[[#All],[Claims: Other]],AN_TME22[[#All],[Insurance Category Code]],5,AN_TME22[[#All],[Advanced Network/Insurance Carrier Org ID]],B199)/D199)</f>
        <v>NA</v>
      </c>
      <c r="N199" s="165" t="str">
        <f>IF(D199=0,"NA",SUMIFS(AN_TME22[[#All],[TOTAL Non-Truncated Unadjusted Claims Expenses]],AN_TME22[[#All],[Insurance Category Code]],5,AN_TME22[[#All],[Advanced Network/Insurance Carrier Org ID]],B199)/D199)</f>
        <v>NA</v>
      </c>
      <c r="O199" s="165" t="str">
        <f>IF(D199=0,"NA",SUMIFS(AN_TME22[[#All],[TOTAL Truncated Unadjusted Claims Expenses (A21 -A19)]],AN_TME22[[#All],[Insurance Category Code]],5,AN_TME22[[#All],[Advanced Network/Insurance Carrier Org ID]],B199)/D199)</f>
        <v>NA</v>
      </c>
      <c r="P199" s="165" t="str">
        <f>IF(D199=0,"NA",SUMIFS(AN_TME22[[#All],[TOTAL Non-Claims Expenses]],AN_TME22[[#All],[Insurance Category Code]],5,AN_TME22[[#All],[Advanced Network/Insurance Carrier Org ID]],B199)/D199)</f>
        <v>NA</v>
      </c>
      <c r="Q199" s="165" t="str">
        <f>IF(D199=0,"NA",SUMIFS(AN_TME22[[#All],[TOTAL Non-Truncated Unadjusted Expenses (A21 + A23)]],AN_TME22[[#All],[Insurance Category Code]],5,AN_TME22[[#All],[Advanced Network/Insurance Carrier Org ID]],B199)/D199)</f>
        <v>NA</v>
      </c>
      <c r="R199" s="165" t="str">
        <f>IF(D199=0,"NA",SUMIFS(AN_TME22[[#All],[TOTAL Truncated Unadjusted Expenses (A22 + A23)]],AN_TME22[[#All],[Insurance Category Code]],5,AN_TME22[[#All],[Advanced Network/Insurance Carrier Org ID]],B199)/D199)</f>
        <v>NA</v>
      </c>
      <c r="S199" s="507">
        <f>SUMIFS(AN_TME23[[#All],[Member Months]],AN_TME23[[#All],[Insurance Category Code]],5,AN_TME23[[#All],[Advanced Network/Insurance Carrier Org ID]],B199)</f>
        <v>0</v>
      </c>
      <c r="T199" s="155" t="str">
        <f>IF(S199=0,"NA",SUMIFS(AN_TME23[[#All],[Claims: Hospital Inpatient]],AN_TME23[[#All],[Insurance Category Code]],5,AN_TME23[[#All],[Advanced Network/Insurance Carrier Org ID]],B199)/S199)</f>
        <v>NA</v>
      </c>
      <c r="U199" s="109" t="str">
        <f>IF(S199=0,"NA",SUMIFS(AN_TME23[[#All],[Claims: Hospital Outpatient]],AN_TME23[[#All],[Insurance Category Code]],5,AN_TME23[[#All],[Advanced Network/Insurance Carrier Org ID]],B199)/S199)</f>
        <v>NA</v>
      </c>
      <c r="V199" s="109" t="str">
        <f>IF(S199=0,"NA",SUMIFS(AN_TME23[[#All],[Claims: Professional, Primary Care]],AN_TME23[[#All],[Insurance Category Code]],5,AN_TME23[[#All],[Advanced Network/Insurance Carrier Org ID]],B199)/S199)</f>
        <v>NA</v>
      </c>
      <c r="W199" s="109" t="str">
        <f>IF(S199=0,"NA",SUMIFS(AN_TME23[[#All],[Claims: Professional, Primary Care (for Monitoring Purposes)]],AN_TME23[[#All],[Insurance Category Code]],5,AN_TME23[[#All],[Advanced Network/Insurance Carrier Org ID]],B199)/S199)</f>
        <v>NA</v>
      </c>
      <c r="X199" s="109" t="str">
        <f>IF(S199=0,"NA",SUMIFS(AN_TME23[[#All],[Claims: Professional, Specialty]],AN_TME23[[#All],[Insurance Category Code]],5,AN_TME23[[#All],[Advanced Network/Insurance Carrier Org ID]],B199)/S199)</f>
        <v>NA</v>
      </c>
      <c r="Y199" s="109" t="str">
        <f>IF(S199=0,"NA",SUMIFS(AN_TME23[[#All],[Claims: Professional Other]],AN_TME23[[#All],[Insurance Category Code]],5,AN_TME23[[#All],[Advanced Network/Insurance Carrier Org ID]],B199)/S199)</f>
        <v>NA</v>
      </c>
      <c r="Z199" s="109" t="str">
        <f>IF(S199=0,"NA",SUMIFS(AN_TME23[[#All],[Claims: Pharmacy]],AN_TME23[[#All],[Insurance Category Code]],5,AN_TME23[[#All],[Advanced Network/Insurance Carrier Org ID]],B199)/S199)</f>
        <v>NA</v>
      </c>
      <c r="AA199" s="109" t="str">
        <f>IF(S199=0,"NA",SUMIFS(AN_TME23[[#All],[Claims: Long-Term Care]],AN_TME23[[#All],[Insurance Category Code]],5,AN_TME23[[#All],[Advanced Network/Insurance Carrier Org ID]],B199)/S199)</f>
        <v>NA</v>
      </c>
      <c r="AB199" s="109" t="str">
        <f>IF(S199=0,"NA",SUMIFS(AN_TME23[[#All],[Claims: Other]],AN_TME23[[#All],[Insurance Category Code]],5,AN_TME23[[#All],[Advanced Network/Insurance Carrier Org ID]],B199)/S199)</f>
        <v>NA</v>
      </c>
      <c r="AC199" s="165" t="str">
        <f>IF(S199=0,"NA",SUMIFS(AN_TME23[[#All],[TOTAL Non-Truncated Unadjusted Claims Expenses]],AN_TME23[[#All],[Insurance Category Code]],5,AN_TME23[[#All],[Advanced Network/Insurance Carrier Org ID]],B199)/S199)</f>
        <v>NA</v>
      </c>
      <c r="AD199" s="165" t="str">
        <f>IF(S199=0,"NA",SUMIFS(AN_TME23[[#All],[TOTAL Truncated Unadjusted Claims Expenses (A21 -A19)]],AN_TME23[[#All],[Insurance Category Code]],5,AN_TME23[[#All],[Advanced Network/Insurance Carrier Org ID]],B199)/S199)</f>
        <v>NA</v>
      </c>
      <c r="AE199" s="165" t="str">
        <f>IF(S199=0,"NA",SUMIFS(AN_TME23[[#All],[TOTAL Non-Claims Expenses]],AN_TME23[[#All],[Insurance Category Code]],5,AN_TME23[[#All],[Advanced Network/Insurance Carrier Org ID]],B199)/S199)</f>
        <v>NA</v>
      </c>
      <c r="AF199" s="165" t="str">
        <f>IF(S199=0,"NA",SUMIFS(AN_TME23[[#All],[TOTAL Non-Truncated Unadjusted Expenses (A21 + A23)]],AN_TME23[[#All],[Insurance Category Code]],5,AN_TME23[[#All],[Advanced Network/Insurance Carrier Org ID]],B199)/S199)</f>
        <v>NA</v>
      </c>
      <c r="AG199" s="156" t="str">
        <f>IF(S199=0,"NA",SUMIFS(AN_TME23[[#All],[TOTAL Truncated Unadjusted Expenses (A22 + A23)]],AN_TME23[[#All],[Insurance Category Code]],5,AN_TME23[[#All],[Advanced Network/Insurance Carrier Org ID]],B199)/S199)</f>
        <v>NA</v>
      </c>
      <c r="AH199" s="478" t="str">
        <f t="shared" ref="AH199:AH207" si="276">IF(D199=0,"NA",S199/D199-1)</f>
        <v>NA</v>
      </c>
      <c r="AI199" s="479" t="str">
        <f t="shared" ref="AI199:AI207" si="277">IF(D199=0,"NA",T199/E199-1)</f>
        <v>NA</v>
      </c>
      <c r="AJ199" s="480" t="str">
        <f t="shared" ref="AJ199:AJ207" si="278">IF(D199=0,"NA",U199/F199-1)</f>
        <v>NA</v>
      </c>
      <c r="AK199" s="480" t="str">
        <f t="shared" ref="AK199:AK207" si="279">IF(D199=0,"NA",V199/G199-1)</f>
        <v>NA</v>
      </c>
      <c r="AL199" s="480" t="str">
        <f t="shared" ref="AL199:AL207" si="280">IF(D199=0,"NA",W199/H199-1)</f>
        <v>NA</v>
      </c>
      <c r="AM199" s="480" t="str">
        <f t="shared" ref="AM199:AM207" si="281">IF(D199=0,"NA",X199/I199-1)</f>
        <v>NA</v>
      </c>
      <c r="AN199" s="480" t="str">
        <f t="shared" ref="AN199:AN207" si="282">IF(D199=0,"NA",Y199/J199-1)</f>
        <v>NA</v>
      </c>
      <c r="AO199" s="480" t="str">
        <f t="shared" ref="AO199:AO207" si="283">IF(D199=0,"NA",Z199/K199-1)</f>
        <v>NA</v>
      </c>
      <c r="AP199" s="480" t="str">
        <f t="shared" ref="AP199:AP207" si="284">IF(D199=0,"NA",AA199/L199-1)</f>
        <v>NA</v>
      </c>
      <c r="AQ199" s="480" t="str">
        <f t="shared" ref="AQ199:AQ207" si="285">IF(D199=0,"NA",AB199/M199-1)</f>
        <v>NA</v>
      </c>
      <c r="AR199" s="481" t="str">
        <f t="shared" ref="AR199:AR207" si="286">IF(D199=0,"NA",AC199/N199-1)</f>
        <v>NA</v>
      </c>
      <c r="AS199" s="481" t="str">
        <f t="shared" ref="AS199:AS207" si="287">IF(D199=0,"NA",AD199/O199-1)</f>
        <v>NA</v>
      </c>
      <c r="AT199" s="481" t="str">
        <f t="shared" ref="AT199:AT207" si="288">IF(D199=0,"NA",AE199/P199-1)</f>
        <v>NA</v>
      </c>
      <c r="AU199" s="481" t="str">
        <f t="shared" ref="AU199:AU207" si="289">IF(D199=0,"NA",AF199/Q199-1)</f>
        <v>NA</v>
      </c>
      <c r="AV199" s="482" t="str">
        <f t="shared" ref="AV199:AV207" si="290">IF(D199=0,"NA",AG199/R199-1)</f>
        <v>NA</v>
      </c>
    </row>
    <row r="200" spans="1:48" ht="15" customHeight="1" x14ac:dyDescent="0.25">
      <c r="A200" s="164"/>
      <c r="B200" s="166">
        <v>103</v>
      </c>
      <c r="C200" s="169" t="str">
        <f>_xlfn.XLOOKUP(B200, LgProvEntOrgIDs[Advanced Network/Insurer Carrier Org ID], LgProvEntOrgIDs[Advanced Network/Insurance Carrier Overall])</f>
        <v>Connecticut State Medical Society IPA</v>
      </c>
      <c r="D200" s="507">
        <f>SUMIFS(AN_TME22[[#All],[Member Months]],AN_TME22[[#All],[Insurance Category Code]],5,AN_TME22[[#All],[Advanced Network/Insurance Carrier Org ID]],B200)</f>
        <v>0</v>
      </c>
      <c r="E200" s="155" t="str">
        <f>IF(D200=0,"NA",SUMIFS(AN_TME22[[#All],[Claims: Hospital Inpatient]],AN_TME22[[#All],[Insurance Category Code]],5,AN_TME22[[#All],[Advanced Network/Insurance Carrier Org ID]],B200)/D200)</f>
        <v>NA</v>
      </c>
      <c r="F200" s="109" t="str">
        <f>IF(D200=0,"NA",SUMIFS(AN_TME22[[#All],[Claims: Hospital Outpatient]],AN_TME22[[#All],[Insurance Category Code]],5,AN_TME22[[#All],[Advanced Network/Insurance Carrier Org ID]],B200)/D200)</f>
        <v>NA</v>
      </c>
      <c r="G200" s="109" t="str">
        <f>IF(D200=0,"NA",SUMIFS(AN_TME22[[#All],[Claims: Professional, Primary Care]],AN_TME22[[#All],[Insurance Category Code]],5,AN_TME22[[#All],[Advanced Network/Insurance Carrier Org ID]],B200)/D200)</f>
        <v>NA</v>
      </c>
      <c r="H200" s="109" t="str">
        <f>IF(D200=0,"NA",SUMIFS(AN_TME22[[#All],[Claims: Professional, Primary Care (for Monitoring Purposes)]],AN_TME22[[#All],[Insurance Category Code]],5,AN_TME22[[#All],[Advanced Network/Insurance Carrier Org ID]],B200)/D200)</f>
        <v>NA</v>
      </c>
      <c r="I200" s="109" t="str">
        <f>IF(D200=0,"NA",SUMIFS(AN_TME22[[#All],[Claims: Professional, Specialty]],AN_TME22[[#All],[Insurance Category Code]],5,AN_TME22[[#All],[Advanced Network/Insurance Carrier Org ID]],B200)/D200)</f>
        <v>NA</v>
      </c>
      <c r="J200" s="109" t="str">
        <f>IF(D200=0,"NA",SUMIFS(AN_TME22[[#All],[Claims: Professional Other]],AN_TME22[[#All],[Insurance Category Code]],5,AN_TME22[[#All],[Advanced Network/Insurance Carrier Org ID]],B200)/D200)</f>
        <v>NA</v>
      </c>
      <c r="K200" s="109" t="str">
        <f>IF(D200=0,"NA",SUMIFS(AN_TME22[[#All],[Claims: Pharmacy]],AN_TME22[[#All],[Insurance Category Code]],5,AN_TME22[[#All],[Advanced Network/Insurance Carrier Org ID]],B200)/D200)</f>
        <v>NA</v>
      </c>
      <c r="L200" s="109" t="str">
        <f>IF(D200=0,"NA",SUMIFS(AN_TME22[[#All],[Claims: Long-Term Care]],AN_TME22[[#All],[Insurance Category Code]],5,AN_TME22[[#All],[Advanced Network/Insurance Carrier Org ID]],B200)/D200)</f>
        <v>NA</v>
      </c>
      <c r="M200" s="109" t="str">
        <f>IF(D200=0,"NA",SUMIFS(AN_TME22[[#All],[Claims: Other]],AN_TME22[[#All],[Insurance Category Code]],5,AN_TME22[[#All],[Advanced Network/Insurance Carrier Org ID]],B200)/D200)</f>
        <v>NA</v>
      </c>
      <c r="N200" s="165" t="str">
        <f>IF(D200=0,"NA",SUMIFS(AN_TME22[[#All],[TOTAL Non-Truncated Unadjusted Claims Expenses]],AN_TME22[[#All],[Insurance Category Code]],5,AN_TME22[[#All],[Advanced Network/Insurance Carrier Org ID]],B200)/D200)</f>
        <v>NA</v>
      </c>
      <c r="O200" s="165" t="str">
        <f>IF(D200=0,"NA",SUMIFS(AN_TME22[[#All],[TOTAL Truncated Unadjusted Claims Expenses (A21 -A19)]],AN_TME22[[#All],[Insurance Category Code]],5,AN_TME22[[#All],[Advanced Network/Insurance Carrier Org ID]],B200)/D200)</f>
        <v>NA</v>
      </c>
      <c r="P200" s="165" t="str">
        <f>IF(D200=0,"NA",SUMIFS(AN_TME22[[#All],[TOTAL Non-Claims Expenses]],AN_TME22[[#All],[Insurance Category Code]],5,AN_TME22[[#All],[Advanced Network/Insurance Carrier Org ID]],B200)/D200)</f>
        <v>NA</v>
      </c>
      <c r="Q200" s="165" t="str">
        <f>IF(D200=0,"NA",SUMIFS(AN_TME22[[#All],[TOTAL Non-Truncated Unadjusted Expenses (A21 + A23)]],AN_TME22[[#All],[Insurance Category Code]],5,AN_TME22[[#All],[Advanced Network/Insurance Carrier Org ID]],B200)/D200)</f>
        <v>NA</v>
      </c>
      <c r="R200" s="165" t="str">
        <f>IF(D200=0,"NA",SUMIFS(AN_TME22[[#All],[TOTAL Truncated Unadjusted Expenses (A22 + A23)]],AN_TME22[[#All],[Insurance Category Code]],5,AN_TME22[[#All],[Advanced Network/Insurance Carrier Org ID]],B200)/D200)</f>
        <v>NA</v>
      </c>
      <c r="S200" s="507">
        <f>SUMIFS(AN_TME23[[#All],[Member Months]],AN_TME23[[#All],[Insurance Category Code]],5,AN_TME23[[#All],[Advanced Network/Insurance Carrier Org ID]],B200)</f>
        <v>0</v>
      </c>
      <c r="T200" s="155" t="str">
        <f>IF(S200=0,"NA",SUMIFS(AN_TME23[[#All],[Claims: Hospital Inpatient]],AN_TME23[[#All],[Insurance Category Code]],5,AN_TME23[[#All],[Advanced Network/Insurance Carrier Org ID]],B200)/S200)</f>
        <v>NA</v>
      </c>
      <c r="U200" s="109" t="str">
        <f>IF(S200=0,"NA",SUMIFS(AN_TME23[[#All],[Claims: Hospital Outpatient]],AN_TME23[[#All],[Insurance Category Code]],5,AN_TME23[[#All],[Advanced Network/Insurance Carrier Org ID]],B200)/S200)</f>
        <v>NA</v>
      </c>
      <c r="V200" s="109" t="str">
        <f>IF(S200=0,"NA",SUMIFS(AN_TME23[[#All],[Claims: Professional, Primary Care]],AN_TME23[[#All],[Insurance Category Code]],5,AN_TME23[[#All],[Advanced Network/Insurance Carrier Org ID]],B200)/S200)</f>
        <v>NA</v>
      </c>
      <c r="W200" s="109" t="str">
        <f>IF(S200=0,"NA",SUMIFS(AN_TME23[[#All],[Claims: Professional, Primary Care (for Monitoring Purposes)]],AN_TME23[[#All],[Insurance Category Code]],5,AN_TME23[[#All],[Advanced Network/Insurance Carrier Org ID]],B200)/S200)</f>
        <v>NA</v>
      </c>
      <c r="X200" s="109" t="str">
        <f>IF(S200=0,"NA",SUMIFS(AN_TME23[[#All],[Claims: Professional, Specialty]],AN_TME23[[#All],[Insurance Category Code]],5,AN_TME23[[#All],[Advanced Network/Insurance Carrier Org ID]],B200)/S200)</f>
        <v>NA</v>
      </c>
      <c r="Y200" s="109" t="str">
        <f>IF(S200=0,"NA",SUMIFS(AN_TME23[[#All],[Claims: Professional Other]],AN_TME23[[#All],[Insurance Category Code]],5,AN_TME23[[#All],[Advanced Network/Insurance Carrier Org ID]],B200)/S200)</f>
        <v>NA</v>
      </c>
      <c r="Z200" s="109" t="str">
        <f>IF(S200=0,"NA",SUMIFS(AN_TME23[[#All],[Claims: Pharmacy]],AN_TME23[[#All],[Insurance Category Code]],5,AN_TME23[[#All],[Advanced Network/Insurance Carrier Org ID]],B200)/S200)</f>
        <v>NA</v>
      </c>
      <c r="AA200" s="109" t="str">
        <f>IF(S200=0,"NA",SUMIFS(AN_TME23[[#All],[Claims: Long-Term Care]],AN_TME23[[#All],[Insurance Category Code]],5,AN_TME23[[#All],[Advanced Network/Insurance Carrier Org ID]],B200)/S200)</f>
        <v>NA</v>
      </c>
      <c r="AB200" s="109" t="str">
        <f>IF(S200=0,"NA",SUMIFS(AN_TME23[[#All],[Claims: Other]],AN_TME23[[#All],[Insurance Category Code]],5,AN_TME23[[#All],[Advanced Network/Insurance Carrier Org ID]],B200)/S200)</f>
        <v>NA</v>
      </c>
      <c r="AC200" s="165" t="str">
        <f>IF(S200=0,"NA",SUMIFS(AN_TME23[[#All],[TOTAL Non-Truncated Unadjusted Claims Expenses]],AN_TME23[[#All],[Insurance Category Code]],5,AN_TME23[[#All],[Advanced Network/Insurance Carrier Org ID]],B200)/S200)</f>
        <v>NA</v>
      </c>
      <c r="AD200" s="165" t="str">
        <f>IF(S200=0,"NA",SUMIFS(AN_TME23[[#All],[TOTAL Truncated Unadjusted Claims Expenses (A21 -A19)]],AN_TME23[[#All],[Insurance Category Code]],5,AN_TME23[[#All],[Advanced Network/Insurance Carrier Org ID]],B200)/S200)</f>
        <v>NA</v>
      </c>
      <c r="AE200" s="165" t="str">
        <f>IF(S200=0,"NA",SUMIFS(AN_TME23[[#All],[TOTAL Non-Claims Expenses]],AN_TME23[[#All],[Insurance Category Code]],5,AN_TME23[[#All],[Advanced Network/Insurance Carrier Org ID]],B200)/S200)</f>
        <v>NA</v>
      </c>
      <c r="AF200" s="165" t="str">
        <f>IF(S200=0,"NA",SUMIFS(AN_TME23[[#All],[TOTAL Non-Truncated Unadjusted Expenses (A21 + A23)]],AN_TME23[[#All],[Insurance Category Code]],5,AN_TME23[[#All],[Advanced Network/Insurance Carrier Org ID]],B200)/S200)</f>
        <v>NA</v>
      </c>
      <c r="AG200" s="156" t="str">
        <f>IF(S200=0,"NA",SUMIFS(AN_TME23[[#All],[TOTAL Truncated Unadjusted Expenses (A22 + A23)]],AN_TME23[[#All],[Insurance Category Code]],5,AN_TME23[[#All],[Advanced Network/Insurance Carrier Org ID]],B200)/S200)</f>
        <v>NA</v>
      </c>
      <c r="AH200" s="478" t="str">
        <f t="shared" si="276"/>
        <v>NA</v>
      </c>
      <c r="AI200" s="479" t="str">
        <f t="shared" si="277"/>
        <v>NA</v>
      </c>
      <c r="AJ200" s="480" t="str">
        <f t="shared" si="278"/>
        <v>NA</v>
      </c>
      <c r="AK200" s="480" t="str">
        <f t="shared" si="279"/>
        <v>NA</v>
      </c>
      <c r="AL200" s="480" t="str">
        <f t="shared" si="280"/>
        <v>NA</v>
      </c>
      <c r="AM200" s="480" t="str">
        <f t="shared" si="281"/>
        <v>NA</v>
      </c>
      <c r="AN200" s="480" t="str">
        <f t="shared" si="282"/>
        <v>NA</v>
      </c>
      <c r="AO200" s="480" t="str">
        <f t="shared" si="283"/>
        <v>NA</v>
      </c>
      <c r="AP200" s="480" t="str">
        <f t="shared" si="284"/>
        <v>NA</v>
      </c>
      <c r="AQ200" s="480" t="str">
        <f t="shared" si="285"/>
        <v>NA</v>
      </c>
      <c r="AR200" s="481" t="str">
        <f t="shared" si="286"/>
        <v>NA</v>
      </c>
      <c r="AS200" s="481" t="str">
        <f t="shared" si="287"/>
        <v>NA</v>
      </c>
      <c r="AT200" s="481" t="str">
        <f t="shared" si="288"/>
        <v>NA</v>
      </c>
      <c r="AU200" s="481" t="str">
        <f t="shared" si="289"/>
        <v>NA</v>
      </c>
      <c r="AV200" s="482" t="str">
        <f t="shared" si="290"/>
        <v>NA</v>
      </c>
    </row>
    <row r="201" spans="1:48" ht="15" customHeight="1" x14ac:dyDescent="0.25">
      <c r="A201" s="164"/>
      <c r="B201" s="166">
        <v>104</v>
      </c>
      <c r="C201" s="169" t="str">
        <f>_xlfn.XLOOKUP(B201, LgProvEntOrgIDs[Advanced Network/Insurer Carrier Org ID], LgProvEntOrgIDs[Advanced Network/Insurance Carrier Overall])</f>
        <v>Integrated Care Partners</v>
      </c>
      <c r="D201" s="507">
        <f>SUMIFS(AN_TME22[[#All],[Member Months]],AN_TME22[[#All],[Insurance Category Code]],5,AN_TME22[[#All],[Advanced Network/Insurance Carrier Org ID]],B201)</f>
        <v>0</v>
      </c>
      <c r="E201" s="155" t="str">
        <f>IF(D201=0,"NA",SUMIFS(AN_TME22[[#All],[Claims: Hospital Inpatient]],AN_TME22[[#All],[Insurance Category Code]],5,AN_TME22[[#All],[Advanced Network/Insurance Carrier Org ID]],B201)/D201)</f>
        <v>NA</v>
      </c>
      <c r="F201" s="109" t="str">
        <f>IF(D201=0,"NA",SUMIFS(AN_TME22[[#All],[Claims: Hospital Outpatient]],AN_TME22[[#All],[Insurance Category Code]],5,AN_TME22[[#All],[Advanced Network/Insurance Carrier Org ID]],B201)/D201)</f>
        <v>NA</v>
      </c>
      <c r="G201" s="109" t="str">
        <f>IF(D201=0,"NA",SUMIFS(AN_TME22[[#All],[Claims: Professional, Primary Care]],AN_TME22[[#All],[Insurance Category Code]],5,AN_TME22[[#All],[Advanced Network/Insurance Carrier Org ID]],B201)/D201)</f>
        <v>NA</v>
      </c>
      <c r="H201" s="109" t="str">
        <f>IF(D201=0,"NA",SUMIFS(AN_TME22[[#All],[Claims: Professional, Primary Care (for Monitoring Purposes)]],AN_TME22[[#All],[Insurance Category Code]],5,AN_TME22[[#All],[Advanced Network/Insurance Carrier Org ID]],B201)/D201)</f>
        <v>NA</v>
      </c>
      <c r="I201" s="109" t="str">
        <f>IF(D201=0,"NA",SUMIFS(AN_TME22[[#All],[Claims: Professional, Specialty]],AN_TME22[[#All],[Insurance Category Code]],5,AN_TME22[[#All],[Advanced Network/Insurance Carrier Org ID]],B201)/D201)</f>
        <v>NA</v>
      </c>
      <c r="J201" s="109" t="str">
        <f>IF(D201=0,"NA",SUMIFS(AN_TME22[[#All],[Claims: Professional Other]],AN_TME22[[#All],[Insurance Category Code]],5,AN_TME22[[#All],[Advanced Network/Insurance Carrier Org ID]],B201)/D201)</f>
        <v>NA</v>
      </c>
      <c r="K201" s="109" t="str">
        <f>IF(D201=0,"NA",SUMIFS(AN_TME22[[#All],[Claims: Pharmacy]],AN_TME22[[#All],[Insurance Category Code]],5,AN_TME22[[#All],[Advanced Network/Insurance Carrier Org ID]],B201)/D201)</f>
        <v>NA</v>
      </c>
      <c r="L201" s="109" t="str">
        <f>IF(D201=0,"NA",SUMIFS(AN_TME22[[#All],[Claims: Long-Term Care]],AN_TME22[[#All],[Insurance Category Code]],5,AN_TME22[[#All],[Advanced Network/Insurance Carrier Org ID]],B201)/D201)</f>
        <v>NA</v>
      </c>
      <c r="M201" s="109" t="str">
        <f>IF(D201=0,"NA",SUMIFS(AN_TME22[[#All],[Claims: Other]],AN_TME22[[#All],[Insurance Category Code]],5,AN_TME22[[#All],[Advanced Network/Insurance Carrier Org ID]],B201)/D201)</f>
        <v>NA</v>
      </c>
      <c r="N201" s="165" t="str">
        <f>IF(D201=0,"NA",SUMIFS(AN_TME22[[#All],[TOTAL Non-Truncated Unadjusted Claims Expenses]],AN_TME22[[#All],[Insurance Category Code]],5,AN_TME22[[#All],[Advanced Network/Insurance Carrier Org ID]],B201)/D201)</f>
        <v>NA</v>
      </c>
      <c r="O201" s="165" t="str">
        <f>IF(D201=0,"NA",SUMIFS(AN_TME22[[#All],[TOTAL Truncated Unadjusted Claims Expenses (A21 -A19)]],AN_TME22[[#All],[Insurance Category Code]],5,AN_TME22[[#All],[Advanced Network/Insurance Carrier Org ID]],B201)/D201)</f>
        <v>NA</v>
      </c>
      <c r="P201" s="165" t="str">
        <f>IF(D201=0,"NA",SUMIFS(AN_TME22[[#All],[TOTAL Non-Claims Expenses]],AN_TME22[[#All],[Insurance Category Code]],5,AN_TME22[[#All],[Advanced Network/Insurance Carrier Org ID]],B201)/D201)</f>
        <v>NA</v>
      </c>
      <c r="Q201" s="165" t="str">
        <f>IF(D201=0,"NA",SUMIFS(AN_TME22[[#All],[TOTAL Non-Truncated Unadjusted Expenses (A21 + A23)]],AN_TME22[[#All],[Insurance Category Code]],5,AN_TME22[[#All],[Advanced Network/Insurance Carrier Org ID]],B201)/D201)</f>
        <v>NA</v>
      </c>
      <c r="R201" s="165" t="str">
        <f>IF(D201=0,"NA",SUMIFS(AN_TME22[[#All],[TOTAL Truncated Unadjusted Expenses (A22 + A23)]],AN_TME22[[#All],[Insurance Category Code]],5,AN_TME22[[#All],[Advanced Network/Insurance Carrier Org ID]],B201)/D201)</f>
        <v>NA</v>
      </c>
      <c r="S201" s="507">
        <f>SUMIFS(AN_TME23[[#All],[Member Months]],AN_TME23[[#All],[Insurance Category Code]],5,AN_TME23[[#All],[Advanced Network/Insurance Carrier Org ID]],B201)</f>
        <v>0</v>
      </c>
      <c r="T201" s="155" t="str">
        <f>IF(S201=0,"NA",SUMIFS(AN_TME23[[#All],[Claims: Hospital Inpatient]],AN_TME23[[#All],[Insurance Category Code]],5,AN_TME23[[#All],[Advanced Network/Insurance Carrier Org ID]],B201)/S201)</f>
        <v>NA</v>
      </c>
      <c r="U201" s="109" t="str">
        <f>IF(S201=0,"NA",SUMIFS(AN_TME23[[#All],[Claims: Hospital Outpatient]],AN_TME23[[#All],[Insurance Category Code]],5,AN_TME23[[#All],[Advanced Network/Insurance Carrier Org ID]],B201)/S201)</f>
        <v>NA</v>
      </c>
      <c r="V201" s="109" t="str">
        <f>IF(S201=0,"NA",SUMIFS(AN_TME23[[#All],[Claims: Professional, Primary Care]],AN_TME23[[#All],[Insurance Category Code]],5,AN_TME23[[#All],[Advanced Network/Insurance Carrier Org ID]],B201)/S201)</f>
        <v>NA</v>
      </c>
      <c r="W201" s="109" t="str">
        <f>IF(S201=0,"NA",SUMIFS(AN_TME23[[#All],[Claims: Professional, Primary Care (for Monitoring Purposes)]],AN_TME23[[#All],[Insurance Category Code]],5,AN_TME23[[#All],[Advanced Network/Insurance Carrier Org ID]],B201)/S201)</f>
        <v>NA</v>
      </c>
      <c r="X201" s="109" t="str">
        <f>IF(S201=0,"NA",SUMIFS(AN_TME23[[#All],[Claims: Professional, Specialty]],AN_TME23[[#All],[Insurance Category Code]],5,AN_TME23[[#All],[Advanced Network/Insurance Carrier Org ID]],B201)/S201)</f>
        <v>NA</v>
      </c>
      <c r="Y201" s="109" t="str">
        <f>IF(S201=0,"NA",SUMIFS(AN_TME23[[#All],[Claims: Professional Other]],AN_TME23[[#All],[Insurance Category Code]],5,AN_TME23[[#All],[Advanced Network/Insurance Carrier Org ID]],B201)/S201)</f>
        <v>NA</v>
      </c>
      <c r="Z201" s="109" t="str">
        <f>IF(S201=0,"NA",SUMIFS(AN_TME23[[#All],[Claims: Pharmacy]],AN_TME23[[#All],[Insurance Category Code]],5,AN_TME23[[#All],[Advanced Network/Insurance Carrier Org ID]],B201)/S201)</f>
        <v>NA</v>
      </c>
      <c r="AA201" s="109" t="str">
        <f>IF(S201=0,"NA",SUMIFS(AN_TME23[[#All],[Claims: Long-Term Care]],AN_TME23[[#All],[Insurance Category Code]],5,AN_TME23[[#All],[Advanced Network/Insurance Carrier Org ID]],B201)/S201)</f>
        <v>NA</v>
      </c>
      <c r="AB201" s="109" t="str">
        <f>IF(S201=0,"NA",SUMIFS(AN_TME23[[#All],[Claims: Other]],AN_TME23[[#All],[Insurance Category Code]],5,AN_TME23[[#All],[Advanced Network/Insurance Carrier Org ID]],B201)/S201)</f>
        <v>NA</v>
      </c>
      <c r="AC201" s="165" t="str">
        <f>IF(S201=0,"NA",SUMIFS(AN_TME23[[#All],[TOTAL Non-Truncated Unadjusted Claims Expenses]],AN_TME23[[#All],[Insurance Category Code]],5,AN_TME23[[#All],[Advanced Network/Insurance Carrier Org ID]],B201)/S201)</f>
        <v>NA</v>
      </c>
      <c r="AD201" s="165" t="str">
        <f>IF(S201=0,"NA",SUMIFS(AN_TME23[[#All],[TOTAL Truncated Unadjusted Claims Expenses (A21 -A19)]],AN_TME23[[#All],[Insurance Category Code]],5,AN_TME23[[#All],[Advanced Network/Insurance Carrier Org ID]],B201)/S201)</f>
        <v>NA</v>
      </c>
      <c r="AE201" s="165" t="str">
        <f>IF(S201=0,"NA",SUMIFS(AN_TME23[[#All],[TOTAL Non-Claims Expenses]],AN_TME23[[#All],[Insurance Category Code]],5,AN_TME23[[#All],[Advanced Network/Insurance Carrier Org ID]],B201)/S201)</f>
        <v>NA</v>
      </c>
      <c r="AF201" s="165" t="str">
        <f>IF(S201=0,"NA",SUMIFS(AN_TME23[[#All],[TOTAL Non-Truncated Unadjusted Expenses (A21 + A23)]],AN_TME23[[#All],[Insurance Category Code]],5,AN_TME23[[#All],[Advanced Network/Insurance Carrier Org ID]],B201)/S201)</f>
        <v>NA</v>
      </c>
      <c r="AG201" s="156" t="str">
        <f>IF(S201=0,"NA",SUMIFS(AN_TME23[[#All],[TOTAL Truncated Unadjusted Expenses (A22 + A23)]],AN_TME23[[#All],[Insurance Category Code]],5,AN_TME23[[#All],[Advanced Network/Insurance Carrier Org ID]],B201)/S201)</f>
        <v>NA</v>
      </c>
      <c r="AH201" s="478" t="str">
        <f t="shared" si="276"/>
        <v>NA</v>
      </c>
      <c r="AI201" s="479" t="str">
        <f t="shared" si="277"/>
        <v>NA</v>
      </c>
      <c r="AJ201" s="480" t="str">
        <f t="shared" si="278"/>
        <v>NA</v>
      </c>
      <c r="AK201" s="480" t="str">
        <f t="shared" si="279"/>
        <v>NA</v>
      </c>
      <c r="AL201" s="480" t="str">
        <f t="shared" si="280"/>
        <v>NA</v>
      </c>
      <c r="AM201" s="480" t="str">
        <f t="shared" si="281"/>
        <v>NA</v>
      </c>
      <c r="AN201" s="480" t="str">
        <f t="shared" si="282"/>
        <v>NA</v>
      </c>
      <c r="AO201" s="480" t="str">
        <f t="shared" si="283"/>
        <v>NA</v>
      </c>
      <c r="AP201" s="480" t="str">
        <f t="shared" si="284"/>
        <v>NA</v>
      </c>
      <c r="AQ201" s="480" t="str">
        <f t="shared" si="285"/>
        <v>NA</v>
      </c>
      <c r="AR201" s="481" t="str">
        <f t="shared" si="286"/>
        <v>NA</v>
      </c>
      <c r="AS201" s="481" t="str">
        <f t="shared" si="287"/>
        <v>NA</v>
      </c>
      <c r="AT201" s="481" t="str">
        <f t="shared" si="288"/>
        <v>NA</v>
      </c>
      <c r="AU201" s="481" t="str">
        <f t="shared" si="289"/>
        <v>NA</v>
      </c>
      <c r="AV201" s="482" t="str">
        <f t="shared" si="290"/>
        <v>NA</v>
      </c>
    </row>
    <row r="202" spans="1:48" ht="15" customHeight="1" x14ac:dyDescent="0.25">
      <c r="A202" s="164"/>
      <c r="B202" s="166">
        <v>105</v>
      </c>
      <c r="C202" s="169" t="str">
        <f>_xlfn.XLOOKUP(B202, LgProvEntOrgIDs[Advanced Network/Insurer Carrier Org ID], LgProvEntOrgIDs[Advanced Network/Insurance Carrier Overall])</f>
        <v>NA</v>
      </c>
      <c r="D202" s="507">
        <f>SUMIFS(AN_TME22[[#All],[Member Months]],AN_TME22[[#All],[Insurance Category Code]],5,AN_TME22[[#All],[Advanced Network/Insurance Carrier Org ID]],B202)</f>
        <v>0</v>
      </c>
      <c r="E202" s="155" t="str">
        <f>IF(D202=0,"NA",SUMIFS(AN_TME22[[#All],[Claims: Hospital Inpatient]],AN_TME22[[#All],[Insurance Category Code]],5,AN_TME22[[#All],[Advanced Network/Insurance Carrier Org ID]],B202)/D202)</f>
        <v>NA</v>
      </c>
      <c r="F202" s="109" t="str">
        <f>IF(D202=0,"NA",SUMIFS(AN_TME22[[#All],[Claims: Hospital Outpatient]],AN_TME22[[#All],[Insurance Category Code]],5,AN_TME22[[#All],[Advanced Network/Insurance Carrier Org ID]],B202)/D202)</f>
        <v>NA</v>
      </c>
      <c r="G202" s="109" t="str">
        <f>IF(D202=0,"NA",SUMIFS(AN_TME22[[#All],[Claims: Professional, Primary Care]],AN_TME22[[#All],[Insurance Category Code]],5,AN_TME22[[#All],[Advanced Network/Insurance Carrier Org ID]],B202)/D202)</f>
        <v>NA</v>
      </c>
      <c r="H202" s="109" t="str">
        <f>IF(D202=0,"NA",SUMIFS(AN_TME22[[#All],[Claims: Professional, Primary Care (for Monitoring Purposes)]],AN_TME22[[#All],[Insurance Category Code]],5,AN_TME22[[#All],[Advanced Network/Insurance Carrier Org ID]],B202)/D202)</f>
        <v>NA</v>
      </c>
      <c r="I202" s="109" t="str">
        <f>IF(D202=0,"NA",SUMIFS(AN_TME22[[#All],[Claims: Professional, Specialty]],AN_TME22[[#All],[Insurance Category Code]],5,AN_TME22[[#All],[Advanced Network/Insurance Carrier Org ID]],B202)/D202)</f>
        <v>NA</v>
      </c>
      <c r="J202" s="109" t="str">
        <f>IF(D202=0,"NA",SUMIFS(AN_TME22[[#All],[Claims: Professional Other]],AN_TME22[[#All],[Insurance Category Code]],5,AN_TME22[[#All],[Advanced Network/Insurance Carrier Org ID]],B202)/D202)</f>
        <v>NA</v>
      </c>
      <c r="K202" s="109" t="str">
        <f>IF(D202=0,"NA",SUMIFS(AN_TME22[[#All],[Claims: Pharmacy]],AN_TME22[[#All],[Insurance Category Code]],5,AN_TME22[[#All],[Advanced Network/Insurance Carrier Org ID]],B202)/D202)</f>
        <v>NA</v>
      </c>
      <c r="L202" s="109" t="str">
        <f>IF(D202=0,"NA",SUMIFS(AN_TME22[[#All],[Claims: Long-Term Care]],AN_TME22[[#All],[Insurance Category Code]],5,AN_TME22[[#All],[Advanced Network/Insurance Carrier Org ID]],B202)/D202)</f>
        <v>NA</v>
      </c>
      <c r="M202" s="109" t="str">
        <f>IF(D202=0,"NA",SUMIFS(AN_TME22[[#All],[Claims: Other]],AN_TME22[[#All],[Insurance Category Code]],5,AN_TME22[[#All],[Advanced Network/Insurance Carrier Org ID]],B202)/D202)</f>
        <v>NA</v>
      </c>
      <c r="N202" s="165" t="str">
        <f>IF(D202=0,"NA",SUMIFS(AN_TME22[[#All],[TOTAL Non-Truncated Unadjusted Claims Expenses]],AN_TME22[[#All],[Insurance Category Code]],5,AN_TME22[[#All],[Advanced Network/Insurance Carrier Org ID]],B202)/D202)</f>
        <v>NA</v>
      </c>
      <c r="O202" s="165" t="str">
        <f>IF(D202=0,"NA",SUMIFS(AN_TME22[[#All],[TOTAL Truncated Unadjusted Claims Expenses (A21 -A19)]],AN_TME22[[#All],[Insurance Category Code]],5,AN_TME22[[#All],[Advanced Network/Insurance Carrier Org ID]],B202)/D202)</f>
        <v>NA</v>
      </c>
      <c r="P202" s="165" t="str">
        <f>IF(D202=0,"NA",SUMIFS(AN_TME22[[#All],[TOTAL Non-Claims Expenses]],AN_TME22[[#All],[Insurance Category Code]],5,AN_TME22[[#All],[Advanced Network/Insurance Carrier Org ID]],B202)/D202)</f>
        <v>NA</v>
      </c>
      <c r="Q202" s="165" t="str">
        <f>IF(D202=0,"NA",SUMIFS(AN_TME22[[#All],[TOTAL Non-Truncated Unadjusted Expenses (A21 + A23)]],AN_TME22[[#All],[Insurance Category Code]],5,AN_TME22[[#All],[Advanced Network/Insurance Carrier Org ID]],B202)/D202)</f>
        <v>NA</v>
      </c>
      <c r="R202" s="165" t="str">
        <f>IF(D202=0,"NA",SUMIFS(AN_TME22[[#All],[TOTAL Truncated Unadjusted Expenses (A22 + A23)]],AN_TME22[[#All],[Insurance Category Code]],5,AN_TME22[[#All],[Advanced Network/Insurance Carrier Org ID]],B202)/D202)</f>
        <v>NA</v>
      </c>
      <c r="S202" s="507">
        <f>SUMIFS(AN_TME23[[#All],[Member Months]],AN_TME23[[#All],[Insurance Category Code]],5,AN_TME23[[#All],[Advanced Network/Insurance Carrier Org ID]],B202)</f>
        <v>0</v>
      </c>
      <c r="T202" s="155" t="str">
        <f>IF(S202=0,"NA",SUMIFS(AN_TME23[[#All],[Claims: Hospital Inpatient]],AN_TME23[[#All],[Insurance Category Code]],5,AN_TME23[[#All],[Advanced Network/Insurance Carrier Org ID]],B202)/S202)</f>
        <v>NA</v>
      </c>
      <c r="U202" s="109" t="str">
        <f>IF(S202=0,"NA",SUMIFS(AN_TME23[[#All],[Claims: Hospital Outpatient]],AN_TME23[[#All],[Insurance Category Code]],5,AN_TME23[[#All],[Advanced Network/Insurance Carrier Org ID]],B202)/S202)</f>
        <v>NA</v>
      </c>
      <c r="V202" s="109" t="str">
        <f>IF(S202=0,"NA",SUMIFS(AN_TME23[[#All],[Claims: Professional, Primary Care]],AN_TME23[[#All],[Insurance Category Code]],5,AN_TME23[[#All],[Advanced Network/Insurance Carrier Org ID]],B202)/S202)</f>
        <v>NA</v>
      </c>
      <c r="W202" s="109" t="str">
        <f>IF(S202=0,"NA",SUMIFS(AN_TME23[[#All],[Claims: Professional, Primary Care (for Monitoring Purposes)]],AN_TME23[[#All],[Insurance Category Code]],5,AN_TME23[[#All],[Advanced Network/Insurance Carrier Org ID]],B202)/S202)</f>
        <v>NA</v>
      </c>
      <c r="X202" s="109" t="str">
        <f>IF(S202=0,"NA",SUMIFS(AN_TME23[[#All],[Claims: Professional, Specialty]],AN_TME23[[#All],[Insurance Category Code]],5,AN_TME23[[#All],[Advanced Network/Insurance Carrier Org ID]],B202)/S202)</f>
        <v>NA</v>
      </c>
      <c r="Y202" s="109" t="str">
        <f>IF(S202=0,"NA",SUMIFS(AN_TME23[[#All],[Claims: Professional Other]],AN_TME23[[#All],[Insurance Category Code]],5,AN_TME23[[#All],[Advanced Network/Insurance Carrier Org ID]],B202)/S202)</f>
        <v>NA</v>
      </c>
      <c r="Z202" s="109" t="str">
        <f>IF(S202=0,"NA",SUMIFS(AN_TME23[[#All],[Claims: Pharmacy]],AN_TME23[[#All],[Insurance Category Code]],5,AN_TME23[[#All],[Advanced Network/Insurance Carrier Org ID]],B202)/S202)</f>
        <v>NA</v>
      </c>
      <c r="AA202" s="109" t="str">
        <f>IF(S202=0,"NA",SUMIFS(AN_TME23[[#All],[Claims: Long-Term Care]],AN_TME23[[#All],[Insurance Category Code]],5,AN_TME23[[#All],[Advanced Network/Insurance Carrier Org ID]],B202)/S202)</f>
        <v>NA</v>
      </c>
      <c r="AB202" s="109" t="str">
        <f>IF(S202=0,"NA",SUMIFS(AN_TME23[[#All],[Claims: Other]],AN_TME23[[#All],[Insurance Category Code]],5,AN_TME23[[#All],[Advanced Network/Insurance Carrier Org ID]],B202)/S202)</f>
        <v>NA</v>
      </c>
      <c r="AC202" s="165" t="str">
        <f>IF(S202=0,"NA",SUMIFS(AN_TME23[[#All],[TOTAL Non-Truncated Unadjusted Claims Expenses]],AN_TME23[[#All],[Insurance Category Code]],5,AN_TME23[[#All],[Advanced Network/Insurance Carrier Org ID]],B202)/S202)</f>
        <v>NA</v>
      </c>
      <c r="AD202" s="165" t="str">
        <f>IF(S202=0,"NA",SUMIFS(AN_TME23[[#All],[TOTAL Truncated Unadjusted Claims Expenses (A21 -A19)]],AN_TME23[[#All],[Insurance Category Code]],5,AN_TME23[[#All],[Advanced Network/Insurance Carrier Org ID]],B202)/S202)</f>
        <v>NA</v>
      </c>
      <c r="AE202" s="165" t="str">
        <f>IF(S202=0,"NA",SUMIFS(AN_TME23[[#All],[TOTAL Non-Claims Expenses]],AN_TME23[[#All],[Insurance Category Code]],5,AN_TME23[[#All],[Advanced Network/Insurance Carrier Org ID]],B202)/S202)</f>
        <v>NA</v>
      </c>
      <c r="AF202" s="165" t="str">
        <f>IF(S202=0,"NA",SUMIFS(AN_TME23[[#All],[TOTAL Non-Truncated Unadjusted Expenses (A21 + A23)]],AN_TME23[[#All],[Insurance Category Code]],5,AN_TME23[[#All],[Advanced Network/Insurance Carrier Org ID]],B202)/S202)</f>
        <v>NA</v>
      </c>
      <c r="AG202" s="156" t="str">
        <f>IF(S202=0,"NA",SUMIFS(AN_TME23[[#All],[TOTAL Truncated Unadjusted Expenses (A22 + A23)]],AN_TME23[[#All],[Insurance Category Code]],5,AN_TME23[[#All],[Advanced Network/Insurance Carrier Org ID]],B202)/S202)</f>
        <v>NA</v>
      </c>
      <c r="AH202" s="478" t="str">
        <f t="shared" si="276"/>
        <v>NA</v>
      </c>
      <c r="AI202" s="479" t="str">
        <f t="shared" si="277"/>
        <v>NA</v>
      </c>
      <c r="AJ202" s="480" t="str">
        <f t="shared" si="278"/>
        <v>NA</v>
      </c>
      <c r="AK202" s="480" t="str">
        <f t="shared" si="279"/>
        <v>NA</v>
      </c>
      <c r="AL202" s="480" t="str">
        <f t="shared" si="280"/>
        <v>NA</v>
      </c>
      <c r="AM202" s="480" t="str">
        <f t="shared" si="281"/>
        <v>NA</v>
      </c>
      <c r="AN202" s="480" t="str">
        <f t="shared" si="282"/>
        <v>NA</v>
      </c>
      <c r="AO202" s="480" t="str">
        <f t="shared" si="283"/>
        <v>NA</v>
      </c>
      <c r="AP202" s="480" t="str">
        <f t="shared" si="284"/>
        <v>NA</v>
      </c>
      <c r="AQ202" s="480" t="str">
        <f t="shared" si="285"/>
        <v>NA</v>
      </c>
      <c r="AR202" s="481" t="str">
        <f t="shared" si="286"/>
        <v>NA</v>
      </c>
      <c r="AS202" s="481" t="str">
        <f t="shared" si="287"/>
        <v>NA</v>
      </c>
      <c r="AT202" s="481" t="str">
        <f t="shared" si="288"/>
        <v>NA</v>
      </c>
      <c r="AU202" s="481" t="str">
        <f t="shared" si="289"/>
        <v>NA</v>
      </c>
      <c r="AV202" s="482" t="str">
        <f t="shared" si="290"/>
        <v>NA</v>
      </c>
    </row>
    <row r="203" spans="1:48" ht="15" customHeight="1" x14ac:dyDescent="0.25">
      <c r="A203" s="164"/>
      <c r="B203" s="166">
        <v>106</v>
      </c>
      <c r="C203" s="169" t="str">
        <f>_xlfn.XLOOKUP(B203, LgProvEntOrgIDs[Advanced Network/Insurer Carrier Org ID], LgProvEntOrgIDs[Advanced Network/Insurance Carrier Overall])</f>
        <v>Northeast Medical Group</v>
      </c>
      <c r="D203" s="507">
        <f>SUMIFS(AN_TME22[[#All],[Member Months]],AN_TME22[[#All],[Insurance Category Code]],5,AN_TME22[[#All],[Advanced Network/Insurance Carrier Org ID]],B203)</f>
        <v>0</v>
      </c>
      <c r="E203" s="155" t="str">
        <f>IF(D203=0,"NA",SUMIFS(AN_TME22[[#All],[Claims: Hospital Inpatient]],AN_TME22[[#All],[Insurance Category Code]],5,AN_TME22[[#All],[Advanced Network/Insurance Carrier Org ID]],B203)/D203)</f>
        <v>NA</v>
      </c>
      <c r="F203" s="109" t="str">
        <f>IF(D203=0,"NA",SUMIFS(AN_TME22[[#All],[Claims: Hospital Outpatient]],AN_TME22[[#All],[Insurance Category Code]],5,AN_TME22[[#All],[Advanced Network/Insurance Carrier Org ID]],B203)/D203)</f>
        <v>NA</v>
      </c>
      <c r="G203" s="109" t="str">
        <f>IF(D203=0,"NA",SUMIFS(AN_TME22[[#All],[Claims: Professional, Primary Care]],AN_TME22[[#All],[Insurance Category Code]],5,AN_TME22[[#All],[Advanced Network/Insurance Carrier Org ID]],B203)/D203)</f>
        <v>NA</v>
      </c>
      <c r="H203" s="109" t="str">
        <f>IF(D203=0,"NA",SUMIFS(AN_TME22[[#All],[Claims: Professional, Primary Care (for Monitoring Purposes)]],AN_TME22[[#All],[Insurance Category Code]],5,AN_TME22[[#All],[Advanced Network/Insurance Carrier Org ID]],B203)/D203)</f>
        <v>NA</v>
      </c>
      <c r="I203" s="109" t="str">
        <f>IF(D203=0,"NA",SUMIFS(AN_TME22[[#All],[Claims: Professional, Specialty]],AN_TME22[[#All],[Insurance Category Code]],5,AN_TME22[[#All],[Advanced Network/Insurance Carrier Org ID]],B203)/D203)</f>
        <v>NA</v>
      </c>
      <c r="J203" s="109" t="str">
        <f>IF(D203=0,"NA",SUMIFS(AN_TME22[[#All],[Claims: Professional Other]],AN_TME22[[#All],[Insurance Category Code]],5,AN_TME22[[#All],[Advanced Network/Insurance Carrier Org ID]],B203)/D203)</f>
        <v>NA</v>
      </c>
      <c r="K203" s="109" t="str">
        <f>IF(D203=0,"NA",SUMIFS(AN_TME22[[#All],[Claims: Pharmacy]],AN_TME22[[#All],[Insurance Category Code]],5,AN_TME22[[#All],[Advanced Network/Insurance Carrier Org ID]],B203)/D203)</f>
        <v>NA</v>
      </c>
      <c r="L203" s="109" t="str">
        <f>IF(D203=0,"NA",SUMIFS(AN_TME22[[#All],[Claims: Long-Term Care]],AN_TME22[[#All],[Insurance Category Code]],5,AN_TME22[[#All],[Advanced Network/Insurance Carrier Org ID]],B203)/D203)</f>
        <v>NA</v>
      </c>
      <c r="M203" s="109" t="str">
        <f>IF(D203=0,"NA",SUMIFS(AN_TME22[[#All],[Claims: Other]],AN_TME22[[#All],[Insurance Category Code]],5,AN_TME22[[#All],[Advanced Network/Insurance Carrier Org ID]],B203)/D203)</f>
        <v>NA</v>
      </c>
      <c r="N203" s="165" t="str">
        <f>IF(D203=0,"NA",SUMIFS(AN_TME22[[#All],[TOTAL Non-Truncated Unadjusted Claims Expenses]],AN_TME22[[#All],[Insurance Category Code]],5,AN_TME22[[#All],[Advanced Network/Insurance Carrier Org ID]],B203)/D203)</f>
        <v>NA</v>
      </c>
      <c r="O203" s="165" t="str">
        <f>IF(D203=0,"NA",SUMIFS(AN_TME22[[#All],[TOTAL Truncated Unadjusted Claims Expenses (A21 -A19)]],AN_TME22[[#All],[Insurance Category Code]],5,AN_TME22[[#All],[Advanced Network/Insurance Carrier Org ID]],B203)/D203)</f>
        <v>NA</v>
      </c>
      <c r="P203" s="165" t="str">
        <f>IF(D203=0,"NA",SUMIFS(AN_TME22[[#All],[TOTAL Non-Claims Expenses]],AN_TME22[[#All],[Insurance Category Code]],5,AN_TME22[[#All],[Advanced Network/Insurance Carrier Org ID]],B203)/D203)</f>
        <v>NA</v>
      </c>
      <c r="Q203" s="165" t="str">
        <f>IF(D203=0,"NA",SUMIFS(AN_TME22[[#All],[TOTAL Non-Truncated Unadjusted Expenses (A21 + A23)]],AN_TME22[[#All],[Insurance Category Code]],5,AN_TME22[[#All],[Advanced Network/Insurance Carrier Org ID]],B203)/D203)</f>
        <v>NA</v>
      </c>
      <c r="R203" s="165" t="str">
        <f>IF(D203=0,"NA",SUMIFS(AN_TME22[[#All],[TOTAL Truncated Unadjusted Expenses (A22 + A23)]],AN_TME22[[#All],[Insurance Category Code]],5,AN_TME22[[#All],[Advanced Network/Insurance Carrier Org ID]],B203)/D203)</f>
        <v>NA</v>
      </c>
      <c r="S203" s="507">
        <f>SUMIFS(AN_TME23[[#All],[Member Months]],AN_TME23[[#All],[Insurance Category Code]],5,AN_TME23[[#All],[Advanced Network/Insurance Carrier Org ID]],B203)</f>
        <v>0</v>
      </c>
      <c r="T203" s="155" t="str">
        <f>IF(S203=0,"NA",SUMIFS(AN_TME23[[#All],[Claims: Hospital Inpatient]],AN_TME23[[#All],[Insurance Category Code]],5,AN_TME23[[#All],[Advanced Network/Insurance Carrier Org ID]],B203)/S203)</f>
        <v>NA</v>
      </c>
      <c r="U203" s="109" t="str">
        <f>IF(S203=0,"NA",SUMIFS(AN_TME23[[#All],[Claims: Hospital Outpatient]],AN_TME23[[#All],[Insurance Category Code]],5,AN_TME23[[#All],[Advanced Network/Insurance Carrier Org ID]],B203)/S203)</f>
        <v>NA</v>
      </c>
      <c r="V203" s="109" t="str">
        <f>IF(S203=0,"NA",SUMIFS(AN_TME23[[#All],[Claims: Professional, Primary Care]],AN_TME23[[#All],[Insurance Category Code]],5,AN_TME23[[#All],[Advanced Network/Insurance Carrier Org ID]],B203)/S203)</f>
        <v>NA</v>
      </c>
      <c r="W203" s="109" t="str">
        <f>IF(S203=0,"NA",SUMIFS(AN_TME23[[#All],[Claims: Professional, Primary Care (for Monitoring Purposes)]],AN_TME23[[#All],[Insurance Category Code]],5,AN_TME23[[#All],[Advanced Network/Insurance Carrier Org ID]],B203)/S203)</f>
        <v>NA</v>
      </c>
      <c r="X203" s="109" t="str">
        <f>IF(S203=0,"NA",SUMIFS(AN_TME23[[#All],[Claims: Professional, Specialty]],AN_TME23[[#All],[Insurance Category Code]],5,AN_TME23[[#All],[Advanced Network/Insurance Carrier Org ID]],B203)/S203)</f>
        <v>NA</v>
      </c>
      <c r="Y203" s="109" t="str">
        <f>IF(S203=0,"NA",SUMIFS(AN_TME23[[#All],[Claims: Professional Other]],AN_TME23[[#All],[Insurance Category Code]],5,AN_TME23[[#All],[Advanced Network/Insurance Carrier Org ID]],B203)/S203)</f>
        <v>NA</v>
      </c>
      <c r="Z203" s="109" t="str">
        <f>IF(S203=0,"NA",SUMIFS(AN_TME23[[#All],[Claims: Pharmacy]],AN_TME23[[#All],[Insurance Category Code]],5,AN_TME23[[#All],[Advanced Network/Insurance Carrier Org ID]],B203)/S203)</f>
        <v>NA</v>
      </c>
      <c r="AA203" s="109" t="str">
        <f>IF(S203=0,"NA",SUMIFS(AN_TME23[[#All],[Claims: Long-Term Care]],AN_TME23[[#All],[Insurance Category Code]],5,AN_TME23[[#All],[Advanced Network/Insurance Carrier Org ID]],B203)/S203)</f>
        <v>NA</v>
      </c>
      <c r="AB203" s="109" t="str">
        <f>IF(S203=0,"NA",SUMIFS(AN_TME23[[#All],[Claims: Other]],AN_TME23[[#All],[Insurance Category Code]],5,AN_TME23[[#All],[Advanced Network/Insurance Carrier Org ID]],B203)/S203)</f>
        <v>NA</v>
      </c>
      <c r="AC203" s="165" t="str">
        <f>IF(S203=0,"NA",SUMIFS(AN_TME23[[#All],[TOTAL Non-Truncated Unadjusted Claims Expenses]],AN_TME23[[#All],[Insurance Category Code]],5,AN_TME23[[#All],[Advanced Network/Insurance Carrier Org ID]],B203)/S203)</f>
        <v>NA</v>
      </c>
      <c r="AD203" s="165" t="str">
        <f>IF(S203=0,"NA",SUMIFS(AN_TME23[[#All],[TOTAL Truncated Unadjusted Claims Expenses (A21 -A19)]],AN_TME23[[#All],[Insurance Category Code]],5,AN_TME23[[#All],[Advanced Network/Insurance Carrier Org ID]],B203)/S203)</f>
        <v>NA</v>
      </c>
      <c r="AE203" s="165" t="str">
        <f>IF(S203=0,"NA",SUMIFS(AN_TME23[[#All],[TOTAL Non-Claims Expenses]],AN_TME23[[#All],[Insurance Category Code]],5,AN_TME23[[#All],[Advanced Network/Insurance Carrier Org ID]],B203)/S203)</f>
        <v>NA</v>
      </c>
      <c r="AF203" s="165" t="str">
        <f>IF(S203=0,"NA",SUMIFS(AN_TME23[[#All],[TOTAL Non-Truncated Unadjusted Expenses (A21 + A23)]],AN_TME23[[#All],[Insurance Category Code]],5,AN_TME23[[#All],[Advanced Network/Insurance Carrier Org ID]],B203)/S203)</f>
        <v>NA</v>
      </c>
      <c r="AG203" s="156" t="str">
        <f>IF(S203=0,"NA",SUMIFS(AN_TME23[[#All],[TOTAL Truncated Unadjusted Expenses (A22 + A23)]],AN_TME23[[#All],[Insurance Category Code]],5,AN_TME23[[#All],[Advanced Network/Insurance Carrier Org ID]],B203)/S203)</f>
        <v>NA</v>
      </c>
      <c r="AH203" s="478" t="str">
        <f t="shared" si="276"/>
        <v>NA</v>
      </c>
      <c r="AI203" s="479" t="str">
        <f t="shared" si="277"/>
        <v>NA</v>
      </c>
      <c r="AJ203" s="480" t="str">
        <f t="shared" si="278"/>
        <v>NA</v>
      </c>
      <c r="AK203" s="480" t="str">
        <f t="shared" si="279"/>
        <v>NA</v>
      </c>
      <c r="AL203" s="480" t="str">
        <f t="shared" si="280"/>
        <v>NA</v>
      </c>
      <c r="AM203" s="480" t="str">
        <f t="shared" si="281"/>
        <v>NA</v>
      </c>
      <c r="AN203" s="480" t="str">
        <f t="shared" si="282"/>
        <v>NA</v>
      </c>
      <c r="AO203" s="480" t="str">
        <f t="shared" si="283"/>
        <v>NA</v>
      </c>
      <c r="AP203" s="480" t="str">
        <f t="shared" si="284"/>
        <v>NA</v>
      </c>
      <c r="AQ203" s="480" t="str">
        <f t="shared" si="285"/>
        <v>NA</v>
      </c>
      <c r="AR203" s="481" t="str">
        <f t="shared" si="286"/>
        <v>NA</v>
      </c>
      <c r="AS203" s="481" t="str">
        <f t="shared" si="287"/>
        <v>NA</v>
      </c>
      <c r="AT203" s="481" t="str">
        <f t="shared" si="288"/>
        <v>NA</v>
      </c>
      <c r="AU203" s="481" t="str">
        <f t="shared" si="289"/>
        <v>NA</v>
      </c>
      <c r="AV203" s="482" t="str">
        <f t="shared" si="290"/>
        <v>NA</v>
      </c>
    </row>
    <row r="204" spans="1:48" ht="15" customHeight="1" x14ac:dyDescent="0.25">
      <c r="A204" s="164"/>
      <c r="B204" s="166">
        <v>107</v>
      </c>
      <c r="C204" s="169" t="str">
        <f>_xlfn.XLOOKUP(B204, LgProvEntOrgIDs[Advanced Network/Insurer Carrier Org ID], LgProvEntOrgIDs[Advanced Network/Insurance Carrier Overall])</f>
        <v>OptumCare Network of Connecticut (including ProHealth)</v>
      </c>
      <c r="D204" s="507">
        <f>SUMIFS(AN_TME22[[#All],[Member Months]],AN_TME22[[#All],[Insurance Category Code]],5,AN_TME22[[#All],[Advanced Network/Insurance Carrier Org ID]],B204)</f>
        <v>0</v>
      </c>
      <c r="E204" s="155" t="str">
        <f>IF(D204=0,"NA",SUMIFS(AN_TME22[[#All],[Claims: Hospital Inpatient]],AN_TME22[[#All],[Insurance Category Code]],5,AN_TME22[[#All],[Advanced Network/Insurance Carrier Org ID]],B204)/D204)</f>
        <v>NA</v>
      </c>
      <c r="F204" s="109" t="str">
        <f>IF(D204=0,"NA",SUMIFS(AN_TME22[[#All],[Claims: Hospital Outpatient]],AN_TME22[[#All],[Insurance Category Code]],5,AN_TME22[[#All],[Advanced Network/Insurance Carrier Org ID]],B204)/D204)</f>
        <v>NA</v>
      </c>
      <c r="G204" s="109" t="str">
        <f>IF(D204=0,"NA",SUMIFS(AN_TME22[[#All],[Claims: Professional, Primary Care]],AN_TME22[[#All],[Insurance Category Code]],5,AN_TME22[[#All],[Advanced Network/Insurance Carrier Org ID]],B204)/D204)</f>
        <v>NA</v>
      </c>
      <c r="H204" s="109" t="str">
        <f>IF(D204=0,"NA",SUMIFS(AN_TME22[[#All],[Claims: Professional, Primary Care (for Monitoring Purposes)]],AN_TME22[[#All],[Insurance Category Code]],5,AN_TME22[[#All],[Advanced Network/Insurance Carrier Org ID]],B204)/D204)</f>
        <v>NA</v>
      </c>
      <c r="I204" s="109" t="str">
        <f>IF(D204=0,"NA",SUMIFS(AN_TME22[[#All],[Claims: Professional, Specialty]],AN_TME22[[#All],[Insurance Category Code]],5,AN_TME22[[#All],[Advanced Network/Insurance Carrier Org ID]],B204)/D204)</f>
        <v>NA</v>
      </c>
      <c r="J204" s="109" t="str">
        <f>IF(D204=0,"NA",SUMIFS(AN_TME22[[#All],[Claims: Professional Other]],AN_TME22[[#All],[Insurance Category Code]],5,AN_TME22[[#All],[Advanced Network/Insurance Carrier Org ID]],B204)/D204)</f>
        <v>NA</v>
      </c>
      <c r="K204" s="109" t="str">
        <f>IF(D204=0,"NA",SUMIFS(AN_TME22[[#All],[Claims: Pharmacy]],AN_TME22[[#All],[Insurance Category Code]],5,AN_TME22[[#All],[Advanced Network/Insurance Carrier Org ID]],B204)/D204)</f>
        <v>NA</v>
      </c>
      <c r="L204" s="109" t="str">
        <f>IF(D204=0,"NA",SUMIFS(AN_TME22[[#All],[Claims: Long-Term Care]],AN_TME22[[#All],[Insurance Category Code]],5,AN_TME22[[#All],[Advanced Network/Insurance Carrier Org ID]],B204)/D204)</f>
        <v>NA</v>
      </c>
      <c r="M204" s="109" t="str">
        <f>IF(D204=0,"NA",SUMIFS(AN_TME22[[#All],[Claims: Other]],AN_TME22[[#All],[Insurance Category Code]],5,AN_TME22[[#All],[Advanced Network/Insurance Carrier Org ID]],B204)/D204)</f>
        <v>NA</v>
      </c>
      <c r="N204" s="165" t="str">
        <f>IF(D204=0,"NA",SUMIFS(AN_TME22[[#All],[TOTAL Non-Truncated Unadjusted Claims Expenses]],AN_TME22[[#All],[Insurance Category Code]],5,AN_TME22[[#All],[Advanced Network/Insurance Carrier Org ID]],B204)/D204)</f>
        <v>NA</v>
      </c>
      <c r="O204" s="165" t="str">
        <f>IF(D204=0,"NA",SUMIFS(AN_TME22[[#All],[TOTAL Truncated Unadjusted Claims Expenses (A21 -A19)]],AN_TME22[[#All],[Insurance Category Code]],5,AN_TME22[[#All],[Advanced Network/Insurance Carrier Org ID]],B204)/D204)</f>
        <v>NA</v>
      </c>
      <c r="P204" s="165" t="str">
        <f>IF(D204=0,"NA",SUMIFS(AN_TME22[[#All],[TOTAL Non-Claims Expenses]],AN_TME22[[#All],[Insurance Category Code]],5,AN_TME22[[#All],[Advanced Network/Insurance Carrier Org ID]],B204)/D204)</f>
        <v>NA</v>
      </c>
      <c r="Q204" s="165" t="str">
        <f>IF(D204=0,"NA",SUMIFS(AN_TME22[[#All],[TOTAL Non-Truncated Unadjusted Expenses (A21 + A23)]],AN_TME22[[#All],[Insurance Category Code]],5,AN_TME22[[#All],[Advanced Network/Insurance Carrier Org ID]],B204)/D204)</f>
        <v>NA</v>
      </c>
      <c r="R204" s="165" t="str">
        <f>IF(D204=0,"NA",SUMIFS(AN_TME22[[#All],[TOTAL Truncated Unadjusted Expenses (A22 + A23)]],AN_TME22[[#All],[Insurance Category Code]],5,AN_TME22[[#All],[Advanced Network/Insurance Carrier Org ID]],B204)/D204)</f>
        <v>NA</v>
      </c>
      <c r="S204" s="507">
        <f>SUMIFS(AN_TME23[[#All],[Member Months]],AN_TME23[[#All],[Insurance Category Code]],5,AN_TME23[[#All],[Advanced Network/Insurance Carrier Org ID]],B204)</f>
        <v>0</v>
      </c>
      <c r="T204" s="155" t="str">
        <f>IF(S204=0,"NA",SUMIFS(AN_TME23[[#All],[Claims: Hospital Inpatient]],AN_TME23[[#All],[Insurance Category Code]],5,AN_TME23[[#All],[Advanced Network/Insurance Carrier Org ID]],B204)/S204)</f>
        <v>NA</v>
      </c>
      <c r="U204" s="109" t="str">
        <f>IF(S204=0,"NA",SUMIFS(AN_TME23[[#All],[Claims: Hospital Outpatient]],AN_TME23[[#All],[Insurance Category Code]],5,AN_TME23[[#All],[Advanced Network/Insurance Carrier Org ID]],B204)/S204)</f>
        <v>NA</v>
      </c>
      <c r="V204" s="109" t="str">
        <f>IF(S204=0,"NA",SUMIFS(AN_TME23[[#All],[Claims: Professional, Primary Care]],AN_TME23[[#All],[Insurance Category Code]],5,AN_TME23[[#All],[Advanced Network/Insurance Carrier Org ID]],B204)/S204)</f>
        <v>NA</v>
      </c>
      <c r="W204" s="109" t="str">
        <f>IF(S204=0,"NA",SUMIFS(AN_TME23[[#All],[Claims: Professional, Primary Care (for Monitoring Purposes)]],AN_TME23[[#All],[Insurance Category Code]],5,AN_TME23[[#All],[Advanced Network/Insurance Carrier Org ID]],B204)/S204)</f>
        <v>NA</v>
      </c>
      <c r="X204" s="109" t="str">
        <f>IF(S204=0,"NA",SUMIFS(AN_TME23[[#All],[Claims: Professional, Specialty]],AN_TME23[[#All],[Insurance Category Code]],5,AN_TME23[[#All],[Advanced Network/Insurance Carrier Org ID]],B204)/S204)</f>
        <v>NA</v>
      </c>
      <c r="Y204" s="109" t="str">
        <f>IF(S204=0,"NA",SUMIFS(AN_TME23[[#All],[Claims: Professional Other]],AN_TME23[[#All],[Insurance Category Code]],5,AN_TME23[[#All],[Advanced Network/Insurance Carrier Org ID]],B204)/S204)</f>
        <v>NA</v>
      </c>
      <c r="Z204" s="109" t="str">
        <f>IF(S204=0,"NA",SUMIFS(AN_TME23[[#All],[Claims: Pharmacy]],AN_TME23[[#All],[Insurance Category Code]],5,AN_TME23[[#All],[Advanced Network/Insurance Carrier Org ID]],B204)/S204)</f>
        <v>NA</v>
      </c>
      <c r="AA204" s="109" t="str">
        <f>IF(S204=0,"NA",SUMIFS(AN_TME23[[#All],[Claims: Long-Term Care]],AN_TME23[[#All],[Insurance Category Code]],5,AN_TME23[[#All],[Advanced Network/Insurance Carrier Org ID]],B204)/S204)</f>
        <v>NA</v>
      </c>
      <c r="AB204" s="109" t="str">
        <f>IF(S204=0,"NA",SUMIFS(AN_TME23[[#All],[Claims: Other]],AN_TME23[[#All],[Insurance Category Code]],5,AN_TME23[[#All],[Advanced Network/Insurance Carrier Org ID]],B204)/S204)</f>
        <v>NA</v>
      </c>
      <c r="AC204" s="165" t="str">
        <f>IF(S204=0,"NA",SUMIFS(AN_TME23[[#All],[TOTAL Non-Truncated Unadjusted Claims Expenses]],AN_TME23[[#All],[Insurance Category Code]],5,AN_TME23[[#All],[Advanced Network/Insurance Carrier Org ID]],B204)/S204)</f>
        <v>NA</v>
      </c>
      <c r="AD204" s="165" t="str">
        <f>IF(S204=0,"NA",SUMIFS(AN_TME23[[#All],[TOTAL Truncated Unadjusted Claims Expenses (A21 -A19)]],AN_TME23[[#All],[Insurance Category Code]],5,AN_TME23[[#All],[Advanced Network/Insurance Carrier Org ID]],B204)/S204)</f>
        <v>NA</v>
      </c>
      <c r="AE204" s="165" t="str">
        <f>IF(S204=0,"NA",SUMIFS(AN_TME23[[#All],[TOTAL Non-Claims Expenses]],AN_TME23[[#All],[Insurance Category Code]],5,AN_TME23[[#All],[Advanced Network/Insurance Carrier Org ID]],B204)/S204)</f>
        <v>NA</v>
      </c>
      <c r="AF204" s="165" t="str">
        <f>IF(S204=0,"NA",SUMIFS(AN_TME23[[#All],[TOTAL Non-Truncated Unadjusted Expenses (A21 + A23)]],AN_TME23[[#All],[Insurance Category Code]],5,AN_TME23[[#All],[Advanced Network/Insurance Carrier Org ID]],B204)/S204)</f>
        <v>NA</v>
      </c>
      <c r="AG204" s="156" t="str">
        <f>IF(S204=0,"NA",SUMIFS(AN_TME23[[#All],[TOTAL Truncated Unadjusted Expenses (A22 + A23)]],AN_TME23[[#All],[Insurance Category Code]],5,AN_TME23[[#All],[Advanced Network/Insurance Carrier Org ID]],B204)/S204)</f>
        <v>NA</v>
      </c>
      <c r="AH204" s="478" t="str">
        <f t="shared" si="276"/>
        <v>NA</v>
      </c>
      <c r="AI204" s="479" t="str">
        <f t="shared" si="277"/>
        <v>NA</v>
      </c>
      <c r="AJ204" s="480" t="str">
        <f t="shared" si="278"/>
        <v>NA</v>
      </c>
      <c r="AK204" s="480" t="str">
        <f t="shared" si="279"/>
        <v>NA</v>
      </c>
      <c r="AL204" s="480" t="str">
        <f t="shared" si="280"/>
        <v>NA</v>
      </c>
      <c r="AM204" s="480" t="str">
        <f t="shared" si="281"/>
        <v>NA</v>
      </c>
      <c r="AN204" s="480" t="str">
        <f t="shared" si="282"/>
        <v>NA</v>
      </c>
      <c r="AO204" s="480" t="str">
        <f t="shared" si="283"/>
        <v>NA</v>
      </c>
      <c r="AP204" s="480" t="str">
        <f t="shared" si="284"/>
        <v>NA</v>
      </c>
      <c r="AQ204" s="480" t="str">
        <f t="shared" si="285"/>
        <v>NA</v>
      </c>
      <c r="AR204" s="481" t="str">
        <f t="shared" si="286"/>
        <v>NA</v>
      </c>
      <c r="AS204" s="481" t="str">
        <f t="shared" si="287"/>
        <v>NA</v>
      </c>
      <c r="AT204" s="481" t="str">
        <f t="shared" si="288"/>
        <v>NA</v>
      </c>
      <c r="AU204" s="481" t="str">
        <f t="shared" si="289"/>
        <v>NA</v>
      </c>
      <c r="AV204" s="482" t="str">
        <f t="shared" si="290"/>
        <v>NA</v>
      </c>
    </row>
    <row r="205" spans="1:48" ht="45" customHeight="1" x14ac:dyDescent="0.25">
      <c r="A205" s="164"/>
      <c r="B205" s="166">
        <v>108</v>
      </c>
      <c r="C205" s="169" t="str">
        <f>_xlfn.XLOOKUP(B205, LgProvEntOrgIDs[Advanced Network/Insurer Carrier Org ID], LgProvEntOrgIDs[Advanced Network/Insurance Carrier Overall])</f>
        <v>Prospect Connecticut Medical Foundation Inc. (dba Prospect Medical, Prospect Health Services, Prospect Holdings)</v>
      </c>
      <c r="D205" s="507">
        <f>SUMIFS(AN_TME22[[#All],[Member Months]],AN_TME22[[#All],[Insurance Category Code]],5,AN_TME22[[#All],[Advanced Network/Insurance Carrier Org ID]],B205)</f>
        <v>0</v>
      </c>
      <c r="E205" s="155" t="str">
        <f>IF(D205=0,"NA",SUMIFS(AN_TME22[[#All],[Claims: Hospital Inpatient]],AN_TME22[[#All],[Insurance Category Code]],5,AN_TME22[[#All],[Advanced Network/Insurance Carrier Org ID]],B205)/D205)</f>
        <v>NA</v>
      </c>
      <c r="F205" s="109" t="str">
        <f>IF(D205=0,"NA",SUMIFS(AN_TME22[[#All],[Claims: Hospital Outpatient]],AN_TME22[[#All],[Insurance Category Code]],5,AN_TME22[[#All],[Advanced Network/Insurance Carrier Org ID]],B205)/D205)</f>
        <v>NA</v>
      </c>
      <c r="G205" s="109" t="str">
        <f>IF(D205=0,"NA",SUMIFS(AN_TME22[[#All],[Claims: Professional, Primary Care]],AN_TME22[[#All],[Insurance Category Code]],5,AN_TME22[[#All],[Advanced Network/Insurance Carrier Org ID]],B205)/D205)</f>
        <v>NA</v>
      </c>
      <c r="H205" s="109" t="str">
        <f>IF(D205=0,"NA",SUMIFS(AN_TME22[[#All],[Claims: Professional, Primary Care (for Monitoring Purposes)]],AN_TME22[[#All],[Insurance Category Code]],5,AN_TME22[[#All],[Advanced Network/Insurance Carrier Org ID]],B205)/D205)</f>
        <v>NA</v>
      </c>
      <c r="I205" s="109" t="str">
        <f>IF(D205=0,"NA",SUMIFS(AN_TME22[[#All],[Claims: Professional, Specialty]],AN_TME22[[#All],[Insurance Category Code]],5,AN_TME22[[#All],[Advanced Network/Insurance Carrier Org ID]],B205)/D205)</f>
        <v>NA</v>
      </c>
      <c r="J205" s="109" t="str">
        <f>IF(D205=0,"NA",SUMIFS(AN_TME22[[#All],[Claims: Professional Other]],AN_TME22[[#All],[Insurance Category Code]],5,AN_TME22[[#All],[Advanced Network/Insurance Carrier Org ID]],B205)/D205)</f>
        <v>NA</v>
      </c>
      <c r="K205" s="109" t="str">
        <f>IF(D205=0,"NA",SUMIFS(AN_TME22[[#All],[Claims: Pharmacy]],AN_TME22[[#All],[Insurance Category Code]],5,AN_TME22[[#All],[Advanced Network/Insurance Carrier Org ID]],B205)/D205)</f>
        <v>NA</v>
      </c>
      <c r="L205" s="109" t="str">
        <f>IF(D205=0,"NA",SUMIFS(AN_TME22[[#All],[Claims: Long-Term Care]],AN_TME22[[#All],[Insurance Category Code]],5,AN_TME22[[#All],[Advanced Network/Insurance Carrier Org ID]],B205)/D205)</f>
        <v>NA</v>
      </c>
      <c r="M205" s="109" t="str">
        <f>IF(D205=0,"NA",SUMIFS(AN_TME22[[#All],[Claims: Other]],AN_TME22[[#All],[Insurance Category Code]],5,AN_TME22[[#All],[Advanced Network/Insurance Carrier Org ID]],B205)/D205)</f>
        <v>NA</v>
      </c>
      <c r="N205" s="165" t="str">
        <f>IF(D205=0,"NA",SUMIFS(AN_TME22[[#All],[TOTAL Non-Truncated Unadjusted Claims Expenses]],AN_TME22[[#All],[Insurance Category Code]],5,AN_TME22[[#All],[Advanced Network/Insurance Carrier Org ID]],B205)/D205)</f>
        <v>NA</v>
      </c>
      <c r="O205" s="165" t="str">
        <f>IF(D205=0,"NA",SUMIFS(AN_TME22[[#All],[TOTAL Truncated Unadjusted Claims Expenses (A21 -A19)]],AN_TME22[[#All],[Insurance Category Code]],5,AN_TME22[[#All],[Advanced Network/Insurance Carrier Org ID]],B205)/D205)</f>
        <v>NA</v>
      </c>
      <c r="P205" s="165" t="str">
        <f>IF(D205=0,"NA",SUMIFS(AN_TME22[[#All],[TOTAL Non-Claims Expenses]],AN_TME22[[#All],[Insurance Category Code]],5,AN_TME22[[#All],[Advanced Network/Insurance Carrier Org ID]],B205)/D205)</f>
        <v>NA</v>
      </c>
      <c r="Q205" s="165" t="str">
        <f>IF(D205=0,"NA",SUMIFS(AN_TME22[[#All],[TOTAL Non-Truncated Unadjusted Expenses (A21 + A23)]],AN_TME22[[#All],[Insurance Category Code]],5,AN_TME22[[#All],[Advanced Network/Insurance Carrier Org ID]],B205)/D205)</f>
        <v>NA</v>
      </c>
      <c r="R205" s="165" t="str">
        <f>IF(D205=0,"NA",SUMIFS(AN_TME22[[#All],[TOTAL Truncated Unadjusted Expenses (A22 + A23)]],AN_TME22[[#All],[Insurance Category Code]],5,AN_TME22[[#All],[Advanced Network/Insurance Carrier Org ID]],B205)/D205)</f>
        <v>NA</v>
      </c>
      <c r="S205" s="507">
        <f>SUMIFS(AN_TME23[[#All],[Member Months]],AN_TME23[[#All],[Insurance Category Code]],5,AN_TME23[[#All],[Advanced Network/Insurance Carrier Org ID]],B205)</f>
        <v>0</v>
      </c>
      <c r="T205" s="155" t="str">
        <f>IF(S205=0,"NA",SUMIFS(AN_TME23[[#All],[Claims: Hospital Inpatient]],AN_TME23[[#All],[Insurance Category Code]],5,AN_TME23[[#All],[Advanced Network/Insurance Carrier Org ID]],B205)/S205)</f>
        <v>NA</v>
      </c>
      <c r="U205" s="109" t="str">
        <f>IF(S205=0,"NA",SUMIFS(AN_TME23[[#All],[Claims: Hospital Outpatient]],AN_TME23[[#All],[Insurance Category Code]],5,AN_TME23[[#All],[Advanced Network/Insurance Carrier Org ID]],B205)/S205)</f>
        <v>NA</v>
      </c>
      <c r="V205" s="109" t="str">
        <f>IF(S205=0,"NA",SUMIFS(AN_TME23[[#All],[Claims: Professional, Primary Care]],AN_TME23[[#All],[Insurance Category Code]],5,AN_TME23[[#All],[Advanced Network/Insurance Carrier Org ID]],B205)/S205)</f>
        <v>NA</v>
      </c>
      <c r="W205" s="109" t="str">
        <f>IF(S205=0,"NA",SUMIFS(AN_TME23[[#All],[Claims: Professional, Primary Care (for Monitoring Purposes)]],AN_TME23[[#All],[Insurance Category Code]],5,AN_TME23[[#All],[Advanced Network/Insurance Carrier Org ID]],B205)/S205)</f>
        <v>NA</v>
      </c>
      <c r="X205" s="109" t="str">
        <f>IF(S205=0,"NA",SUMIFS(AN_TME23[[#All],[Claims: Professional, Specialty]],AN_TME23[[#All],[Insurance Category Code]],5,AN_TME23[[#All],[Advanced Network/Insurance Carrier Org ID]],B205)/S205)</f>
        <v>NA</v>
      </c>
      <c r="Y205" s="109" t="str">
        <f>IF(S205=0,"NA",SUMIFS(AN_TME23[[#All],[Claims: Professional Other]],AN_TME23[[#All],[Insurance Category Code]],5,AN_TME23[[#All],[Advanced Network/Insurance Carrier Org ID]],B205)/S205)</f>
        <v>NA</v>
      </c>
      <c r="Z205" s="109" t="str">
        <f>IF(S205=0,"NA",SUMIFS(AN_TME23[[#All],[Claims: Pharmacy]],AN_TME23[[#All],[Insurance Category Code]],5,AN_TME23[[#All],[Advanced Network/Insurance Carrier Org ID]],B205)/S205)</f>
        <v>NA</v>
      </c>
      <c r="AA205" s="109" t="str">
        <f>IF(S205=0,"NA",SUMIFS(AN_TME23[[#All],[Claims: Long-Term Care]],AN_TME23[[#All],[Insurance Category Code]],5,AN_TME23[[#All],[Advanced Network/Insurance Carrier Org ID]],B205)/S205)</f>
        <v>NA</v>
      </c>
      <c r="AB205" s="109" t="str">
        <f>IF(S205=0,"NA",SUMIFS(AN_TME23[[#All],[Claims: Other]],AN_TME23[[#All],[Insurance Category Code]],5,AN_TME23[[#All],[Advanced Network/Insurance Carrier Org ID]],B205)/S205)</f>
        <v>NA</v>
      </c>
      <c r="AC205" s="165" t="str">
        <f>IF(S205=0,"NA",SUMIFS(AN_TME23[[#All],[TOTAL Non-Truncated Unadjusted Claims Expenses]],AN_TME23[[#All],[Insurance Category Code]],5,AN_TME23[[#All],[Advanced Network/Insurance Carrier Org ID]],B205)/S205)</f>
        <v>NA</v>
      </c>
      <c r="AD205" s="165" t="str">
        <f>IF(S205=0,"NA",SUMIFS(AN_TME23[[#All],[TOTAL Truncated Unadjusted Claims Expenses (A21 -A19)]],AN_TME23[[#All],[Insurance Category Code]],5,AN_TME23[[#All],[Advanced Network/Insurance Carrier Org ID]],B205)/S205)</f>
        <v>NA</v>
      </c>
      <c r="AE205" s="165" t="str">
        <f>IF(S205=0,"NA",SUMIFS(AN_TME23[[#All],[TOTAL Non-Claims Expenses]],AN_TME23[[#All],[Insurance Category Code]],5,AN_TME23[[#All],[Advanced Network/Insurance Carrier Org ID]],B205)/S205)</f>
        <v>NA</v>
      </c>
      <c r="AF205" s="165" t="str">
        <f>IF(S205=0,"NA",SUMIFS(AN_TME23[[#All],[TOTAL Non-Truncated Unadjusted Expenses (A21 + A23)]],AN_TME23[[#All],[Insurance Category Code]],5,AN_TME23[[#All],[Advanced Network/Insurance Carrier Org ID]],B205)/S205)</f>
        <v>NA</v>
      </c>
      <c r="AG205" s="156" t="str">
        <f>IF(S205=0,"NA",SUMIFS(AN_TME23[[#All],[TOTAL Truncated Unadjusted Expenses (A22 + A23)]],AN_TME23[[#All],[Insurance Category Code]],5,AN_TME23[[#All],[Advanced Network/Insurance Carrier Org ID]],B205)/S205)</f>
        <v>NA</v>
      </c>
      <c r="AH205" s="478" t="str">
        <f t="shared" si="276"/>
        <v>NA</v>
      </c>
      <c r="AI205" s="479" t="str">
        <f t="shared" si="277"/>
        <v>NA</v>
      </c>
      <c r="AJ205" s="480" t="str">
        <f t="shared" si="278"/>
        <v>NA</v>
      </c>
      <c r="AK205" s="480" t="str">
        <f t="shared" si="279"/>
        <v>NA</v>
      </c>
      <c r="AL205" s="480" t="str">
        <f t="shared" si="280"/>
        <v>NA</v>
      </c>
      <c r="AM205" s="480" t="str">
        <f t="shared" si="281"/>
        <v>NA</v>
      </c>
      <c r="AN205" s="480" t="str">
        <f t="shared" si="282"/>
        <v>NA</v>
      </c>
      <c r="AO205" s="480" t="str">
        <f t="shared" si="283"/>
        <v>NA</v>
      </c>
      <c r="AP205" s="480" t="str">
        <f t="shared" si="284"/>
        <v>NA</v>
      </c>
      <c r="AQ205" s="480" t="str">
        <f t="shared" si="285"/>
        <v>NA</v>
      </c>
      <c r="AR205" s="481" t="str">
        <f t="shared" si="286"/>
        <v>NA</v>
      </c>
      <c r="AS205" s="481" t="str">
        <f t="shared" si="287"/>
        <v>NA</v>
      </c>
      <c r="AT205" s="481" t="str">
        <f t="shared" si="288"/>
        <v>NA</v>
      </c>
      <c r="AU205" s="481" t="str">
        <f t="shared" si="289"/>
        <v>NA</v>
      </c>
      <c r="AV205" s="482" t="str">
        <f t="shared" si="290"/>
        <v>NA</v>
      </c>
    </row>
    <row r="206" spans="1:48" ht="45" customHeight="1" x14ac:dyDescent="0.25">
      <c r="A206" s="164"/>
      <c r="B206" s="166">
        <v>109</v>
      </c>
      <c r="C206" s="169" t="str">
        <f>_xlfn.XLOOKUP(B206, LgProvEntOrgIDs[Advanced Network/Insurer Carrier Org ID], LgProvEntOrgIDs[Advanced Network/Insurance Carrier Overall])</f>
        <v>Southern New England Health Care Organization (aka SOHO Health, Trinity Health of New England ACO, LLC)</v>
      </c>
      <c r="D206" s="507">
        <f>SUMIFS(AN_TME22[[#All],[Member Months]],AN_TME22[[#All],[Insurance Category Code]],5,AN_TME22[[#All],[Advanced Network/Insurance Carrier Org ID]],B206)</f>
        <v>0</v>
      </c>
      <c r="E206" s="155" t="str">
        <f>IF(D206=0,"NA",SUMIFS(AN_TME22[[#All],[Claims: Hospital Inpatient]],AN_TME22[[#All],[Insurance Category Code]],5,AN_TME22[[#All],[Advanced Network/Insurance Carrier Org ID]],B206)/D206)</f>
        <v>NA</v>
      </c>
      <c r="F206" s="109" t="str">
        <f>IF(D206=0,"NA",SUMIFS(AN_TME22[[#All],[Claims: Hospital Outpatient]],AN_TME22[[#All],[Insurance Category Code]],5,AN_TME22[[#All],[Advanced Network/Insurance Carrier Org ID]],B206)/D206)</f>
        <v>NA</v>
      </c>
      <c r="G206" s="109" t="str">
        <f>IF(D206=0,"NA",SUMIFS(AN_TME22[[#All],[Claims: Professional, Primary Care]],AN_TME22[[#All],[Insurance Category Code]],5,AN_TME22[[#All],[Advanced Network/Insurance Carrier Org ID]],B206)/D206)</f>
        <v>NA</v>
      </c>
      <c r="H206" s="109" t="str">
        <f>IF(D206=0,"NA",SUMIFS(AN_TME22[[#All],[Claims: Professional, Primary Care (for Monitoring Purposes)]],AN_TME22[[#All],[Insurance Category Code]],5,AN_TME22[[#All],[Advanced Network/Insurance Carrier Org ID]],B206)/D206)</f>
        <v>NA</v>
      </c>
      <c r="I206" s="109" t="str">
        <f>IF(D206=0,"NA",SUMIFS(AN_TME22[[#All],[Claims: Professional, Specialty]],AN_TME22[[#All],[Insurance Category Code]],5,AN_TME22[[#All],[Advanced Network/Insurance Carrier Org ID]],B206)/D206)</f>
        <v>NA</v>
      </c>
      <c r="J206" s="109" t="str">
        <f>IF(D206=0,"NA",SUMIFS(AN_TME22[[#All],[Claims: Professional Other]],AN_TME22[[#All],[Insurance Category Code]],5,AN_TME22[[#All],[Advanced Network/Insurance Carrier Org ID]],B206)/D206)</f>
        <v>NA</v>
      </c>
      <c r="K206" s="109" t="str">
        <f>IF(D206=0,"NA",SUMIFS(AN_TME22[[#All],[Claims: Pharmacy]],AN_TME22[[#All],[Insurance Category Code]],5,AN_TME22[[#All],[Advanced Network/Insurance Carrier Org ID]],B206)/D206)</f>
        <v>NA</v>
      </c>
      <c r="L206" s="109" t="str">
        <f>IF(D206=0,"NA",SUMIFS(AN_TME22[[#All],[Claims: Long-Term Care]],AN_TME22[[#All],[Insurance Category Code]],5,AN_TME22[[#All],[Advanced Network/Insurance Carrier Org ID]],B206)/D206)</f>
        <v>NA</v>
      </c>
      <c r="M206" s="109" t="str">
        <f>IF(D206=0,"NA",SUMIFS(AN_TME22[[#All],[Claims: Other]],AN_TME22[[#All],[Insurance Category Code]],5,AN_TME22[[#All],[Advanced Network/Insurance Carrier Org ID]],B206)/D206)</f>
        <v>NA</v>
      </c>
      <c r="N206" s="165" t="str">
        <f>IF(D206=0,"NA",SUMIFS(AN_TME22[[#All],[TOTAL Non-Truncated Unadjusted Claims Expenses]],AN_TME22[[#All],[Insurance Category Code]],5,AN_TME22[[#All],[Advanced Network/Insurance Carrier Org ID]],B206)/D206)</f>
        <v>NA</v>
      </c>
      <c r="O206" s="165" t="str">
        <f>IF(D206=0,"NA",SUMIFS(AN_TME22[[#All],[TOTAL Truncated Unadjusted Claims Expenses (A21 -A19)]],AN_TME22[[#All],[Insurance Category Code]],5,AN_TME22[[#All],[Advanced Network/Insurance Carrier Org ID]],B206)/D206)</f>
        <v>NA</v>
      </c>
      <c r="P206" s="165" t="str">
        <f>IF(D206=0,"NA",SUMIFS(AN_TME22[[#All],[TOTAL Non-Claims Expenses]],AN_TME22[[#All],[Insurance Category Code]],5,AN_TME22[[#All],[Advanced Network/Insurance Carrier Org ID]],B206)/D206)</f>
        <v>NA</v>
      </c>
      <c r="Q206" s="165" t="str">
        <f>IF(D206=0,"NA",SUMIFS(AN_TME22[[#All],[TOTAL Non-Truncated Unadjusted Expenses (A21 + A23)]],AN_TME22[[#All],[Insurance Category Code]],5,AN_TME22[[#All],[Advanced Network/Insurance Carrier Org ID]],B206)/D206)</f>
        <v>NA</v>
      </c>
      <c r="R206" s="165" t="str">
        <f>IF(D206=0,"NA",SUMIFS(AN_TME22[[#All],[TOTAL Truncated Unadjusted Expenses (A22 + A23)]],AN_TME22[[#All],[Insurance Category Code]],5,AN_TME22[[#All],[Advanced Network/Insurance Carrier Org ID]],B206)/D206)</f>
        <v>NA</v>
      </c>
      <c r="S206" s="507">
        <f>SUMIFS(AN_TME23[[#All],[Member Months]],AN_TME23[[#All],[Insurance Category Code]],5,AN_TME23[[#All],[Advanced Network/Insurance Carrier Org ID]],B206)</f>
        <v>0</v>
      </c>
      <c r="T206" s="155" t="str">
        <f>IF(S206=0,"NA",SUMIFS(AN_TME23[[#All],[Claims: Hospital Inpatient]],AN_TME23[[#All],[Insurance Category Code]],5,AN_TME23[[#All],[Advanced Network/Insurance Carrier Org ID]],B206)/S206)</f>
        <v>NA</v>
      </c>
      <c r="U206" s="109" t="str">
        <f>IF(S206=0,"NA",SUMIFS(AN_TME23[[#All],[Claims: Hospital Outpatient]],AN_TME23[[#All],[Insurance Category Code]],5,AN_TME23[[#All],[Advanced Network/Insurance Carrier Org ID]],B206)/S206)</f>
        <v>NA</v>
      </c>
      <c r="V206" s="109" t="str">
        <f>IF(S206=0,"NA",SUMIFS(AN_TME23[[#All],[Claims: Professional, Primary Care]],AN_TME23[[#All],[Insurance Category Code]],5,AN_TME23[[#All],[Advanced Network/Insurance Carrier Org ID]],B206)/S206)</f>
        <v>NA</v>
      </c>
      <c r="W206" s="109" t="str">
        <f>IF(S206=0,"NA",SUMIFS(AN_TME23[[#All],[Claims: Professional, Primary Care (for Monitoring Purposes)]],AN_TME23[[#All],[Insurance Category Code]],5,AN_TME23[[#All],[Advanced Network/Insurance Carrier Org ID]],B206)/S206)</f>
        <v>NA</v>
      </c>
      <c r="X206" s="109" t="str">
        <f>IF(S206=0,"NA",SUMIFS(AN_TME23[[#All],[Claims: Professional, Specialty]],AN_TME23[[#All],[Insurance Category Code]],5,AN_TME23[[#All],[Advanced Network/Insurance Carrier Org ID]],B206)/S206)</f>
        <v>NA</v>
      </c>
      <c r="Y206" s="109" t="str">
        <f>IF(S206=0,"NA",SUMIFS(AN_TME23[[#All],[Claims: Professional Other]],AN_TME23[[#All],[Insurance Category Code]],5,AN_TME23[[#All],[Advanced Network/Insurance Carrier Org ID]],B206)/S206)</f>
        <v>NA</v>
      </c>
      <c r="Z206" s="109" t="str">
        <f>IF(S206=0,"NA",SUMIFS(AN_TME23[[#All],[Claims: Pharmacy]],AN_TME23[[#All],[Insurance Category Code]],5,AN_TME23[[#All],[Advanced Network/Insurance Carrier Org ID]],B206)/S206)</f>
        <v>NA</v>
      </c>
      <c r="AA206" s="109" t="str">
        <f>IF(S206=0,"NA",SUMIFS(AN_TME23[[#All],[Claims: Long-Term Care]],AN_TME23[[#All],[Insurance Category Code]],5,AN_TME23[[#All],[Advanced Network/Insurance Carrier Org ID]],B206)/S206)</f>
        <v>NA</v>
      </c>
      <c r="AB206" s="109" t="str">
        <f>IF(S206=0,"NA",SUMIFS(AN_TME23[[#All],[Claims: Other]],AN_TME23[[#All],[Insurance Category Code]],5,AN_TME23[[#All],[Advanced Network/Insurance Carrier Org ID]],B206)/S206)</f>
        <v>NA</v>
      </c>
      <c r="AC206" s="165" t="str">
        <f>IF(S206=0,"NA",SUMIFS(AN_TME23[[#All],[TOTAL Non-Truncated Unadjusted Claims Expenses]],AN_TME23[[#All],[Insurance Category Code]],5,AN_TME23[[#All],[Advanced Network/Insurance Carrier Org ID]],B206)/S206)</f>
        <v>NA</v>
      </c>
      <c r="AD206" s="165" t="str">
        <f>IF(S206=0,"NA",SUMIFS(AN_TME23[[#All],[TOTAL Truncated Unadjusted Claims Expenses (A21 -A19)]],AN_TME23[[#All],[Insurance Category Code]],5,AN_TME23[[#All],[Advanced Network/Insurance Carrier Org ID]],B206)/S206)</f>
        <v>NA</v>
      </c>
      <c r="AE206" s="165" t="str">
        <f>IF(S206=0,"NA",SUMIFS(AN_TME23[[#All],[TOTAL Non-Claims Expenses]],AN_TME23[[#All],[Insurance Category Code]],5,AN_TME23[[#All],[Advanced Network/Insurance Carrier Org ID]],B206)/S206)</f>
        <v>NA</v>
      </c>
      <c r="AF206" s="165" t="str">
        <f>IF(S206=0,"NA",SUMIFS(AN_TME23[[#All],[TOTAL Non-Truncated Unadjusted Expenses (A21 + A23)]],AN_TME23[[#All],[Insurance Category Code]],5,AN_TME23[[#All],[Advanced Network/Insurance Carrier Org ID]],B206)/S206)</f>
        <v>NA</v>
      </c>
      <c r="AG206" s="156" t="str">
        <f>IF(S206=0,"NA",SUMIFS(AN_TME23[[#All],[TOTAL Truncated Unadjusted Expenses (A22 + A23)]],AN_TME23[[#All],[Insurance Category Code]],5,AN_TME23[[#All],[Advanced Network/Insurance Carrier Org ID]],B206)/S206)</f>
        <v>NA</v>
      </c>
      <c r="AH206" s="478" t="str">
        <f t="shared" si="276"/>
        <v>NA</v>
      </c>
      <c r="AI206" s="479" t="str">
        <f t="shared" si="277"/>
        <v>NA</v>
      </c>
      <c r="AJ206" s="480" t="str">
        <f t="shared" si="278"/>
        <v>NA</v>
      </c>
      <c r="AK206" s="480" t="str">
        <f>IF(D206=0,"NA",#REF!/G206-1)</f>
        <v>NA</v>
      </c>
      <c r="AL206" s="480" t="str">
        <f t="shared" si="280"/>
        <v>NA</v>
      </c>
      <c r="AM206" s="480" t="str">
        <f t="shared" si="281"/>
        <v>NA</v>
      </c>
      <c r="AN206" s="480" t="str">
        <f t="shared" si="282"/>
        <v>NA</v>
      </c>
      <c r="AO206" s="480" t="str">
        <f t="shared" si="283"/>
        <v>NA</v>
      </c>
      <c r="AP206" s="480" t="str">
        <f t="shared" si="284"/>
        <v>NA</v>
      </c>
      <c r="AQ206" s="480" t="str">
        <f t="shared" si="285"/>
        <v>NA</v>
      </c>
      <c r="AR206" s="481" t="str">
        <f t="shared" si="286"/>
        <v>NA</v>
      </c>
      <c r="AS206" s="481" t="str">
        <f t="shared" si="287"/>
        <v>NA</v>
      </c>
      <c r="AT206" s="481" t="str">
        <f t="shared" si="288"/>
        <v>NA</v>
      </c>
      <c r="AU206" s="481" t="str">
        <f t="shared" si="289"/>
        <v>NA</v>
      </c>
      <c r="AV206" s="482" t="str">
        <f t="shared" si="290"/>
        <v>NA</v>
      </c>
    </row>
    <row r="207" spans="1:48" ht="15" customHeight="1" x14ac:dyDescent="0.25">
      <c r="A207" s="164"/>
      <c r="B207" s="166">
        <v>110</v>
      </c>
      <c r="C207" s="169" t="str">
        <f>_xlfn.XLOOKUP(B207, LgProvEntOrgIDs[Advanced Network/Insurer Carrier Org ID], LgProvEntOrgIDs[Advanced Network/Insurance Carrier Overall])</f>
        <v>Value Care Alliance</v>
      </c>
      <c r="D207" s="507">
        <f>SUMIFS(AN_TME22[[#All],[Member Months]],AN_TME22[[#All],[Insurance Category Code]],5,AN_TME22[[#All],[Advanced Network/Insurance Carrier Org ID]],B207)</f>
        <v>0</v>
      </c>
      <c r="E207" s="155" t="str">
        <f>IF(D207=0,"NA",SUMIFS(AN_TME22[[#All],[Claims: Hospital Inpatient]],AN_TME22[[#All],[Insurance Category Code]],5,AN_TME22[[#All],[Advanced Network/Insurance Carrier Org ID]],B207)/D207)</f>
        <v>NA</v>
      </c>
      <c r="F207" s="109" t="str">
        <f>IF(D207=0,"NA",SUMIFS(AN_TME22[[#All],[Claims: Hospital Outpatient]],AN_TME22[[#All],[Insurance Category Code]],5,AN_TME22[[#All],[Advanced Network/Insurance Carrier Org ID]],B207)/D207)</f>
        <v>NA</v>
      </c>
      <c r="G207" s="109" t="str">
        <f>IF(D207=0,"NA",SUMIFS(AN_TME22[[#All],[Claims: Professional, Primary Care]],AN_TME22[[#All],[Insurance Category Code]],5,AN_TME22[[#All],[Advanced Network/Insurance Carrier Org ID]],B207)/D207)</f>
        <v>NA</v>
      </c>
      <c r="H207" s="109" t="str">
        <f>IF(D207=0,"NA",SUMIFS(AN_TME22[[#All],[Claims: Professional, Primary Care (for Monitoring Purposes)]],AN_TME22[[#All],[Insurance Category Code]],5,AN_TME22[[#All],[Advanced Network/Insurance Carrier Org ID]],B207)/D207)</f>
        <v>NA</v>
      </c>
      <c r="I207" s="109" t="str">
        <f>IF(D207=0,"NA",SUMIFS(AN_TME22[[#All],[Claims: Professional, Specialty]],AN_TME22[[#All],[Insurance Category Code]],5,AN_TME22[[#All],[Advanced Network/Insurance Carrier Org ID]],B207)/D207)</f>
        <v>NA</v>
      </c>
      <c r="J207" s="109" t="str">
        <f>IF(D207=0,"NA",SUMIFS(AN_TME22[[#All],[Claims: Professional Other]],AN_TME22[[#All],[Insurance Category Code]],5,AN_TME22[[#All],[Advanced Network/Insurance Carrier Org ID]],B207)/D207)</f>
        <v>NA</v>
      </c>
      <c r="K207" s="109" t="str">
        <f>IF(D207=0,"NA",SUMIFS(AN_TME22[[#All],[Claims: Pharmacy]],AN_TME22[[#All],[Insurance Category Code]],5,AN_TME22[[#All],[Advanced Network/Insurance Carrier Org ID]],B207)/D207)</f>
        <v>NA</v>
      </c>
      <c r="L207" s="109" t="str">
        <f>IF(D207=0,"NA",SUMIFS(AN_TME22[[#All],[Claims: Long-Term Care]],AN_TME22[[#All],[Insurance Category Code]],5,AN_TME22[[#All],[Advanced Network/Insurance Carrier Org ID]],B207)/D207)</f>
        <v>NA</v>
      </c>
      <c r="M207" s="109" t="str">
        <f>IF(D207=0,"NA",SUMIFS(AN_TME22[[#All],[Claims: Other]],AN_TME22[[#All],[Insurance Category Code]],5,AN_TME22[[#All],[Advanced Network/Insurance Carrier Org ID]],B207)/D207)</f>
        <v>NA</v>
      </c>
      <c r="N207" s="165" t="str">
        <f>IF(D207=0,"NA",SUMIFS(AN_TME22[[#All],[TOTAL Non-Truncated Unadjusted Claims Expenses]],AN_TME22[[#All],[Insurance Category Code]],5,AN_TME22[[#All],[Advanced Network/Insurance Carrier Org ID]],B207)/D207)</f>
        <v>NA</v>
      </c>
      <c r="O207" s="165" t="str">
        <f>IF(D207=0,"NA",SUMIFS(AN_TME22[[#All],[TOTAL Truncated Unadjusted Claims Expenses (A21 -A19)]],AN_TME22[[#All],[Insurance Category Code]],5,AN_TME22[[#All],[Advanced Network/Insurance Carrier Org ID]],B207)/D207)</f>
        <v>NA</v>
      </c>
      <c r="P207" s="165" t="str">
        <f>IF(D207=0,"NA",SUMIFS(AN_TME22[[#All],[TOTAL Non-Claims Expenses]],AN_TME22[[#All],[Insurance Category Code]],5,AN_TME22[[#All],[Advanced Network/Insurance Carrier Org ID]],B207)/D207)</f>
        <v>NA</v>
      </c>
      <c r="Q207" s="165" t="str">
        <f>IF(D207=0,"NA",SUMIFS(AN_TME22[[#All],[TOTAL Non-Truncated Unadjusted Expenses (A21 + A23)]],AN_TME22[[#All],[Insurance Category Code]],5,AN_TME22[[#All],[Advanced Network/Insurance Carrier Org ID]],B207)/D207)</f>
        <v>NA</v>
      </c>
      <c r="R207" s="165" t="str">
        <f>IF(D207=0,"NA",SUMIFS(AN_TME22[[#All],[TOTAL Truncated Unadjusted Expenses (A22 + A23)]],AN_TME22[[#All],[Insurance Category Code]],5,AN_TME22[[#All],[Advanced Network/Insurance Carrier Org ID]],B207)/D207)</f>
        <v>NA</v>
      </c>
      <c r="S207" s="507">
        <f>SUMIFS(AN_TME23[[#All],[Member Months]],AN_TME23[[#All],[Insurance Category Code]],5,AN_TME23[[#All],[Advanced Network/Insurance Carrier Org ID]],B207)</f>
        <v>0</v>
      </c>
      <c r="T207" s="155" t="str">
        <f>IF(S207=0,"NA",SUMIFS(AN_TME23[[#All],[Claims: Hospital Inpatient]],AN_TME23[[#All],[Insurance Category Code]],5,AN_TME23[[#All],[Advanced Network/Insurance Carrier Org ID]],B207)/S207)</f>
        <v>NA</v>
      </c>
      <c r="U207" s="109" t="str">
        <f>IF(S207=0,"NA",SUMIFS(AN_TME23[[#All],[Claims: Hospital Outpatient]],AN_TME23[[#All],[Insurance Category Code]],5,AN_TME23[[#All],[Advanced Network/Insurance Carrier Org ID]],B207)/S207)</f>
        <v>NA</v>
      </c>
      <c r="V207" s="109" t="str">
        <f>IF(S207=0,"NA",SUMIFS(AN_TME23[[#All],[Claims: Professional, Primary Care]],AN_TME23[[#All],[Insurance Category Code]],5,AN_TME23[[#All],[Advanced Network/Insurance Carrier Org ID]],B207)/S207)</f>
        <v>NA</v>
      </c>
      <c r="W207" s="109" t="str">
        <f>IF(S207=0,"NA",SUMIFS(AN_TME23[[#All],[Claims: Professional, Primary Care (for Monitoring Purposes)]],AN_TME23[[#All],[Insurance Category Code]],5,AN_TME23[[#All],[Advanced Network/Insurance Carrier Org ID]],B207)/S207)</f>
        <v>NA</v>
      </c>
      <c r="X207" s="109" t="str">
        <f>IF(S207=0,"NA",SUMIFS(AN_TME23[[#All],[Claims: Professional, Specialty]],AN_TME23[[#All],[Insurance Category Code]],5,AN_TME23[[#All],[Advanced Network/Insurance Carrier Org ID]],B207)/S207)</f>
        <v>NA</v>
      </c>
      <c r="Y207" s="109" t="str">
        <f>IF(S207=0,"NA",SUMIFS(AN_TME23[[#All],[Claims: Professional Other]],AN_TME23[[#All],[Insurance Category Code]],5,AN_TME23[[#All],[Advanced Network/Insurance Carrier Org ID]],B207)/S207)</f>
        <v>NA</v>
      </c>
      <c r="Z207" s="109" t="str">
        <f>IF(S207=0,"NA",SUMIFS(AN_TME23[[#All],[Claims: Pharmacy]],AN_TME23[[#All],[Insurance Category Code]],5,AN_TME23[[#All],[Advanced Network/Insurance Carrier Org ID]],B207)/S207)</f>
        <v>NA</v>
      </c>
      <c r="AA207" s="109" t="str">
        <f>IF(S207=0,"NA",SUMIFS(AN_TME23[[#All],[Claims: Long-Term Care]],AN_TME23[[#All],[Insurance Category Code]],5,AN_TME23[[#All],[Advanced Network/Insurance Carrier Org ID]],B207)/S207)</f>
        <v>NA</v>
      </c>
      <c r="AB207" s="109" t="str">
        <f>IF(S207=0,"NA",SUMIFS(AN_TME23[[#All],[Claims: Other]],AN_TME23[[#All],[Insurance Category Code]],5,AN_TME23[[#All],[Advanced Network/Insurance Carrier Org ID]],B207)/S207)</f>
        <v>NA</v>
      </c>
      <c r="AC207" s="165" t="str">
        <f>IF(S207=0,"NA",SUMIFS(AN_TME23[[#All],[TOTAL Non-Truncated Unadjusted Claims Expenses]],AN_TME23[[#All],[Insurance Category Code]],5,AN_TME23[[#All],[Advanced Network/Insurance Carrier Org ID]],B207)/S207)</f>
        <v>NA</v>
      </c>
      <c r="AD207" s="165" t="str">
        <f>IF(S207=0,"NA",SUMIFS(AN_TME23[[#All],[TOTAL Truncated Unadjusted Claims Expenses (A21 -A19)]],AN_TME23[[#All],[Insurance Category Code]],5,AN_TME23[[#All],[Advanced Network/Insurance Carrier Org ID]],B207)/S207)</f>
        <v>NA</v>
      </c>
      <c r="AE207" s="165" t="str">
        <f>IF(S207=0,"NA",SUMIFS(AN_TME23[[#All],[TOTAL Non-Claims Expenses]],AN_TME23[[#All],[Insurance Category Code]],5,AN_TME23[[#All],[Advanced Network/Insurance Carrier Org ID]],B207)/S207)</f>
        <v>NA</v>
      </c>
      <c r="AF207" s="165" t="str">
        <f>IF(S207=0,"NA",SUMIFS(AN_TME23[[#All],[TOTAL Non-Truncated Unadjusted Expenses (A21 + A23)]],AN_TME23[[#All],[Insurance Category Code]],5,AN_TME23[[#All],[Advanced Network/Insurance Carrier Org ID]],B207)/S207)</f>
        <v>NA</v>
      </c>
      <c r="AG207" s="156" t="str">
        <f>IF(S207=0,"NA",SUMIFS(AN_TME23[[#All],[TOTAL Truncated Unadjusted Expenses (A22 + A23)]],AN_TME23[[#All],[Insurance Category Code]],5,AN_TME23[[#All],[Advanced Network/Insurance Carrier Org ID]],B207)/S207)</f>
        <v>NA</v>
      </c>
      <c r="AH207" s="478" t="str">
        <f t="shared" si="276"/>
        <v>NA</v>
      </c>
      <c r="AI207" s="479" t="str">
        <f t="shared" si="277"/>
        <v>NA</v>
      </c>
      <c r="AJ207" s="480" t="str">
        <f t="shared" si="278"/>
        <v>NA</v>
      </c>
      <c r="AK207" s="480" t="str">
        <f t="shared" si="279"/>
        <v>NA</v>
      </c>
      <c r="AL207" s="480" t="str">
        <f t="shared" si="280"/>
        <v>NA</v>
      </c>
      <c r="AM207" s="480" t="str">
        <f t="shared" si="281"/>
        <v>NA</v>
      </c>
      <c r="AN207" s="480" t="str">
        <f t="shared" si="282"/>
        <v>NA</v>
      </c>
      <c r="AO207" s="480" t="str">
        <f t="shared" si="283"/>
        <v>NA</v>
      </c>
      <c r="AP207" s="480" t="str">
        <f t="shared" si="284"/>
        <v>NA</v>
      </c>
      <c r="AQ207" s="480" t="str">
        <f t="shared" si="285"/>
        <v>NA</v>
      </c>
      <c r="AR207" s="481" t="str">
        <f t="shared" si="286"/>
        <v>NA</v>
      </c>
      <c r="AS207" s="481" t="str">
        <f t="shared" si="287"/>
        <v>NA</v>
      </c>
      <c r="AT207" s="481" t="str">
        <f t="shared" si="288"/>
        <v>NA</v>
      </c>
      <c r="AU207" s="481" t="str">
        <f t="shared" si="289"/>
        <v>NA</v>
      </c>
      <c r="AV207" s="482" t="str">
        <f t="shared" si="290"/>
        <v>NA</v>
      </c>
    </row>
    <row r="208" spans="1:48" ht="15" customHeight="1" x14ac:dyDescent="0.25">
      <c r="A208" s="164"/>
      <c r="B208" s="166">
        <v>111</v>
      </c>
      <c r="C208" s="169" t="str">
        <f>_xlfn.XLOOKUP(B208, LgProvEntOrgIDs[Advanced Network/Insurer Carrier Org ID], LgProvEntOrgIDs[Advanced Network/Insurance Carrier Overall])</f>
        <v>NA</v>
      </c>
      <c r="D208" s="507">
        <f>SUMIFS(AN_TME22[[#All],[Member Months]],AN_TME22[[#All],[Insurance Category Code]],5,AN_TME22[[#All],[Advanced Network/Insurance Carrier Org ID]],B208)</f>
        <v>0</v>
      </c>
      <c r="E208" s="155" t="str">
        <f>IF(D208=0,"NA",SUMIFS(AN_TME22[[#All],[Claims: Hospital Inpatient]],AN_TME22[[#All],[Insurance Category Code]],5,AN_TME22[[#All],[Advanced Network/Insurance Carrier Org ID]],B208)/D208)</f>
        <v>NA</v>
      </c>
      <c r="F208" s="109" t="str">
        <f>IF(D208=0,"NA",SUMIFS(AN_TME22[[#All],[Claims: Hospital Outpatient]],AN_TME22[[#All],[Insurance Category Code]],5,AN_TME22[[#All],[Advanced Network/Insurance Carrier Org ID]],B208)/D208)</f>
        <v>NA</v>
      </c>
      <c r="G208" s="109" t="str">
        <f>IF(D208=0,"NA",SUMIFS(AN_TME22[[#All],[Claims: Professional, Primary Care]],AN_TME22[[#All],[Insurance Category Code]],5,AN_TME22[[#All],[Advanced Network/Insurance Carrier Org ID]],B208)/D208)</f>
        <v>NA</v>
      </c>
      <c r="H208" s="109" t="str">
        <f>IF(D208=0,"NA",SUMIFS(AN_TME22[[#All],[Claims: Professional, Primary Care (for Monitoring Purposes)]],AN_TME22[[#All],[Insurance Category Code]],5,AN_TME22[[#All],[Advanced Network/Insurance Carrier Org ID]],B208)/D208)</f>
        <v>NA</v>
      </c>
      <c r="I208" s="109" t="str">
        <f>IF(D208=0,"NA",SUMIFS(AN_TME22[[#All],[Claims: Professional, Specialty]],AN_TME22[[#All],[Insurance Category Code]],5,AN_TME22[[#All],[Advanced Network/Insurance Carrier Org ID]],B208)/D208)</f>
        <v>NA</v>
      </c>
      <c r="J208" s="109" t="str">
        <f>IF(D208=0,"NA",SUMIFS(AN_TME22[[#All],[Claims: Professional Other]],AN_TME22[[#All],[Insurance Category Code]],5,AN_TME22[[#All],[Advanced Network/Insurance Carrier Org ID]],B208)/D208)</f>
        <v>NA</v>
      </c>
      <c r="K208" s="109" t="str">
        <f>IF(D208=0,"NA",SUMIFS(AN_TME22[[#All],[Claims: Pharmacy]],AN_TME22[[#All],[Insurance Category Code]],5,AN_TME22[[#All],[Advanced Network/Insurance Carrier Org ID]],B208)/D208)</f>
        <v>NA</v>
      </c>
      <c r="L208" s="109" t="str">
        <f>IF(D208=0,"NA",SUMIFS(AN_TME22[[#All],[Claims: Long-Term Care]],AN_TME22[[#All],[Insurance Category Code]],5,AN_TME22[[#All],[Advanced Network/Insurance Carrier Org ID]],B208)/D208)</f>
        <v>NA</v>
      </c>
      <c r="M208" s="109" t="str">
        <f>IF(D208=0,"NA",SUMIFS(AN_TME22[[#All],[Claims: Other]],AN_TME22[[#All],[Insurance Category Code]],5,AN_TME22[[#All],[Advanced Network/Insurance Carrier Org ID]],B208)/D208)</f>
        <v>NA</v>
      </c>
      <c r="N208" s="165" t="str">
        <f>IF(D208=0,"NA",SUMIFS(AN_TME22[[#All],[TOTAL Non-Truncated Unadjusted Claims Expenses]],AN_TME22[[#All],[Insurance Category Code]],5,AN_TME22[[#All],[Advanced Network/Insurance Carrier Org ID]],B208)/D208)</f>
        <v>NA</v>
      </c>
      <c r="O208" s="165" t="str">
        <f>IF(D208=0,"NA",SUMIFS(AN_TME22[[#All],[TOTAL Truncated Unadjusted Claims Expenses (A21 -A19)]],AN_TME22[[#All],[Insurance Category Code]],5,AN_TME22[[#All],[Advanced Network/Insurance Carrier Org ID]],B208)/D208)</f>
        <v>NA</v>
      </c>
      <c r="P208" s="165" t="str">
        <f>IF(D208=0,"NA",SUMIFS(AN_TME22[[#All],[TOTAL Non-Claims Expenses]],AN_TME22[[#All],[Insurance Category Code]],5,AN_TME22[[#All],[Advanced Network/Insurance Carrier Org ID]],B208)/D208)</f>
        <v>NA</v>
      </c>
      <c r="Q208" s="165" t="str">
        <f>IF(D208=0,"NA",SUMIFS(AN_TME22[[#All],[TOTAL Non-Truncated Unadjusted Expenses (A21 + A23)]],AN_TME22[[#All],[Insurance Category Code]],5,AN_TME22[[#All],[Advanced Network/Insurance Carrier Org ID]],B208)/D208)</f>
        <v>NA</v>
      </c>
      <c r="R208" s="165" t="str">
        <f>IF(D208=0,"NA",SUMIFS(AN_TME22[[#All],[TOTAL Truncated Unadjusted Expenses (A22 + A23)]],AN_TME22[[#All],[Insurance Category Code]],5,AN_TME22[[#All],[Advanced Network/Insurance Carrier Org ID]],B208)/D208)</f>
        <v>NA</v>
      </c>
      <c r="S208" s="507">
        <f>SUMIFS(AN_TME23[[#All],[Member Months]],AN_TME23[[#All],[Insurance Category Code]],5,AN_TME23[[#All],[Advanced Network/Insurance Carrier Org ID]],B208)</f>
        <v>0</v>
      </c>
      <c r="T208" s="155" t="str">
        <f>IF(S208=0,"NA",SUMIFS(AN_TME23[[#All],[Claims: Hospital Inpatient]],AN_TME23[[#All],[Insurance Category Code]],5,AN_TME23[[#All],[Advanced Network/Insurance Carrier Org ID]],B208)/S208)</f>
        <v>NA</v>
      </c>
      <c r="U208" s="109" t="str">
        <f>IF(S208=0,"NA",SUMIFS(AN_TME23[[#All],[Claims: Hospital Outpatient]],AN_TME23[[#All],[Insurance Category Code]],5,AN_TME23[[#All],[Advanced Network/Insurance Carrier Org ID]],B208)/S208)</f>
        <v>NA</v>
      </c>
      <c r="V208" s="109" t="str">
        <f>IF(S208=0,"NA",SUMIFS(AN_TME23[[#All],[Claims: Professional, Primary Care]],AN_TME23[[#All],[Insurance Category Code]],5,AN_TME23[[#All],[Advanced Network/Insurance Carrier Org ID]],B208)/S208)</f>
        <v>NA</v>
      </c>
      <c r="W208" s="109" t="str">
        <f>IF(S208=0,"NA",SUMIFS(AN_TME23[[#All],[Claims: Professional, Primary Care (for Monitoring Purposes)]],AN_TME23[[#All],[Insurance Category Code]],5,AN_TME23[[#All],[Advanced Network/Insurance Carrier Org ID]],B208)/S208)</f>
        <v>NA</v>
      </c>
      <c r="X208" s="109" t="str">
        <f>IF(S208=0,"NA",SUMIFS(AN_TME23[[#All],[Claims: Professional, Specialty]],AN_TME23[[#All],[Insurance Category Code]],5,AN_TME23[[#All],[Advanced Network/Insurance Carrier Org ID]],B208)/S208)</f>
        <v>NA</v>
      </c>
      <c r="Y208" s="109" t="str">
        <f>IF(S208=0,"NA",SUMIFS(AN_TME23[[#All],[Claims: Professional Other]],AN_TME23[[#All],[Insurance Category Code]],5,AN_TME23[[#All],[Advanced Network/Insurance Carrier Org ID]],B208)/S208)</f>
        <v>NA</v>
      </c>
      <c r="Z208" s="109" t="str">
        <f>IF(S208=0,"NA",SUMIFS(AN_TME23[[#All],[Claims: Pharmacy]],AN_TME23[[#All],[Insurance Category Code]],5,AN_TME23[[#All],[Advanced Network/Insurance Carrier Org ID]],B208)/S208)</f>
        <v>NA</v>
      </c>
      <c r="AA208" s="109" t="str">
        <f>IF(S208=0,"NA",SUMIFS(AN_TME23[[#All],[Claims: Long-Term Care]],AN_TME23[[#All],[Insurance Category Code]],5,AN_TME23[[#All],[Advanced Network/Insurance Carrier Org ID]],B208)/S208)</f>
        <v>NA</v>
      </c>
      <c r="AB208" s="109" t="str">
        <f>IF(S208=0,"NA",SUMIFS(AN_TME23[[#All],[Claims: Other]],AN_TME23[[#All],[Insurance Category Code]],5,AN_TME23[[#All],[Advanced Network/Insurance Carrier Org ID]],B208)/S208)</f>
        <v>NA</v>
      </c>
      <c r="AC208" s="165" t="str">
        <f>IF(S208=0,"NA",SUMIFS(AN_TME23[[#All],[TOTAL Non-Truncated Unadjusted Claims Expenses]],AN_TME23[[#All],[Insurance Category Code]],5,AN_TME23[[#All],[Advanced Network/Insurance Carrier Org ID]],B208)/S208)</f>
        <v>NA</v>
      </c>
      <c r="AD208" s="165" t="str">
        <f>IF(S208=0,"NA",SUMIFS(AN_TME23[[#All],[TOTAL Truncated Unadjusted Claims Expenses (A21 -A19)]],AN_TME23[[#All],[Insurance Category Code]],5,AN_TME23[[#All],[Advanced Network/Insurance Carrier Org ID]],B208)/S208)</f>
        <v>NA</v>
      </c>
      <c r="AE208" s="165" t="str">
        <f>IF(S208=0,"NA",SUMIFS(AN_TME23[[#All],[TOTAL Non-Claims Expenses]],AN_TME23[[#All],[Insurance Category Code]],5,AN_TME23[[#All],[Advanced Network/Insurance Carrier Org ID]],B208)/S208)</f>
        <v>NA</v>
      </c>
      <c r="AF208" s="165" t="str">
        <f>IF(S208=0,"NA",SUMIFS(AN_TME23[[#All],[TOTAL Non-Truncated Unadjusted Expenses (A21 + A23)]],AN_TME23[[#All],[Insurance Category Code]],5,AN_TME23[[#All],[Advanced Network/Insurance Carrier Org ID]],B208)/S208)</f>
        <v>NA</v>
      </c>
      <c r="AG208" s="156" t="str">
        <f>IF(S208=0,"NA",SUMIFS(AN_TME23[[#All],[TOTAL Truncated Unadjusted Expenses (A22 + A23)]],AN_TME23[[#All],[Insurance Category Code]],5,AN_TME23[[#All],[Advanced Network/Insurance Carrier Org ID]],B208)/S208)</f>
        <v>NA</v>
      </c>
      <c r="AH208" s="478" t="str">
        <f>IF(D208=0,"NA",S208/D208-1)</f>
        <v>NA</v>
      </c>
      <c r="AI208" s="479" t="str">
        <f>IF(D208=0,"NA",T208/E208-1)</f>
        <v>NA</v>
      </c>
      <c r="AJ208" s="480" t="str">
        <f>IF(D208=0,"NA",U208/F208-1)</f>
        <v>NA</v>
      </c>
      <c r="AK208" s="480" t="str">
        <f>IF(D208=0,"NA",V208/G208-1)</f>
        <v>NA</v>
      </c>
      <c r="AL208" s="480" t="str">
        <f>IF(D208=0,"NA",W208/H208-1)</f>
        <v>NA</v>
      </c>
      <c r="AM208" s="480" t="str">
        <f>IF(D208=0,"NA",X208/I208-1)</f>
        <v>NA</v>
      </c>
      <c r="AN208" s="480" t="str">
        <f>IF(D208=0,"NA",Y208/J208-1)</f>
        <v>NA</v>
      </c>
      <c r="AO208" s="480" t="str">
        <f>IF(D208=0,"NA",Z208/K208-1)</f>
        <v>NA</v>
      </c>
      <c r="AP208" s="480" t="str">
        <f>IF(D208=0,"NA",AA208/L208-1)</f>
        <v>NA</v>
      </c>
      <c r="AQ208" s="480" t="str">
        <f>IF(D208=0,"NA",AB208/M208-1)</f>
        <v>NA</v>
      </c>
      <c r="AR208" s="481" t="str">
        <f>IF(D208=0,"NA",AC208/N208-1)</f>
        <v>NA</v>
      </c>
      <c r="AS208" s="481" t="str">
        <f>IF(D208=0,"NA",AD208/O208-1)</f>
        <v>NA</v>
      </c>
      <c r="AT208" s="481" t="str">
        <f>IF(D208=0,"NA",AE208/P208-1)</f>
        <v>NA</v>
      </c>
      <c r="AU208" s="481" t="str">
        <f>IF(D208=0,"NA",AF208/Q208-1)</f>
        <v>NA</v>
      </c>
      <c r="AV208" s="482" t="str">
        <f>IF(D208=0,"NA",AG208/R208-1)</f>
        <v>NA</v>
      </c>
    </row>
    <row r="209" spans="1:48" ht="15" customHeight="1" x14ac:dyDescent="0.25">
      <c r="A209" s="164"/>
      <c r="B209" s="166">
        <v>112</v>
      </c>
      <c r="C209" s="169" t="str">
        <f>_xlfn.XLOOKUP(B209, LgProvEntOrgIDs[Advanced Network/Insurer Carrier Org ID], LgProvEntOrgIDs[Advanced Network/Insurance Carrier Overall])</f>
        <v>Charter Oak Health Center</v>
      </c>
      <c r="D209" s="507">
        <f>SUMIFS(AN_TME22[[#All],[Member Months]],AN_TME22[[#All],[Insurance Category Code]],5,AN_TME22[[#All],[Advanced Network/Insurance Carrier Org ID]],B209)</f>
        <v>0</v>
      </c>
      <c r="E209" s="155" t="str">
        <f>IF(D209=0,"NA",SUMIFS(AN_TME22[[#All],[Claims: Hospital Inpatient]],AN_TME22[[#All],[Insurance Category Code]],5,AN_TME22[[#All],[Advanced Network/Insurance Carrier Org ID]],B209)/D209)</f>
        <v>NA</v>
      </c>
      <c r="F209" s="109" t="str">
        <f>IF(D209=0,"NA",SUMIFS(AN_TME22[[#All],[Claims: Hospital Outpatient]],AN_TME22[[#All],[Insurance Category Code]],5,AN_TME22[[#All],[Advanced Network/Insurance Carrier Org ID]],B209)/D209)</f>
        <v>NA</v>
      </c>
      <c r="G209" s="109" t="str">
        <f>IF(D209=0,"NA",SUMIFS(AN_TME22[[#All],[Claims: Professional, Primary Care]],AN_TME22[[#All],[Insurance Category Code]],5,AN_TME22[[#All],[Advanced Network/Insurance Carrier Org ID]],B209)/D209)</f>
        <v>NA</v>
      </c>
      <c r="H209" s="109" t="str">
        <f>IF(D209=0,"NA",SUMIFS(AN_TME22[[#All],[Claims: Professional, Primary Care (for Monitoring Purposes)]],AN_TME22[[#All],[Insurance Category Code]],5,AN_TME22[[#All],[Advanced Network/Insurance Carrier Org ID]],B209)/D209)</f>
        <v>NA</v>
      </c>
      <c r="I209" s="109" t="str">
        <f>IF(D209=0,"NA",SUMIFS(AN_TME22[[#All],[Claims: Professional, Specialty]],AN_TME22[[#All],[Insurance Category Code]],5,AN_TME22[[#All],[Advanced Network/Insurance Carrier Org ID]],B209)/D209)</f>
        <v>NA</v>
      </c>
      <c r="J209" s="109" t="str">
        <f>IF(D209=0,"NA",SUMIFS(AN_TME22[[#All],[Claims: Professional Other]],AN_TME22[[#All],[Insurance Category Code]],5,AN_TME22[[#All],[Advanced Network/Insurance Carrier Org ID]],B209)/D209)</f>
        <v>NA</v>
      </c>
      <c r="K209" s="109" t="str">
        <f>IF(D209=0,"NA",SUMIFS(AN_TME22[[#All],[Claims: Pharmacy]],AN_TME22[[#All],[Insurance Category Code]],5,AN_TME22[[#All],[Advanced Network/Insurance Carrier Org ID]],B209)/D209)</f>
        <v>NA</v>
      </c>
      <c r="L209" s="109" t="str">
        <f>IF(D209=0,"NA",SUMIFS(AN_TME22[[#All],[Claims: Long-Term Care]],AN_TME22[[#All],[Insurance Category Code]],5,AN_TME22[[#All],[Advanced Network/Insurance Carrier Org ID]],B209)/D209)</f>
        <v>NA</v>
      </c>
      <c r="M209" s="109" t="str">
        <f>IF(D209=0,"NA",SUMIFS(AN_TME22[[#All],[Claims: Other]],AN_TME22[[#All],[Insurance Category Code]],5,AN_TME22[[#All],[Advanced Network/Insurance Carrier Org ID]],B209)/D209)</f>
        <v>NA</v>
      </c>
      <c r="N209" s="165" t="str">
        <f>IF(D209=0,"NA",SUMIFS(AN_TME22[[#All],[TOTAL Non-Truncated Unadjusted Claims Expenses]],AN_TME22[[#All],[Insurance Category Code]],5,AN_TME22[[#All],[Advanced Network/Insurance Carrier Org ID]],B209)/D209)</f>
        <v>NA</v>
      </c>
      <c r="O209" s="165" t="str">
        <f>IF(D209=0,"NA",SUMIFS(AN_TME22[[#All],[TOTAL Truncated Unadjusted Claims Expenses (A21 -A19)]],AN_TME22[[#All],[Insurance Category Code]],5,AN_TME22[[#All],[Advanced Network/Insurance Carrier Org ID]],B209)/D209)</f>
        <v>NA</v>
      </c>
      <c r="P209" s="165" t="str">
        <f>IF(D209=0,"NA",SUMIFS(AN_TME22[[#All],[TOTAL Non-Claims Expenses]],AN_TME22[[#All],[Insurance Category Code]],5,AN_TME22[[#All],[Advanced Network/Insurance Carrier Org ID]],B209)/D209)</f>
        <v>NA</v>
      </c>
      <c r="Q209" s="165" t="str">
        <f>IF(D209=0,"NA",SUMIFS(AN_TME22[[#All],[TOTAL Non-Truncated Unadjusted Expenses (A21 + A23)]],AN_TME22[[#All],[Insurance Category Code]],5,AN_TME22[[#All],[Advanced Network/Insurance Carrier Org ID]],B209)/D209)</f>
        <v>NA</v>
      </c>
      <c r="R209" s="165" t="str">
        <f>IF(D209=0,"NA",SUMIFS(AN_TME22[[#All],[TOTAL Truncated Unadjusted Expenses (A22 + A23)]],AN_TME22[[#All],[Insurance Category Code]],5,AN_TME22[[#All],[Advanced Network/Insurance Carrier Org ID]],B209)/D209)</f>
        <v>NA</v>
      </c>
      <c r="S209" s="507">
        <f>SUMIFS(AN_TME23[[#All],[Member Months]],AN_TME23[[#All],[Insurance Category Code]],5,AN_TME23[[#All],[Advanced Network/Insurance Carrier Org ID]],B209)</f>
        <v>0</v>
      </c>
      <c r="T209" s="155" t="str">
        <f>IF(S209=0,"NA",SUMIFS(AN_TME23[[#All],[Claims: Hospital Inpatient]],AN_TME23[[#All],[Insurance Category Code]],5,AN_TME23[[#All],[Advanced Network/Insurance Carrier Org ID]],B209)/S209)</f>
        <v>NA</v>
      </c>
      <c r="U209" s="109" t="str">
        <f>IF(S209=0,"NA",SUMIFS(AN_TME23[[#All],[Claims: Hospital Outpatient]],AN_TME23[[#All],[Insurance Category Code]],5,AN_TME23[[#All],[Advanced Network/Insurance Carrier Org ID]],B209)/S209)</f>
        <v>NA</v>
      </c>
      <c r="V209" s="109" t="str">
        <f>IF(S209=0,"NA",SUMIFS(AN_TME23[[#All],[Claims: Professional, Primary Care]],AN_TME23[[#All],[Insurance Category Code]],5,AN_TME23[[#All],[Advanced Network/Insurance Carrier Org ID]],B209)/S209)</f>
        <v>NA</v>
      </c>
      <c r="W209" s="109" t="str">
        <f>IF(S209=0,"NA",SUMIFS(AN_TME23[[#All],[Claims: Professional, Primary Care (for Monitoring Purposes)]],AN_TME23[[#All],[Insurance Category Code]],5,AN_TME23[[#All],[Advanced Network/Insurance Carrier Org ID]],B209)/S209)</f>
        <v>NA</v>
      </c>
      <c r="X209" s="109" t="str">
        <f>IF(S209=0,"NA",SUMIFS(AN_TME23[[#All],[Claims: Professional, Specialty]],AN_TME23[[#All],[Insurance Category Code]],5,AN_TME23[[#All],[Advanced Network/Insurance Carrier Org ID]],B209)/S209)</f>
        <v>NA</v>
      </c>
      <c r="Y209" s="109" t="str">
        <f>IF(S209=0,"NA",SUMIFS(AN_TME23[[#All],[Claims: Professional Other]],AN_TME23[[#All],[Insurance Category Code]],5,AN_TME23[[#All],[Advanced Network/Insurance Carrier Org ID]],B209)/S209)</f>
        <v>NA</v>
      </c>
      <c r="Z209" s="109" t="str">
        <f>IF(S209=0,"NA",SUMIFS(AN_TME23[[#All],[Claims: Pharmacy]],AN_TME23[[#All],[Insurance Category Code]],5,AN_TME23[[#All],[Advanced Network/Insurance Carrier Org ID]],B209)/S209)</f>
        <v>NA</v>
      </c>
      <c r="AA209" s="109" t="str">
        <f>IF(S209=0,"NA",SUMIFS(AN_TME23[[#All],[Claims: Long-Term Care]],AN_TME23[[#All],[Insurance Category Code]],5,AN_TME23[[#All],[Advanced Network/Insurance Carrier Org ID]],B209)/S209)</f>
        <v>NA</v>
      </c>
      <c r="AB209" s="109" t="str">
        <f>IF(S209=0,"NA",SUMIFS(AN_TME23[[#All],[Claims: Other]],AN_TME23[[#All],[Insurance Category Code]],5,AN_TME23[[#All],[Advanced Network/Insurance Carrier Org ID]],B209)/S209)</f>
        <v>NA</v>
      </c>
      <c r="AC209" s="165" t="str">
        <f>IF(S209=0,"NA",SUMIFS(AN_TME23[[#All],[TOTAL Non-Truncated Unadjusted Claims Expenses]],AN_TME23[[#All],[Insurance Category Code]],5,AN_TME23[[#All],[Advanced Network/Insurance Carrier Org ID]],B209)/S209)</f>
        <v>NA</v>
      </c>
      <c r="AD209" s="165" t="str">
        <f>IF(S209=0,"NA",SUMIFS(AN_TME23[[#All],[TOTAL Truncated Unadjusted Claims Expenses (A21 -A19)]],AN_TME23[[#All],[Insurance Category Code]],5,AN_TME23[[#All],[Advanced Network/Insurance Carrier Org ID]],B209)/S209)</f>
        <v>NA</v>
      </c>
      <c r="AE209" s="165" t="str">
        <f>IF(S209=0,"NA",SUMIFS(AN_TME23[[#All],[TOTAL Non-Claims Expenses]],AN_TME23[[#All],[Insurance Category Code]],5,AN_TME23[[#All],[Advanced Network/Insurance Carrier Org ID]],B209)/S209)</f>
        <v>NA</v>
      </c>
      <c r="AF209" s="165" t="str">
        <f>IF(S209=0,"NA",SUMIFS(AN_TME23[[#All],[TOTAL Non-Truncated Unadjusted Expenses (A21 + A23)]],AN_TME23[[#All],[Insurance Category Code]],5,AN_TME23[[#All],[Advanced Network/Insurance Carrier Org ID]],B209)/S209)</f>
        <v>NA</v>
      </c>
      <c r="AG209" s="156" t="str">
        <f>IF(S209=0,"NA",SUMIFS(AN_TME23[[#All],[TOTAL Truncated Unadjusted Expenses (A22 + A23)]],AN_TME23[[#All],[Insurance Category Code]],5,AN_TME23[[#All],[Advanced Network/Insurance Carrier Org ID]],B209)/S209)</f>
        <v>NA</v>
      </c>
      <c r="AH209" s="478" t="str">
        <f t="shared" ref="AH209:AH228" si="291">IF(D209=0,"NA",S209/D209-1)</f>
        <v>NA</v>
      </c>
      <c r="AI209" s="479" t="str">
        <f t="shared" ref="AI209:AI228" si="292">IF(D209=0,"NA",T209/E209-1)</f>
        <v>NA</v>
      </c>
      <c r="AJ209" s="480" t="str">
        <f t="shared" ref="AJ209:AJ228" si="293">IF(D209=0,"NA",U209/F209-1)</f>
        <v>NA</v>
      </c>
      <c r="AK209" s="480" t="str">
        <f t="shared" ref="AK209:AK228" si="294">IF(D209=0,"NA",V209/G209-1)</f>
        <v>NA</v>
      </c>
      <c r="AL209" s="480" t="str">
        <f t="shared" ref="AL209:AL228" si="295">IF(D209=0,"NA",W209/H209-1)</f>
        <v>NA</v>
      </c>
      <c r="AM209" s="480" t="str">
        <f t="shared" ref="AM209:AM228" si="296">IF(D209=0,"NA",X209/I209-1)</f>
        <v>NA</v>
      </c>
      <c r="AN209" s="480" t="str">
        <f t="shared" ref="AN209:AN228" si="297">IF(D209=0,"NA",Y209/J209-1)</f>
        <v>NA</v>
      </c>
      <c r="AO209" s="480" t="str">
        <f t="shared" ref="AO209:AO228" si="298">IF(D209=0,"NA",Z209/K209-1)</f>
        <v>NA</v>
      </c>
      <c r="AP209" s="480" t="str">
        <f t="shared" ref="AP209:AP228" si="299">IF(D209=0,"NA",AA209/L209-1)</f>
        <v>NA</v>
      </c>
      <c r="AQ209" s="480" t="str">
        <f t="shared" ref="AQ209:AQ228" si="300">IF(D209=0,"NA",AB209/M209-1)</f>
        <v>NA</v>
      </c>
      <c r="AR209" s="481" t="str">
        <f t="shared" ref="AR209:AR228" si="301">IF(D209=0,"NA",AC209/N209-1)</f>
        <v>NA</v>
      </c>
      <c r="AS209" s="481" t="str">
        <f t="shared" ref="AS209:AS228" si="302">IF(D209=0,"NA",AD209/O209-1)</f>
        <v>NA</v>
      </c>
      <c r="AT209" s="481" t="str">
        <f t="shared" ref="AT209:AT228" si="303">IF(D209=0,"NA",AE209/P209-1)</f>
        <v>NA</v>
      </c>
      <c r="AU209" s="481" t="str">
        <f t="shared" ref="AU209:AU228" si="304">IF(D209=0,"NA",AF209/Q209-1)</f>
        <v>NA</v>
      </c>
      <c r="AV209" s="482" t="str">
        <f t="shared" ref="AV209:AV228" si="305">IF(D209=0,"NA",AG209/R209-1)</f>
        <v>NA</v>
      </c>
    </row>
    <row r="210" spans="1:48" ht="15" customHeight="1" x14ac:dyDescent="0.25">
      <c r="A210" s="164"/>
      <c r="B210" s="166">
        <v>113</v>
      </c>
      <c r="C210" s="169" t="str">
        <f>_xlfn.XLOOKUP(B210, LgProvEntOrgIDs[Advanced Network/Insurer Carrier Org ID], LgProvEntOrgIDs[Advanced Network/Insurance Carrier Overall])</f>
        <v>CIFC Greater Danbury Community Health Center</v>
      </c>
      <c r="D210" s="507">
        <f>SUMIFS(AN_TME22[[#All],[Member Months]],AN_TME22[[#All],[Insurance Category Code]],5,AN_TME22[[#All],[Advanced Network/Insurance Carrier Org ID]],B210)</f>
        <v>0</v>
      </c>
      <c r="E210" s="155" t="str">
        <f>IF(D210=0,"NA",SUMIFS(AN_TME22[[#All],[Claims: Hospital Inpatient]],AN_TME22[[#All],[Insurance Category Code]],5,AN_TME22[[#All],[Advanced Network/Insurance Carrier Org ID]],B210)/D210)</f>
        <v>NA</v>
      </c>
      <c r="F210" s="109" t="str">
        <f>IF(D210=0,"NA",SUMIFS(AN_TME22[[#All],[Claims: Hospital Outpatient]],AN_TME22[[#All],[Insurance Category Code]],5,AN_TME22[[#All],[Advanced Network/Insurance Carrier Org ID]],B210)/D210)</f>
        <v>NA</v>
      </c>
      <c r="G210" s="109" t="str">
        <f>IF(D210=0,"NA",SUMIFS(AN_TME22[[#All],[Claims: Professional, Primary Care]],AN_TME22[[#All],[Insurance Category Code]],5,AN_TME22[[#All],[Advanced Network/Insurance Carrier Org ID]],B210)/D210)</f>
        <v>NA</v>
      </c>
      <c r="H210" s="109" t="str">
        <f>IF(D210=0,"NA",SUMIFS(AN_TME22[[#All],[Claims: Professional, Primary Care (for Monitoring Purposes)]],AN_TME22[[#All],[Insurance Category Code]],5,AN_TME22[[#All],[Advanced Network/Insurance Carrier Org ID]],B210)/D210)</f>
        <v>NA</v>
      </c>
      <c r="I210" s="109" t="str">
        <f>IF(D210=0,"NA",SUMIFS(AN_TME22[[#All],[Claims: Professional, Specialty]],AN_TME22[[#All],[Insurance Category Code]],5,AN_TME22[[#All],[Advanced Network/Insurance Carrier Org ID]],B210)/D210)</f>
        <v>NA</v>
      </c>
      <c r="J210" s="109" t="str">
        <f>IF(D210=0,"NA",SUMIFS(AN_TME22[[#All],[Claims: Professional Other]],AN_TME22[[#All],[Insurance Category Code]],5,AN_TME22[[#All],[Advanced Network/Insurance Carrier Org ID]],B210)/D210)</f>
        <v>NA</v>
      </c>
      <c r="K210" s="109" t="str">
        <f>IF(D210=0,"NA",SUMIFS(AN_TME22[[#All],[Claims: Pharmacy]],AN_TME22[[#All],[Insurance Category Code]],5,AN_TME22[[#All],[Advanced Network/Insurance Carrier Org ID]],B210)/D210)</f>
        <v>NA</v>
      </c>
      <c r="L210" s="109" t="str">
        <f>IF(D210=0,"NA",SUMIFS(AN_TME22[[#All],[Claims: Long-Term Care]],AN_TME22[[#All],[Insurance Category Code]],5,AN_TME22[[#All],[Advanced Network/Insurance Carrier Org ID]],B210)/D210)</f>
        <v>NA</v>
      </c>
      <c r="M210" s="109" t="str">
        <f>IF(D210=0,"NA",SUMIFS(AN_TME22[[#All],[Claims: Other]],AN_TME22[[#All],[Insurance Category Code]],5,AN_TME22[[#All],[Advanced Network/Insurance Carrier Org ID]],B210)/D210)</f>
        <v>NA</v>
      </c>
      <c r="N210" s="165" t="str">
        <f>IF(D210=0,"NA",SUMIFS(AN_TME22[[#All],[TOTAL Non-Truncated Unadjusted Claims Expenses]],AN_TME22[[#All],[Insurance Category Code]],5,AN_TME22[[#All],[Advanced Network/Insurance Carrier Org ID]],B210)/D210)</f>
        <v>NA</v>
      </c>
      <c r="O210" s="165" t="str">
        <f>IF(D210=0,"NA",SUMIFS(AN_TME22[[#All],[TOTAL Truncated Unadjusted Claims Expenses (A21 -A19)]],AN_TME22[[#All],[Insurance Category Code]],5,AN_TME22[[#All],[Advanced Network/Insurance Carrier Org ID]],B210)/D210)</f>
        <v>NA</v>
      </c>
      <c r="P210" s="165" t="str">
        <f>IF(D210=0,"NA",SUMIFS(AN_TME22[[#All],[TOTAL Non-Claims Expenses]],AN_TME22[[#All],[Insurance Category Code]],5,AN_TME22[[#All],[Advanced Network/Insurance Carrier Org ID]],B210)/D210)</f>
        <v>NA</v>
      </c>
      <c r="Q210" s="165" t="str">
        <f>IF(D210=0,"NA",SUMIFS(AN_TME22[[#All],[TOTAL Non-Truncated Unadjusted Expenses (A21 + A23)]],AN_TME22[[#All],[Insurance Category Code]],5,AN_TME22[[#All],[Advanced Network/Insurance Carrier Org ID]],B210)/D210)</f>
        <v>NA</v>
      </c>
      <c r="R210" s="165" t="str">
        <f>IF(D210=0,"NA",SUMIFS(AN_TME22[[#All],[TOTAL Truncated Unadjusted Expenses (A22 + A23)]],AN_TME22[[#All],[Insurance Category Code]],5,AN_TME22[[#All],[Advanced Network/Insurance Carrier Org ID]],B210)/D210)</f>
        <v>NA</v>
      </c>
      <c r="S210" s="507">
        <f>SUMIFS(AN_TME23[[#All],[Member Months]],AN_TME23[[#All],[Insurance Category Code]],5,AN_TME23[[#All],[Advanced Network/Insurance Carrier Org ID]],B210)</f>
        <v>0</v>
      </c>
      <c r="T210" s="155" t="str">
        <f>IF(S210=0,"NA",SUMIFS(AN_TME23[[#All],[Claims: Hospital Inpatient]],AN_TME23[[#All],[Insurance Category Code]],5,AN_TME23[[#All],[Advanced Network/Insurance Carrier Org ID]],B210)/S210)</f>
        <v>NA</v>
      </c>
      <c r="U210" s="109" t="str">
        <f>IF(S210=0,"NA",SUMIFS(AN_TME23[[#All],[Claims: Hospital Outpatient]],AN_TME23[[#All],[Insurance Category Code]],5,AN_TME23[[#All],[Advanced Network/Insurance Carrier Org ID]],B210)/S210)</f>
        <v>NA</v>
      </c>
      <c r="V210" s="109" t="str">
        <f>IF(S210=0,"NA",SUMIFS(AN_TME23[[#All],[Claims: Professional, Primary Care]],AN_TME23[[#All],[Insurance Category Code]],5,AN_TME23[[#All],[Advanced Network/Insurance Carrier Org ID]],B210)/S210)</f>
        <v>NA</v>
      </c>
      <c r="W210" s="109" t="str">
        <f>IF(S210=0,"NA",SUMIFS(AN_TME23[[#All],[Claims: Professional, Primary Care (for Monitoring Purposes)]],AN_TME23[[#All],[Insurance Category Code]],5,AN_TME23[[#All],[Advanced Network/Insurance Carrier Org ID]],B210)/S210)</f>
        <v>NA</v>
      </c>
      <c r="X210" s="109" t="str">
        <f>IF(S210=0,"NA",SUMIFS(AN_TME23[[#All],[Claims: Professional, Specialty]],AN_TME23[[#All],[Insurance Category Code]],5,AN_TME23[[#All],[Advanced Network/Insurance Carrier Org ID]],B210)/S210)</f>
        <v>NA</v>
      </c>
      <c r="Y210" s="109" t="str">
        <f>IF(S210=0,"NA",SUMIFS(AN_TME23[[#All],[Claims: Professional Other]],AN_TME23[[#All],[Insurance Category Code]],5,AN_TME23[[#All],[Advanced Network/Insurance Carrier Org ID]],B210)/S210)</f>
        <v>NA</v>
      </c>
      <c r="Z210" s="109" t="str">
        <f>IF(S210=0,"NA",SUMIFS(AN_TME23[[#All],[Claims: Pharmacy]],AN_TME23[[#All],[Insurance Category Code]],5,AN_TME23[[#All],[Advanced Network/Insurance Carrier Org ID]],B210)/S210)</f>
        <v>NA</v>
      </c>
      <c r="AA210" s="109" t="str">
        <f>IF(S210=0,"NA",SUMIFS(AN_TME23[[#All],[Claims: Long-Term Care]],AN_TME23[[#All],[Insurance Category Code]],5,AN_TME23[[#All],[Advanced Network/Insurance Carrier Org ID]],B210)/S210)</f>
        <v>NA</v>
      </c>
      <c r="AB210" s="109" t="str">
        <f>IF(S210=0,"NA",SUMIFS(AN_TME23[[#All],[Claims: Other]],AN_TME23[[#All],[Insurance Category Code]],5,AN_TME23[[#All],[Advanced Network/Insurance Carrier Org ID]],B210)/S210)</f>
        <v>NA</v>
      </c>
      <c r="AC210" s="165" t="str">
        <f>IF(S210=0,"NA",SUMIFS(AN_TME23[[#All],[TOTAL Non-Truncated Unadjusted Claims Expenses]],AN_TME23[[#All],[Insurance Category Code]],5,AN_TME23[[#All],[Advanced Network/Insurance Carrier Org ID]],B210)/S210)</f>
        <v>NA</v>
      </c>
      <c r="AD210" s="165" t="str">
        <f>IF(S210=0,"NA",SUMIFS(AN_TME23[[#All],[TOTAL Truncated Unadjusted Claims Expenses (A21 -A19)]],AN_TME23[[#All],[Insurance Category Code]],5,AN_TME23[[#All],[Advanced Network/Insurance Carrier Org ID]],B210)/S210)</f>
        <v>NA</v>
      </c>
      <c r="AE210" s="165" t="str">
        <f>IF(S210=0,"NA",SUMIFS(AN_TME23[[#All],[TOTAL Non-Claims Expenses]],AN_TME23[[#All],[Insurance Category Code]],5,AN_TME23[[#All],[Advanced Network/Insurance Carrier Org ID]],B210)/S210)</f>
        <v>NA</v>
      </c>
      <c r="AF210" s="165" t="str">
        <f>IF(S210=0,"NA",SUMIFS(AN_TME23[[#All],[TOTAL Non-Truncated Unadjusted Expenses (A21 + A23)]],AN_TME23[[#All],[Insurance Category Code]],5,AN_TME23[[#All],[Advanced Network/Insurance Carrier Org ID]],B210)/S210)</f>
        <v>NA</v>
      </c>
      <c r="AG210" s="156" t="str">
        <f>IF(S210=0,"NA",SUMIFS(AN_TME23[[#All],[TOTAL Truncated Unadjusted Expenses (A22 + A23)]],AN_TME23[[#All],[Insurance Category Code]],5,AN_TME23[[#All],[Advanced Network/Insurance Carrier Org ID]],B210)/S210)</f>
        <v>NA</v>
      </c>
      <c r="AH210" s="478" t="str">
        <f t="shared" si="291"/>
        <v>NA</v>
      </c>
      <c r="AI210" s="479" t="str">
        <f t="shared" si="292"/>
        <v>NA</v>
      </c>
      <c r="AJ210" s="480" t="str">
        <f t="shared" si="293"/>
        <v>NA</v>
      </c>
      <c r="AK210" s="480" t="str">
        <f t="shared" si="294"/>
        <v>NA</v>
      </c>
      <c r="AL210" s="480" t="str">
        <f t="shared" si="295"/>
        <v>NA</v>
      </c>
      <c r="AM210" s="480" t="str">
        <f t="shared" si="296"/>
        <v>NA</v>
      </c>
      <c r="AN210" s="480" t="str">
        <f t="shared" si="297"/>
        <v>NA</v>
      </c>
      <c r="AO210" s="480" t="str">
        <f t="shared" si="298"/>
        <v>NA</v>
      </c>
      <c r="AP210" s="480" t="str">
        <f t="shared" si="299"/>
        <v>NA</v>
      </c>
      <c r="AQ210" s="480" t="str">
        <f t="shared" si="300"/>
        <v>NA</v>
      </c>
      <c r="AR210" s="481" t="str">
        <f t="shared" si="301"/>
        <v>NA</v>
      </c>
      <c r="AS210" s="481" t="str">
        <f t="shared" si="302"/>
        <v>NA</v>
      </c>
      <c r="AT210" s="481" t="str">
        <f t="shared" si="303"/>
        <v>NA</v>
      </c>
      <c r="AU210" s="481" t="str">
        <f t="shared" si="304"/>
        <v>NA</v>
      </c>
      <c r="AV210" s="482" t="str">
        <f t="shared" si="305"/>
        <v>NA</v>
      </c>
    </row>
    <row r="211" spans="1:48" ht="15" customHeight="1" x14ac:dyDescent="0.25">
      <c r="A211" s="164"/>
      <c r="B211" s="166">
        <v>114</v>
      </c>
      <c r="C211" s="169" t="str">
        <f>_xlfn.XLOOKUP(B211, LgProvEntOrgIDs[Advanced Network/Insurer Carrier Org ID], LgProvEntOrgIDs[Advanced Network/Insurance Carrier Overall])</f>
        <v>Community Health and Wellness Center of Greater Torrington</v>
      </c>
      <c r="D211" s="507">
        <f>SUMIFS(AN_TME22[[#All],[Member Months]],AN_TME22[[#All],[Insurance Category Code]],5,AN_TME22[[#All],[Advanced Network/Insurance Carrier Org ID]],B211)</f>
        <v>0</v>
      </c>
      <c r="E211" s="155" t="str">
        <f>IF(D211=0,"NA",SUMIFS(AN_TME22[[#All],[Claims: Hospital Inpatient]],AN_TME22[[#All],[Insurance Category Code]],5,AN_TME22[[#All],[Advanced Network/Insurance Carrier Org ID]],B211)/D211)</f>
        <v>NA</v>
      </c>
      <c r="F211" s="109" t="str">
        <f>IF(D211=0,"NA",SUMIFS(AN_TME22[[#All],[Claims: Hospital Outpatient]],AN_TME22[[#All],[Insurance Category Code]],5,AN_TME22[[#All],[Advanced Network/Insurance Carrier Org ID]],B211)/D211)</f>
        <v>NA</v>
      </c>
      <c r="G211" s="109" t="str">
        <f>IF(D211=0,"NA",SUMIFS(AN_TME22[[#All],[Claims: Professional, Primary Care]],AN_TME22[[#All],[Insurance Category Code]],5,AN_TME22[[#All],[Advanced Network/Insurance Carrier Org ID]],B211)/D211)</f>
        <v>NA</v>
      </c>
      <c r="H211" s="109" t="str">
        <f>IF(D211=0,"NA",SUMIFS(AN_TME22[[#All],[Claims: Professional, Primary Care (for Monitoring Purposes)]],AN_TME22[[#All],[Insurance Category Code]],5,AN_TME22[[#All],[Advanced Network/Insurance Carrier Org ID]],B211)/D211)</f>
        <v>NA</v>
      </c>
      <c r="I211" s="109" t="str">
        <f>IF(D211=0,"NA",SUMIFS(AN_TME22[[#All],[Claims: Professional, Specialty]],AN_TME22[[#All],[Insurance Category Code]],5,AN_TME22[[#All],[Advanced Network/Insurance Carrier Org ID]],B211)/D211)</f>
        <v>NA</v>
      </c>
      <c r="J211" s="109" t="str">
        <f>IF(D211=0,"NA",SUMIFS(AN_TME22[[#All],[Claims: Professional Other]],AN_TME22[[#All],[Insurance Category Code]],5,AN_TME22[[#All],[Advanced Network/Insurance Carrier Org ID]],B211)/D211)</f>
        <v>NA</v>
      </c>
      <c r="K211" s="109" t="str">
        <f>IF(D211=0,"NA",SUMIFS(AN_TME22[[#All],[Claims: Pharmacy]],AN_TME22[[#All],[Insurance Category Code]],5,AN_TME22[[#All],[Advanced Network/Insurance Carrier Org ID]],B211)/D211)</f>
        <v>NA</v>
      </c>
      <c r="L211" s="109" t="str">
        <f>IF(D211=0,"NA",SUMIFS(AN_TME22[[#All],[Claims: Long-Term Care]],AN_TME22[[#All],[Insurance Category Code]],5,AN_TME22[[#All],[Advanced Network/Insurance Carrier Org ID]],B211)/D211)</f>
        <v>NA</v>
      </c>
      <c r="M211" s="109" t="str">
        <f>IF(D211=0,"NA",SUMIFS(AN_TME22[[#All],[Claims: Other]],AN_TME22[[#All],[Insurance Category Code]],5,AN_TME22[[#All],[Advanced Network/Insurance Carrier Org ID]],B211)/D211)</f>
        <v>NA</v>
      </c>
      <c r="N211" s="165" t="str">
        <f>IF(D211=0,"NA",SUMIFS(AN_TME22[[#All],[TOTAL Non-Truncated Unadjusted Claims Expenses]],AN_TME22[[#All],[Insurance Category Code]],5,AN_TME22[[#All],[Advanced Network/Insurance Carrier Org ID]],B211)/D211)</f>
        <v>NA</v>
      </c>
      <c r="O211" s="165" t="str">
        <f>IF(D211=0,"NA",SUMIFS(AN_TME22[[#All],[TOTAL Truncated Unadjusted Claims Expenses (A21 -A19)]],AN_TME22[[#All],[Insurance Category Code]],5,AN_TME22[[#All],[Advanced Network/Insurance Carrier Org ID]],B211)/D211)</f>
        <v>NA</v>
      </c>
      <c r="P211" s="165" t="str">
        <f>IF(D211=0,"NA",SUMIFS(AN_TME22[[#All],[TOTAL Non-Claims Expenses]],AN_TME22[[#All],[Insurance Category Code]],5,AN_TME22[[#All],[Advanced Network/Insurance Carrier Org ID]],B211)/D211)</f>
        <v>NA</v>
      </c>
      <c r="Q211" s="165" t="str">
        <f>IF(D211=0,"NA",SUMIFS(AN_TME22[[#All],[TOTAL Non-Truncated Unadjusted Expenses (A21 + A23)]],AN_TME22[[#All],[Insurance Category Code]],5,AN_TME22[[#All],[Advanced Network/Insurance Carrier Org ID]],B211)/D211)</f>
        <v>NA</v>
      </c>
      <c r="R211" s="165" t="str">
        <f>IF(D211=0,"NA",SUMIFS(AN_TME22[[#All],[TOTAL Truncated Unadjusted Expenses (A22 + A23)]],AN_TME22[[#All],[Insurance Category Code]],5,AN_TME22[[#All],[Advanced Network/Insurance Carrier Org ID]],B211)/D211)</f>
        <v>NA</v>
      </c>
      <c r="S211" s="507">
        <f>SUMIFS(AN_TME23[[#All],[Member Months]],AN_TME23[[#All],[Insurance Category Code]],5,AN_TME23[[#All],[Advanced Network/Insurance Carrier Org ID]],B211)</f>
        <v>0</v>
      </c>
      <c r="T211" s="155" t="str">
        <f>IF(S211=0,"NA",SUMIFS(AN_TME23[[#All],[Claims: Hospital Inpatient]],AN_TME23[[#All],[Insurance Category Code]],5,AN_TME23[[#All],[Advanced Network/Insurance Carrier Org ID]],B211)/S211)</f>
        <v>NA</v>
      </c>
      <c r="U211" s="109" t="str">
        <f>IF(S211=0,"NA",SUMIFS(AN_TME23[[#All],[Claims: Hospital Outpatient]],AN_TME23[[#All],[Insurance Category Code]],5,AN_TME23[[#All],[Advanced Network/Insurance Carrier Org ID]],B211)/S211)</f>
        <v>NA</v>
      </c>
      <c r="V211" s="109" t="str">
        <f>IF(S211=0,"NA",SUMIFS(AN_TME23[[#All],[Claims: Professional, Primary Care]],AN_TME23[[#All],[Insurance Category Code]],5,AN_TME23[[#All],[Advanced Network/Insurance Carrier Org ID]],B211)/S211)</f>
        <v>NA</v>
      </c>
      <c r="W211" s="109" t="str">
        <f>IF(S211=0,"NA",SUMIFS(AN_TME23[[#All],[Claims: Professional, Primary Care (for Monitoring Purposes)]],AN_TME23[[#All],[Insurance Category Code]],5,AN_TME23[[#All],[Advanced Network/Insurance Carrier Org ID]],B211)/S211)</f>
        <v>NA</v>
      </c>
      <c r="X211" s="109" t="str">
        <f>IF(S211=0,"NA",SUMIFS(AN_TME23[[#All],[Claims: Professional, Specialty]],AN_TME23[[#All],[Insurance Category Code]],5,AN_TME23[[#All],[Advanced Network/Insurance Carrier Org ID]],B211)/S211)</f>
        <v>NA</v>
      </c>
      <c r="Y211" s="109" t="str">
        <f>IF(S211=0,"NA",SUMIFS(AN_TME23[[#All],[Claims: Professional Other]],AN_TME23[[#All],[Insurance Category Code]],5,AN_TME23[[#All],[Advanced Network/Insurance Carrier Org ID]],B211)/S211)</f>
        <v>NA</v>
      </c>
      <c r="Z211" s="109" t="str">
        <f>IF(S211=0,"NA",SUMIFS(AN_TME23[[#All],[Claims: Pharmacy]],AN_TME23[[#All],[Insurance Category Code]],5,AN_TME23[[#All],[Advanced Network/Insurance Carrier Org ID]],B211)/S211)</f>
        <v>NA</v>
      </c>
      <c r="AA211" s="109" t="str">
        <f>IF(S211=0,"NA",SUMIFS(AN_TME23[[#All],[Claims: Long-Term Care]],AN_TME23[[#All],[Insurance Category Code]],5,AN_TME23[[#All],[Advanced Network/Insurance Carrier Org ID]],B211)/S211)</f>
        <v>NA</v>
      </c>
      <c r="AB211" s="109" t="str">
        <f>IF(S211=0,"NA",SUMIFS(AN_TME23[[#All],[Claims: Other]],AN_TME23[[#All],[Insurance Category Code]],5,AN_TME23[[#All],[Advanced Network/Insurance Carrier Org ID]],B211)/S211)</f>
        <v>NA</v>
      </c>
      <c r="AC211" s="165" t="str">
        <f>IF(S211=0,"NA",SUMIFS(AN_TME23[[#All],[TOTAL Non-Truncated Unadjusted Claims Expenses]],AN_TME23[[#All],[Insurance Category Code]],5,AN_TME23[[#All],[Advanced Network/Insurance Carrier Org ID]],B211)/S211)</f>
        <v>NA</v>
      </c>
      <c r="AD211" s="165" t="str">
        <f>IF(S211=0,"NA",SUMIFS(AN_TME23[[#All],[TOTAL Truncated Unadjusted Claims Expenses (A21 -A19)]],AN_TME23[[#All],[Insurance Category Code]],5,AN_TME23[[#All],[Advanced Network/Insurance Carrier Org ID]],B211)/S211)</f>
        <v>NA</v>
      </c>
      <c r="AE211" s="165" t="str">
        <f>IF(S211=0,"NA",SUMIFS(AN_TME23[[#All],[TOTAL Non-Claims Expenses]],AN_TME23[[#All],[Insurance Category Code]],5,AN_TME23[[#All],[Advanced Network/Insurance Carrier Org ID]],B211)/S211)</f>
        <v>NA</v>
      </c>
      <c r="AF211" s="165" t="str">
        <f>IF(S211=0,"NA",SUMIFS(AN_TME23[[#All],[TOTAL Non-Truncated Unadjusted Expenses (A21 + A23)]],AN_TME23[[#All],[Insurance Category Code]],5,AN_TME23[[#All],[Advanced Network/Insurance Carrier Org ID]],B211)/S211)</f>
        <v>NA</v>
      </c>
      <c r="AG211" s="156" t="str">
        <f>IF(S211=0,"NA",SUMIFS(AN_TME23[[#All],[TOTAL Truncated Unadjusted Expenses (A22 + A23)]],AN_TME23[[#All],[Insurance Category Code]],5,AN_TME23[[#All],[Advanced Network/Insurance Carrier Org ID]],B211)/S211)</f>
        <v>NA</v>
      </c>
      <c r="AH211" s="478" t="str">
        <f t="shared" si="291"/>
        <v>NA</v>
      </c>
      <c r="AI211" s="479" t="str">
        <f t="shared" si="292"/>
        <v>NA</v>
      </c>
      <c r="AJ211" s="480" t="str">
        <f t="shared" si="293"/>
        <v>NA</v>
      </c>
      <c r="AK211" s="480" t="str">
        <f t="shared" si="294"/>
        <v>NA</v>
      </c>
      <c r="AL211" s="480" t="str">
        <f t="shared" si="295"/>
        <v>NA</v>
      </c>
      <c r="AM211" s="480" t="str">
        <f t="shared" si="296"/>
        <v>NA</v>
      </c>
      <c r="AN211" s="480" t="str">
        <f t="shared" si="297"/>
        <v>NA</v>
      </c>
      <c r="AO211" s="480" t="str">
        <f t="shared" si="298"/>
        <v>NA</v>
      </c>
      <c r="AP211" s="480" t="str">
        <f t="shared" si="299"/>
        <v>NA</v>
      </c>
      <c r="AQ211" s="480" t="str">
        <f t="shared" si="300"/>
        <v>NA</v>
      </c>
      <c r="AR211" s="481" t="str">
        <f t="shared" si="301"/>
        <v>NA</v>
      </c>
      <c r="AS211" s="481" t="str">
        <f t="shared" si="302"/>
        <v>NA</v>
      </c>
      <c r="AT211" s="481" t="str">
        <f t="shared" si="303"/>
        <v>NA</v>
      </c>
      <c r="AU211" s="481" t="str">
        <f t="shared" si="304"/>
        <v>NA</v>
      </c>
      <c r="AV211" s="482" t="str">
        <f t="shared" si="305"/>
        <v>NA</v>
      </c>
    </row>
    <row r="212" spans="1:48" ht="15" customHeight="1" x14ac:dyDescent="0.25">
      <c r="A212" s="164"/>
      <c r="B212" s="166">
        <v>115</v>
      </c>
      <c r="C212" s="169" t="str">
        <f>_xlfn.XLOOKUP(B212, LgProvEntOrgIDs[Advanced Network/Insurer Carrier Org ID], LgProvEntOrgIDs[Advanced Network/Insurance Carrier Overall])</f>
        <v>Community Health Center</v>
      </c>
      <c r="D212" s="507">
        <f>SUMIFS(AN_TME22[[#All],[Member Months]],AN_TME22[[#All],[Insurance Category Code]],5,AN_TME22[[#All],[Advanced Network/Insurance Carrier Org ID]],B212)</f>
        <v>0</v>
      </c>
      <c r="E212" s="155" t="str">
        <f>IF(D212=0,"NA",SUMIFS(AN_TME22[[#All],[Claims: Hospital Inpatient]],AN_TME22[[#All],[Insurance Category Code]],5,AN_TME22[[#All],[Advanced Network/Insurance Carrier Org ID]],B212)/D212)</f>
        <v>NA</v>
      </c>
      <c r="F212" s="109" t="str">
        <f>IF(D212=0,"NA",SUMIFS(AN_TME22[[#All],[Claims: Hospital Outpatient]],AN_TME22[[#All],[Insurance Category Code]],5,AN_TME22[[#All],[Advanced Network/Insurance Carrier Org ID]],B212)/D212)</f>
        <v>NA</v>
      </c>
      <c r="G212" s="109" t="str">
        <f>IF(D212=0,"NA",SUMIFS(AN_TME22[[#All],[Claims: Professional, Primary Care]],AN_TME22[[#All],[Insurance Category Code]],5,AN_TME22[[#All],[Advanced Network/Insurance Carrier Org ID]],B212)/D212)</f>
        <v>NA</v>
      </c>
      <c r="H212" s="109" t="str">
        <f>IF(D212=0,"NA",SUMIFS(AN_TME22[[#All],[Claims: Professional, Primary Care (for Monitoring Purposes)]],AN_TME22[[#All],[Insurance Category Code]],5,AN_TME22[[#All],[Advanced Network/Insurance Carrier Org ID]],B212)/D212)</f>
        <v>NA</v>
      </c>
      <c r="I212" s="109" t="str">
        <f>IF(D212=0,"NA",SUMIFS(AN_TME22[[#All],[Claims: Professional, Specialty]],AN_TME22[[#All],[Insurance Category Code]],5,AN_TME22[[#All],[Advanced Network/Insurance Carrier Org ID]],B212)/D212)</f>
        <v>NA</v>
      </c>
      <c r="J212" s="109" t="str">
        <f>IF(D212=0,"NA",SUMIFS(AN_TME22[[#All],[Claims: Professional Other]],AN_TME22[[#All],[Insurance Category Code]],5,AN_TME22[[#All],[Advanced Network/Insurance Carrier Org ID]],B212)/D212)</f>
        <v>NA</v>
      </c>
      <c r="K212" s="109" t="str">
        <f>IF(D212=0,"NA",SUMIFS(AN_TME22[[#All],[Claims: Pharmacy]],AN_TME22[[#All],[Insurance Category Code]],5,AN_TME22[[#All],[Advanced Network/Insurance Carrier Org ID]],B212)/D212)</f>
        <v>NA</v>
      </c>
      <c r="L212" s="109" t="str">
        <f>IF(D212=0,"NA",SUMIFS(AN_TME22[[#All],[Claims: Long-Term Care]],AN_TME22[[#All],[Insurance Category Code]],5,AN_TME22[[#All],[Advanced Network/Insurance Carrier Org ID]],B212)/D212)</f>
        <v>NA</v>
      </c>
      <c r="M212" s="109" t="str">
        <f>IF(D212=0,"NA",SUMIFS(AN_TME22[[#All],[Claims: Other]],AN_TME22[[#All],[Insurance Category Code]],5,AN_TME22[[#All],[Advanced Network/Insurance Carrier Org ID]],B212)/D212)</f>
        <v>NA</v>
      </c>
      <c r="N212" s="165" t="str">
        <f>IF(D212=0,"NA",SUMIFS(AN_TME22[[#All],[TOTAL Non-Truncated Unadjusted Claims Expenses]],AN_TME22[[#All],[Insurance Category Code]],5,AN_TME22[[#All],[Advanced Network/Insurance Carrier Org ID]],B212)/D212)</f>
        <v>NA</v>
      </c>
      <c r="O212" s="165" t="str">
        <f>IF(D212=0,"NA",SUMIFS(AN_TME22[[#All],[TOTAL Truncated Unadjusted Claims Expenses (A21 -A19)]],AN_TME22[[#All],[Insurance Category Code]],5,AN_TME22[[#All],[Advanced Network/Insurance Carrier Org ID]],B212)/D212)</f>
        <v>NA</v>
      </c>
      <c r="P212" s="165" t="str">
        <f>IF(D212=0,"NA",SUMIFS(AN_TME22[[#All],[TOTAL Non-Claims Expenses]],AN_TME22[[#All],[Insurance Category Code]],5,AN_TME22[[#All],[Advanced Network/Insurance Carrier Org ID]],B212)/D212)</f>
        <v>NA</v>
      </c>
      <c r="Q212" s="165" t="str">
        <f>IF(D212=0,"NA",SUMIFS(AN_TME22[[#All],[TOTAL Non-Truncated Unadjusted Expenses (A21 + A23)]],AN_TME22[[#All],[Insurance Category Code]],5,AN_TME22[[#All],[Advanced Network/Insurance Carrier Org ID]],B212)/D212)</f>
        <v>NA</v>
      </c>
      <c r="R212" s="165" t="str">
        <f>IF(D212=0,"NA",SUMIFS(AN_TME22[[#All],[TOTAL Truncated Unadjusted Expenses (A22 + A23)]],AN_TME22[[#All],[Insurance Category Code]],5,AN_TME22[[#All],[Advanced Network/Insurance Carrier Org ID]],B212)/D212)</f>
        <v>NA</v>
      </c>
      <c r="S212" s="507">
        <f>SUMIFS(AN_TME23[[#All],[Member Months]],AN_TME23[[#All],[Insurance Category Code]],5,AN_TME23[[#All],[Advanced Network/Insurance Carrier Org ID]],B212)</f>
        <v>0</v>
      </c>
      <c r="T212" s="155" t="str">
        <f>IF(S212=0,"NA",SUMIFS(AN_TME23[[#All],[Claims: Hospital Inpatient]],AN_TME23[[#All],[Insurance Category Code]],5,AN_TME23[[#All],[Advanced Network/Insurance Carrier Org ID]],B212)/S212)</f>
        <v>NA</v>
      </c>
      <c r="U212" s="109" t="str">
        <f>IF(S212=0,"NA",SUMIFS(AN_TME23[[#All],[Claims: Hospital Outpatient]],AN_TME23[[#All],[Insurance Category Code]],5,AN_TME23[[#All],[Advanced Network/Insurance Carrier Org ID]],B212)/S212)</f>
        <v>NA</v>
      </c>
      <c r="V212" s="109" t="str">
        <f>IF(S212=0,"NA",SUMIFS(AN_TME23[[#All],[Claims: Professional, Primary Care]],AN_TME23[[#All],[Insurance Category Code]],5,AN_TME23[[#All],[Advanced Network/Insurance Carrier Org ID]],B212)/S212)</f>
        <v>NA</v>
      </c>
      <c r="W212" s="109" t="str">
        <f>IF(S212=0,"NA",SUMIFS(AN_TME23[[#All],[Claims: Professional, Primary Care (for Monitoring Purposes)]],AN_TME23[[#All],[Insurance Category Code]],5,AN_TME23[[#All],[Advanced Network/Insurance Carrier Org ID]],B212)/S212)</f>
        <v>NA</v>
      </c>
      <c r="X212" s="109" t="str">
        <f>IF(S212=0,"NA",SUMIFS(AN_TME23[[#All],[Claims: Professional, Specialty]],AN_TME23[[#All],[Insurance Category Code]],5,AN_TME23[[#All],[Advanced Network/Insurance Carrier Org ID]],B212)/S212)</f>
        <v>NA</v>
      </c>
      <c r="Y212" s="109" t="str">
        <f>IF(S212=0,"NA",SUMIFS(AN_TME23[[#All],[Claims: Professional Other]],AN_TME23[[#All],[Insurance Category Code]],5,AN_TME23[[#All],[Advanced Network/Insurance Carrier Org ID]],B212)/S212)</f>
        <v>NA</v>
      </c>
      <c r="Z212" s="109" t="str">
        <f>IF(S212=0,"NA",SUMIFS(AN_TME23[[#All],[Claims: Pharmacy]],AN_TME23[[#All],[Insurance Category Code]],5,AN_TME23[[#All],[Advanced Network/Insurance Carrier Org ID]],B212)/S212)</f>
        <v>NA</v>
      </c>
      <c r="AA212" s="109" t="str">
        <f>IF(S212=0,"NA",SUMIFS(AN_TME23[[#All],[Claims: Long-Term Care]],AN_TME23[[#All],[Insurance Category Code]],5,AN_TME23[[#All],[Advanced Network/Insurance Carrier Org ID]],B212)/S212)</f>
        <v>NA</v>
      </c>
      <c r="AB212" s="109" t="str">
        <f>IF(S212=0,"NA",SUMIFS(AN_TME23[[#All],[Claims: Other]],AN_TME23[[#All],[Insurance Category Code]],5,AN_TME23[[#All],[Advanced Network/Insurance Carrier Org ID]],B212)/S212)</f>
        <v>NA</v>
      </c>
      <c r="AC212" s="165" t="str">
        <f>IF(S212=0,"NA",SUMIFS(AN_TME23[[#All],[TOTAL Non-Truncated Unadjusted Claims Expenses]],AN_TME23[[#All],[Insurance Category Code]],5,AN_TME23[[#All],[Advanced Network/Insurance Carrier Org ID]],B212)/S212)</f>
        <v>NA</v>
      </c>
      <c r="AD212" s="165" t="str">
        <f>IF(S212=0,"NA",SUMIFS(AN_TME23[[#All],[TOTAL Truncated Unadjusted Claims Expenses (A21 -A19)]],AN_TME23[[#All],[Insurance Category Code]],5,AN_TME23[[#All],[Advanced Network/Insurance Carrier Org ID]],B212)/S212)</f>
        <v>NA</v>
      </c>
      <c r="AE212" s="165" t="str">
        <f>IF(S212=0,"NA",SUMIFS(AN_TME23[[#All],[TOTAL Non-Claims Expenses]],AN_TME23[[#All],[Insurance Category Code]],5,AN_TME23[[#All],[Advanced Network/Insurance Carrier Org ID]],B212)/S212)</f>
        <v>NA</v>
      </c>
      <c r="AF212" s="165" t="str">
        <f>IF(S212=0,"NA",SUMIFS(AN_TME23[[#All],[TOTAL Non-Truncated Unadjusted Expenses (A21 + A23)]],AN_TME23[[#All],[Insurance Category Code]],5,AN_TME23[[#All],[Advanced Network/Insurance Carrier Org ID]],B212)/S212)</f>
        <v>NA</v>
      </c>
      <c r="AG212" s="156" t="str">
        <f>IF(S212=0,"NA",SUMIFS(AN_TME23[[#All],[TOTAL Truncated Unadjusted Expenses (A22 + A23)]],AN_TME23[[#All],[Insurance Category Code]],5,AN_TME23[[#All],[Advanced Network/Insurance Carrier Org ID]],B212)/S212)</f>
        <v>NA</v>
      </c>
      <c r="AH212" s="478" t="str">
        <f t="shared" si="291"/>
        <v>NA</v>
      </c>
      <c r="AI212" s="479" t="str">
        <f t="shared" si="292"/>
        <v>NA</v>
      </c>
      <c r="AJ212" s="480" t="str">
        <f t="shared" si="293"/>
        <v>NA</v>
      </c>
      <c r="AK212" s="480" t="str">
        <f t="shared" si="294"/>
        <v>NA</v>
      </c>
      <c r="AL212" s="480" t="str">
        <f t="shared" si="295"/>
        <v>NA</v>
      </c>
      <c r="AM212" s="480" t="str">
        <f t="shared" si="296"/>
        <v>NA</v>
      </c>
      <c r="AN212" s="480" t="str">
        <f t="shared" si="297"/>
        <v>NA</v>
      </c>
      <c r="AO212" s="480" t="str">
        <f t="shared" si="298"/>
        <v>NA</v>
      </c>
      <c r="AP212" s="480" t="str">
        <f t="shared" si="299"/>
        <v>NA</v>
      </c>
      <c r="AQ212" s="480" t="str">
        <f t="shared" si="300"/>
        <v>NA</v>
      </c>
      <c r="AR212" s="481" t="str">
        <f t="shared" si="301"/>
        <v>NA</v>
      </c>
      <c r="AS212" s="481" t="str">
        <f t="shared" si="302"/>
        <v>NA</v>
      </c>
      <c r="AT212" s="481" t="str">
        <f t="shared" si="303"/>
        <v>NA</v>
      </c>
      <c r="AU212" s="481" t="str">
        <f t="shared" si="304"/>
        <v>NA</v>
      </c>
      <c r="AV212" s="482" t="str">
        <f t="shared" si="305"/>
        <v>NA</v>
      </c>
    </row>
    <row r="213" spans="1:48" ht="15" customHeight="1" x14ac:dyDescent="0.25">
      <c r="A213" s="164"/>
      <c r="B213" s="166">
        <v>116</v>
      </c>
      <c r="C213" s="169" t="str">
        <f>_xlfn.XLOOKUP(B213, LgProvEntOrgIDs[Advanced Network/Insurer Carrier Org ID], LgProvEntOrgIDs[Advanced Network/Insurance Carrier Overall])</f>
        <v>Community Health Services</v>
      </c>
      <c r="D213" s="507">
        <f>SUMIFS(AN_TME22[[#All],[Member Months]],AN_TME22[[#All],[Insurance Category Code]],5,AN_TME22[[#All],[Advanced Network/Insurance Carrier Org ID]],B213)</f>
        <v>0</v>
      </c>
      <c r="E213" s="155" t="str">
        <f>IF(D213=0,"NA",SUMIFS(AN_TME22[[#All],[Claims: Hospital Inpatient]],AN_TME22[[#All],[Insurance Category Code]],5,AN_TME22[[#All],[Advanced Network/Insurance Carrier Org ID]],B213)/D213)</f>
        <v>NA</v>
      </c>
      <c r="F213" s="109" t="str">
        <f>IF(D213=0,"NA",SUMIFS(AN_TME22[[#All],[Claims: Hospital Outpatient]],AN_TME22[[#All],[Insurance Category Code]],5,AN_TME22[[#All],[Advanced Network/Insurance Carrier Org ID]],B213)/D213)</f>
        <v>NA</v>
      </c>
      <c r="G213" s="109" t="str">
        <f>IF(D213=0,"NA",SUMIFS(AN_TME22[[#All],[Claims: Professional, Primary Care]],AN_TME22[[#All],[Insurance Category Code]],5,AN_TME22[[#All],[Advanced Network/Insurance Carrier Org ID]],B213)/D213)</f>
        <v>NA</v>
      </c>
      <c r="H213" s="109" t="str">
        <f>IF(D213=0,"NA",SUMIFS(AN_TME22[[#All],[Claims: Professional, Primary Care (for Monitoring Purposes)]],AN_TME22[[#All],[Insurance Category Code]],5,AN_TME22[[#All],[Advanced Network/Insurance Carrier Org ID]],B213)/D213)</f>
        <v>NA</v>
      </c>
      <c r="I213" s="109" t="str">
        <f>IF(D213=0,"NA",SUMIFS(AN_TME22[[#All],[Claims: Professional, Specialty]],AN_TME22[[#All],[Insurance Category Code]],5,AN_TME22[[#All],[Advanced Network/Insurance Carrier Org ID]],B213)/D213)</f>
        <v>NA</v>
      </c>
      <c r="J213" s="109" t="str">
        <f>IF(D213=0,"NA",SUMIFS(AN_TME22[[#All],[Claims: Professional Other]],AN_TME22[[#All],[Insurance Category Code]],5,AN_TME22[[#All],[Advanced Network/Insurance Carrier Org ID]],B213)/D213)</f>
        <v>NA</v>
      </c>
      <c r="K213" s="109" t="str">
        <f>IF(D213=0,"NA",SUMIFS(AN_TME22[[#All],[Claims: Pharmacy]],AN_TME22[[#All],[Insurance Category Code]],5,AN_TME22[[#All],[Advanced Network/Insurance Carrier Org ID]],B213)/D213)</f>
        <v>NA</v>
      </c>
      <c r="L213" s="109" t="str">
        <f>IF(D213=0,"NA",SUMIFS(AN_TME22[[#All],[Claims: Long-Term Care]],AN_TME22[[#All],[Insurance Category Code]],5,AN_TME22[[#All],[Advanced Network/Insurance Carrier Org ID]],B213)/D213)</f>
        <v>NA</v>
      </c>
      <c r="M213" s="109" t="str">
        <f>IF(D213=0,"NA",SUMIFS(AN_TME22[[#All],[Claims: Other]],AN_TME22[[#All],[Insurance Category Code]],5,AN_TME22[[#All],[Advanced Network/Insurance Carrier Org ID]],B213)/D213)</f>
        <v>NA</v>
      </c>
      <c r="N213" s="165" t="str">
        <f>IF(D213=0,"NA",SUMIFS(AN_TME22[[#All],[TOTAL Non-Truncated Unadjusted Claims Expenses]],AN_TME22[[#All],[Insurance Category Code]],5,AN_TME22[[#All],[Advanced Network/Insurance Carrier Org ID]],B213)/D213)</f>
        <v>NA</v>
      </c>
      <c r="O213" s="165" t="str">
        <f>IF(D213=0,"NA",SUMIFS(AN_TME22[[#All],[TOTAL Truncated Unadjusted Claims Expenses (A21 -A19)]],AN_TME22[[#All],[Insurance Category Code]],5,AN_TME22[[#All],[Advanced Network/Insurance Carrier Org ID]],B213)/D213)</f>
        <v>NA</v>
      </c>
      <c r="P213" s="165" t="str">
        <f>IF(D213=0,"NA",SUMIFS(AN_TME22[[#All],[TOTAL Non-Claims Expenses]],AN_TME22[[#All],[Insurance Category Code]],5,AN_TME22[[#All],[Advanced Network/Insurance Carrier Org ID]],B213)/D213)</f>
        <v>NA</v>
      </c>
      <c r="Q213" s="165" t="str">
        <f>IF(D213=0,"NA",SUMIFS(AN_TME22[[#All],[TOTAL Non-Truncated Unadjusted Expenses (A21 + A23)]],AN_TME22[[#All],[Insurance Category Code]],5,AN_TME22[[#All],[Advanced Network/Insurance Carrier Org ID]],B213)/D213)</f>
        <v>NA</v>
      </c>
      <c r="R213" s="165" t="str">
        <f>IF(D213=0,"NA",SUMIFS(AN_TME22[[#All],[TOTAL Truncated Unadjusted Expenses (A22 + A23)]],AN_TME22[[#All],[Insurance Category Code]],5,AN_TME22[[#All],[Advanced Network/Insurance Carrier Org ID]],B213)/D213)</f>
        <v>NA</v>
      </c>
      <c r="S213" s="507">
        <f>SUMIFS(AN_TME23[[#All],[Member Months]],AN_TME23[[#All],[Insurance Category Code]],5,AN_TME23[[#All],[Advanced Network/Insurance Carrier Org ID]],B213)</f>
        <v>0</v>
      </c>
      <c r="T213" s="155" t="str">
        <f>IF(S213=0,"NA",SUMIFS(AN_TME23[[#All],[Claims: Hospital Inpatient]],AN_TME23[[#All],[Insurance Category Code]],5,AN_TME23[[#All],[Advanced Network/Insurance Carrier Org ID]],B213)/S213)</f>
        <v>NA</v>
      </c>
      <c r="U213" s="109" t="str">
        <f>IF(S213=0,"NA",SUMIFS(AN_TME23[[#All],[Claims: Hospital Outpatient]],AN_TME23[[#All],[Insurance Category Code]],5,AN_TME23[[#All],[Advanced Network/Insurance Carrier Org ID]],B213)/S213)</f>
        <v>NA</v>
      </c>
      <c r="V213" s="109" t="str">
        <f>IF(S213=0,"NA",SUMIFS(AN_TME23[[#All],[Claims: Professional, Primary Care]],AN_TME23[[#All],[Insurance Category Code]],5,AN_TME23[[#All],[Advanced Network/Insurance Carrier Org ID]],B213)/S213)</f>
        <v>NA</v>
      </c>
      <c r="W213" s="109" t="str">
        <f>IF(S213=0,"NA",SUMIFS(AN_TME23[[#All],[Claims: Professional, Primary Care (for Monitoring Purposes)]],AN_TME23[[#All],[Insurance Category Code]],5,AN_TME23[[#All],[Advanced Network/Insurance Carrier Org ID]],B213)/S213)</f>
        <v>NA</v>
      </c>
      <c r="X213" s="109" t="str">
        <f>IF(S213=0,"NA",SUMIFS(AN_TME23[[#All],[Claims: Professional, Specialty]],AN_TME23[[#All],[Insurance Category Code]],5,AN_TME23[[#All],[Advanced Network/Insurance Carrier Org ID]],B213)/S213)</f>
        <v>NA</v>
      </c>
      <c r="Y213" s="109" t="str">
        <f>IF(S213=0,"NA",SUMIFS(AN_TME23[[#All],[Claims: Professional Other]],AN_TME23[[#All],[Insurance Category Code]],5,AN_TME23[[#All],[Advanced Network/Insurance Carrier Org ID]],B213)/S213)</f>
        <v>NA</v>
      </c>
      <c r="Z213" s="109" t="str">
        <f>IF(S213=0,"NA",SUMIFS(AN_TME23[[#All],[Claims: Pharmacy]],AN_TME23[[#All],[Insurance Category Code]],5,AN_TME23[[#All],[Advanced Network/Insurance Carrier Org ID]],B213)/S213)</f>
        <v>NA</v>
      </c>
      <c r="AA213" s="109" t="str">
        <f>IF(S213=0,"NA",SUMIFS(AN_TME23[[#All],[Claims: Long-Term Care]],AN_TME23[[#All],[Insurance Category Code]],5,AN_TME23[[#All],[Advanced Network/Insurance Carrier Org ID]],B213)/S213)</f>
        <v>NA</v>
      </c>
      <c r="AB213" s="109" t="str">
        <f>IF(S213=0,"NA",SUMIFS(AN_TME23[[#All],[Claims: Other]],AN_TME23[[#All],[Insurance Category Code]],5,AN_TME23[[#All],[Advanced Network/Insurance Carrier Org ID]],B213)/S213)</f>
        <v>NA</v>
      </c>
      <c r="AC213" s="165" t="str">
        <f>IF(S213=0,"NA",SUMIFS(AN_TME23[[#All],[TOTAL Non-Truncated Unadjusted Claims Expenses]],AN_TME23[[#All],[Insurance Category Code]],5,AN_TME23[[#All],[Advanced Network/Insurance Carrier Org ID]],B213)/S213)</f>
        <v>NA</v>
      </c>
      <c r="AD213" s="165" t="str">
        <f>IF(S213=0,"NA",SUMIFS(AN_TME23[[#All],[TOTAL Truncated Unadjusted Claims Expenses (A21 -A19)]],AN_TME23[[#All],[Insurance Category Code]],5,AN_TME23[[#All],[Advanced Network/Insurance Carrier Org ID]],B213)/S213)</f>
        <v>NA</v>
      </c>
      <c r="AE213" s="165" t="str">
        <f>IF(S213=0,"NA",SUMIFS(AN_TME23[[#All],[TOTAL Non-Claims Expenses]],AN_TME23[[#All],[Insurance Category Code]],5,AN_TME23[[#All],[Advanced Network/Insurance Carrier Org ID]],B213)/S213)</f>
        <v>NA</v>
      </c>
      <c r="AF213" s="165" t="str">
        <f>IF(S213=0,"NA",SUMIFS(AN_TME23[[#All],[TOTAL Non-Truncated Unadjusted Expenses (A21 + A23)]],AN_TME23[[#All],[Insurance Category Code]],5,AN_TME23[[#All],[Advanced Network/Insurance Carrier Org ID]],B213)/S213)</f>
        <v>NA</v>
      </c>
      <c r="AG213" s="156" t="str">
        <f>IF(S213=0,"NA",SUMIFS(AN_TME23[[#All],[TOTAL Truncated Unadjusted Expenses (A22 + A23)]],AN_TME23[[#All],[Insurance Category Code]],5,AN_TME23[[#All],[Advanced Network/Insurance Carrier Org ID]],B213)/S213)</f>
        <v>NA</v>
      </c>
      <c r="AH213" s="478" t="str">
        <f t="shared" si="291"/>
        <v>NA</v>
      </c>
      <c r="AI213" s="479" t="str">
        <f t="shared" si="292"/>
        <v>NA</v>
      </c>
      <c r="AJ213" s="480" t="str">
        <f t="shared" si="293"/>
        <v>NA</v>
      </c>
      <c r="AK213" s="480" t="str">
        <f t="shared" si="294"/>
        <v>NA</v>
      </c>
      <c r="AL213" s="480" t="str">
        <f t="shared" si="295"/>
        <v>NA</v>
      </c>
      <c r="AM213" s="480" t="str">
        <f t="shared" si="296"/>
        <v>NA</v>
      </c>
      <c r="AN213" s="480" t="str">
        <f t="shared" si="297"/>
        <v>NA</v>
      </c>
      <c r="AO213" s="480" t="str">
        <f t="shared" si="298"/>
        <v>NA</v>
      </c>
      <c r="AP213" s="480" t="str">
        <f t="shared" si="299"/>
        <v>NA</v>
      </c>
      <c r="AQ213" s="480" t="str">
        <f t="shared" si="300"/>
        <v>NA</v>
      </c>
      <c r="AR213" s="481" t="str">
        <f t="shared" si="301"/>
        <v>NA</v>
      </c>
      <c r="AS213" s="481" t="str">
        <f t="shared" si="302"/>
        <v>NA</v>
      </c>
      <c r="AT213" s="481" t="str">
        <f t="shared" si="303"/>
        <v>NA</v>
      </c>
      <c r="AU213" s="481" t="str">
        <f t="shared" si="304"/>
        <v>NA</v>
      </c>
      <c r="AV213" s="482" t="str">
        <f t="shared" si="305"/>
        <v>NA</v>
      </c>
    </row>
    <row r="214" spans="1:48" ht="15" customHeight="1" x14ac:dyDescent="0.25">
      <c r="A214" s="164"/>
      <c r="B214" s="166">
        <v>117</v>
      </c>
      <c r="C214" s="169" t="str">
        <f>_xlfn.XLOOKUP(B214, LgProvEntOrgIDs[Advanced Network/Insurer Carrier Org ID], LgProvEntOrgIDs[Advanced Network/Insurance Carrier Overall])</f>
        <v>Cornell Scott Hill Health Center</v>
      </c>
      <c r="D214" s="507">
        <f>SUMIFS(AN_TME22[[#All],[Member Months]],AN_TME22[[#All],[Insurance Category Code]],5,AN_TME22[[#All],[Advanced Network/Insurance Carrier Org ID]],B214)</f>
        <v>0</v>
      </c>
      <c r="E214" s="155" t="str">
        <f>IF(D214=0,"NA",SUMIFS(AN_TME22[[#All],[Claims: Hospital Inpatient]],AN_TME22[[#All],[Insurance Category Code]],5,AN_TME22[[#All],[Advanced Network/Insurance Carrier Org ID]],B214)/D214)</f>
        <v>NA</v>
      </c>
      <c r="F214" s="109" t="str">
        <f>IF(D214=0,"NA",SUMIFS(AN_TME22[[#All],[Claims: Hospital Outpatient]],AN_TME22[[#All],[Insurance Category Code]],5,AN_TME22[[#All],[Advanced Network/Insurance Carrier Org ID]],B214)/D214)</f>
        <v>NA</v>
      </c>
      <c r="G214" s="109" t="str">
        <f>IF(D214=0,"NA",SUMIFS(AN_TME22[[#All],[Claims: Professional, Primary Care]],AN_TME22[[#All],[Insurance Category Code]],5,AN_TME22[[#All],[Advanced Network/Insurance Carrier Org ID]],B214)/D214)</f>
        <v>NA</v>
      </c>
      <c r="H214" s="109" t="str">
        <f>IF(D214=0,"NA",SUMIFS(AN_TME22[[#All],[Claims: Professional, Primary Care (for Monitoring Purposes)]],AN_TME22[[#All],[Insurance Category Code]],5,AN_TME22[[#All],[Advanced Network/Insurance Carrier Org ID]],B214)/D214)</f>
        <v>NA</v>
      </c>
      <c r="I214" s="109" t="str">
        <f>IF(D214=0,"NA",SUMIFS(AN_TME22[[#All],[Claims: Professional, Specialty]],AN_TME22[[#All],[Insurance Category Code]],5,AN_TME22[[#All],[Advanced Network/Insurance Carrier Org ID]],B214)/D214)</f>
        <v>NA</v>
      </c>
      <c r="J214" s="109" t="str">
        <f>IF(D214=0,"NA",SUMIFS(AN_TME22[[#All],[Claims: Professional Other]],AN_TME22[[#All],[Insurance Category Code]],5,AN_TME22[[#All],[Advanced Network/Insurance Carrier Org ID]],B214)/D214)</f>
        <v>NA</v>
      </c>
      <c r="K214" s="109" t="str">
        <f>IF(D214=0,"NA",SUMIFS(AN_TME22[[#All],[Claims: Pharmacy]],AN_TME22[[#All],[Insurance Category Code]],5,AN_TME22[[#All],[Advanced Network/Insurance Carrier Org ID]],B214)/D214)</f>
        <v>NA</v>
      </c>
      <c r="L214" s="109" t="str">
        <f>IF(D214=0,"NA",SUMIFS(AN_TME22[[#All],[Claims: Long-Term Care]],AN_TME22[[#All],[Insurance Category Code]],5,AN_TME22[[#All],[Advanced Network/Insurance Carrier Org ID]],B214)/D214)</f>
        <v>NA</v>
      </c>
      <c r="M214" s="109" t="str">
        <f>IF(D214=0,"NA",SUMIFS(AN_TME22[[#All],[Claims: Other]],AN_TME22[[#All],[Insurance Category Code]],5,AN_TME22[[#All],[Advanced Network/Insurance Carrier Org ID]],B214)/D214)</f>
        <v>NA</v>
      </c>
      <c r="N214" s="165" t="str">
        <f>IF(D214=0,"NA",SUMIFS(AN_TME22[[#All],[TOTAL Non-Truncated Unadjusted Claims Expenses]],AN_TME22[[#All],[Insurance Category Code]],5,AN_TME22[[#All],[Advanced Network/Insurance Carrier Org ID]],B214)/D214)</f>
        <v>NA</v>
      </c>
      <c r="O214" s="165" t="str">
        <f>IF(D214=0,"NA",SUMIFS(AN_TME22[[#All],[TOTAL Truncated Unadjusted Claims Expenses (A21 -A19)]],AN_TME22[[#All],[Insurance Category Code]],5,AN_TME22[[#All],[Advanced Network/Insurance Carrier Org ID]],B214)/D214)</f>
        <v>NA</v>
      </c>
      <c r="P214" s="165" t="str">
        <f>IF(D214=0,"NA",SUMIFS(AN_TME22[[#All],[TOTAL Non-Claims Expenses]],AN_TME22[[#All],[Insurance Category Code]],5,AN_TME22[[#All],[Advanced Network/Insurance Carrier Org ID]],B214)/D214)</f>
        <v>NA</v>
      </c>
      <c r="Q214" s="165" t="str">
        <f>IF(D214=0,"NA",SUMIFS(AN_TME22[[#All],[TOTAL Non-Truncated Unadjusted Expenses (A21 + A23)]],AN_TME22[[#All],[Insurance Category Code]],5,AN_TME22[[#All],[Advanced Network/Insurance Carrier Org ID]],B214)/D214)</f>
        <v>NA</v>
      </c>
      <c r="R214" s="165" t="str">
        <f>IF(D214=0,"NA",SUMIFS(AN_TME22[[#All],[TOTAL Truncated Unadjusted Expenses (A22 + A23)]],AN_TME22[[#All],[Insurance Category Code]],5,AN_TME22[[#All],[Advanced Network/Insurance Carrier Org ID]],B214)/D214)</f>
        <v>NA</v>
      </c>
      <c r="S214" s="507">
        <f>SUMIFS(AN_TME23[[#All],[Member Months]],AN_TME23[[#All],[Insurance Category Code]],5,AN_TME23[[#All],[Advanced Network/Insurance Carrier Org ID]],B214)</f>
        <v>0</v>
      </c>
      <c r="T214" s="155" t="str">
        <f>IF(S214=0,"NA",SUMIFS(AN_TME23[[#All],[Claims: Hospital Inpatient]],AN_TME23[[#All],[Insurance Category Code]],5,AN_TME23[[#All],[Advanced Network/Insurance Carrier Org ID]],B214)/S214)</f>
        <v>NA</v>
      </c>
      <c r="U214" s="109" t="str">
        <f>IF(S214=0,"NA",SUMIFS(AN_TME23[[#All],[Claims: Hospital Outpatient]],AN_TME23[[#All],[Insurance Category Code]],5,AN_TME23[[#All],[Advanced Network/Insurance Carrier Org ID]],B214)/S214)</f>
        <v>NA</v>
      </c>
      <c r="V214" s="109" t="str">
        <f>IF(S214=0,"NA",SUMIFS(AN_TME23[[#All],[Claims: Professional, Primary Care]],AN_TME23[[#All],[Insurance Category Code]],5,AN_TME23[[#All],[Advanced Network/Insurance Carrier Org ID]],B214)/S214)</f>
        <v>NA</v>
      </c>
      <c r="W214" s="109" t="str">
        <f>IF(S214=0,"NA",SUMIFS(AN_TME23[[#All],[Claims: Professional, Primary Care (for Monitoring Purposes)]],AN_TME23[[#All],[Insurance Category Code]],5,AN_TME23[[#All],[Advanced Network/Insurance Carrier Org ID]],B214)/S214)</f>
        <v>NA</v>
      </c>
      <c r="X214" s="109" t="str">
        <f>IF(S214=0,"NA",SUMIFS(AN_TME23[[#All],[Claims: Professional, Specialty]],AN_TME23[[#All],[Insurance Category Code]],5,AN_TME23[[#All],[Advanced Network/Insurance Carrier Org ID]],B214)/S214)</f>
        <v>NA</v>
      </c>
      <c r="Y214" s="109" t="str">
        <f>IF(S214=0,"NA",SUMIFS(AN_TME23[[#All],[Claims: Professional Other]],AN_TME23[[#All],[Insurance Category Code]],5,AN_TME23[[#All],[Advanced Network/Insurance Carrier Org ID]],B214)/S214)</f>
        <v>NA</v>
      </c>
      <c r="Z214" s="109" t="str">
        <f>IF(S214=0,"NA",SUMIFS(AN_TME23[[#All],[Claims: Pharmacy]],AN_TME23[[#All],[Insurance Category Code]],5,AN_TME23[[#All],[Advanced Network/Insurance Carrier Org ID]],B214)/S214)</f>
        <v>NA</v>
      </c>
      <c r="AA214" s="109" t="str">
        <f>IF(S214=0,"NA",SUMIFS(AN_TME23[[#All],[Claims: Long-Term Care]],AN_TME23[[#All],[Insurance Category Code]],5,AN_TME23[[#All],[Advanced Network/Insurance Carrier Org ID]],B214)/S214)</f>
        <v>NA</v>
      </c>
      <c r="AB214" s="109" t="str">
        <f>IF(S214=0,"NA",SUMIFS(AN_TME23[[#All],[Claims: Other]],AN_TME23[[#All],[Insurance Category Code]],5,AN_TME23[[#All],[Advanced Network/Insurance Carrier Org ID]],B214)/S214)</f>
        <v>NA</v>
      </c>
      <c r="AC214" s="165" t="str">
        <f>IF(S214=0,"NA",SUMIFS(AN_TME23[[#All],[TOTAL Non-Truncated Unadjusted Claims Expenses]],AN_TME23[[#All],[Insurance Category Code]],5,AN_TME23[[#All],[Advanced Network/Insurance Carrier Org ID]],B214)/S214)</f>
        <v>NA</v>
      </c>
      <c r="AD214" s="165" t="str">
        <f>IF(S214=0,"NA",SUMIFS(AN_TME23[[#All],[TOTAL Truncated Unadjusted Claims Expenses (A21 -A19)]],AN_TME23[[#All],[Insurance Category Code]],5,AN_TME23[[#All],[Advanced Network/Insurance Carrier Org ID]],B214)/S214)</f>
        <v>NA</v>
      </c>
      <c r="AE214" s="165" t="str">
        <f>IF(S214=0,"NA",SUMIFS(AN_TME23[[#All],[TOTAL Non-Claims Expenses]],AN_TME23[[#All],[Insurance Category Code]],5,AN_TME23[[#All],[Advanced Network/Insurance Carrier Org ID]],B214)/S214)</f>
        <v>NA</v>
      </c>
      <c r="AF214" s="165" t="str">
        <f>IF(S214=0,"NA",SUMIFS(AN_TME23[[#All],[TOTAL Non-Truncated Unadjusted Expenses (A21 + A23)]],AN_TME23[[#All],[Insurance Category Code]],5,AN_TME23[[#All],[Advanced Network/Insurance Carrier Org ID]],B214)/S214)</f>
        <v>NA</v>
      </c>
      <c r="AG214" s="156" t="str">
        <f>IF(S214=0,"NA",SUMIFS(AN_TME23[[#All],[TOTAL Truncated Unadjusted Expenses (A22 + A23)]],AN_TME23[[#All],[Insurance Category Code]],5,AN_TME23[[#All],[Advanced Network/Insurance Carrier Org ID]],B214)/S214)</f>
        <v>NA</v>
      </c>
      <c r="AH214" s="478" t="str">
        <f t="shared" si="291"/>
        <v>NA</v>
      </c>
      <c r="AI214" s="479" t="str">
        <f t="shared" si="292"/>
        <v>NA</v>
      </c>
      <c r="AJ214" s="480" t="str">
        <f t="shared" si="293"/>
        <v>NA</v>
      </c>
      <c r="AK214" s="480" t="str">
        <f t="shared" si="294"/>
        <v>NA</v>
      </c>
      <c r="AL214" s="480" t="str">
        <f t="shared" si="295"/>
        <v>NA</v>
      </c>
      <c r="AM214" s="480" t="str">
        <f t="shared" si="296"/>
        <v>NA</v>
      </c>
      <c r="AN214" s="480" t="str">
        <f t="shared" si="297"/>
        <v>NA</v>
      </c>
      <c r="AO214" s="480" t="str">
        <f t="shared" si="298"/>
        <v>NA</v>
      </c>
      <c r="AP214" s="480" t="str">
        <f t="shared" si="299"/>
        <v>NA</v>
      </c>
      <c r="AQ214" s="480" t="str">
        <f t="shared" si="300"/>
        <v>NA</v>
      </c>
      <c r="AR214" s="481" t="str">
        <f t="shared" si="301"/>
        <v>NA</v>
      </c>
      <c r="AS214" s="481" t="str">
        <f t="shared" si="302"/>
        <v>NA</v>
      </c>
      <c r="AT214" s="481" t="str">
        <f t="shared" si="303"/>
        <v>NA</v>
      </c>
      <c r="AU214" s="481" t="str">
        <f t="shared" si="304"/>
        <v>NA</v>
      </c>
      <c r="AV214" s="482" t="str">
        <f t="shared" si="305"/>
        <v>NA</v>
      </c>
    </row>
    <row r="215" spans="1:48" ht="15" customHeight="1" x14ac:dyDescent="0.25">
      <c r="A215" s="164"/>
      <c r="B215" s="166">
        <v>118</v>
      </c>
      <c r="C215" s="169" t="str">
        <f>_xlfn.XLOOKUP(B215, LgProvEntOrgIDs[Advanced Network/Insurer Carrier Org ID], LgProvEntOrgIDs[Advanced Network/Insurance Carrier Overall])</f>
        <v>Fair Haven Community Health Center</v>
      </c>
      <c r="D215" s="507">
        <f>SUMIFS(AN_TME22[[#All],[Member Months]],AN_TME22[[#All],[Insurance Category Code]],5,AN_TME22[[#All],[Advanced Network/Insurance Carrier Org ID]],B215)</f>
        <v>0</v>
      </c>
      <c r="E215" s="155" t="str">
        <f>IF(D215=0,"NA",SUMIFS(AN_TME22[[#All],[Claims: Hospital Inpatient]],AN_TME22[[#All],[Insurance Category Code]],5,AN_TME22[[#All],[Advanced Network/Insurance Carrier Org ID]],B215)/D215)</f>
        <v>NA</v>
      </c>
      <c r="F215" s="109" t="str">
        <f>IF(D215=0,"NA",SUMIFS(AN_TME22[[#All],[Claims: Hospital Outpatient]],AN_TME22[[#All],[Insurance Category Code]],5,AN_TME22[[#All],[Advanced Network/Insurance Carrier Org ID]],B215)/D215)</f>
        <v>NA</v>
      </c>
      <c r="G215" s="109" t="str">
        <f>IF(D215=0,"NA",SUMIFS(AN_TME22[[#All],[Claims: Professional, Primary Care]],AN_TME22[[#All],[Insurance Category Code]],5,AN_TME22[[#All],[Advanced Network/Insurance Carrier Org ID]],B215)/D215)</f>
        <v>NA</v>
      </c>
      <c r="H215" s="109" t="str">
        <f>IF(D215=0,"NA",SUMIFS(AN_TME22[[#All],[Claims: Professional, Primary Care (for Monitoring Purposes)]],AN_TME22[[#All],[Insurance Category Code]],5,AN_TME22[[#All],[Advanced Network/Insurance Carrier Org ID]],B215)/D215)</f>
        <v>NA</v>
      </c>
      <c r="I215" s="109" t="str">
        <f>IF(D215=0,"NA",SUMIFS(AN_TME22[[#All],[Claims: Professional, Specialty]],AN_TME22[[#All],[Insurance Category Code]],5,AN_TME22[[#All],[Advanced Network/Insurance Carrier Org ID]],B215)/D215)</f>
        <v>NA</v>
      </c>
      <c r="J215" s="109" t="str">
        <f>IF(D215=0,"NA",SUMIFS(AN_TME22[[#All],[Claims: Professional Other]],AN_TME22[[#All],[Insurance Category Code]],5,AN_TME22[[#All],[Advanced Network/Insurance Carrier Org ID]],B215)/D215)</f>
        <v>NA</v>
      </c>
      <c r="K215" s="109" t="str">
        <f>IF(D215=0,"NA",SUMIFS(AN_TME22[[#All],[Claims: Pharmacy]],AN_TME22[[#All],[Insurance Category Code]],5,AN_TME22[[#All],[Advanced Network/Insurance Carrier Org ID]],B215)/D215)</f>
        <v>NA</v>
      </c>
      <c r="L215" s="109" t="str">
        <f>IF(D215=0,"NA",SUMIFS(AN_TME22[[#All],[Claims: Long-Term Care]],AN_TME22[[#All],[Insurance Category Code]],5,AN_TME22[[#All],[Advanced Network/Insurance Carrier Org ID]],B215)/D215)</f>
        <v>NA</v>
      </c>
      <c r="M215" s="109" t="str">
        <f>IF(D215=0,"NA",SUMIFS(AN_TME22[[#All],[Claims: Other]],AN_TME22[[#All],[Insurance Category Code]],5,AN_TME22[[#All],[Advanced Network/Insurance Carrier Org ID]],B215)/D215)</f>
        <v>NA</v>
      </c>
      <c r="N215" s="165" t="str">
        <f>IF(D215=0,"NA",SUMIFS(AN_TME22[[#All],[TOTAL Non-Truncated Unadjusted Claims Expenses]],AN_TME22[[#All],[Insurance Category Code]],5,AN_TME22[[#All],[Advanced Network/Insurance Carrier Org ID]],B215)/D215)</f>
        <v>NA</v>
      </c>
      <c r="O215" s="165" t="str">
        <f>IF(D215=0,"NA",SUMIFS(AN_TME22[[#All],[TOTAL Truncated Unadjusted Claims Expenses (A21 -A19)]],AN_TME22[[#All],[Insurance Category Code]],5,AN_TME22[[#All],[Advanced Network/Insurance Carrier Org ID]],B215)/D215)</f>
        <v>NA</v>
      </c>
      <c r="P215" s="165" t="str">
        <f>IF(D215=0,"NA",SUMIFS(AN_TME22[[#All],[TOTAL Non-Claims Expenses]],AN_TME22[[#All],[Insurance Category Code]],5,AN_TME22[[#All],[Advanced Network/Insurance Carrier Org ID]],B215)/D215)</f>
        <v>NA</v>
      </c>
      <c r="Q215" s="165" t="str">
        <f>IF(D215=0,"NA",SUMIFS(AN_TME22[[#All],[TOTAL Non-Truncated Unadjusted Expenses (A21 + A23)]],AN_TME22[[#All],[Insurance Category Code]],5,AN_TME22[[#All],[Advanced Network/Insurance Carrier Org ID]],B215)/D215)</f>
        <v>NA</v>
      </c>
      <c r="R215" s="165" t="str">
        <f>IF(D215=0,"NA",SUMIFS(AN_TME22[[#All],[TOTAL Truncated Unadjusted Expenses (A22 + A23)]],AN_TME22[[#All],[Insurance Category Code]],5,AN_TME22[[#All],[Advanced Network/Insurance Carrier Org ID]],B215)/D215)</f>
        <v>NA</v>
      </c>
      <c r="S215" s="507">
        <f>SUMIFS(AN_TME23[[#All],[Member Months]],AN_TME23[[#All],[Insurance Category Code]],5,AN_TME23[[#All],[Advanced Network/Insurance Carrier Org ID]],B215)</f>
        <v>0</v>
      </c>
      <c r="T215" s="155" t="str">
        <f>IF(S215=0,"NA",SUMIFS(AN_TME23[[#All],[Claims: Hospital Inpatient]],AN_TME23[[#All],[Insurance Category Code]],5,AN_TME23[[#All],[Advanced Network/Insurance Carrier Org ID]],B215)/S215)</f>
        <v>NA</v>
      </c>
      <c r="U215" s="109" t="str">
        <f>IF(S215=0,"NA",SUMIFS(AN_TME23[[#All],[Claims: Hospital Outpatient]],AN_TME23[[#All],[Insurance Category Code]],5,AN_TME23[[#All],[Advanced Network/Insurance Carrier Org ID]],B215)/S215)</f>
        <v>NA</v>
      </c>
      <c r="V215" s="109" t="str">
        <f>IF(S215=0,"NA",SUMIFS(AN_TME23[[#All],[Claims: Professional, Primary Care]],AN_TME23[[#All],[Insurance Category Code]],5,AN_TME23[[#All],[Advanced Network/Insurance Carrier Org ID]],B215)/S215)</f>
        <v>NA</v>
      </c>
      <c r="W215" s="109" t="str">
        <f>IF(S215=0,"NA",SUMIFS(AN_TME23[[#All],[Claims: Professional, Primary Care (for Monitoring Purposes)]],AN_TME23[[#All],[Insurance Category Code]],5,AN_TME23[[#All],[Advanced Network/Insurance Carrier Org ID]],B215)/S215)</f>
        <v>NA</v>
      </c>
      <c r="X215" s="109" t="str">
        <f>IF(S215=0,"NA",SUMIFS(AN_TME23[[#All],[Claims: Professional, Specialty]],AN_TME23[[#All],[Insurance Category Code]],5,AN_TME23[[#All],[Advanced Network/Insurance Carrier Org ID]],B215)/S215)</f>
        <v>NA</v>
      </c>
      <c r="Y215" s="109" t="str">
        <f>IF(S215=0,"NA",SUMIFS(AN_TME23[[#All],[Claims: Professional Other]],AN_TME23[[#All],[Insurance Category Code]],5,AN_TME23[[#All],[Advanced Network/Insurance Carrier Org ID]],B215)/S215)</f>
        <v>NA</v>
      </c>
      <c r="Z215" s="109" t="str">
        <f>IF(S215=0,"NA",SUMIFS(AN_TME23[[#All],[Claims: Pharmacy]],AN_TME23[[#All],[Insurance Category Code]],5,AN_TME23[[#All],[Advanced Network/Insurance Carrier Org ID]],B215)/S215)</f>
        <v>NA</v>
      </c>
      <c r="AA215" s="109" t="str">
        <f>IF(S215=0,"NA",SUMIFS(AN_TME23[[#All],[Claims: Long-Term Care]],AN_TME23[[#All],[Insurance Category Code]],5,AN_TME23[[#All],[Advanced Network/Insurance Carrier Org ID]],B215)/S215)</f>
        <v>NA</v>
      </c>
      <c r="AB215" s="109" t="str">
        <f>IF(S215=0,"NA",SUMIFS(AN_TME23[[#All],[Claims: Other]],AN_TME23[[#All],[Insurance Category Code]],5,AN_TME23[[#All],[Advanced Network/Insurance Carrier Org ID]],B215)/S215)</f>
        <v>NA</v>
      </c>
      <c r="AC215" s="165" t="str">
        <f>IF(S215=0,"NA",SUMIFS(AN_TME23[[#All],[TOTAL Non-Truncated Unadjusted Claims Expenses]],AN_TME23[[#All],[Insurance Category Code]],5,AN_TME23[[#All],[Advanced Network/Insurance Carrier Org ID]],B215)/S215)</f>
        <v>NA</v>
      </c>
      <c r="AD215" s="165" t="str">
        <f>IF(S215=0,"NA",SUMIFS(AN_TME23[[#All],[TOTAL Truncated Unadjusted Claims Expenses (A21 -A19)]],AN_TME23[[#All],[Insurance Category Code]],5,AN_TME23[[#All],[Advanced Network/Insurance Carrier Org ID]],B215)/S215)</f>
        <v>NA</v>
      </c>
      <c r="AE215" s="165" t="str">
        <f>IF(S215=0,"NA",SUMIFS(AN_TME23[[#All],[TOTAL Non-Claims Expenses]],AN_TME23[[#All],[Insurance Category Code]],5,AN_TME23[[#All],[Advanced Network/Insurance Carrier Org ID]],B215)/S215)</f>
        <v>NA</v>
      </c>
      <c r="AF215" s="165" t="str">
        <f>IF(S215=0,"NA",SUMIFS(AN_TME23[[#All],[TOTAL Non-Truncated Unadjusted Expenses (A21 + A23)]],AN_TME23[[#All],[Insurance Category Code]],5,AN_TME23[[#All],[Advanced Network/Insurance Carrier Org ID]],B215)/S215)</f>
        <v>NA</v>
      </c>
      <c r="AG215" s="156" t="str">
        <f>IF(S215=0,"NA",SUMIFS(AN_TME23[[#All],[TOTAL Truncated Unadjusted Expenses (A22 + A23)]],AN_TME23[[#All],[Insurance Category Code]],5,AN_TME23[[#All],[Advanced Network/Insurance Carrier Org ID]],B215)/S215)</f>
        <v>NA</v>
      </c>
      <c r="AH215" s="478" t="str">
        <f t="shared" si="291"/>
        <v>NA</v>
      </c>
      <c r="AI215" s="479" t="str">
        <f t="shared" si="292"/>
        <v>NA</v>
      </c>
      <c r="AJ215" s="480" t="str">
        <f t="shared" si="293"/>
        <v>NA</v>
      </c>
      <c r="AK215" s="480" t="str">
        <f t="shared" si="294"/>
        <v>NA</v>
      </c>
      <c r="AL215" s="480" t="str">
        <f t="shared" si="295"/>
        <v>NA</v>
      </c>
      <c r="AM215" s="480" t="str">
        <f t="shared" si="296"/>
        <v>NA</v>
      </c>
      <c r="AN215" s="480" t="str">
        <f t="shared" si="297"/>
        <v>NA</v>
      </c>
      <c r="AO215" s="480" t="str">
        <f t="shared" si="298"/>
        <v>NA</v>
      </c>
      <c r="AP215" s="480" t="str">
        <f t="shared" si="299"/>
        <v>NA</v>
      </c>
      <c r="AQ215" s="480" t="str">
        <f t="shared" si="300"/>
        <v>NA</v>
      </c>
      <c r="AR215" s="481" t="str">
        <f t="shared" si="301"/>
        <v>NA</v>
      </c>
      <c r="AS215" s="481" t="str">
        <f t="shared" si="302"/>
        <v>NA</v>
      </c>
      <c r="AT215" s="481" t="str">
        <f t="shared" si="303"/>
        <v>NA</v>
      </c>
      <c r="AU215" s="481" t="str">
        <f t="shared" si="304"/>
        <v>NA</v>
      </c>
      <c r="AV215" s="482" t="str">
        <f t="shared" si="305"/>
        <v>NA</v>
      </c>
    </row>
    <row r="216" spans="1:48" ht="15" customHeight="1" x14ac:dyDescent="0.25">
      <c r="A216" s="164"/>
      <c r="B216" s="166">
        <v>119</v>
      </c>
      <c r="C216" s="169" t="str">
        <f>_xlfn.XLOOKUP(B216, LgProvEntOrgIDs[Advanced Network/Insurer Carrier Org ID], LgProvEntOrgIDs[Advanced Network/Insurance Carrier Overall])</f>
        <v>Family Centers</v>
      </c>
      <c r="D216" s="507">
        <f>SUMIFS(AN_TME22[[#All],[Member Months]],AN_TME22[[#All],[Insurance Category Code]],5,AN_TME22[[#All],[Advanced Network/Insurance Carrier Org ID]],B216)</f>
        <v>0</v>
      </c>
      <c r="E216" s="155" t="str">
        <f>IF(D216=0,"NA",SUMIFS(AN_TME22[[#All],[Claims: Hospital Inpatient]],AN_TME22[[#All],[Insurance Category Code]],5,AN_TME22[[#All],[Advanced Network/Insurance Carrier Org ID]],B216)/D216)</f>
        <v>NA</v>
      </c>
      <c r="F216" s="109" t="str">
        <f>IF(D216=0,"NA",SUMIFS(AN_TME22[[#All],[Claims: Hospital Outpatient]],AN_TME22[[#All],[Insurance Category Code]],5,AN_TME22[[#All],[Advanced Network/Insurance Carrier Org ID]],B216)/D216)</f>
        <v>NA</v>
      </c>
      <c r="G216" s="109" t="str">
        <f>IF(D216=0,"NA",SUMIFS(AN_TME22[[#All],[Claims: Professional, Primary Care]],AN_TME22[[#All],[Insurance Category Code]],5,AN_TME22[[#All],[Advanced Network/Insurance Carrier Org ID]],B216)/D216)</f>
        <v>NA</v>
      </c>
      <c r="H216" s="109" t="str">
        <f>IF(D216=0,"NA",SUMIFS(AN_TME22[[#All],[Claims: Professional, Primary Care (for Monitoring Purposes)]],AN_TME22[[#All],[Insurance Category Code]],5,AN_TME22[[#All],[Advanced Network/Insurance Carrier Org ID]],B216)/D216)</f>
        <v>NA</v>
      </c>
      <c r="I216" s="109" t="str">
        <f>IF(D216=0,"NA",SUMIFS(AN_TME22[[#All],[Claims: Professional, Specialty]],AN_TME22[[#All],[Insurance Category Code]],5,AN_TME22[[#All],[Advanced Network/Insurance Carrier Org ID]],B216)/D216)</f>
        <v>NA</v>
      </c>
      <c r="J216" s="109" t="str">
        <f>IF(D216=0,"NA",SUMIFS(AN_TME22[[#All],[Claims: Professional Other]],AN_TME22[[#All],[Insurance Category Code]],5,AN_TME22[[#All],[Advanced Network/Insurance Carrier Org ID]],B216)/D216)</f>
        <v>NA</v>
      </c>
      <c r="K216" s="109" t="str">
        <f>IF(D216=0,"NA",SUMIFS(AN_TME22[[#All],[Claims: Pharmacy]],AN_TME22[[#All],[Insurance Category Code]],5,AN_TME22[[#All],[Advanced Network/Insurance Carrier Org ID]],B216)/D216)</f>
        <v>NA</v>
      </c>
      <c r="L216" s="109" t="str">
        <f>IF(D216=0,"NA",SUMIFS(AN_TME22[[#All],[Claims: Long-Term Care]],AN_TME22[[#All],[Insurance Category Code]],5,AN_TME22[[#All],[Advanced Network/Insurance Carrier Org ID]],B216)/D216)</f>
        <v>NA</v>
      </c>
      <c r="M216" s="109" t="str">
        <f>IF(D216=0,"NA",SUMIFS(AN_TME22[[#All],[Claims: Other]],AN_TME22[[#All],[Insurance Category Code]],5,AN_TME22[[#All],[Advanced Network/Insurance Carrier Org ID]],B216)/D216)</f>
        <v>NA</v>
      </c>
      <c r="N216" s="165" t="str">
        <f>IF(D216=0,"NA",SUMIFS(AN_TME22[[#All],[TOTAL Non-Truncated Unadjusted Claims Expenses]],AN_TME22[[#All],[Insurance Category Code]],5,AN_TME22[[#All],[Advanced Network/Insurance Carrier Org ID]],B216)/D216)</f>
        <v>NA</v>
      </c>
      <c r="O216" s="165" t="str">
        <f>IF(D216=0,"NA",SUMIFS(AN_TME22[[#All],[TOTAL Truncated Unadjusted Claims Expenses (A21 -A19)]],AN_TME22[[#All],[Insurance Category Code]],5,AN_TME22[[#All],[Advanced Network/Insurance Carrier Org ID]],B216)/D216)</f>
        <v>NA</v>
      </c>
      <c r="P216" s="165" t="str">
        <f>IF(D216=0,"NA",SUMIFS(AN_TME22[[#All],[TOTAL Non-Claims Expenses]],AN_TME22[[#All],[Insurance Category Code]],5,AN_TME22[[#All],[Advanced Network/Insurance Carrier Org ID]],B216)/D216)</f>
        <v>NA</v>
      </c>
      <c r="Q216" s="165" t="str">
        <f>IF(D216=0,"NA",SUMIFS(AN_TME22[[#All],[TOTAL Non-Truncated Unadjusted Expenses (A21 + A23)]],AN_TME22[[#All],[Insurance Category Code]],5,AN_TME22[[#All],[Advanced Network/Insurance Carrier Org ID]],B216)/D216)</f>
        <v>NA</v>
      </c>
      <c r="R216" s="165" t="str">
        <f>IF(D216=0,"NA",SUMIFS(AN_TME22[[#All],[TOTAL Truncated Unadjusted Expenses (A22 + A23)]],AN_TME22[[#All],[Insurance Category Code]],5,AN_TME22[[#All],[Advanced Network/Insurance Carrier Org ID]],B216)/D216)</f>
        <v>NA</v>
      </c>
      <c r="S216" s="507">
        <f>SUMIFS(AN_TME23[[#All],[Member Months]],AN_TME23[[#All],[Insurance Category Code]],5,AN_TME23[[#All],[Advanced Network/Insurance Carrier Org ID]],B216)</f>
        <v>0</v>
      </c>
      <c r="T216" s="155" t="str">
        <f>IF(S216=0,"NA",SUMIFS(AN_TME23[[#All],[Claims: Hospital Inpatient]],AN_TME23[[#All],[Insurance Category Code]],5,AN_TME23[[#All],[Advanced Network/Insurance Carrier Org ID]],B216)/S216)</f>
        <v>NA</v>
      </c>
      <c r="U216" s="109" t="str">
        <f>IF(S216=0,"NA",SUMIFS(AN_TME23[[#All],[Claims: Hospital Outpatient]],AN_TME23[[#All],[Insurance Category Code]],5,AN_TME23[[#All],[Advanced Network/Insurance Carrier Org ID]],B216)/S216)</f>
        <v>NA</v>
      </c>
      <c r="V216" s="109" t="str">
        <f>IF(S216=0,"NA",SUMIFS(AN_TME23[[#All],[Claims: Professional, Primary Care]],AN_TME23[[#All],[Insurance Category Code]],5,AN_TME23[[#All],[Advanced Network/Insurance Carrier Org ID]],B216)/S216)</f>
        <v>NA</v>
      </c>
      <c r="W216" s="109" t="str">
        <f>IF(S216=0,"NA",SUMIFS(AN_TME23[[#All],[Claims: Professional, Primary Care (for Monitoring Purposes)]],AN_TME23[[#All],[Insurance Category Code]],5,AN_TME23[[#All],[Advanced Network/Insurance Carrier Org ID]],B216)/S216)</f>
        <v>NA</v>
      </c>
      <c r="X216" s="109" t="str">
        <f>IF(S216=0,"NA",SUMIFS(AN_TME23[[#All],[Claims: Professional, Specialty]],AN_TME23[[#All],[Insurance Category Code]],5,AN_TME23[[#All],[Advanced Network/Insurance Carrier Org ID]],B216)/S216)</f>
        <v>NA</v>
      </c>
      <c r="Y216" s="109" t="str">
        <f>IF(S216=0,"NA",SUMIFS(AN_TME23[[#All],[Claims: Professional Other]],AN_TME23[[#All],[Insurance Category Code]],5,AN_TME23[[#All],[Advanced Network/Insurance Carrier Org ID]],B216)/S216)</f>
        <v>NA</v>
      </c>
      <c r="Z216" s="109" t="str">
        <f>IF(S216=0,"NA",SUMIFS(AN_TME23[[#All],[Claims: Pharmacy]],AN_TME23[[#All],[Insurance Category Code]],5,AN_TME23[[#All],[Advanced Network/Insurance Carrier Org ID]],B216)/S216)</f>
        <v>NA</v>
      </c>
      <c r="AA216" s="109" t="str">
        <f>IF(S216=0,"NA",SUMIFS(AN_TME23[[#All],[Claims: Long-Term Care]],AN_TME23[[#All],[Insurance Category Code]],5,AN_TME23[[#All],[Advanced Network/Insurance Carrier Org ID]],B216)/S216)</f>
        <v>NA</v>
      </c>
      <c r="AB216" s="109" t="str">
        <f>IF(S216=0,"NA",SUMIFS(AN_TME23[[#All],[Claims: Other]],AN_TME23[[#All],[Insurance Category Code]],5,AN_TME23[[#All],[Advanced Network/Insurance Carrier Org ID]],B216)/S216)</f>
        <v>NA</v>
      </c>
      <c r="AC216" s="165" t="str">
        <f>IF(S216=0,"NA",SUMIFS(AN_TME23[[#All],[TOTAL Non-Truncated Unadjusted Claims Expenses]],AN_TME23[[#All],[Insurance Category Code]],5,AN_TME23[[#All],[Advanced Network/Insurance Carrier Org ID]],B216)/S216)</f>
        <v>NA</v>
      </c>
      <c r="AD216" s="165" t="str">
        <f>IF(S216=0,"NA",SUMIFS(AN_TME23[[#All],[TOTAL Truncated Unadjusted Claims Expenses (A21 -A19)]],AN_TME23[[#All],[Insurance Category Code]],5,AN_TME23[[#All],[Advanced Network/Insurance Carrier Org ID]],B216)/S216)</f>
        <v>NA</v>
      </c>
      <c r="AE216" s="165" t="str">
        <f>IF(S216=0,"NA",SUMIFS(AN_TME23[[#All],[TOTAL Non-Claims Expenses]],AN_TME23[[#All],[Insurance Category Code]],5,AN_TME23[[#All],[Advanced Network/Insurance Carrier Org ID]],B216)/S216)</f>
        <v>NA</v>
      </c>
      <c r="AF216" s="165" t="str">
        <f>IF(S216=0,"NA",SUMIFS(AN_TME23[[#All],[TOTAL Non-Truncated Unadjusted Expenses (A21 + A23)]],AN_TME23[[#All],[Insurance Category Code]],5,AN_TME23[[#All],[Advanced Network/Insurance Carrier Org ID]],B216)/S216)</f>
        <v>NA</v>
      </c>
      <c r="AG216" s="156" t="str">
        <f>IF(S216=0,"NA",SUMIFS(AN_TME23[[#All],[TOTAL Truncated Unadjusted Expenses (A22 + A23)]],AN_TME23[[#All],[Insurance Category Code]],5,AN_TME23[[#All],[Advanced Network/Insurance Carrier Org ID]],B216)/S216)</f>
        <v>NA</v>
      </c>
      <c r="AH216" s="478" t="str">
        <f t="shared" si="291"/>
        <v>NA</v>
      </c>
      <c r="AI216" s="479" t="str">
        <f t="shared" si="292"/>
        <v>NA</v>
      </c>
      <c r="AJ216" s="480" t="str">
        <f t="shared" si="293"/>
        <v>NA</v>
      </c>
      <c r="AK216" s="480" t="str">
        <f t="shared" si="294"/>
        <v>NA</v>
      </c>
      <c r="AL216" s="480" t="str">
        <f t="shared" si="295"/>
        <v>NA</v>
      </c>
      <c r="AM216" s="480" t="str">
        <f t="shared" si="296"/>
        <v>NA</v>
      </c>
      <c r="AN216" s="480" t="str">
        <f t="shared" si="297"/>
        <v>NA</v>
      </c>
      <c r="AO216" s="480" t="str">
        <f t="shared" si="298"/>
        <v>NA</v>
      </c>
      <c r="AP216" s="480" t="str">
        <f t="shared" si="299"/>
        <v>NA</v>
      </c>
      <c r="AQ216" s="480" t="str">
        <f t="shared" si="300"/>
        <v>NA</v>
      </c>
      <c r="AR216" s="481" t="str">
        <f t="shared" si="301"/>
        <v>NA</v>
      </c>
      <c r="AS216" s="481" t="str">
        <f t="shared" si="302"/>
        <v>NA</v>
      </c>
      <c r="AT216" s="481" t="str">
        <f t="shared" si="303"/>
        <v>NA</v>
      </c>
      <c r="AU216" s="481" t="str">
        <f t="shared" si="304"/>
        <v>NA</v>
      </c>
      <c r="AV216" s="482" t="str">
        <f t="shared" si="305"/>
        <v>NA</v>
      </c>
    </row>
    <row r="217" spans="1:48" ht="15" customHeight="1" x14ac:dyDescent="0.25">
      <c r="A217" s="164"/>
      <c r="B217" s="166">
        <v>120</v>
      </c>
      <c r="C217" s="169" t="str">
        <f>_xlfn.XLOOKUP(B217, LgProvEntOrgIDs[Advanced Network/Insurer Carrier Org ID], LgProvEntOrgIDs[Advanced Network/Insurance Carrier Overall])</f>
        <v>First Choice Community Health Centers</v>
      </c>
      <c r="D217" s="507">
        <f>SUMIFS(AN_TME22[[#All],[Member Months]],AN_TME22[[#All],[Insurance Category Code]],5,AN_TME22[[#All],[Advanced Network/Insurance Carrier Org ID]],B217)</f>
        <v>0</v>
      </c>
      <c r="E217" s="155" t="str">
        <f>IF(D217=0,"NA",SUMIFS(AN_TME22[[#All],[Claims: Hospital Inpatient]],AN_TME22[[#All],[Insurance Category Code]],5,AN_TME22[[#All],[Advanced Network/Insurance Carrier Org ID]],B217)/D217)</f>
        <v>NA</v>
      </c>
      <c r="F217" s="109" t="str">
        <f>IF(D217=0,"NA",SUMIFS(AN_TME22[[#All],[Claims: Hospital Outpatient]],AN_TME22[[#All],[Insurance Category Code]],5,AN_TME22[[#All],[Advanced Network/Insurance Carrier Org ID]],B217)/D217)</f>
        <v>NA</v>
      </c>
      <c r="G217" s="109" t="str">
        <f>IF(D217=0,"NA",SUMIFS(AN_TME22[[#All],[Claims: Professional, Primary Care]],AN_TME22[[#All],[Insurance Category Code]],5,AN_TME22[[#All],[Advanced Network/Insurance Carrier Org ID]],B217)/D217)</f>
        <v>NA</v>
      </c>
      <c r="H217" s="109" t="str">
        <f>IF(D217=0,"NA",SUMIFS(AN_TME22[[#All],[Claims: Professional, Primary Care (for Monitoring Purposes)]],AN_TME22[[#All],[Insurance Category Code]],5,AN_TME22[[#All],[Advanced Network/Insurance Carrier Org ID]],B217)/D217)</f>
        <v>NA</v>
      </c>
      <c r="I217" s="109" t="str">
        <f>IF(D217=0,"NA",SUMIFS(AN_TME22[[#All],[Claims: Professional, Specialty]],AN_TME22[[#All],[Insurance Category Code]],5,AN_TME22[[#All],[Advanced Network/Insurance Carrier Org ID]],B217)/D217)</f>
        <v>NA</v>
      </c>
      <c r="J217" s="109" t="str">
        <f>IF(D217=0,"NA",SUMIFS(AN_TME22[[#All],[Claims: Professional Other]],AN_TME22[[#All],[Insurance Category Code]],5,AN_TME22[[#All],[Advanced Network/Insurance Carrier Org ID]],B217)/D217)</f>
        <v>NA</v>
      </c>
      <c r="K217" s="109" t="str">
        <f>IF(D217=0,"NA",SUMIFS(AN_TME22[[#All],[Claims: Pharmacy]],AN_TME22[[#All],[Insurance Category Code]],5,AN_TME22[[#All],[Advanced Network/Insurance Carrier Org ID]],B217)/D217)</f>
        <v>NA</v>
      </c>
      <c r="L217" s="109" t="str">
        <f>IF(D217=0,"NA",SUMIFS(AN_TME22[[#All],[Claims: Long-Term Care]],AN_TME22[[#All],[Insurance Category Code]],5,AN_TME22[[#All],[Advanced Network/Insurance Carrier Org ID]],B217)/D217)</f>
        <v>NA</v>
      </c>
      <c r="M217" s="109" t="str">
        <f>IF(D217=0,"NA",SUMIFS(AN_TME22[[#All],[Claims: Other]],AN_TME22[[#All],[Insurance Category Code]],5,AN_TME22[[#All],[Advanced Network/Insurance Carrier Org ID]],B217)/D217)</f>
        <v>NA</v>
      </c>
      <c r="N217" s="165" t="str">
        <f>IF(D217=0,"NA",SUMIFS(AN_TME22[[#All],[TOTAL Non-Truncated Unadjusted Claims Expenses]],AN_TME22[[#All],[Insurance Category Code]],5,AN_TME22[[#All],[Advanced Network/Insurance Carrier Org ID]],B217)/D217)</f>
        <v>NA</v>
      </c>
      <c r="O217" s="165" t="str">
        <f>IF(D217=0,"NA",SUMIFS(AN_TME22[[#All],[TOTAL Truncated Unadjusted Claims Expenses (A21 -A19)]],AN_TME22[[#All],[Insurance Category Code]],5,AN_TME22[[#All],[Advanced Network/Insurance Carrier Org ID]],B217)/D217)</f>
        <v>NA</v>
      </c>
      <c r="P217" s="165" t="str">
        <f>IF(D217=0,"NA",SUMIFS(AN_TME22[[#All],[TOTAL Non-Claims Expenses]],AN_TME22[[#All],[Insurance Category Code]],5,AN_TME22[[#All],[Advanced Network/Insurance Carrier Org ID]],B217)/D217)</f>
        <v>NA</v>
      </c>
      <c r="Q217" s="165" t="str">
        <f>IF(D217=0,"NA",SUMIFS(AN_TME22[[#All],[TOTAL Non-Truncated Unadjusted Expenses (A21 + A23)]],AN_TME22[[#All],[Insurance Category Code]],5,AN_TME22[[#All],[Advanced Network/Insurance Carrier Org ID]],B217)/D217)</f>
        <v>NA</v>
      </c>
      <c r="R217" s="165" t="str">
        <f>IF(D217=0,"NA",SUMIFS(AN_TME22[[#All],[TOTAL Truncated Unadjusted Expenses (A22 + A23)]],AN_TME22[[#All],[Insurance Category Code]],5,AN_TME22[[#All],[Advanced Network/Insurance Carrier Org ID]],B217)/D217)</f>
        <v>NA</v>
      </c>
      <c r="S217" s="507">
        <f>SUMIFS(AN_TME23[[#All],[Member Months]],AN_TME23[[#All],[Insurance Category Code]],5,AN_TME23[[#All],[Advanced Network/Insurance Carrier Org ID]],B217)</f>
        <v>0</v>
      </c>
      <c r="T217" s="155" t="str">
        <f>IF(S217=0,"NA",SUMIFS(AN_TME23[[#All],[Claims: Hospital Inpatient]],AN_TME23[[#All],[Insurance Category Code]],5,AN_TME23[[#All],[Advanced Network/Insurance Carrier Org ID]],B217)/S217)</f>
        <v>NA</v>
      </c>
      <c r="U217" s="109" t="str">
        <f>IF(S217=0,"NA",SUMIFS(AN_TME23[[#All],[Claims: Hospital Outpatient]],AN_TME23[[#All],[Insurance Category Code]],5,AN_TME23[[#All],[Advanced Network/Insurance Carrier Org ID]],B217)/S217)</f>
        <v>NA</v>
      </c>
      <c r="V217" s="109" t="str">
        <f>IF(S217=0,"NA",SUMIFS(AN_TME23[[#All],[Claims: Professional, Primary Care]],AN_TME23[[#All],[Insurance Category Code]],5,AN_TME23[[#All],[Advanced Network/Insurance Carrier Org ID]],B217)/S217)</f>
        <v>NA</v>
      </c>
      <c r="W217" s="109" t="str">
        <f>IF(S217=0,"NA",SUMIFS(AN_TME23[[#All],[Claims: Professional, Primary Care (for Monitoring Purposes)]],AN_TME23[[#All],[Insurance Category Code]],5,AN_TME23[[#All],[Advanced Network/Insurance Carrier Org ID]],B217)/S217)</f>
        <v>NA</v>
      </c>
      <c r="X217" s="109" t="str">
        <f>IF(S217=0,"NA",SUMIFS(AN_TME23[[#All],[Claims: Professional, Specialty]],AN_TME23[[#All],[Insurance Category Code]],5,AN_TME23[[#All],[Advanced Network/Insurance Carrier Org ID]],B217)/S217)</f>
        <v>NA</v>
      </c>
      <c r="Y217" s="109" t="str">
        <f>IF(S217=0,"NA",SUMIFS(AN_TME23[[#All],[Claims: Professional Other]],AN_TME23[[#All],[Insurance Category Code]],5,AN_TME23[[#All],[Advanced Network/Insurance Carrier Org ID]],B217)/S217)</f>
        <v>NA</v>
      </c>
      <c r="Z217" s="109" t="str">
        <f>IF(S217=0,"NA",SUMIFS(AN_TME23[[#All],[Claims: Pharmacy]],AN_TME23[[#All],[Insurance Category Code]],5,AN_TME23[[#All],[Advanced Network/Insurance Carrier Org ID]],B217)/S217)</f>
        <v>NA</v>
      </c>
      <c r="AA217" s="109" t="str">
        <f>IF(S217=0,"NA",SUMIFS(AN_TME23[[#All],[Claims: Long-Term Care]],AN_TME23[[#All],[Insurance Category Code]],5,AN_TME23[[#All],[Advanced Network/Insurance Carrier Org ID]],B217)/S217)</f>
        <v>NA</v>
      </c>
      <c r="AB217" s="109" t="str">
        <f>IF(S217=0,"NA",SUMIFS(AN_TME23[[#All],[Claims: Other]],AN_TME23[[#All],[Insurance Category Code]],5,AN_TME23[[#All],[Advanced Network/Insurance Carrier Org ID]],B217)/S217)</f>
        <v>NA</v>
      </c>
      <c r="AC217" s="165" t="str">
        <f>IF(S217=0,"NA",SUMIFS(AN_TME23[[#All],[TOTAL Non-Truncated Unadjusted Claims Expenses]],AN_TME23[[#All],[Insurance Category Code]],5,AN_TME23[[#All],[Advanced Network/Insurance Carrier Org ID]],B217)/S217)</f>
        <v>NA</v>
      </c>
      <c r="AD217" s="165" t="str">
        <f>IF(S217=0,"NA",SUMIFS(AN_TME23[[#All],[TOTAL Truncated Unadjusted Claims Expenses (A21 -A19)]],AN_TME23[[#All],[Insurance Category Code]],5,AN_TME23[[#All],[Advanced Network/Insurance Carrier Org ID]],B217)/S217)</f>
        <v>NA</v>
      </c>
      <c r="AE217" s="165" t="str">
        <f>IF(S217=0,"NA",SUMIFS(AN_TME23[[#All],[TOTAL Non-Claims Expenses]],AN_TME23[[#All],[Insurance Category Code]],5,AN_TME23[[#All],[Advanced Network/Insurance Carrier Org ID]],B217)/S217)</f>
        <v>NA</v>
      </c>
      <c r="AF217" s="165" t="str">
        <f>IF(S217=0,"NA",SUMIFS(AN_TME23[[#All],[TOTAL Non-Truncated Unadjusted Expenses (A21 + A23)]],AN_TME23[[#All],[Insurance Category Code]],5,AN_TME23[[#All],[Advanced Network/Insurance Carrier Org ID]],B217)/S217)</f>
        <v>NA</v>
      </c>
      <c r="AG217" s="156" t="str">
        <f>IF(S217=0,"NA",SUMIFS(AN_TME23[[#All],[TOTAL Truncated Unadjusted Expenses (A22 + A23)]],AN_TME23[[#All],[Insurance Category Code]],5,AN_TME23[[#All],[Advanced Network/Insurance Carrier Org ID]],B217)/S217)</f>
        <v>NA</v>
      </c>
      <c r="AH217" s="478" t="str">
        <f t="shared" si="291"/>
        <v>NA</v>
      </c>
      <c r="AI217" s="479" t="str">
        <f t="shared" si="292"/>
        <v>NA</v>
      </c>
      <c r="AJ217" s="480" t="str">
        <f t="shared" si="293"/>
        <v>NA</v>
      </c>
      <c r="AK217" s="480" t="str">
        <f t="shared" si="294"/>
        <v>NA</v>
      </c>
      <c r="AL217" s="480" t="str">
        <f t="shared" si="295"/>
        <v>NA</v>
      </c>
      <c r="AM217" s="480" t="str">
        <f t="shared" si="296"/>
        <v>NA</v>
      </c>
      <c r="AN217" s="480" t="str">
        <f t="shared" si="297"/>
        <v>NA</v>
      </c>
      <c r="AO217" s="480" t="str">
        <f t="shared" si="298"/>
        <v>NA</v>
      </c>
      <c r="AP217" s="480" t="str">
        <f t="shared" si="299"/>
        <v>NA</v>
      </c>
      <c r="AQ217" s="480" t="str">
        <f t="shared" si="300"/>
        <v>NA</v>
      </c>
      <c r="AR217" s="481" t="str">
        <f t="shared" si="301"/>
        <v>NA</v>
      </c>
      <c r="AS217" s="481" t="str">
        <f t="shared" si="302"/>
        <v>NA</v>
      </c>
      <c r="AT217" s="481" t="str">
        <f t="shared" si="303"/>
        <v>NA</v>
      </c>
      <c r="AU217" s="481" t="str">
        <f t="shared" si="304"/>
        <v>NA</v>
      </c>
      <c r="AV217" s="482" t="str">
        <f t="shared" si="305"/>
        <v>NA</v>
      </c>
    </row>
    <row r="218" spans="1:48" ht="15" customHeight="1" x14ac:dyDescent="0.25">
      <c r="A218" s="164"/>
      <c r="B218" s="166">
        <v>121</v>
      </c>
      <c r="C218" s="169" t="str">
        <f>_xlfn.XLOOKUP(B218, LgProvEntOrgIDs[Advanced Network/Insurer Carrier Org ID], LgProvEntOrgIDs[Advanced Network/Insurance Carrier Overall])</f>
        <v>Generations Family Health Center</v>
      </c>
      <c r="D218" s="507">
        <f>SUMIFS(AN_TME22[[#All],[Member Months]],AN_TME22[[#All],[Insurance Category Code]],5,AN_TME22[[#All],[Advanced Network/Insurance Carrier Org ID]],B218)</f>
        <v>0</v>
      </c>
      <c r="E218" s="155" t="str">
        <f>IF(D218=0,"NA",SUMIFS(AN_TME22[[#All],[Claims: Hospital Inpatient]],AN_TME22[[#All],[Insurance Category Code]],5,AN_TME22[[#All],[Advanced Network/Insurance Carrier Org ID]],B218)/D218)</f>
        <v>NA</v>
      </c>
      <c r="F218" s="109" t="str">
        <f>IF(D218=0,"NA",SUMIFS(AN_TME22[[#All],[Claims: Hospital Outpatient]],AN_TME22[[#All],[Insurance Category Code]],5,AN_TME22[[#All],[Advanced Network/Insurance Carrier Org ID]],B218)/D218)</f>
        <v>NA</v>
      </c>
      <c r="G218" s="109" t="str">
        <f>IF(D218=0,"NA",SUMIFS(AN_TME22[[#All],[Claims: Professional, Primary Care]],AN_TME22[[#All],[Insurance Category Code]],5,AN_TME22[[#All],[Advanced Network/Insurance Carrier Org ID]],B218)/D218)</f>
        <v>NA</v>
      </c>
      <c r="H218" s="109" t="str">
        <f>IF(D218=0,"NA",SUMIFS(AN_TME22[[#All],[Claims: Professional, Primary Care (for Monitoring Purposes)]],AN_TME22[[#All],[Insurance Category Code]],5,AN_TME22[[#All],[Advanced Network/Insurance Carrier Org ID]],B218)/D218)</f>
        <v>NA</v>
      </c>
      <c r="I218" s="109" t="str">
        <f>IF(D218=0,"NA",SUMIFS(AN_TME22[[#All],[Claims: Professional, Specialty]],AN_TME22[[#All],[Insurance Category Code]],5,AN_TME22[[#All],[Advanced Network/Insurance Carrier Org ID]],B218)/D218)</f>
        <v>NA</v>
      </c>
      <c r="J218" s="109" t="str">
        <f>IF(D218=0,"NA",SUMIFS(AN_TME22[[#All],[Claims: Professional Other]],AN_TME22[[#All],[Insurance Category Code]],5,AN_TME22[[#All],[Advanced Network/Insurance Carrier Org ID]],B218)/D218)</f>
        <v>NA</v>
      </c>
      <c r="K218" s="109" t="str">
        <f>IF(D218=0,"NA",SUMIFS(AN_TME22[[#All],[Claims: Pharmacy]],AN_TME22[[#All],[Insurance Category Code]],5,AN_TME22[[#All],[Advanced Network/Insurance Carrier Org ID]],B218)/D218)</f>
        <v>NA</v>
      </c>
      <c r="L218" s="109" t="str">
        <f>IF(D218=0,"NA",SUMIFS(AN_TME22[[#All],[Claims: Long-Term Care]],AN_TME22[[#All],[Insurance Category Code]],5,AN_TME22[[#All],[Advanced Network/Insurance Carrier Org ID]],B218)/D218)</f>
        <v>NA</v>
      </c>
      <c r="M218" s="109" t="str">
        <f>IF(D218=0,"NA",SUMIFS(AN_TME22[[#All],[Claims: Other]],AN_TME22[[#All],[Insurance Category Code]],5,AN_TME22[[#All],[Advanced Network/Insurance Carrier Org ID]],B218)/D218)</f>
        <v>NA</v>
      </c>
      <c r="N218" s="165" t="str">
        <f>IF(D218=0,"NA",SUMIFS(AN_TME22[[#All],[TOTAL Non-Truncated Unadjusted Claims Expenses]],AN_TME22[[#All],[Insurance Category Code]],5,AN_TME22[[#All],[Advanced Network/Insurance Carrier Org ID]],B218)/D218)</f>
        <v>NA</v>
      </c>
      <c r="O218" s="165" t="str">
        <f>IF(D218=0,"NA",SUMIFS(AN_TME22[[#All],[TOTAL Truncated Unadjusted Claims Expenses (A21 -A19)]],AN_TME22[[#All],[Insurance Category Code]],5,AN_TME22[[#All],[Advanced Network/Insurance Carrier Org ID]],B218)/D218)</f>
        <v>NA</v>
      </c>
      <c r="P218" s="165" t="str">
        <f>IF(D218=0,"NA",SUMIFS(AN_TME22[[#All],[TOTAL Non-Claims Expenses]],AN_TME22[[#All],[Insurance Category Code]],5,AN_TME22[[#All],[Advanced Network/Insurance Carrier Org ID]],B218)/D218)</f>
        <v>NA</v>
      </c>
      <c r="Q218" s="165" t="str">
        <f>IF(D218=0,"NA",SUMIFS(AN_TME22[[#All],[TOTAL Non-Truncated Unadjusted Expenses (A21 + A23)]],AN_TME22[[#All],[Insurance Category Code]],5,AN_TME22[[#All],[Advanced Network/Insurance Carrier Org ID]],B218)/D218)</f>
        <v>NA</v>
      </c>
      <c r="R218" s="165" t="str">
        <f>IF(D218=0,"NA",SUMIFS(AN_TME22[[#All],[TOTAL Truncated Unadjusted Expenses (A22 + A23)]],AN_TME22[[#All],[Insurance Category Code]],5,AN_TME22[[#All],[Advanced Network/Insurance Carrier Org ID]],B218)/D218)</f>
        <v>NA</v>
      </c>
      <c r="S218" s="507">
        <f>SUMIFS(AN_TME23[[#All],[Member Months]],AN_TME23[[#All],[Insurance Category Code]],5,AN_TME23[[#All],[Advanced Network/Insurance Carrier Org ID]],B218)</f>
        <v>0</v>
      </c>
      <c r="T218" s="155" t="str">
        <f>IF(S218=0,"NA",SUMIFS(AN_TME23[[#All],[Claims: Hospital Inpatient]],AN_TME23[[#All],[Insurance Category Code]],5,AN_TME23[[#All],[Advanced Network/Insurance Carrier Org ID]],B218)/S218)</f>
        <v>NA</v>
      </c>
      <c r="U218" s="109" t="str">
        <f>IF(S218=0,"NA",SUMIFS(AN_TME23[[#All],[Claims: Hospital Outpatient]],AN_TME23[[#All],[Insurance Category Code]],5,AN_TME23[[#All],[Advanced Network/Insurance Carrier Org ID]],B218)/S218)</f>
        <v>NA</v>
      </c>
      <c r="V218" s="109" t="str">
        <f>IF(S218=0,"NA",SUMIFS(AN_TME23[[#All],[Claims: Professional, Primary Care]],AN_TME23[[#All],[Insurance Category Code]],5,AN_TME23[[#All],[Advanced Network/Insurance Carrier Org ID]],B218)/S218)</f>
        <v>NA</v>
      </c>
      <c r="W218" s="109" t="str">
        <f>IF(S218=0,"NA",SUMIFS(AN_TME23[[#All],[Claims: Professional, Primary Care (for Monitoring Purposes)]],AN_TME23[[#All],[Insurance Category Code]],5,AN_TME23[[#All],[Advanced Network/Insurance Carrier Org ID]],B218)/S218)</f>
        <v>NA</v>
      </c>
      <c r="X218" s="109" t="str">
        <f>IF(S218=0,"NA",SUMIFS(AN_TME23[[#All],[Claims: Professional, Specialty]],AN_TME23[[#All],[Insurance Category Code]],5,AN_TME23[[#All],[Advanced Network/Insurance Carrier Org ID]],B218)/S218)</f>
        <v>NA</v>
      </c>
      <c r="Y218" s="109" t="str">
        <f>IF(S218=0,"NA",SUMIFS(AN_TME23[[#All],[Claims: Professional Other]],AN_TME23[[#All],[Insurance Category Code]],5,AN_TME23[[#All],[Advanced Network/Insurance Carrier Org ID]],B218)/S218)</f>
        <v>NA</v>
      </c>
      <c r="Z218" s="109" t="str">
        <f>IF(S218=0,"NA",SUMIFS(AN_TME23[[#All],[Claims: Pharmacy]],AN_TME23[[#All],[Insurance Category Code]],5,AN_TME23[[#All],[Advanced Network/Insurance Carrier Org ID]],B218)/S218)</f>
        <v>NA</v>
      </c>
      <c r="AA218" s="109" t="str">
        <f>IF(S218=0,"NA",SUMIFS(AN_TME23[[#All],[Claims: Long-Term Care]],AN_TME23[[#All],[Insurance Category Code]],5,AN_TME23[[#All],[Advanced Network/Insurance Carrier Org ID]],B218)/S218)</f>
        <v>NA</v>
      </c>
      <c r="AB218" s="109" t="str">
        <f>IF(S218=0,"NA",SUMIFS(AN_TME23[[#All],[Claims: Other]],AN_TME23[[#All],[Insurance Category Code]],5,AN_TME23[[#All],[Advanced Network/Insurance Carrier Org ID]],B218)/S218)</f>
        <v>NA</v>
      </c>
      <c r="AC218" s="165" t="str">
        <f>IF(S218=0,"NA",SUMIFS(AN_TME23[[#All],[TOTAL Non-Truncated Unadjusted Claims Expenses]],AN_TME23[[#All],[Insurance Category Code]],5,AN_TME23[[#All],[Advanced Network/Insurance Carrier Org ID]],B218)/S218)</f>
        <v>NA</v>
      </c>
      <c r="AD218" s="165" t="str">
        <f>IF(S218=0,"NA",SUMIFS(AN_TME23[[#All],[TOTAL Truncated Unadjusted Claims Expenses (A21 -A19)]],AN_TME23[[#All],[Insurance Category Code]],5,AN_TME23[[#All],[Advanced Network/Insurance Carrier Org ID]],B218)/S218)</f>
        <v>NA</v>
      </c>
      <c r="AE218" s="165" t="str">
        <f>IF(S218=0,"NA",SUMIFS(AN_TME23[[#All],[TOTAL Non-Claims Expenses]],AN_TME23[[#All],[Insurance Category Code]],5,AN_TME23[[#All],[Advanced Network/Insurance Carrier Org ID]],B218)/S218)</f>
        <v>NA</v>
      </c>
      <c r="AF218" s="165" t="str">
        <f>IF(S218=0,"NA",SUMIFS(AN_TME23[[#All],[TOTAL Non-Truncated Unadjusted Expenses (A21 + A23)]],AN_TME23[[#All],[Insurance Category Code]],5,AN_TME23[[#All],[Advanced Network/Insurance Carrier Org ID]],B218)/S218)</f>
        <v>NA</v>
      </c>
      <c r="AG218" s="156" t="str">
        <f>IF(S218=0,"NA",SUMIFS(AN_TME23[[#All],[TOTAL Truncated Unadjusted Expenses (A22 + A23)]],AN_TME23[[#All],[Insurance Category Code]],5,AN_TME23[[#All],[Advanced Network/Insurance Carrier Org ID]],B218)/S218)</f>
        <v>NA</v>
      </c>
      <c r="AH218" s="478" t="str">
        <f t="shared" si="291"/>
        <v>NA</v>
      </c>
      <c r="AI218" s="479" t="str">
        <f t="shared" si="292"/>
        <v>NA</v>
      </c>
      <c r="AJ218" s="480" t="str">
        <f t="shared" si="293"/>
        <v>NA</v>
      </c>
      <c r="AK218" s="480" t="str">
        <f t="shared" si="294"/>
        <v>NA</v>
      </c>
      <c r="AL218" s="480" t="str">
        <f t="shared" si="295"/>
        <v>NA</v>
      </c>
      <c r="AM218" s="480" t="str">
        <f t="shared" si="296"/>
        <v>NA</v>
      </c>
      <c r="AN218" s="480" t="str">
        <f t="shared" si="297"/>
        <v>NA</v>
      </c>
      <c r="AO218" s="480" t="str">
        <f t="shared" si="298"/>
        <v>NA</v>
      </c>
      <c r="AP218" s="480" t="str">
        <f t="shared" si="299"/>
        <v>NA</v>
      </c>
      <c r="AQ218" s="480" t="str">
        <f t="shared" si="300"/>
        <v>NA</v>
      </c>
      <c r="AR218" s="481" t="str">
        <f t="shared" si="301"/>
        <v>NA</v>
      </c>
      <c r="AS218" s="481" t="str">
        <f t="shared" si="302"/>
        <v>NA</v>
      </c>
      <c r="AT218" s="481" t="str">
        <f t="shared" si="303"/>
        <v>NA</v>
      </c>
      <c r="AU218" s="481" t="str">
        <f t="shared" si="304"/>
        <v>NA</v>
      </c>
      <c r="AV218" s="482" t="str">
        <f t="shared" si="305"/>
        <v>NA</v>
      </c>
    </row>
    <row r="219" spans="1:48" ht="15" customHeight="1" x14ac:dyDescent="0.25">
      <c r="A219" s="164"/>
      <c r="B219" s="166">
        <v>122</v>
      </c>
      <c r="C219" s="169" t="str">
        <f>_xlfn.XLOOKUP(B219, LgProvEntOrgIDs[Advanced Network/Insurer Carrier Org ID], LgProvEntOrgIDs[Advanced Network/Insurance Carrier Overall])</f>
        <v>Norwalk Community Health Center</v>
      </c>
      <c r="D219" s="507">
        <f>SUMIFS(AN_TME22[[#All],[Member Months]],AN_TME22[[#All],[Insurance Category Code]],5,AN_TME22[[#All],[Advanced Network/Insurance Carrier Org ID]],B219)</f>
        <v>0</v>
      </c>
      <c r="E219" s="155" t="str">
        <f>IF(D219=0,"NA",SUMIFS(AN_TME22[[#All],[Claims: Hospital Inpatient]],AN_TME22[[#All],[Insurance Category Code]],5,AN_TME22[[#All],[Advanced Network/Insurance Carrier Org ID]],B219)/D219)</f>
        <v>NA</v>
      </c>
      <c r="F219" s="109" t="str">
        <f>IF(D219=0,"NA",SUMIFS(AN_TME22[[#All],[Claims: Hospital Outpatient]],AN_TME22[[#All],[Insurance Category Code]],5,AN_TME22[[#All],[Advanced Network/Insurance Carrier Org ID]],B219)/D219)</f>
        <v>NA</v>
      </c>
      <c r="G219" s="109" t="str">
        <f>IF(D219=0,"NA",SUMIFS(AN_TME22[[#All],[Claims: Professional, Primary Care]],AN_TME22[[#All],[Insurance Category Code]],5,AN_TME22[[#All],[Advanced Network/Insurance Carrier Org ID]],B219)/D219)</f>
        <v>NA</v>
      </c>
      <c r="H219" s="109" t="str">
        <f>IF(D219=0,"NA",SUMIFS(AN_TME22[[#All],[Claims: Professional, Primary Care (for Monitoring Purposes)]],AN_TME22[[#All],[Insurance Category Code]],5,AN_TME22[[#All],[Advanced Network/Insurance Carrier Org ID]],B219)/D219)</f>
        <v>NA</v>
      </c>
      <c r="I219" s="109" t="str">
        <f>IF(D219=0,"NA",SUMIFS(AN_TME22[[#All],[Claims: Professional, Specialty]],AN_TME22[[#All],[Insurance Category Code]],5,AN_TME22[[#All],[Advanced Network/Insurance Carrier Org ID]],B219)/D219)</f>
        <v>NA</v>
      </c>
      <c r="J219" s="109" t="str">
        <f>IF(D219=0,"NA",SUMIFS(AN_TME22[[#All],[Claims: Professional Other]],AN_TME22[[#All],[Insurance Category Code]],5,AN_TME22[[#All],[Advanced Network/Insurance Carrier Org ID]],B219)/D219)</f>
        <v>NA</v>
      </c>
      <c r="K219" s="109" t="str">
        <f>IF(D219=0,"NA",SUMIFS(AN_TME22[[#All],[Claims: Pharmacy]],AN_TME22[[#All],[Insurance Category Code]],5,AN_TME22[[#All],[Advanced Network/Insurance Carrier Org ID]],B219)/D219)</f>
        <v>NA</v>
      </c>
      <c r="L219" s="109" t="str">
        <f>IF(D219=0,"NA",SUMIFS(AN_TME22[[#All],[Claims: Long-Term Care]],AN_TME22[[#All],[Insurance Category Code]],5,AN_TME22[[#All],[Advanced Network/Insurance Carrier Org ID]],B219)/D219)</f>
        <v>NA</v>
      </c>
      <c r="M219" s="109" t="str">
        <f>IF(D219=0,"NA",SUMIFS(AN_TME22[[#All],[Claims: Other]],AN_TME22[[#All],[Insurance Category Code]],5,AN_TME22[[#All],[Advanced Network/Insurance Carrier Org ID]],B219)/D219)</f>
        <v>NA</v>
      </c>
      <c r="N219" s="165" t="str">
        <f>IF(D219=0,"NA",SUMIFS(AN_TME22[[#All],[TOTAL Non-Truncated Unadjusted Claims Expenses]],AN_TME22[[#All],[Insurance Category Code]],5,AN_TME22[[#All],[Advanced Network/Insurance Carrier Org ID]],B219)/D219)</f>
        <v>NA</v>
      </c>
      <c r="O219" s="165" t="str">
        <f>IF(D219=0,"NA",SUMIFS(AN_TME22[[#All],[TOTAL Truncated Unadjusted Claims Expenses (A21 -A19)]],AN_TME22[[#All],[Insurance Category Code]],5,AN_TME22[[#All],[Advanced Network/Insurance Carrier Org ID]],B219)/D219)</f>
        <v>NA</v>
      </c>
      <c r="P219" s="165" t="str">
        <f>IF(D219=0,"NA",SUMIFS(AN_TME22[[#All],[TOTAL Non-Claims Expenses]],AN_TME22[[#All],[Insurance Category Code]],5,AN_TME22[[#All],[Advanced Network/Insurance Carrier Org ID]],B219)/D219)</f>
        <v>NA</v>
      </c>
      <c r="Q219" s="165" t="str">
        <f>IF(D219=0,"NA",SUMIFS(AN_TME22[[#All],[TOTAL Non-Truncated Unadjusted Expenses (A21 + A23)]],AN_TME22[[#All],[Insurance Category Code]],5,AN_TME22[[#All],[Advanced Network/Insurance Carrier Org ID]],B219)/D219)</f>
        <v>NA</v>
      </c>
      <c r="R219" s="165" t="str">
        <f>IF(D219=0,"NA",SUMIFS(AN_TME22[[#All],[TOTAL Truncated Unadjusted Expenses (A22 + A23)]],AN_TME22[[#All],[Insurance Category Code]],5,AN_TME22[[#All],[Advanced Network/Insurance Carrier Org ID]],B219)/D219)</f>
        <v>NA</v>
      </c>
      <c r="S219" s="507">
        <f>SUMIFS(AN_TME23[[#All],[Member Months]],AN_TME23[[#All],[Insurance Category Code]],5,AN_TME23[[#All],[Advanced Network/Insurance Carrier Org ID]],B219)</f>
        <v>0</v>
      </c>
      <c r="T219" s="155" t="str">
        <f>IF(S219=0,"NA",SUMIFS(AN_TME23[[#All],[Claims: Hospital Inpatient]],AN_TME23[[#All],[Insurance Category Code]],5,AN_TME23[[#All],[Advanced Network/Insurance Carrier Org ID]],B219)/S219)</f>
        <v>NA</v>
      </c>
      <c r="U219" s="109" t="str">
        <f>IF(S219=0,"NA",SUMIFS(AN_TME23[[#All],[Claims: Hospital Outpatient]],AN_TME23[[#All],[Insurance Category Code]],5,AN_TME23[[#All],[Advanced Network/Insurance Carrier Org ID]],B219)/S219)</f>
        <v>NA</v>
      </c>
      <c r="V219" s="109" t="str">
        <f>IF(S219=0,"NA",SUMIFS(AN_TME23[[#All],[Claims: Professional, Primary Care]],AN_TME23[[#All],[Insurance Category Code]],5,AN_TME23[[#All],[Advanced Network/Insurance Carrier Org ID]],B219)/S219)</f>
        <v>NA</v>
      </c>
      <c r="W219" s="109" t="str">
        <f>IF(S219=0,"NA",SUMIFS(AN_TME23[[#All],[Claims: Professional, Primary Care (for Monitoring Purposes)]],AN_TME23[[#All],[Insurance Category Code]],5,AN_TME23[[#All],[Advanced Network/Insurance Carrier Org ID]],B219)/S219)</f>
        <v>NA</v>
      </c>
      <c r="X219" s="109" t="str">
        <f>IF(S219=0,"NA",SUMIFS(AN_TME23[[#All],[Claims: Professional, Specialty]],AN_TME23[[#All],[Insurance Category Code]],5,AN_TME23[[#All],[Advanced Network/Insurance Carrier Org ID]],B219)/S219)</f>
        <v>NA</v>
      </c>
      <c r="Y219" s="109" t="str">
        <f>IF(S219=0,"NA",SUMIFS(AN_TME23[[#All],[Claims: Professional Other]],AN_TME23[[#All],[Insurance Category Code]],5,AN_TME23[[#All],[Advanced Network/Insurance Carrier Org ID]],B219)/S219)</f>
        <v>NA</v>
      </c>
      <c r="Z219" s="109" t="str">
        <f>IF(S219=0,"NA",SUMIFS(AN_TME23[[#All],[Claims: Pharmacy]],AN_TME23[[#All],[Insurance Category Code]],5,AN_TME23[[#All],[Advanced Network/Insurance Carrier Org ID]],B219)/S219)</f>
        <v>NA</v>
      </c>
      <c r="AA219" s="109" t="str">
        <f>IF(S219=0,"NA",SUMIFS(AN_TME23[[#All],[Claims: Long-Term Care]],AN_TME23[[#All],[Insurance Category Code]],5,AN_TME23[[#All],[Advanced Network/Insurance Carrier Org ID]],B219)/S219)</f>
        <v>NA</v>
      </c>
      <c r="AB219" s="109" t="str">
        <f>IF(S219=0,"NA",SUMIFS(AN_TME23[[#All],[Claims: Other]],AN_TME23[[#All],[Insurance Category Code]],5,AN_TME23[[#All],[Advanced Network/Insurance Carrier Org ID]],B219)/S219)</f>
        <v>NA</v>
      </c>
      <c r="AC219" s="165" t="str">
        <f>IF(S219=0,"NA",SUMIFS(AN_TME23[[#All],[TOTAL Non-Truncated Unadjusted Claims Expenses]],AN_TME23[[#All],[Insurance Category Code]],5,AN_TME23[[#All],[Advanced Network/Insurance Carrier Org ID]],B219)/S219)</f>
        <v>NA</v>
      </c>
      <c r="AD219" s="165" t="str">
        <f>IF(S219=0,"NA",SUMIFS(AN_TME23[[#All],[TOTAL Truncated Unadjusted Claims Expenses (A21 -A19)]],AN_TME23[[#All],[Insurance Category Code]],5,AN_TME23[[#All],[Advanced Network/Insurance Carrier Org ID]],B219)/S219)</f>
        <v>NA</v>
      </c>
      <c r="AE219" s="165" t="str">
        <f>IF(S219=0,"NA",SUMIFS(AN_TME23[[#All],[TOTAL Non-Claims Expenses]],AN_TME23[[#All],[Insurance Category Code]],5,AN_TME23[[#All],[Advanced Network/Insurance Carrier Org ID]],B219)/S219)</f>
        <v>NA</v>
      </c>
      <c r="AF219" s="165" t="str">
        <f>IF(S219=0,"NA",SUMIFS(AN_TME23[[#All],[TOTAL Non-Truncated Unadjusted Expenses (A21 + A23)]],AN_TME23[[#All],[Insurance Category Code]],5,AN_TME23[[#All],[Advanced Network/Insurance Carrier Org ID]],B219)/S219)</f>
        <v>NA</v>
      </c>
      <c r="AG219" s="156" t="str">
        <f>IF(S219=0,"NA",SUMIFS(AN_TME23[[#All],[TOTAL Truncated Unadjusted Expenses (A22 + A23)]],AN_TME23[[#All],[Insurance Category Code]],5,AN_TME23[[#All],[Advanced Network/Insurance Carrier Org ID]],B219)/S219)</f>
        <v>NA</v>
      </c>
      <c r="AH219" s="478" t="str">
        <f t="shared" si="291"/>
        <v>NA</v>
      </c>
      <c r="AI219" s="479" t="str">
        <f t="shared" si="292"/>
        <v>NA</v>
      </c>
      <c r="AJ219" s="480" t="str">
        <f t="shared" si="293"/>
        <v>NA</v>
      </c>
      <c r="AK219" s="480" t="str">
        <f t="shared" si="294"/>
        <v>NA</v>
      </c>
      <c r="AL219" s="480" t="str">
        <f t="shared" si="295"/>
        <v>NA</v>
      </c>
      <c r="AM219" s="480" t="str">
        <f t="shared" si="296"/>
        <v>NA</v>
      </c>
      <c r="AN219" s="480" t="str">
        <f t="shared" si="297"/>
        <v>NA</v>
      </c>
      <c r="AO219" s="480" t="str">
        <f t="shared" si="298"/>
        <v>NA</v>
      </c>
      <c r="AP219" s="480" t="str">
        <f t="shared" si="299"/>
        <v>NA</v>
      </c>
      <c r="AQ219" s="480" t="str">
        <f t="shared" si="300"/>
        <v>NA</v>
      </c>
      <c r="AR219" s="481" t="str">
        <f t="shared" si="301"/>
        <v>NA</v>
      </c>
      <c r="AS219" s="481" t="str">
        <f t="shared" si="302"/>
        <v>NA</v>
      </c>
      <c r="AT219" s="481" t="str">
        <f t="shared" si="303"/>
        <v>NA</v>
      </c>
      <c r="AU219" s="481" t="str">
        <f t="shared" si="304"/>
        <v>NA</v>
      </c>
      <c r="AV219" s="482" t="str">
        <f t="shared" si="305"/>
        <v>NA</v>
      </c>
    </row>
    <row r="220" spans="1:48" ht="15" customHeight="1" x14ac:dyDescent="0.25">
      <c r="A220" s="164"/>
      <c r="B220" s="166">
        <v>123</v>
      </c>
      <c r="C220" s="169" t="str">
        <f>_xlfn.XLOOKUP(B220, LgProvEntOrgIDs[Advanced Network/Insurer Carrier Org ID], LgProvEntOrgIDs[Advanced Network/Insurance Carrier Overall])</f>
        <v>Optimus Health Care, Inc.</v>
      </c>
      <c r="D220" s="507">
        <f>SUMIFS(AN_TME22[[#All],[Member Months]],AN_TME22[[#All],[Insurance Category Code]],5,AN_TME22[[#All],[Advanced Network/Insurance Carrier Org ID]],B220)</f>
        <v>0</v>
      </c>
      <c r="E220" s="155" t="str">
        <f>IF(D220=0,"NA",SUMIFS(AN_TME22[[#All],[Claims: Hospital Inpatient]],AN_TME22[[#All],[Insurance Category Code]],5,AN_TME22[[#All],[Advanced Network/Insurance Carrier Org ID]],B220)/D220)</f>
        <v>NA</v>
      </c>
      <c r="F220" s="109" t="str">
        <f>IF(D220=0,"NA",SUMIFS(AN_TME22[[#All],[Claims: Hospital Outpatient]],AN_TME22[[#All],[Insurance Category Code]],5,AN_TME22[[#All],[Advanced Network/Insurance Carrier Org ID]],B220)/D220)</f>
        <v>NA</v>
      </c>
      <c r="G220" s="109" t="str">
        <f>IF(D220=0,"NA",SUMIFS(AN_TME22[[#All],[Claims: Professional, Primary Care]],AN_TME22[[#All],[Insurance Category Code]],5,AN_TME22[[#All],[Advanced Network/Insurance Carrier Org ID]],B220)/D220)</f>
        <v>NA</v>
      </c>
      <c r="H220" s="109" t="str">
        <f>IF(D220=0,"NA",SUMIFS(AN_TME22[[#All],[Claims: Professional, Primary Care (for Monitoring Purposes)]],AN_TME22[[#All],[Insurance Category Code]],5,AN_TME22[[#All],[Advanced Network/Insurance Carrier Org ID]],B220)/D220)</f>
        <v>NA</v>
      </c>
      <c r="I220" s="109" t="str">
        <f>IF(D220=0,"NA",SUMIFS(AN_TME22[[#All],[Claims: Professional, Specialty]],AN_TME22[[#All],[Insurance Category Code]],5,AN_TME22[[#All],[Advanced Network/Insurance Carrier Org ID]],B220)/D220)</f>
        <v>NA</v>
      </c>
      <c r="J220" s="109" t="str">
        <f>IF(D220=0,"NA",SUMIFS(AN_TME22[[#All],[Claims: Professional Other]],AN_TME22[[#All],[Insurance Category Code]],5,AN_TME22[[#All],[Advanced Network/Insurance Carrier Org ID]],B220)/D220)</f>
        <v>NA</v>
      </c>
      <c r="K220" s="109" t="str">
        <f>IF(D220=0,"NA",SUMIFS(AN_TME22[[#All],[Claims: Pharmacy]],AN_TME22[[#All],[Insurance Category Code]],5,AN_TME22[[#All],[Advanced Network/Insurance Carrier Org ID]],B220)/D220)</f>
        <v>NA</v>
      </c>
      <c r="L220" s="109" t="str">
        <f>IF(D220=0,"NA",SUMIFS(AN_TME22[[#All],[Claims: Long-Term Care]],AN_TME22[[#All],[Insurance Category Code]],5,AN_TME22[[#All],[Advanced Network/Insurance Carrier Org ID]],B220)/D220)</f>
        <v>NA</v>
      </c>
      <c r="M220" s="109" t="str">
        <f>IF(D220=0,"NA",SUMIFS(AN_TME22[[#All],[Claims: Other]],AN_TME22[[#All],[Insurance Category Code]],5,AN_TME22[[#All],[Advanced Network/Insurance Carrier Org ID]],B220)/D220)</f>
        <v>NA</v>
      </c>
      <c r="N220" s="165" t="str">
        <f>IF(D220=0,"NA",SUMIFS(AN_TME22[[#All],[TOTAL Non-Truncated Unadjusted Claims Expenses]],AN_TME22[[#All],[Insurance Category Code]],5,AN_TME22[[#All],[Advanced Network/Insurance Carrier Org ID]],B220)/D220)</f>
        <v>NA</v>
      </c>
      <c r="O220" s="165" t="str">
        <f>IF(D220=0,"NA",SUMIFS(AN_TME22[[#All],[TOTAL Truncated Unadjusted Claims Expenses (A21 -A19)]],AN_TME22[[#All],[Insurance Category Code]],5,AN_TME22[[#All],[Advanced Network/Insurance Carrier Org ID]],B220)/D220)</f>
        <v>NA</v>
      </c>
      <c r="P220" s="165" t="str">
        <f>IF(D220=0,"NA",SUMIFS(AN_TME22[[#All],[TOTAL Non-Claims Expenses]],AN_TME22[[#All],[Insurance Category Code]],5,AN_TME22[[#All],[Advanced Network/Insurance Carrier Org ID]],B220)/D220)</f>
        <v>NA</v>
      </c>
      <c r="Q220" s="165" t="str">
        <f>IF(D220=0,"NA",SUMIFS(AN_TME22[[#All],[TOTAL Non-Truncated Unadjusted Expenses (A21 + A23)]],AN_TME22[[#All],[Insurance Category Code]],5,AN_TME22[[#All],[Advanced Network/Insurance Carrier Org ID]],B220)/D220)</f>
        <v>NA</v>
      </c>
      <c r="R220" s="165" t="str">
        <f>IF(D220=0,"NA",SUMIFS(AN_TME22[[#All],[TOTAL Truncated Unadjusted Expenses (A22 + A23)]],AN_TME22[[#All],[Insurance Category Code]],5,AN_TME22[[#All],[Advanced Network/Insurance Carrier Org ID]],B220)/D220)</f>
        <v>NA</v>
      </c>
      <c r="S220" s="507">
        <f>SUMIFS(AN_TME23[[#All],[Member Months]],AN_TME23[[#All],[Insurance Category Code]],5,AN_TME23[[#All],[Advanced Network/Insurance Carrier Org ID]],B220)</f>
        <v>0</v>
      </c>
      <c r="T220" s="155" t="str">
        <f>IF(S220=0,"NA",SUMIFS(AN_TME23[[#All],[Claims: Hospital Inpatient]],AN_TME23[[#All],[Insurance Category Code]],5,AN_TME23[[#All],[Advanced Network/Insurance Carrier Org ID]],B220)/S220)</f>
        <v>NA</v>
      </c>
      <c r="U220" s="109" t="str">
        <f>IF(S220=0,"NA",SUMIFS(AN_TME23[[#All],[Claims: Hospital Outpatient]],AN_TME23[[#All],[Insurance Category Code]],5,AN_TME23[[#All],[Advanced Network/Insurance Carrier Org ID]],B220)/S220)</f>
        <v>NA</v>
      </c>
      <c r="V220" s="109" t="str">
        <f>IF(S220=0,"NA",SUMIFS(AN_TME23[[#All],[Claims: Professional, Primary Care]],AN_TME23[[#All],[Insurance Category Code]],5,AN_TME23[[#All],[Advanced Network/Insurance Carrier Org ID]],B220)/S220)</f>
        <v>NA</v>
      </c>
      <c r="W220" s="109" t="str">
        <f>IF(S220=0,"NA",SUMIFS(AN_TME23[[#All],[Claims: Professional, Primary Care (for Monitoring Purposes)]],AN_TME23[[#All],[Insurance Category Code]],5,AN_TME23[[#All],[Advanced Network/Insurance Carrier Org ID]],B220)/S220)</f>
        <v>NA</v>
      </c>
      <c r="X220" s="109" t="str">
        <f>IF(S220=0,"NA",SUMIFS(AN_TME23[[#All],[Claims: Professional, Specialty]],AN_TME23[[#All],[Insurance Category Code]],5,AN_TME23[[#All],[Advanced Network/Insurance Carrier Org ID]],B220)/S220)</f>
        <v>NA</v>
      </c>
      <c r="Y220" s="109" t="str">
        <f>IF(S220=0,"NA",SUMIFS(AN_TME23[[#All],[Claims: Professional Other]],AN_TME23[[#All],[Insurance Category Code]],5,AN_TME23[[#All],[Advanced Network/Insurance Carrier Org ID]],B220)/S220)</f>
        <v>NA</v>
      </c>
      <c r="Z220" s="109" t="str">
        <f>IF(S220=0,"NA",SUMIFS(AN_TME23[[#All],[Claims: Pharmacy]],AN_TME23[[#All],[Insurance Category Code]],5,AN_TME23[[#All],[Advanced Network/Insurance Carrier Org ID]],B220)/S220)</f>
        <v>NA</v>
      </c>
      <c r="AA220" s="109" t="str">
        <f>IF(S220=0,"NA",SUMIFS(AN_TME23[[#All],[Claims: Long-Term Care]],AN_TME23[[#All],[Insurance Category Code]],5,AN_TME23[[#All],[Advanced Network/Insurance Carrier Org ID]],B220)/S220)</f>
        <v>NA</v>
      </c>
      <c r="AB220" s="109" t="str">
        <f>IF(S220=0,"NA",SUMIFS(AN_TME23[[#All],[Claims: Other]],AN_TME23[[#All],[Insurance Category Code]],5,AN_TME23[[#All],[Advanced Network/Insurance Carrier Org ID]],B220)/S220)</f>
        <v>NA</v>
      </c>
      <c r="AC220" s="165" t="str">
        <f>IF(S220=0,"NA",SUMIFS(AN_TME23[[#All],[TOTAL Non-Truncated Unadjusted Claims Expenses]],AN_TME23[[#All],[Insurance Category Code]],5,AN_TME23[[#All],[Advanced Network/Insurance Carrier Org ID]],B220)/S220)</f>
        <v>NA</v>
      </c>
      <c r="AD220" s="165" t="str">
        <f>IF(S220=0,"NA",SUMIFS(AN_TME23[[#All],[TOTAL Truncated Unadjusted Claims Expenses (A21 -A19)]],AN_TME23[[#All],[Insurance Category Code]],5,AN_TME23[[#All],[Advanced Network/Insurance Carrier Org ID]],B220)/S220)</f>
        <v>NA</v>
      </c>
      <c r="AE220" s="165" t="str">
        <f>IF(S220=0,"NA",SUMIFS(AN_TME23[[#All],[TOTAL Non-Claims Expenses]],AN_TME23[[#All],[Insurance Category Code]],5,AN_TME23[[#All],[Advanced Network/Insurance Carrier Org ID]],B220)/S220)</f>
        <v>NA</v>
      </c>
      <c r="AF220" s="165" t="str">
        <f>IF(S220=0,"NA",SUMIFS(AN_TME23[[#All],[TOTAL Non-Truncated Unadjusted Expenses (A21 + A23)]],AN_TME23[[#All],[Insurance Category Code]],5,AN_TME23[[#All],[Advanced Network/Insurance Carrier Org ID]],B220)/S220)</f>
        <v>NA</v>
      </c>
      <c r="AG220" s="156" t="str">
        <f>IF(S220=0,"NA",SUMIFS(AN_TME23[[#All],[TOTAL Truncated Unadjusted Expenses (A22 + A23)]],AN_TME23[[#All],[Insurance Category Code]],5,AN_TME23[[#All],[Advanced Network/Insurance Carrier Org ID]],B220)/S220)</f>
        <v>NA</v>
      </c>
      <c r="AH220" s="478" t="str">
        <f t="shared" si="291"/>
        <v>NA</v>
      </c>
      <c r="AI220" s="479" t="str">
        <f t="shared" si="292"/>
        <v>NA</v>
      </c>
      <c r="AJ220" s="480" t="str">
        <f t="shared" si="293"/>
        <v>NA</v>
      </c>
      <c r="AK220" s="480" t="str">
        <f t="shared" si="294"/>
        <v>NA</v>
      </c>
      <c r="AL220" s="480" t="str">
        <f t="shared" si="295"/>
        <v>NA</v>
      </c>
      <c r="AM220" s="480" t="str">
        <f t="shared" si="296"/>
        <v>NA</v>
      </c>
      <c r="AN220" s="480" t="str">
        <f t="shared" si="297"/>
        <v>NA</v>
      </c>
      <c r="AO220" s="480" t="str">
        <f t="shared" si="298"/>
        <v>NA</v>
      </c>
      <c r="AP220" s="480" t="str">
        <f t="shared" si="299"/>
        <v>NA</v>
      </c>
      <c r="AQ220" s="480" t="str">
        <f t="shared" si="300"/>
        <v>NA</v>
      </c>
      <c r="AR220" s="481" t="str">
        <f t="shared" si="301"/>
        <v>NA</v>
      </c>
      <c r="AS220" s="481" t="str">
        <f t="shared" si="302"/>
        <v>NA</v>
      </c>
      <c r="AT220" s="481" t="str">
        <f t="shared" si="303"/>
        <v>NA</v>
      </c>
      <c r="AU220" s="481" t="str">
        <f t="shared" si="304"/>
        <v>NA</v>
      </c>
      <c r="AV220" s="482" t="str">
        <f t="shared" si="305"/>
        <v>NA</v>
      </c>
    </row>
    <row r="221" spans="1:48" ht="15" customHeight="1" x14ac:dyDescent="0.25">
      <c r="A221" s="164"/>
      <c r="B221" s="166">
        <v>124</v>
      </c>
      <c r="C221" s="169" t="str">
        <f>_xlfn.XLOOKUP(B221, LgProvEntOrgIDs[Advanced Network/Insurer Carrier Org ID], LgProvEntOrgIDs[Advanced Network/Insurance Carrier Overall])</f>
        <v>Southwest Community Health Center, Inc.</v>
      </c>
      <c r="D221" s="507">
        <f>SUMIFS(AN_TME22[[#All],[Member Months]],AN_TME22[[#All],[Insurance Category Code]],5,AN_TME22[[#All],[Advanced Network/Insurance Carrier Org ID]],B221)</f>
        <v>0</v>
      </c>
      <c r="E221" s="155" t="str">
        <f>IF(D221=0,"NA",SUMIFS(AN_TME22[[#All],[Claims: Hospital Inpatient]],AN_TME22[[#All],[Insurance Category Code]],5,AN_TME22[[#All],[Advanced Network/Insurance Carrier Org ID]],B221)/D221)</f>
        <v>NA</v>
      </c>
      <c r="F221" s="109" t="str">
        <f>IF(D221=0,"NA",SUMIFS(AN_TME22[[#All],[Claims: Hospital Outpatient]],AN_TME22[[#All],[Insurance Category Code]],5,AN_TME22[[#All],[Advanced Network/Insurance Carrier Org ID]],B221)/D221)</f>
        <v>NA</v>
      </c>
      <c r="G221" s="109" t="str">
        <f>IF(D221=0,"NA",SUMIFS(AN_TME22[[#All],[Claims: Professional, Primary Care]],AN_TME22[[#All],[Insurance Category Code]],5,AN_TME22[[#All],[Advanced Network/Insurance Carrier Org ID]],B221)/D221)</f>
        <v>NA</v>
      </c>
      <c r="H221" s="109" t="str">
        <f>IF(D221=0,"NA",SUMIFS(AN_TME22[[#All],[Claims: Professional, Primary Care (for Monitoring Purposes)]],AN_TME22[[#All],[Insurance Category Code]],5,AN_TME22[[#All],[Advanced Network/Insurance Carrier Org ID]],B221)/D221)</f>
        <v>NA</v>
      </c>
      <c r="I221" s="109" t="str">
        <f>IF(D221=0,"NA",SUMIFS(AN_TME22[[#All],[Claims: Professional, Specialty]],AN_TME22[[#All],[Insurance Category Code]],5,AN_TME22[[#All],[Advanced Network/Insurance Carrier Org ID]],B221)/D221)</f>
        <v>NA</v>
      </c>
      <c r="J221" s="109" t="str">
        <f>IF(D221=0,"NA",SUMIFS(AN_TME22[[#All],[Claims: Professional Other]],AN_TME22[[#All],[Insurance Category Code]],5,AN_TME22[[#All],[Advanced Network/Insurance Carrier Org ID]],B221)/D221)</f>
        <v>NA</v>
      </c>
      <c r="K221" s="109" t="str">
        <f>IF(D221=0,"NA",SUMIFS(AN_TME22[[#All],[Claims: Pharmacy]],AN_TME22[[#All],[Insurance Category Code]],5,AN_TME22[[#All],[Advanced Network/Insurance Carrier Org ID]],B221)/D221)</f>
        <v>NA</v>
      </c>
      <c r="L221" s="109" t="str">
        <f>IF(D221=0,"NA",SUMIFS(AN_TME22[[#All],[Claims: Long-Term Care]],AN_TME22[[#All],[Insurance Category Code]],5,AN_TME22[[#All],[Advanced Network/Insurance Carrier Org ID]],B221)/D221)</f>
        <v>NA</v>
      </c>
      <c r="M221" s="109" t="str">
        <f>IF(D221=0,"NA",SUMIFS(AN_TME22[[#All],[Claims: Other]],AN_TME22[[#All],[Insurance Category Code]],5,AN_TME22[[#All],[Advanced Network/Insurance Carrier Org ID]],B221)/D221)</f>
        <v>NA</v>
      </c>
      <c r="N221" s="165" t="str">
        <f>IF(D221=0,"NA",SUMIFS(AN_TME22[[#All],[TOTAL Non-Truncated Unadjusted Claims Expenses]],AN_TME22[[#All],[Insurance Category Code]],5,AN_TME22[[#All],[Advanced Network/Insurance Carrier Org ID]],B221)/D221)</f>
        <v>NA</v>
      </c>
      <c r="O221" s="165" t="str">
        <f>IF(D221=0,"NA",SUMIFS(AN_TME22[[#All],[TOTAL Truncated Unadjusted Claims Expenses (A21 -A19)]],AN_TME22[[#All],[Insurance Category Code]],5,AN_TME22[[#All],[Advanced Network/Insurance Carrier Org ID]],B221)/D221)</f>
        <v>NA</v>
      </c>
      <c r="P221" s="165" t="str">
        <f>IF(D221=0,"NA",SUMIFS(AN_TME22[[#All],[TOTAL Non-Claims Expenses]],AN_TME22[[#All],[Insurance Category Code]],5,AN_TME22[[#All],[Advanced Network/Insurance Carrier Org ID]],B221)/D221)</f>
        <v>NA</v>
      </c>
      <c r="Q221" s="165" t="str">
        <f>IF(D221=0,"NA",SUMIFS(AN_TME22[[#All],[TOTAL Non-Truncated Unadjusted Expenses (A21 + A23)]],AN_TME22[[#All],[Insurance Category Code]],5,AN_TME22[[#All],[Advanced Network/Insurance Carrier Org ID]],B221)/D221)</f>
        <v>NA</v>
      </c>
      <c r="R221" s="165" t="str">
        <f>IF(D221=0,"NA",SUMIFS(AN_TME22[[#All],[TOTAL Truncated Unadjusted Expenses (A22 + A23)]],AN_TME22[[#All],[Insurance Category Code]],5,AN_TME22[[#All],[Advanced Network/Insurance Carrier Org ID]],B221)/D221)</f>
        <v>NA</v>
      </c>
      <c r="S221" s="507">
        <f>SUMIFS(AN_TME23[[#All],[Member Months]],AN_TME23[[#All],[Insurance Category Code]],5,AN_TME23[[#All],[Advanced Network/Insurance Carrier Org ID]],B221)</f>
        <v>0</v>
      </c>
      <c r="T221" s="155" t="str">
        <f>IF(S221=0,"NA",SUMIFS(AN_TME23[[#All],[Claims: Hospital Inpatient]],AN_TME23[[#All],[Insurance Category Code]],5,AN_TME23[[#All],[Advanced Network/Insurance Carrier Org ID]],B221)/S221)</f>
        <v>NA</v>
      </c>
      <c r="U221" s="109" t="str">
        <f>IF(S221=0,"NA",SUMIFS(AN_TME23[[#All],[Claims: Hospital Outpatient]],AN_TME23[[#All],[Insurance Category Code]],5,AN_TME23[[#All],[Advanced Network/Insurance Carrier Org ID]],B221)/S221)</f>
        <v>NA</v>
      </c>
      <c r="V221" s="109" t="str">
        <f>IF(S221=0,"NA",SUMIFS(AN_TME23[[#All],[Claims: Professional, Primary Care]],AN_TME23[[#All],[Insurance Category Code]],5,AN_TME23[[#All],[Advanced Network/Insurance Carrier Org ID]],B221)/S221)</f>
        <v>NA</v>
      </c>
      <c r="W221" s="109" t="str">
        <f>IF(S221=0,"NA",SUMIFS(AN_TME23[[#All],[Claims: Professional, Primary Care (for Monitoring Purposes)]],AN_TME23[[#All],[Insurance Category Code]],5,AN_TME23[[#All],[Advanced Network/Insurance Carrier Org ID]],B221)/S221)</f>
        <v>NA</v>
      </c>
      <c r="X221" s="109" t="str">
        <f>IF(S221=0,"NA",SUMIFS(AN_TME23[[#All],[Claims: Professional, Specialty]],AN_TME23[[#All],[Insurance Category Code]],5,AN_TME23[[#All],[Advanced Network/Insurance Carrier Org ID]],B221)/S221)</f>
        <v>NA</v>
      </c>
      <c r="Y221" s="109" t="str">
        <f>IF(S221=0,"NA",SUMIFS(AN_TME23[[#All],[Claims: Professional Other]],AN_TME23[[#All],[Insurance Category Code]],5,AN_TME23[[#All],[Advanced Network/Insurance Carrier Org ID]],B221)/S221)</f>
        <v>NA</v>
      </c>
      <c r="Z221" s="109" t="str">
        <f>IF(S221=0,"NA",SUMIFS(AN_TME23[[#All],[Claims: Pharmacy]],AN_TME23[[#All],[Insurance Category Code]],5,AN_TME23[[#All],[Advanced Network/Insurance Carrier Org ID]],B221)/S221)</f>
        <v>NA</v>
      </c>
      <c r="AA221" s="109" t="str">
        <f>IF(S221=0,"NA",SUMIFS(AN_TME23[[#All],[Claims: Long-Term Care]],AN_TME23[[#All],[Insurance Category Code]],5,AN_TME23[[#All],[Advanced Network/Insurance Carrier Org ID]],B221)/S221)</f>
        <v>NA</v>
      </c>
      <c r="AB221" s="109" t="str">
        <f>IF(S221=0,"NA",SUMIFS(AN_TME23[[#All],[Claims: Other]],AN_TME23[[#All],[Insurance Category Code]],5,AN_TME23[[#All],[Advanced Network/Insurance Carrier Org ID]],B221)/S221)</f>
        <v>NA</v>
      </c>
      <c r="AC221" s="165" t="str">
        <f>IF(S221=0,"NA",SUMIFS(AN_TME23[[#All],[TOTAL Non-Truncated Unadjusted Claims Expenses]],AN_TME23[[#All],[Insurance Category Code]],5,AN_TME23[[#All],[Advanced Network/Insurance Carrier Org ID]],B221)/S221)</f>
        <v>NA</v>
      </c>
      <c r="AD221" s="165" t="str">
        <f>IF(S221=0,"NA",SUMIFS(AN_TME23[[#All],[TOTAL Truncated Unadjusted Claims Expenses (A21 -A19)]],AN_TME23[[#All],[Insurance Category Code]],5,AN_TME23[[#All],[Advanced Network/Insurance Carrier Org ID]],B221)/S221)</f>
        <v>NA</v>
      </c>
      <c r="AE221" s="165" t="str">
        <f>IF(S221=0,"NA",SUMIFS(AN_TME23[[#All],[TOTAL Non-Claims Expenses]],AN_TME23[[#All],[Insurance Category Code]],5,AN_TME23[[#All],[Advanced Network/Insurance Carrier Org ID]],B221)/S221)</f>
        <v>NA</v>
      </c>
      <c r="AF221" s="165" t="str">
        <f>IF(S221=0,"NA",SUMIFS(AN_TME23[[#All],[TOTAL Non-Truncated Unadjusted Expenses (A21 + A23)]],AN_TME23[[#All],[Insurance Category Code]],5,AN_TME23[[#All],[Advanced Network/Insurance Carrier Org ID]],B221)/S221)</f>
        <v>NA</v>
      </c>
      <c r="AG221" s="156" t="str">
        <f>IF(S221=0,"NA",SUMIFS(AN_TME23[[#All],[TOTAL Truncated Unadjusted Expenses (A22 + A23)]],AN_TME23[[#All],[Insurance Category Code]],5,AN_TME23[[#All],[Advanced Network/Insurance Carrier Org ID]],B221)/S221)</f>
        <v>NA</v>
      </c>
      <c r="AH221" s="478" t="str">
        <f t="shared" si="291"/>
        <v>NA</v>
      </c>
      <c r="AI221" s="479" t="str">
        <f t="shared" si="292"/>
        <v>NA</v>
      </c>
      <c r="AJ221" s="480" t="str">
        <f t="shared" si="293"/>
        <v>NA</v>
      </c>
      <c r="AK221" s="480" t="str">
        <f t="shared" si="294"/>
        <v>NA</v>
      </c>
      <c r="AL221" s="480" t="str">
        <f t="shared" si="295"/>
        <v>NA</v>
      </c>
      <c r="AM221" s="480" t="str">
        <f t="shared" si="296"/>
        <v>NA</v>
      </c>
      <c r="AN221" s="480" t="str">
        <f t="shared" si="297"/>
        <v>NA</v>
      </c>
      <c r="AO221" s="480" t="str">
        <f t="shared" si="298"/>
        <v>NA</v>
      </c>
      <c r="AP221" s="480" t="str">
        <f t="shared" si="299"/>
        <v>NA</v>
      </c>
      <c r="AQ221" s="480" t="str">
        <f t="shared" si="300"/>
        <v>NA</v>
      </c>
      <c r="AR221" s="481" t="str">
        <f t="shared" si="301"/>
        <v>NA</v>
      </c>
      <c r="AS221" s="481" t="str">
        <f t="shared" si="302"/>
        <v>NA</v>
      </c>
      <c r="AT221" s="481" t="str">
        <f t="shared" si="303"/>
        <v>NA</v>
      </c>
      <c r="AU221" s="481" t="str">
        <f t="shared" si="304"/>
        <v>NA</v>
      </c>
      <c r="AV221" s="482" t="str">
        <f t="shared" si="305"/>
        <v>NA</v>
      </c>
    </row>
    <row r="222" spans="1:48" ht="15" customHeight="1" x14ac:dyDescent="0.25">
      <c r="A222" s="164"/>
      <c r="B222" s="166">
        <v>125</v>
      </c>
      <c r="C222" s="169" t="str">
        <f>_xlfn.XLOOKUP(B222, LgProvEntOrgIDs[Advanced Network/Insurer Carrier Org ID], LgProvEntOrgIDs[Advanced Network/Insurance Carrier Overall])</f>
        <v>Stamford Health Medical Group</v>
      </c>
      <c r="D222" s="507">
        <f>SUMIFS(AN_TME22[[#All],[Member Months]],AN_TME22[[#All],[Insurance Category Code]],5,AN_TME22[[#All],[Advanced Network/Insurance Carrier Org ID]],B222)</f>
        <v>0</v>
      </c>
      <c r="E222" s="155" t="str">
        <f>IF(D222=0,"NA",SUMIFS(AN_TME22[[#All],[Claims: Hospital Inpatient]],AN_TME22[[#All],[Insurance Category Code]],5,AN_TME22[[#All],[Advanced Network/Insurance Carrier Org ID]],B222)/D222)</f>
        <v>NA</v>
      </c>
      <c r="F222" s="109" t="str">
        <f>IF(D222=0,"NA",SUMIFS(AN_TME22[[#All],[Claims: Hospital Outpatient]],AN_TME22[[#All],[Insurance Category Code]],5,AN_TME22[[#All],[Advanced Network/Insurance Carrier Org ID]],B222)/D222)</f>
        <v>NA</v>
      </c>
      <c r="G222" s="109" t="str">
        <f>IF(D222=0,"NA",SUMIFS(AN_TME22[[#All],[Claims: Professional, Primary Care]],AN_TME22[[#All],[Insurance Category Code]],5,AN_TME22[[#All],[Advanced Network/Insurance Carrier Org ID]],B222)/D222)</f>
        <v>NA</v>
      </c>
      <c r="H222" s="109" t="str">
        <f>IF(D222=0,"NA",SUMIFS(AN_TME22[[#All],[Claims: Professional, Primary Care (for Monitoring Purposes)]],AN_TME22[[#All],[Insurance Category Code]],5,AN_TME22[[#All],[Advanced Network/Insurance Carrier Org ID]],B222)/D222)</f>
        <v>NA</v>
      </c>
      <c r="I222" s="109" t="str">
        <f>IF(D222=0,"NA",SUMIFS(AN_TME22[[#All],[Claims: Professional, Specialty]],AN_TME22[[#All],[Insurance Category Code]],5,AN_TME22[[#All],[Advanced Network/Insurance Carrier Org ID]],B222)/D222)</f>
        <v>NA</v>
      </c>
      <c r="J222" s="109" t="str">
        <f>IF(D222=0,"NA",SUMIFS(AN_TME22[[#All],[Claims: Professional Other]],AN_TME22[[#All],[Insurance Category Code]],5,AN_TME22[[#All],[Advanced Network/Insurance Carrier Org ID]],B222)/D222)</f>
        <v>NA</v>
      </c>
      <c r="K222" s="109" t="str">
        <f>IF(D222=0,"NA",SUMIFS(AN_TME22[[#All],[Claims: Pharmacy]],AN_TME22[[#All],[Insurance Category Code]],5,AN_TME22[[#All],[Advanced Network/Insurance Carrier Org ID]],B222)/D222)</f>
        <v>NA</v>
      </c>
      <c r="L222" s="109" t="str">
        <f>IF(D222=0,"NA",SUMIFS(AN_TME22[[#All],[Claims: Long-Term Care]],AN_TME22[[#All],[Insurance Category Code]],5,AN_TME22[[#All],[Advanced Network/Insurance Carrier Org ID]],B222)/D222)</f>
        <v>NA</v>
      </c>
      <c r="M222" s="109" t="str">
        <f>IF(D222=0,"NA",SUMIFS(AN_TME22[[#All],[Claims: Other]],AN_TME22[[#All],[Insurance Category Code]],5,AN_TME22[[#All],[Advanced Network/Insurance Carrier Org ID]],B222)/D222)</f>
        <v>NA</v>
      </c>
      <c r="N222" s="165" t="str">
        <f>IF(D222=0,"NA",SUMIFS(AN_TME22[[#All],[TOTAL Non-Truncated Unadjusted Claims Expenses]],AN_TME22[[#All],[Insurance Category Code]],5,AN_TME22[[#All],[Advanced Network/Insurance Carrier Org ID]],B222)/D222)</f>
        <v>NA</v>
      </c>
      <c r="O222" s="165" t="str">
        <f>IF(D222=0,"NA",SUMIFS(AN_TME22[[#All],[TOTAL Truncated Unadjusted Claims Expenses (A21 -A19)]],AN_TME22[[#All],[Insurance Category Code]],5,AN_TME22[[#All],[Advanced Network/Insurance Carrier Org ID]],B222)/D222)</f>
        <v>NA</v>
      </c>
      <c r="P222" s="165" t="str">
        <f>IF(D222=0,"NA",SUMIFS(AN_TME22[[#All],[TOTAL Non-Claims Expenses]],AN_TME22[[#All],[Insurance Category Code]],5,AN_TME22[[#All],[Advanced Network/Insurance Carrier Org ID]],B222)/D222)</f>
        <v>NA</v>
      </c>
      <c r="Q222" s="165" t="str">
        <f>IF(D222=0,"NA",SUMIFS(AN_TME22[[#All],[TOTAL Non-Truncated Unadjusted Expenses (A21 + A23)]],AN_TME22[[#All],[Insurance Category Code]],5,AN_TME22[[#All],[Advanced Network/Insurance Carrier Org ID]],B222)/D222)</f>
        <v>NA</v>
      </c>
      <c r="R222" s="165" t="str">
        <f>IF(D222=0,"NA",SUMIFS(AN_TME22[[#All],[TOTAL Truncated Unadjusted Expenses (A22 + A23)]],AN_TME22[[#All],[Insurance Category Code]],5,AN_TME22[[#All],[Advanced Network/Insurance Carrier Org ID]],B222)/D222)</f>
        <v>NA</v>
      </c>
      <c r="S222" s="507">
        <f>SUMIFS(AN_TME23[[#All],[Member Months]],AN_TME23[[#All],[Insurance Category Code]],5,AN_TME23[[#All],[Advanced Network/Insurance Carrier Org ID]],B222)</f>
        <v>0</v>
      </c>
      <c r="T222" s="155" t="str">
        <f>IF(S222=0,"NA",SUMIFS(AN_TME23[[#All],[Claims: Hospital Inpatient]],AN_TME23[[#All],[Insurance Category Code]],5,AN_TME23[[#All],[Advanced Network/Insurance Carrier Org ID]],B222)/S222)</f>
        <v>NA</v>
      </c>
      <c r="U222" s="109" t="str">
        <f>IF(S222=0,"NA",SUMIFS(AN_TME23[[#All],[Claims: Hospital Outpatient]],AN_TME23[[#All],[Insurance Category Code]],5,AN_TME23[[#All],[Advanced Network/Insurance Carrier Org ID]],B222)/S222)</f>
        <v>NA</v>
      </c>
      <c r="V222" s="109" t="str">
        <f>IF(S222=0,"NA",SUMIFS(AN_TME23[[#All],[Claims: Professional, Primary Care]],AN_TME23[[#All],[Insurance Category Code]],5,AN_TME23[[#All],[Advanced Network/Insurance Carrier Org ID]],B222)/S222)</f>
        <v>NA</v>
      </c>
      <c r="W222" s="109" t="str">
        <f>IF(S222=0,"NA",SUMIFS(AN_TME23[[#All],[Claims: Professional, Primary Care (for Monitoring Purposes)]],AN_TME23[[#All],[Insurance Category Code]],5,AN_TME23[[#All],[Advanced Network/Insurance Carrier Org ID]],B222)/S222)</f>
        <v>NA</v>
      </c>
      <c r="X222" s="109" t="str">
        <f>IF(S222=0,"NA",SUMIFS(AN_TME23[[#All],[Claims: Professional, Specialty]],AN_TME23[[#All],[Insurance Category Code]],5,AN_TME23[[#All],[Advanced Network/Insurance Carrier Org ID]],B222)/S222)</f>
        <v>NA</v>
      </c>
      <c r="Y222" s="109" t="str">
        <f>IF(S222=0,"NA",SUMIFS(AN_TME23[[#All],[Claims: Professional Other]],AN_TME23[[#All],[Insurance Category Code]],5,AN_TME23[[#All],[Advanced Network/Insurance Carrier Org ID]],B222)/S222)</f>
        <v>NA</v>
      </c>
      <c r="Z222" s="109" t="str">
        <f>IF(S222=0,"NA",SUMIFS(AN_TME23[[#All],[Claims: Pharmacy]],AN_TME23[[#All],[Insurance Category Code]],5,AN_TME23[[#All],[Advanced Network/Insurance Carrier Org ID]],B222)/S222)</f>
        <v>NA</v>
      </c>
      <c r="AA222" s="109" t="str">
        <f>IF(S222=0,"NA",SUMIFS(AN_TME23[[#All],[Claims: Long-Term Care]],AN_TME23[[#All],[Insurance Category Code]],5,AN_TME23[[#All],[Advanced Network/Insurance Carrier Org ID]],B222)/S222)</f>
        <v>NA</v>
      </c>
      <c r="AB222" s="109" t="str">
        <f>IF(S222=0,"NA",SUMIFS(AN_TME23[[#All],[Claims: Other]],AN_TME23[[#All],[Insurance Category Code]],5,AN_TME23[[#All],[Advanced Network/Insurance Carrier Org ID]],B222)/S222)</f>
        <v>NA</v>
      </c>
      <c r="AC222" s="165" t="str">
        <f>IF(S222=0,"NA",SUMIFS(AN_TME23[[#All],[TOTAL Non-Truncated Unadjusted Claims Expenses]],AN_TME23[[#All],[Insurance Category Code]],5,AN_TME23[[#All],[Advanced Network/Insurance Carrier Org ID]],B222)/S222)</f>
        <v>NA</v>
      </c>
      <c r="AD222" s="165" t="str">
        <f>IF(S222=0,"NA",SUMIFS(AN_TME23[[#All],[TOTAL Truncated Unadjusted Claims Expenses (A21 -A19)]],AN_TME23[[#All],[Insurance Category Code]],5,AN_TME23[[#All],[Advanced Network/Insurance Carrier Org ID]],B222)/S222)</f>
        <v>NA</v>
      </c>
      <c r="AE222" s="165" t="str">
        <f>IF(S222=0,"NA",SUMIFS(AN_TME23[[#All],[TOTAL Non-Claims Expenses]],AN_TME23[[#All],[Insurance Category Code]],5,AN_TME23[[#All],[Advanced Network/Insurance Carrier Org ID]],B222)/S222)</f>
        <v>NA</v>
      </c>
      <c r="AF222" s="165" t="str">
        <f>IF(S222=0,"NA",SUMIFS(AN_TME23[[#All],[TOTAL Non-Truncated Unadjusted Expenses (A21 + A23)]],AN_TME23[[#All],[Insurance Category Code]],5,AN_TME23[[#All],[Advanced Network/Insurance Carrier Org ID]],B222)/S222)</f>
        <v>NA</v>
      </c>
      <c r="AG222" s="156" t="str">
        <f>IF(S222=0,"NA",SUMIFS(AN_TME23[[#All],[TOTAL Truncated Unadjusted Expenses (A22 + A23)]],AN_TME23[[#All],[Insurance Category Code]],5,AN_TME23[[#All],[Advanced Network/Insurance Carrier Org ID]],B222)/S222)</f>
        <v>NA</v>
      </c>
      <c r="AH222" s="478" t="str">
        <f t="shared" si="291"/>
        <v>NA</v>
      </c>
      <c r="AI222" s="479" t="str">
        <f t="shared" si="292"/>
        <v>NA</v>
      </c>
      <c r="AJ222" s="480" t="str">
        <f t="shared" si="293"/>
        <v>NA</v>
      </c>
      <c r="AK222" s="480" t="str">
        <f t="shared" si="294"/>
        <v>NA</v>
      </c>
      <c r="AL222" s="480" t="str">
        <f t="shared" si="295"/>
        <v>NA</v>
      </c>
      <c r="AM222" s="480" t="str">
        <f t="shared" si="296"/>
        <v>NA</v>
      </c>
      <c r="AN222" s="480" t="str">
        <f t="shared" si="297"/>
        <v>NA</v>
      </c>
      <c r="AO222" s="480" t="str">
        <f t="shared" si="298"/>
        <v>NA</v>
      </c>
      <c r="AP222" s="480" t="str">
        <f t="shared" si="299"/>
        <v>NA</v>
      </c>
      <c r="AQ222" s="480" t="str">
        <f t="shared" si="300"/>
        <v>NA</v>
      </c>
      <c r="AR222" s="481" t="str">
        <f t="shared" si="301"/>
        <v>NA</v>
      </c>
      <c r="AS222" s="481" t="str">
        <f t="shared" si="302"/>
        <v>NA</v>
      </c>
      <c r="AT222" s="481" t="str">
        <f t="shared" si="303"/>
        <v>NA</v>
      </c>
      <c r="AU222" s="481" t="str">
        <f t="shared" si="304"/>
        <v>NA</v>
      </c>
      <c r="AV222" s="482" t="str">
        <f t="shared" si="305"/>
        <v>NA</v>
      </c>
    </row>
    <row r="223" spans="1:48" ht="15" customHeight="1" x14ac:dyDescent="0.25">
      <c r="A223" s="164"/>
      <c r="B223" s="166">
        <v>126</v>
      </c>
      <c r="C223" s="169" t="str">
        <f>_xlfn.XLOOKUP(B223, LgProvEntOrgIDs[Advanced Network/Insurer Carrier Org ID], LgProvEntOrgIDs[Advanced Network/Insurance Carrier Overall])</f>
        <v>Starling Physicians</v>
      </c>
      <c r="D223" s="507">
        <f>SUMIFS(AN_TME22[[#All],[Member Months]],AN_TME22[[#All],[Insurance Category Code]],5,AN_TME22[[#All],[Advanced Network/Insurance Carrier Org ID]],B223)</f>
        <v>0</v>
      </c>
      <c r="E223" s="155" t="str">
        <f>IF(D223=0,"NA",SUMIFS(AN_TME22[[#All],[Claims: Hospital Inpatient]],AN_TME22[[#All],[Insurance Category Code]],5,AN_TME22[[#All],[Advanced Network/Insurance Carrier Org ID]],B223)/D223)</f>
        <v>NA</v>
      </c>
      <c r="F223" s="109" t="str">
        <f>IF(D223=0,"NA",SUMIFS(AN_TME22[[#All],[Claims: Hospital Outpatient]],AN_TME22[[#All],[Insurance Category Code]],5,AN_TME22[[#All],[Advanced Network/Insurance Carrier Org ID]],B223)/D223)</f>
        <v>NA</v>
      </c>
      <c r="G223" s="109" t="str">
        <f>IF(D223=0,"NA",SUMIFS(AN_TME22[[#All],[Claims: Professional, Primary Care]],AN_TME22[[#All],[Insurance Category Code]],5,AN_TME22[[#All],[Advanced Network/Insurance Carrier Org ID]],B223)/D223)</f>
        <v>NA</v>
      </c>
      <c r="H223" s="109" t="str">
        <f>IF(D223=0,"NA",SUMIFS(AN_TME22[[#All],[Claims: Professional, Primary Care (for Monitoring Purposes)]],AN_TME22[[#All],[Insurance Category Code]],5,AN_TME22[[#All],[Advanced Network/Insurance Carrier Org ID]],B223)/D223)</f>
        <v>NA</v>
      </c>
      <c r="I223" s="109" t="str">
        <f>IF(D223=0,"NA",SUMIFS(AN_TME22[[#All],[Claims: Professional, Specialty]],AN_TME22[[#All],[Insurance Category Code]],5,AN_TME22[[#All],[Advanced Network/Insurance Carrier Org ID]],B223)/D223)</f>
        <v>NA</v>
      </c>
      <c r="J223" s="109" t="str">
        <f>IF(D223=0,"NA",SUMIFS(AN_TME22[[#All],[Claims: Professional Other]],AN_TME22[[#All],[Insurance Category Code]],5,AN_TME22[[#All],[Advanced Network/Insurance Carrier Org ID]],B223)/D223)</f>
        <v>NA</v>
      </c>
      <c r="K223" s="109" t="str">
        <f>IF(D223=0,"NA",SUMIFS(AN_TME22[[#All],[Claims: Pharmacy]],AN_TME22[[#All],[Insurance Category Code]],5,AN_TME22[[#All],[Advanced Network/Insurance Carrier Org ID]],B223)/D223)</f>
        <v>NA</v>
      </c>
      <c r="L223" s="109" t="str">
        <f>IF(D223=0,"NA",SUMIFS(AN_TME22[[#All],[Claims: Long-Term Care]],AN_TME22[[#All],[Insurance Category Code]],5,AN_TME22[[#All],[Advanced Network/Insurance Carrier Org ID]],B223)/D223)</f>
        <v>NA</v>
      </c>
      <c r="M223" s="109" t="str">
        <f>IF(D223=0,"NA",SUMIFS(AN_TME22[[#All],[Claims: Other]],AN_TME22[[#All],[Insurance Category Code]],5,AN_TME22[[#All],[Advanced Network/Insurance Carrier Org ID]],B223)/D223)</f>
        <v>NA</v>
      </c>
      <c r="N223" s="165" t="str">
        <f>IF(D223=0,"NA",SUMIFS(AN_TME22[[#All],[TOTAL Non-Truncated Unadjusted Claims Expenses]],AN_TME22[[#All],[Insurance Category Code]],5,AN_TME22[[#All],[Advanced Network/Insurance Carrier Org ID]],B223)/D223)</f>
        <v>NA</v>
      </c>
      <c r="O223" s="165" t="str">
        <f>IF(D223=0,"NA",SUMIFS(AN_TME22[[#All],[TOTAL Truncated Unadjusted Claims Expenses (A21 -A19)]],AN_TME22[[#All],[Insurance Category Code]],5,AN_TME22[[#All],[Advanced Network/Insurance Carrier Org ID]],B223)/D223)</f>
        <v>NA</v>
      </c>
      <c r="P223" s="165" t="str">
        <f>IF(D223=0,"NA",SUMIFS(AN_TME22[[#All],[TOTAL Non-Claims Expenses]],AN_TME22[[#All],[Insurance Category Code]],5,AN_TME22[[#All],[Advanced Network/Insurance Carrier Org ID]],B223)/D223)</f>
        <v>NA</v>
      </c>
      <c r="Q223" s="165" t="str">
        <f>IF(D223=0,"NA",SUMIFS(AN_TME22[[#All],[TOTAL Non-Truncated Unadjusted Expenses (A21 + A23)]],AN_TME22[[#All],[Insurance Category Code]],5,AN_TME22[[#All],[Advanced Network/Insurance Carrier Org ID]],B223)/D223)</f>
        <v>NA</v>
      </c>
      <c r="R223" s="165" t="str">
        <f>IF(D223=0,"NA",SUMIFS(AN_TME22[[#All],[TOTAL Truncated Unadjusted Expenses (A22 + A23)]],AN_TME22[[#All],[Insurance Category Code]],5,AN_TME22[[#All],[Advanced Network/Insurance Carrier Org ID]],B223)/D223)</f>
        <v>NA</v>
      </c>
      <c r="S223" s="507">
        <f>SUMIFS(AN_TME23[[#All],[Member Months]],AN_TME23[[#All],[Insurance Category Code]],5,AN_TME23[[#All],[Advanced Network/Insurance Carrier Org ID]],B223)</f>
        <v>0</v>
      </c>
      <c r="T223" s="155" t="str">
        <f>IF(S223=0,"NA",SUMIFS(AN_TME23[[#All],[Claims: Hospital Inpatient]],AN_TME23[[#All],[Insurance Category Code]],5,AN_TME23[[#All],[Advanced Network/Insurance Carrier Org ID]],B223)/S223)</f>
        <v>NA</v>
      </c>
      <c r="U223" s="109" t="str">
        <f>IF(S223=0,"NA",SUMIFS(AN_TME23[[#All],[Claims: Hospital Outpatient]],AN_TME23[[#All],[Insurance Category Code]],5,AN_TME23[[#All],[Advanced Network/Insurance Carrier Org ID]],B223)/S223)</f>
        <v>NA</v>
      </c>
      <c r="V223" s="109" t="str">
        <f>IF(S223=0,"NA",SUMIFS(AN_TME23[[#All],[Claims: Professional, Primary Care]],AN_TME23[[#All],[Insurance Category Code]],5,AN_TME23[[#All],[Advanced Network/Insurance Carrier Org ID]],B223)/S223)</f>
        <v>NA</v>
      </c>
      <c r="W223" s="109" t="str">
        <f>IF(S223=0,"NA",SUMIFS(AN_TME23[[#All],[Claims: Professional, Primary Care (for Monitoring Purposes)]],AN_TME23[[#All],[Insurance Category Code]],5,AN_TME23[[#All],[Advanced Network/Insurance Carrier Org ID]],B223)/S223)</f>
        <v>NA</v>
      </c>
      <c r="X223" s="109" t="str">
        <f>IF(S223=0,"NA",SUMIFS(AN_TME23[[#All],[Claims: Professional, Specialty]],AN_TME23[[#All],[Insurance Category Code]],5,AN_TME23[[#All],[Advanced Network/Insurance Carrier Org ID]],B223)/S223)</f>
        <v>NA</v>
      </c>
      <c r="Y223" s="109" t="str">
        <f>IF(S223=0,"NA",SUMIFS(AN_TME23[[#All],[Claims: Professional Other]],AN_TME23[[#All],[Insurance Category Code]],5,AN_TME23[[#All],[Advanced Network/Insurance Carrier Org ID]],B223)/S223)</f>
        <v>NA</v>
      </c>
      <c r="Z223" s="109" t="str">
        <f>IF(S223=0,"NA",SUMIFS(AN_TME23[[#All],[Claims: Pharmacy]],AN_TME23[[#All],[Insurance Category Code]],5,AN_TME23[[#All],[Advanced Network/Insurance Carrier Org ID]],B223)/S223)</f>
        <v>NA</v>
      </c>
      <c r="AA223" s="109" t="str">
        <f>IF(S223=0,"NA",SUMIFS(AN_TME23[[#All],[Claims: Long-Term Care]],AN_TME23[[#All],[Insurance Category Code]],5,AN_TME23[[#All],[Advanced Network/Insurance Carrier Org ID]],B223)/S223)</f>
        <v>NA</v>
      </c>
      <c r="AB223" s="109" t="str">
        <f>IF(S223=0,"NA",SUMIFS(AN_TME23[[#All],[Claims: Other]],AN_TME23[[#All],[Insurance Category Code]],5,AN_TME23[[#All],[Advanced Network/Insurance Carrier Org ID]],B223)/S223)</f>
        <v>NA</v>
      </c>
      <c r="AC223" s="165" t="str">
        <f>IF(S223=0,"NA",SUMIFS(AN_TME23[[#All],[TOTAL Non-Truncated Unadjusted Claims Expenses]],AN_TME23[[#All],[Insurance Category Code]],5,AN_TME23[[#All],[Advanced Network/Insurance Carrier Org ID]],B223)/S223)</f>
        <v>NA</v>
      </c>
      <c r="AD223" s="165" t="str">
        <f>IF(S223=0,"NA",SUMIFS(AN_TME23[[#All],[TOTAL Truncated Unadjusted Claims Expenses (A21 -A19)]],AN_TME23[[#All],[Insurance Category Code]],5,AN_TME23[[#All],[Advanced Network/Insurance Carrier Org ID]],B223)/S223)</f>
        <v>NA</v>
      </c>
      <c r="AE223" s="165" t="str">
        <f>IF(S223=0,"NA",SUMIFS(AN_TME23[[#All],[TOTAL Non-Claims Expenses]],AN_TME23[[#All],[Insurance Category Code]],5,AN_TME23[[#All],[Advanced Network/Insurance Carrier Org ID]],B223)/S223)</f>
        <v>NA</v>
      </c>
      <c r="AF223" s="165" t="str">
        <f>IF(S223=0,"NA",SUMIFS(AN_TME23[[#All],[TOTAL Non-Truncated Unadjusted Expenses (A21 + A23)]],AN_TME23[[#All],[Insurance Category Code]],5,AN_TME23[[#All],[Advanced Network/Insurance Carrier Org ID]],B223)/S223)</f>
        <v>NA</v>
      </c>
      <c r="AG223" s="156" t="str">
        <f>IF(S223=0,"NA",SUMIFS(AN_TME23[[#All],[TOTAL Truncated Unadjusted Expenses (A22 + A23)]],AN_TME23[[#All],[Insurance Category Code]],5,AN_TME23[[#All],[Advanced Network/Insurance Carrier Org ID]],B223)/S223)</f>
        <v>NA</v>
      </c>
      <c r="AH223" s="478" t="str">
        <f t="shared" si="291"/>
        <v>NA</v>
      </c>
      <c r="AI223" s="479" t="str">
        <f t="shared" si="292"/>
        <v>NA</v>
      </c>
      <c r="AJ223" s="480" t="str">
        <f t="shared" si="293"/>
        <v>NA</v>
      </c>
      <c r="AK223" s="480" t="str">
        <f t="shared" si="294"/>
        <v>NA</v>
      </c>
      <c r="AL223" s="480" t="str">
        <f t="shared" si="295"/>
        <v>NA</v>
      </c>
      <c r="AM223" s="480" t="str">
        <f t="shared" si="296"/>
        <v>NA</v>
      </c>
      <c r="AN223" s="480" t="str">
        <f t="shared" si="297"/>
        <v>NA</v>
      </c>
      <c r="AO223" s="480" t="str">
        <f t="shared" si="298"/>
        <v>NA</v>
      </c>
      <c r="AP223" s="480" t="str">
        <f t="shared" si="299"/>
        <v>NA</v>
      </c>
      <c r="AQ223" s="480" t="str">
        <f t="shared" si="300"/>
        <v>NA</v>
      </c>
      <c r="AR223" s="481" t="str">
        <f t="shared" si="301"/>
        <v>NA</v>
      </c>
      <c r="AS223" s="481" t="str">
        <f t="shared" si="302"/>
        <v>NA</v>
      </c>
      <c r="AT223" s="481" t="str">
        <f t="shared" si="303"/>
        <v>NA</v>
      </c>
      <c r="AU223" s="481" t="str">
        <f t="shared" si="304"/>
        <v>NA</v>
      </c>
      <c r="AV223" s="482" t="str">
        <f t="shared" si="305"/>
        <v>NA</v>
      </c>
    </row>
    <row r="224" spans="1:48" ht="15" customHeight="1" x14ac:dyDescent="0.25">
      <c r="A224" s="164"/>
      <c r="B224" s="166">
        <v>127</v>
      </c>
      <c r="C224" s="169" t="str">
        <f>_xlfn.XLOOKUP(B224, LgProvEntOrgIDs[Advanced Network/Insurer Carrier Org ID], LgProvEntOrgIDs[Advanced Network/Insurance Carrier Overall])</f>
        <v>UConn Medical Group</v>
      </c>
      <c r="D224" s="507">
        <f>SUMIFS(AN_TME22[[#All],[Member Months]],AN_TME22[[#All],[Insurance Category Code]],5,AN_TME22[[#All],[Advanced Network/Insurance Carrier Org ID]],B224)</f>
        <v>0</v>
      </c>
      <c r="E224" s="155" t="str">
        <f>IF(D224=0,"NA",SUMIFS(AN_TME22[[#All],[Claims: Hospital Inpatient]],AN_TME22[[#All],[Insurance Category Code]],5,AN_TME22[[#All],[Advanced Network/Insurance Carrier Org ID]],B224)/D224)</f>
        <v>NA</v>
      </c>
      <c r="F224" s="109" t="str">
        <f>IF(D224=0,"NA",SUMIFS(AN_TME22[[#All],[Claims: Hospital Outpatient]],AN_TME22[[#All],[Insurance Category Code]],5,AN_TME22[[#All],[Advanced Network/Insurance Carrier Org ID]],B224)/D224)</f>
        <v>NA</v>
      </c>
      <c r="G224" s="109" t="str">
        <f>IF(D224=0,"NA",SUMIFS(AN_TME22[[#All],[Claims: Professional, Primary Care]],AN_TME22[[#All],[Insurance Category Code]],5,AN_TME22[[#All],[Advanced Network/Insurance Carrier Org ID]],B224)/D224)</f>
        <v>NA</v>
      </c>
      <c r="H224" s="109" t="str">
        <f>IF(D224=0,"NA",SUMIFS(AN_TME22[[#All],[Claims: Professional, Primary Care (for Monitoring Purposes)]],AN_TME22[[#All],[Insurance Category Code]],5,AN_TME22[[#All],[Advanced Network/Insurance Carrier Org ID]],B224)/D224)</f>
        <v>NA</v>
      </c>
      <c r="I224" s="109" t="str">
        <f>IF(D224=0,"NA",SUMIFS(AN_TME22[[#All],[Claims: Professional, Specialty]],AN_TME22[[#All],[Insurance Category Code]],5,AN_TME22[[#All],[Advanced Network/Insurance Carrier Org ID]],B224)/D224)</f>
        <v>NA</v>
      </c>
      <c r="J224" s="109" t="str">
        <f>IF(D224=0,"NA",SUMIFS(AN_TME22[[#All],[Claims: Professional Other]],AN_TME22[[#All],[Insurance Category Code]],5,AN_TME22[[#All],[Advanced Network/Insurance Carrier Org ID]],B224)/D224)</f>
        <v>NA</v>
      </c>
      <c r="K224" s="109" t="str">
        <f>IF(D224=0,"NA",SUMIFS(AN_TME22[[#All],[Claims: Pharmacy]],AN_TME22[[#All],[Insurance Category Code]],5,AN_TME22[[#All],[Advanced Network/Insurance Carrier Org ID]],B224)/D224)</f>
        <v>NA</v>
      </c>
      <c r="L224" s="109" t="str">
        <f>IF(D224=0,"NA",SUMIFS(AN_TME22[[#All],[Claims: Long-Term Care]],AN_TME22[[#All],[Insurance Category Code]],5,AN_TME22[[#All],[Advanced Network/Insurance Carrier Org ID]],B224)/D224)</f>
        <v>NA</v>
      </c>
      <c r="M224" s="109" t="str">
        <f>IF(D224=0,"NA",SUMIFS(AN_TME22[[#All],[Claims: Other]],AN_TME22[[#All],[Insurance Category Code]],5,AN_TME22[[#All],[Advanced Network/Insurance Carrier Org ID]],B224)/D224)</f>
        <v>NA</v>
      </c>
      <c r="N224" s="165" t="str">
        <f>IF(D224=0,"NA",SUMIFS(AN_TME22[[#All],[TOTAL Non-Truncated Unadjusted Claims Expenses]],AN_TME22[[#All],[Insurance Category Code]],5,AN_TME22[[#All],[Advanced Network/Insurance Carrier Org ID]],B224)/D224)</f>
        <v>NA</v>
      </c>
      <c r="O224" s="165" t="str">
        <f>IF(D224=0,"NA",SUMIFS(AN_TME22[[#All],[TOTAL Truncated Unadjusted Claims Expenses (A21 -A19)]],AN_TME22[[#All],[Insurance Category Code]],5,AN_TME22[[#All],[Advanced Network/Insurance Carrier Org ID]],B224)/D224)</f>
        <v>NA</v>
      </c>
      <c r="P224" s="165" t="str">
        <f>IF(D224=0,"NA",SUMIFS(AN_TME22[[#All],[TOTAL Non-Claims Expenses]],AN_TME22[[#All],[Insurance Category Code]],5,AN_TME22[[#All],[Advanced Network/Insurance Carrier Org ID]],B224)/D224)</f>
        <v>NA</v>
      </c>
      <c r="Q224" s="165" t="str">
        <f>IF(D224=0,"NA",SUMIFS(AN_TME22[[#All],[TOTAL Non-Truncated Unadjusted Expenses (A21 + A23)]],AN_TME22[[#All],[Insurance Category Code]],5,AN_TME22[[#All],[Advanced Network/Insurance Carrier Org ID]],B224)/D224)</f>
        <v>NA</v>
      </c>
      <c r="R224" s="165" t="str">
        <f>IF(D224=0,"NA",SUMIFS(AN_TME22[[#All],[TOTAL Truncated Unadjusted Expenses (A22 + A23)]],AN_TME22[[#All],[Insurance Category Code]],5,AN_TME22[[#All],[Advanced Network/Insurance Carrier Org ID]],B224)/D224)</f>
        <v>NA</v>
      </c>
      <c r="S224" s="507">
        <f>SUMIFS(AN_TME23[[#All],[Member Months]],AN_TME23[[#All],[Insurance Category Code]],5,AN_TME23[[#All],[Advanced Network/Insurance Carrier Org ID]],B224)</f>
        <v>0</v>
      </c>
      <c r="T224" s="155" t="str">
        <f>IF(S224=0,"NA",SUMIFS(AN_TME23[[#All],[Claims: Hospital Inpatient]],AN_TME23[[#All],[Insurance Category Code]],5,AN_TME23[[#All],[Advanced Network/Insurance Carrier Org ID]],B224)/S224)</f>
        <v>NA</v>
      </c>
      <c r="U224" s="109" t="str">
        <f>IF(S224=0,"NA",SUMIFS(AN_TME23[[#All],[Claims: Hospital Outpatient]],AN_TME23[[#All],[Insurance Category Code]],5,AN_TME23[[#All],[Advanced Network/Insurance Carrier Org ID]],B224)/S224)</f>
        <v>NA</v>
      </c>
      <c r="V224" s="109" t="str">
        <f>IF(S224=0,"NA",SUMIFS(AN_TME23[[#All],[Claims: Professional, Primary Care]],AN_TME23[[#All],[Insurance Category Code]],5,AN_TME23[[#All],[Advanced Network/Insurance Carrier Org ID]],B224)/S224)</f>
        <v>NA</v>
      </c>
      <c r="W224" s="109" t="str">
        <f>IF(S224=0,"NA",SUMIFS(AN_TME23[[#All],[Claims: Professional, Primary Care (for Monitoring Purposes)]],AN_TME23[[#All],[Insurance Category Code]],5,AN_TME23[[#All],[Advanced Network/Insurance Carrier Org ID]],B224)/S224)</f>
        <v>NA</v>
      </c>
      <c r="X224" s="109" t="str">
        <f>IF(S224=0,"NA",SUMIFS(AN_TME23[[#All],[Claims: Professional, Specialty]],AN_TME23[[#All],[Insurance Category Code]],5,AN_TME23[[#All],[Advanced Network/Insurance Carrier Org ID]],B224)/S224)</f>
        <v>NA</v>
      </c>
      <c r="Y224" s="109" t="str">
        <f>IF(S224=0,"NA",SUMIFS(AN_TME23[[#All],[Claims: Professional Other]],AN_TME23[[#All],[Insurance Category Code]],5,AN_TME23[[#All],[Advanced Network/Insurance Carrier Org ID]],B224)/S224)</f>
        <v>NA</v>
      </c>
      <c r="Z224" s="109" t="str">
        <f>IF(S224=0,"NA",SUMIFS(AN_TME23[[#All],[Claims: Pharmacy]],AN_TME23[[#All],[Insurance Category Code]],5,AN_TME23[[#All],[Advanced Network/Insurance Carrier Org ID]],B224)/S224)</f>
        <v>NA</v>
      </c>
      <c r="AA224" s="109" t="str">
        <f>IF(S224=0,"NA",SUMIFS(AN_TME23[[#All],[Claims: Long-Term Care]],AN_TME23[[#All],[Insurance Category Code]],5,AN_TME23[[#All],[Advanced Network/Insurance Carrier Org ID]],B224)/S224)</f>
        <v>NA</v>
      </c>
      <c r="AB224" s="109" t="str">
        <f>IF(S224=0,"NA",SUMIFS(AN_TME23[[#All],[Claims: Other]],AN_TME23[[#All],[Insurance Category Code]],5,AN_TME23[[#All],[Advanced Network/Insurance Carrier Org ID]],B224)/S224)</f>
        <v>NA</v>
      </c>
      <c r="AC224" s="165" t="str">
        <f>IF(S224=0,"NA",SUMIFS(AN_TME23[[#All],[TOTAL Non-Truncated Unadjusted Claims Expenses]],AN_TME23[[#All],[Insurance Category Code]],5,AN_TME23[[#All],[Advanced Network/Insurance Carrier Org ID]],B224)/S224)</f>
        <v>NA</v>
      </c>
      <c r="AD224" s="165" t="str">
        <f>IF(S224=0,"NA",SUMIFS(AN_TME23[[#All],[TOTAL Truncated Unadjusted Claims Expenses (A21 -A19)]],AN_TME23[[#All],[Insurance Category Code]],5,AN_TME23[[#All],[Advanced Network/Insurance Carrier Org ID]],B224)/S224)</f>
        <v>NA</v>
      </c>
      <c r="AE224" s="165" t="str">
        <f>IF(S224=0,"NA",SUMIFS(AN_TME23[[#All],[TOTAL Non-Claims Expenses]],AN_TME23[[#All],[Insurance Category Code]],5,AN_TME23[[#All],[Advanced Network/Insurance Carrier Org ID]],B224)/S224)</f>
        <v>NA</v>
      </c>
      <c r="AF224" s="165" t="str">
        <f>IF(S224=0,"NA",SUMIFS(AN_TME23[[#All],[TOTAL Non-Truncated Unadjusted Expenses (A21 + A23)]],AN_TME23[[#All],[Insurance Category Code]],5,AN_TME23[[#All],[Advanced Network/Insurance Carrier Org ID]],B224)/S224)</f>
        <v>NA</v>
      </c>
      <c r="AG224" s="156" t="str">
        <f>IF(S224=0,"NA",SUMIFS(AN_TME23[[#All],[TOTAL Truncated Unadjusted Expenses (A22 + A23)]],AN_TME23[[#All],[Insurance Category Code]],5,AN_TME23[[#All],[Advanced Network/Insurance Carrier Org ID]],B224)/S224)</f>
        <v>NA</v>
      </c>
      <c r="AH224" s="478" t="str">
        <f t="shared" si="291"/>
        <v>NA</v>
      </c>
      <c r="AI224" s="479" t="str">
        <f t="shared" si="292"/>
        <v>NA</v>
      </c>
      <c r="AJ224" s="480" t="str">
        <f t="shared" si="293"/>
        <v>NA</v>
      </c>
      <c r="AK224" s="480" t="str">
        <f t="shared" si="294"/>
        <v>NA</v>
      </c>
      <c r="AL224" s="480" t="str">
        <f t="shared" si="295"/>
        <v>NA</v>
      </c>
      <c r="AM224" s="480" t="str">
        <f t="shared" si="296"/>
        <v>NA</v>
      </c>
      <c r="AN224" s="480" t="str">
        <f t="shared" si="297"/>
        <v>NA</v>
      </c>
      <c r="AO224" s="480" t="str">
        <f t="shared" si="298"/>
        <v>NA</v>
      </c>
      <c r="AP224" s="480" t="str">
        <f t="shared" si="299"/>
        <v>NA</v>
      </c>
      <c r="AQ224" s="480" t="str">
        <f t="shared" si="300"/>
        <v>NA</v>
      </c>
      <c r="AR224" s="481" t="str">
        <f t="shared" si="301"/>
        <v>NA</v>
      </c>
      <c r="AS224" s="481" t="str">
        <f t="shared" si="302"/>
        <v>NA</v>
      </c>
      <c r="AT224" s="481" t="str">
        <f t="shared" si="303"/>
        <v>NA</v>
      </c>
      <c r="AU224" s="481" t="str">
        <f t="shared" si="304"/>
        <v>NA</v>
      </c>
      <c r="AV224" s="482" t="str">
        <f t="shared" si="305"/>
        <v>NA</v>
      </c>
    </row>
    <row r="225" spans="1:48" ht="15" customHeight="1" x14ac:dyDescent="0.25">
      <c r="A225" s="164"/>
      <c r="B225" s="166">
        <v>128</v>
      </c>
      <c r="C225" s="169" t="str">
        <f>_xlfn.XLOOKUP(B225, LgProvEntOrgIDs[Advanced Network/Insurer Carrier Org ID], LgProvEntOrgIDs[Advanced Network/Insurance Carrier Overall])</f>
        <v>United Community and Family Services</v>
      </c>
      <c r="D225" s="507">
        <f>SUMIFS(AN_TME22[[#All],[Member Months]],AN_TME22[[#All],[Insurance Category Code]],5,AN_TME22[[#All],[Advanced Network/Insurance Carrier Org ID]],B225)</f>
        <v>0</v>
      </c>
      <c r="E225" s="155" t="str">
        <f>IF(D225=0,"NA",SUMIFS(AN_TME22[[#All],[Claims: Hospital Inpatient]],AN_TME22[[#All],[Insurance Category Code]],5,AN_TME22[[#All],[Advanced Network/Insurance Carrier Org ID]],B225)/D225)</f>
        <v>NA</v>
      </c>
      <c r="F225" s="109" t="str">
        <f>IF(D225=0,"NA",SUMIFS(AN_TME22[[#All],[Claims: Hospital Outpatient]],AN_TME22[[#All],[Insurance Category Code]],5,AN_TME22[[#All],[Advanced Network/Insurance Carrier Org ID]],B225)/D225)</f>
        <v>NA</v>
      </c>
      <c r="G225" s="109" t="str">
        <f>IF(D225=0,"NA",SUMIFS(AN_TME22[[#All],[Claims: Professional, Primary Care]],AN_TME22[[#All],[Insurance Category Code]],5,AN_TME22[[#All],[Advanced Network/Insurance Carrier Org ID]],B225)/D225)</f>
        <v>NA</v>
      </c>
      <c r="H225" s="109" t="str">
        <f>IF(D225=0,"NA",SUMIFS(AN_TME22[[#All],[Claims: Professional, Primary Care (for Monitoring Purposes)]],AN_TME22[[#All],[Insurance Category Code]],5,AN_TME22[[#All],[Advanced Network/Insurance Carrier Org ID]],B225)/D225)</f>
        <v>NA</v>
      </c>
      <c r="I225" s="109" t="str">
        <f>IF(D225=0,"NA",SUMIFS(AN_TME22[[#All],[Claims: Professional, Specialty]],AN_TME22[[#All],[Insurance Category Code]],5,AN_TME22[[#All],[Advanced Network/Insurance Carrier Org ID]],B225)/D225)</f>
        <v>NA</v>
      </c>
      <c r="J225" s="109" t="str">
        <f>IF(D225=0,"NA",SUMIFS(AN_TME22[[#All],[Claims: Professional Other]],AN_TME22[[#All],[Insurance Category Code]],5,AN_TME22[[#All],[Advanced Network/Insurance Carrier Org ID]],B225)/D225)</f>
        <v>NA</v>
      </c>
      <c r="K225" s="109" t="str">
        <f>IF(D225=0,"NA",SUMIFS(AN_TME22[[#All],[Claims: Pharmacy]],AN_TME22[[#All],[Insurance Category Code]],5,AN_TME22[[#All],[Advanced Network/Insurance Carrier Org ID]],B225)/D225)</f>
        <v>NA</v>
      </c>
      <c r="L225" s="109" t="str">
        <f>IF(D225=0,"NA",SUMIFS(AN_TME22[[#All],[Claims: Long-Term Care]],AN_TME22[[#All],[Insurance Category Code]],5,AN_TME22[[#All],[Advanced Network/Insurance Carrier Org ID]],B225)/D225)</f>
        <v>NA</v>
      </c>
      <c r="M225" s="109" t="str">
        <f>IF(D225=0,"NA",SUMIFS(AN_TME22[[#All],[Claims: Other]],AN_TME22[[#All],[Insurance Category Code]],5,AN_TME22[[#All],[Advanced Network/Insurance Carrier Org ID]],B225)/D225)</f>
        <v>NA</v>
      </c>
      <c r="N225" s="165" t="str">
        <f>IF(D225=0,"NA",SUMIFS(AN_TME22[[#All],[TOTAL Non-Truncated Unadjusted Claims Expenses]],AN_TME22[[#All],[Insurance Category Code]],5,AN_TME22[[#All],[Advanced Network/Insurance Carrier Org ID]],B225)/D225)</f>
        <v>NA</v>
      </c>
      <c r="O225" s="165" t="str">
        <f>IF(D225=0,"NA",SUMIFS(AN_TME22[[#All],[TOTAL Truncated Unadjusted Claims Expenses (A21 -A19)]],AN_TME22[[#All],[Insurance Category Code]],5,AN_TME22[[#All],[Advanced Network/Insurance Carrier Org ID]],B225)/D225)</f>
        <v>NA</v>
      </c>
      <c r="P225" s="165" t="str">
        <f>IF(D225=0,"NA",SUMIFS(AN_TME22[[#All],[TOTAL Non-Claims Expenses]],AN_TME22[[#All],[Insurance Category Code]],5,AN_TME22[[#All],[Advanced Network/Insurance Carrier Org ID]],B225)/D225)</f>
        <v>NA</v>
      </c>
      <c r="Q225" s="165" t="str">
        <f>IF(D225=0,"NA",SUMIFS(AN_TME22[[#All],[TOTAL Non-Truncated Unadjusted Expenses (A21 + A23)]],AN_TME22[[#All],[Insurance Category Code]],5,AN_TME22[[#All],[Advanced Network/Insurance Carrier Org ID]],B225)/D225)</f>
        <v>NA</v>
      </c>
      <c r="R225" s="165" t="str">
        <f>IF(D225=0,"NA",SUMIFS(AN_TME22[[#All],[TOTAL Truncated Unadjusted Expenses (A22 + A23)]],AN_TME22[[#All],[Insurance Category Code]],5,AN_TME22[[#All],[Advanced Network/Insurance Carrier Org ID]],B225)/D225)</f>
        <v>NA</v>
      </c>
      <c r="S225" s="507">
        <f>SUMIFS(AN_TME23[[#All],[Member Months]],AN_TME23[[#All],[Insurance Category Code]],5,AN_TME23[[#All],[Advanced Network/Insurance Carrier Org ID]],B225)</f>
        <v>0</v>
      </c>
      <c r="T225" s="155" t="str">
        <f>IF(S225=0,"NA",SUMIFS(AN_TME23[[#All],[Claims: Hospital Inpatient]],AN_TME23[[#All],[Insurance Category Code]],5,AN_TME23[[#All],[Advanced Network/Insurance Carrier Org ID]],B225)/S225)</f>
        <v>NA</v>
      </c>
      <c r="U225" s="109" t="str">
        <f>IF(S225=0,"NA",SUMIFS(AN_TME23[[#All],[Claims: Hospital Outpatient]],AN_TME23[[#All],[Insurance Category Code]],5,AN_TME23[[#All],[Advanced Network/Insurance Carrier Org ID]],B225)/S225)</f>
        <v>NA</v>
      </c>
      <c r="V225" s="109" t="str">
        <f>IF(S225=0,"NA",SUMIFS(AN_TME23[[#All],[Claims: Professional, Primary Care]],AN_TME23[[#All],[Insurance Category Code]],5,AN_TME23[[#All],[Advanced Network/Insurance Carrier Org ID]],B225)/S225)</f>
        <v>NA</v>
      </c>
      <c r="W225" s="109" t="str">
        <f>IF(S225=0,"NA",SUMIFS(AN_TME23[[#All],[Claims: Professional, Primary Care (for Monitoring Purposes)]],AN_TME23[[#All],[Insurance Category Code]],5,AN_TME23[[#All],[Advanced Network/Insurance Carrier Org ID]],B225)/S225)</f>
        <v>NA</v>
      </c>
      <c r="X225" s="109" t="str">
        <f>IF(S225=0,"NA",SUMIFS(AN_TME23[[#All],[Claims: Professional, Specialty]],AN_TME23[[#All],[Insurance Category Code]],5,AN_TME23[[#All],[Advanced Network/Insurance Carrier Org ID]],B225)/S225)</f>
        <v>NA</v>
      </c>
      <c r="Y225" s="109" t="str">
        <f>IF(S225=0,"NA",SUMIFS(AN_TME23[[#All],[Claims: Professional Other]],AN_TME23[[#All],[Insurance Category Code]],5,AN_TME23[[#All],[Advanced Network/Insurance Carrier Org ID]],B225)/S225)</f>
        <v>NA</v>
      </c>
      <c r="Z225" s="109" t="str">
        <f>IF(S225=0,"NA",SUMIFS(AN_TME23[[#All],[Claims: Pharmacy]],AN_TME23[[#All],[Insurance Category Code]],5,AN_TME23[[#All],[Advanced Network/Insurance Carrier Org ID]],B225)/S225)</f>
        <v>NA</v>
      </c>
      <c r="AA225" s="109" t="str">
        <f>IF(S225=0,"NA",SUMIFS(AN_TME23[[#All],[Claims: Long-Term Care]],AN_TME23[[#All],[Insurance Category Code]],5,AN_TME23[[#All],[Advanced Network/Insurance Carrier Org ID]],B225)/S225)</f>
        <v>NA</v>
      </c>
      <c r="AB225" s="109" t="str">
        <f>IF(S225=0,"NA",SUMIFS(AN_TME23[[#All],[Claims: Other]],AN_TME23[[#All],[Insurance Category Code]],5,AN_TME23[[#All],[Advanced Network/Insurance Carrier Org ID]],B225)/S225)</f>
        <v>NA</v>
      </c>
      <c r="AC225" s="165" t="str">
        <f>IF(S225=0,"NA",SUMIFS(AN_TME23[[#All],[TOTAL Non-Truncated Unadjusted Claims Expenses]],AN_TME23[[#All],[Insurance Category Code]],5,AN_TME23[[#All],[Advanced Network/Insurance Carrier Org ID]],B225)/S225)</f>
        <v>NA</v>
      </c>
      <c r="AD225" s="165" t="str">
        <f>IF(S225=0,"NA",SUMIFS(AN_TME23[[#All],[TOTAL Truncated Unadjusted Claims Expenses (A21 -A19)]],AN_TME23[[#All],[Insurance Category Code]],5,AN_TME23[[#All],[Advanced Network/Insurance Carrier Org ID]],B225)/S225)</f>
        <v>NA</v>
      </c>
      <c r="AE225" s="165" t="str">
        <f>IF(S225=0,"NA",SUMIFS(AN_TME23[[#All],[TOTAL Non-Claims Expenses]],AN_TME23[[#All],[Insurance Category Code]],5,AN_TME23[[#All],[Advanced Network/Insurance Carrier Org ID]],B225)/S225)</f>
        <v>NA</v>
      </c>
      <c r="AF225" s="165" t="str">
        <f>IF(S225=0,"NA",SUMIFS(AN_TME23[[#All],[TOTAL Non-Truncated Unadjusted Expenses (A21 + A23)]],AN_TME23[[#All],[Insurance Category Code]],5,AN_TME23[[#All],[Advanced Network/Insurance Carrier Org ID]],B225)/S225)</f>
        <v>NA</v>
      </c>
      <c r="AG225" s="156" t="str">
        <f>IF(S225=0,"NA",SUMIFS(AN_TME23[[#All],[TOTAL Truncated Unadjusted Expenses (A22 + A23)]],AN_TME23[[#All],[Insurance Category Code]],5,AN_TME23[[#All],[Advanced Network/Insurance Carrier Org ID]],B225)/S225)</f>
        <v>NA</v>
      </c>
      <c r="AH225" s="478" t="str">
        <f t="shared" si="291"/>
        <v>NA</v>
      </c>
      <c r="AI225" s="479" t="str">
        <f t="shared" si="292"/>
        <v>NA</v>
      </c>
      <c r="AJ225" s="480" t="str">
        <f t="shared" si="293"/>
        <v>NA</v>
      </c>
      <c r="AK225" s="480" t="str">
        <f t="shared" si="294"/>
        <v>NA</v>
      </c>
      <c r="AL225" s="480" t="str">
        <f t="shared" si="295"/>
        <v>NA</v>
      </c>
      <c r="AM225" s="480" t="str">
        <f t="shared" si="296"/>
        <v>NA</v>
      </c>
      <c r="AN225" s="480" t="str">
        <f t="shared" si="297"/>
        <v>NA</v>
      </c>
      <c r="AO225" s="480" t="str">
        <f t="shared" si="298"/>
        <v>NA</v>
      </c>
      <c r="AP225" s="480" t="str">
        <f t="shared" si="299"/>
        <v>NA</v>
      </c>
      <c r="AQ225" s="480" t="str">
        <f t="shared" si="300"/>
        <v>NA</v>
      </c>
      <c r="AR225" s="481" t="str">
        <f t="shared" si="301"/>
        <v>NA</v>
      </c>
      <c r="AS225" s="481" t="str">
        <f t="shared" si="302"/>
        <v>NA</v>
      </c>
      <c r="AT225" s="481" t="str">
        <f t="shared" si="303"/>
        <v>NA</v>
      </c>
      <c r="AU225" s="481" t="str">
        <f t="shared" si="304"/>
        <v>NA</v>
      </c>
      <c r="AV225" s="482" t="str">
        <f t="shared" si="305"/>
        <v>NA</v>
      </c>
    </row>
    <row r="226" spans="1:48" ht="15" customHeight="1" x14ac:dyDescent="0.25">
      <c r="A226" s="164"/>
      <c r="B226" s="166">
        <v>129</v>
      </c>
      <c r="C226" s="169" t="str">
        <f>_xlfn.XLOOKUP(B226, LgProvEntOrgIDs[Advanced Network/Insurer Carrier Org ID], LgProvEntOrgIDs[Advanced Network/Insurance Carrier Overall])</f>
        <v>Summit Health (formerly WestMed Medical Group)</v>
      </c>
      <c r="D226" s="507">
        <f>SUMIFS(AN_TME22[[#All],[Member Months]],AN_TME22[[#All],[Insurance Category Code]],5,AN_TME22[[#All],[Advanced Network/Insurance Carrier Org ID]],B226)</f>
        <v>0</v>
      </c>
      <c r="E226" s="155" t="str">
        <f>IF(D226=0,"NA",SUMIFS(AN_TME22[[#All],[Claims: Hospital Inpatient]],AN_TME22[[#All],[Insurance Category Code]],5,AN_TME22[[#All],[Advanced Network/Insurance Carrier Org ID]],B226)/D226)</f>
        <v>NA</v>
      </c>
      <c r="F226" s="109" t="str">
        <f>IF(D226=0,"NA",SUMIFS(AN_TME22[[#All],[Claims: Hospital Outpatient]],AN_TME22[[#All],[Insurance Category Code]],5,AN_TME22[[#All],[Advanced Network/Insurance Carrier Org ID]],B226)/D226)</f>
        <v>NA</v>
      </c>
      <c r="G226" s="109" t="str">
        <f>IF(D226=0,"NA",SUMIFS(AN_TME22[[#All],[Claims: Professional, Primary Care]],AN_TME22[[#All],[Insurance Category Code]],5,AN_TME22[[#All],[Advanced Network/Insurance Carrier Org ID]],B226)/D226)</f>
        <v>NA</v>
      </c>
      <c r="H226" s="109" t="str">
        <f>IF(D226=0,"NA",SUMIFS(AN_TME22[[#All],[Claims: Professional, Primary Care (for Monitoring Purposes)]],AN_TME22[[#All],[Insurance Category Code]],5,AN_TME22[[#All],[Advanced Network/Insurance Carrier Org ID]],B226)/D226)</f>
        <v>NA</v>
      </c>
      <c r="I226" s="109" t="str">
        <f>IF(D226=0,"NA",SUMIFS(AN_TME22[[#All],[Claims: Professional, Specialty]],AN_TME22[[#All],[Insurance Category Code]],5,AN_TME22[[#All],[Advanced Network/Insurance Carrier Org ID]],B226)/D226)</f>
        <v>NA</v>
      </c>
      <c r="J226" s="109" t="str">
        <f>IF(D226=0,"NA",SUMIFS(AN_TME22[[#All],[Claims: Professional Other]],AN_TME22[[#All],[Insurance Category Code]],5,AN_TME22[[#All],[Advanced Network/Insurance Carrier Org ID]],B226)/D226)</f>
        <v>NA</v>
      </c>
      <c r="K226" s="109" t="str">
        <f>IF(D226=0,"NA",SUMIFS(AN_TME22[[#All],[Claims: Pharmacy]],AN_TME22[[#All],[Insurance Category Code]],5,AN_TME22[[#All],[Advanced Network/Insurance Carrier Org ID]],B226)/D226)</f>
        <v>NA</v>
      </c>
      <c r="L226" s="109" t="str">
        <f>IF(D226=0,"NA",SUMIFS(AN_TME22[[#All],[Claims: Long-Term Care]],AN_TME22[[#All],[Insurance Category Code]],5,AN_TME22[[#All],[Advanced Network/Insurance Carrier Org ID]],B226)/D226)</f>
        <v>NA</v>
      </c>
      <c r="M226" s="109" t="str">
        <f>IF(D226=0,"NA",SUMIFS(AN_TME22[[#All],[Claims: Other]],AN_TME22[[#All],[Insurance Category Code]],5,AN_TME22[[#All],[Advanced Network/Insurance Carrier Org ID]],B226)/D226)</f>
        <v>NA</v>
      </c>
      <c r="N226" s="165" t="str">
        <f>IF(D226=0,"NA",SUMIFS(AN_TME22[[#All],[TOTAL Non-Truncated Unadjusted Claims Expenses]],AN_TME22[[#All],[Insurance Category Code]],5,AN_TME22[[#All],[Advanced Network/Insurance Carrier Org ID]],B226)/D226)</f>
        <v>NA</v>
      </c>
      <c r="O226" s="165" t="str">
        <f>IF(D226=0,"NA",SUMIFS(AN_TME22[[#All],[TOTAL Truncated Unadjusted Claims Expenses (A21 -A19)]],AN_TME22[[#All],[Insurance Category Code]],5,AN_TME22[[#All],[Advanced Network/Insurance Carrier Org ID]],B226)/D226)</f>
        <v>NA</v>
      </c>
      <c r="P226" s="165" t="str">
        <f>IF(D226=0,"NA",SUMIFS(AN_TME22[[#All],[TOTAL Non-Claims Expenses]],AN_TME22[[#All],[Insurance Category Code]],5,AN_TME22[[#All],[Advanced Network/Insurance Carrier Org ID]],B226)/D226)</f>
        <v>NA</v>
      </c>
      <c r="Q226" s="165" t="str">
        <f>IF(D226=0,"NA",SUMIFS(AN_TME22[[#All],[TOTAL Non-Truncated Unadjusted Expenses (A21 + A23)]],AN_TME22[[#All],[Insurance Category Code]],5,AN_TME22[[#All],[Advanced Network/Insurance Carrier Org ID]],B226)/D226)</f>
        <v>NA</v>
      </c>
      <c r="R226" s="165" t="str">
        <f>IF(D226=0,"NA",SUMIFS(AN_TME22[[#All],[TOTAL Truncated Unadjusted Expenses (A22 + A23)]],AN_TME22[[#All],[Insurance Category Code]],5,AN_TME22[[#All],[Advanced Network/Insurance Carrier Org ID]],B226)/D226)</f>
        <v>NA</v>
      </c>
      <c r="S226" s="507">
        <f>SUMIFS(AN_TME23[[#All],[Member Months]],AN_TME23[[#All],[Insurance Category Code]],5,AN_TME23[[#All],[Advanced Network/Insurance Carrier Org ID]],B226)</f>
        <v>0</v>
      </c>
      <c r="T226" s="155" t="str">
        <f>IF(S226=0,"NA",SUMIFS(AN_TME23[[#All],[Claims: Hospital Inpatient]],AN_TME23[[#All],[Insurance Category Code]],5,AN_TME23[[#All],[Advanced Network/Insurance Carrier Org ID]],B226)/S226)</f>
        <v>NA</v>
      </c>
      <c r="U226" s="109" t="str">
        <f>IF(S226=0,"NA",SUMIFS(AN_TME23[[#All],[Claims: Hospital Outpatient]],AN_TME23[[#All],[Insurance Category Code]],5,AN_TME23[[#All],[Advanced Network/Insurance Carrier Org ID]],B226)/S226)</f>
        <v>NA</v>
      </c>
      <c r="V226" s="109" t="str">
        <f>IF(S226=0,"NA",SUMIFS(AN_TME23[[#All],[Claims: Professional, Primary Care]],AN_TME23[[#All],[Insurance Category Code]],5,AN_TME23[[#All],[Advanced Network/Insurance Carrier Org ID]],B226)/S226)</f>
        <v>NA</v>
      </c>
      <c r="W226" s="109" t="str">
        <f>IF(S226=0,"NA",SUMIFS(AN_TME23[[#All],[Claims: Professional, Primary Care (for Monitoring Purposes)]],AN_TME23[[#All],[Insurance Category Code]],5,AN_TME23[[#All],[Advanced Network/Insurance Carrier Org ID]],B226)/S226)</f>
        <v>NA</v>
      </c>
      <c r="X226" s="109" t="str">
        <f>IF(S226=0,"NA",SUMIFS(AN_TME23[[#All],[Claims: Professional, Specialty]],AN_TME23[[#All],[Insurance Category Code]],5,AN_TME23[[#All],[Advanced Network/Insurance Carrier Org ID]],B226)/S226)</f>
        <v>NA</v>
      </c>
      <c r="Y226" s="109" t="str">
        <f>IF(S226=0,"NA",SUMIFS(AN_TME23[[#All],[Claims: Professional Other]],AN_TME23[[#All],[Insurance Category Code]],5,AN_TME23[[#All],[Advanced Network/Insurance Carrier Org ID]],B226)/S226)</f>
        <v>NA</v>
      </c>
      <c r="Z226" s="109" t="str">
        <f>IF(S226=0,"NA",SUMIFS(AN_TME23[[#All],[Claims: Pharmacy]],AN_TME23[[#All],[Insurance Category Code]],5,AN_TME23[[#All],[Advanced Network/Insurance Carrier Org ID]],B226)/S226)</f>
        <v>NA</v>
      </c>
      <c r="AA226" s="109" t="str">
        <f>IF(S226=0,"NA",SUMIFS(AN_TME23[[#All],[Claims: Long-Term Care]],AN_TME23[[#All],[Insurance Category Code]],5,AN_TME23[[#All],[Advanced Network/Insurance Carrier Org ID]],B226)/S226)</f>
        <v>NA</v>
      </c>
      <c r="AB226" s="109" t="str">
        <f>IF(S226=0,"NA",SUMIFS(AN_TME23[[#All],[Claims: Other]],AN_TME23[[#All],[Insurance Category Code]],5,AN_TME23[[#All],[Advanced Network/Insurance Carrier Org ID]],B226)/S226)</f>
        <v>NA</v>
      </c>
      <c r="AC226" s="165" t="str">
        <f>IF(S226=0,"NA",SUMIFS(AN_TME23[[#All],[TOTAL Non-Truncated Unadjusted Claims Expenses]],AN_TME23[[#All],[Insurance Category Code]],5,AN_TME23[[#All],[Advanced Network/Insurance Carrier Org ID]],B226)/S226)</f>
        <v>NA</v>
      </c>
      <c r="AD226" s="165" t="str">
        <f>IF(S226=0,"NA",SUMIFS(AN_TME23[[#All],[TOTAL Truncated Unadjusted Claims Expenses (A21 -A19)]],AN_TME23[[#All],[Insurance Category Code]],5,AN_TME23[[#All],[Advanced Network/Insurance Carrier Org ID]],B226)/S226)</f>
        <v>NA</v>
      </c>
      <c r="AE226" s="165" t="str">
        <f>IF(S226=0,"NA",SUMIFS(AN_TME23[[#All],[TOTAL Non-Claims Expenses]],AN_TME23[[#All],[Insurance Category Code]],5,AN_TME23[[#All],[Advanced Network/Insurance Carrier Org ID]],B226)/S226)</f>
        <v>NA</v>
      </c>
      <c r="AF226" s="165" t="str">
        <f>IF(S226=0,"NA",SUMIFS(AN_TME23[[#All],[TOTAL Non-Truncated Unadjusted Expenses (A21 + A23)]],AN_TME23[[#All],[Insurance Category Code]],5,AN_TME23[[#All],[Advanced Network/Insurance Carrier Org ID]],B226)/S226)</f>
        <v>NA</v>
      </c>
      <c r="AG226" s="156" t="str">
        <f>IF(S226=0,"NA",SUMIFS(AN_TME23[[#All],[TOTAL Truncated Unadjusted Expenses (A22 + A23)]],AN_TME23[[#All],[Insurance Category Code]],5,AN_TME23[[#All],[Advanced Network/Insurance Carrier Org ID]],B226)/S226)</f>
        <v>NA</v>
      </c>
      <c r="AH226" s="478" t="str">
        <f t="shared" si="291"/>
        <v>NA</v>
      </c>
      <c r="AI226" s="479" t="str">
        <f t="shared" si="292"/>
        <v>NA</v>
      </c>
      <c r="AJ226" s="480" t="str">
        <f t="shared" si="293"/>
        <v>NA</v>
      </c>
      <c r="AK226" s="480" t="str">
        <f t="shared" si="294"/>
        <v>NA</v>
      </c>
      <c r="AL226" s="480" t="str">
        <f t="shared" si="295"/>
        <v>NA</v>
      </c>
      <c r="AM226" s="480" t="str">
        <f t="shared" si="296"/>
        <v>NA</v>
      </c>
      <c r="AN226" s="480" t="str">
        <f t="shared" si="297"/>
        <v>NA</v>
      </c>
      <c r="AO226" s="480" t="str">
        <f t="shared" si="298"/>
        <v>NA</v>
      </c>
      <c r="AP226" s="480" t="str">
        <f t="shared" si="299"/>
        <v>NA</v>
      </c>
      <c r="AQ226" s="480" t="str">
        <f t="shared" si="300"/>
        <v>NA</v>
      </c>
      <c r="AR226" s="481" t="str">
        <f t="shared" si="301"/>
        <v>NA</v>
      </c>
      <c r="AS226" s="481" t="str">
        <f t="shared" si="302"/>
        <v>NA</v>
      </c>
      <c r="AT226" s="481" t="str">
        <f t="shared" si="303"/>
        <v>NA</v>
      </c>
      <c r="AU226" s="481" t="str">
        <f t="shared" si="304"/>
        <v>NA</v>
      </c>
      <c r="AV226" s="482" t="str">
        <f t="shared" si="305"/>
        <v>NA</v>
      </c>
    </row>
    <row r="227" spans="1:48" ht="15" customHeight="1" x14ac:dyDescent="0.25">
      <c r="A227" s="164"/>
      <c r="B227" s="166">
        <v>130</v>
      </c>
      <c r="C227" s="169" t="str">
        <f>_xlfn.XLOOKUP(B227, LgProvEntOrgIDs[Advanced Network/Insurer Carrier Org ID], LgProvEntOrgIDs[Advanced Network/Insurance Carrier Overall])</f>
        <v>Wheeler Clinic</v>
      </c>
      <c r="D227" s="507">
        <f>SUMIFS(AN_TME22[[#All],[Member Months]],AN_TME22[[#All],[Insurance Category Code]],5,AN_TME22[[#All],[Advanced Network/Insurance Carrier Org ID]],B227)</f>
        <v>0</v>
      </c>
      <c r="E227" s="155" t="str">
        <f>IF(D227=0,"NA",SUMIFS(AN_TME22[[#All],[Claims: Hospital Inpatient]],AN_TME22[[#All],[Insurance Category Code]],5,AN_TME22[[#All],[Advanced Network/Insurance Carrier Org ID]],B227)/D227)</f>
        <v>NA</v>
      </c>
      <c r="F227" s="109" t="str">
        <f>IF(D227=0,"NA",SUMIFS(AN_TME22[[#All],[Claims: Hospital Outpatient]],AN_TME22[[#All],[Insurance Category Code]],5,AN_TME22[[#All],[Advanced Network/Insurance Carrier Org ID]],B227)/D227)</f>
        <v>NA</v>
      </c>
      <c r="G227" s="109" t="str">
        <f>IF(D227=0,"NA",SUMIFS(AN_TME22[[#All],[Claims: Professional, Primary Care]],AN_TME22[[#All],[Insurance Category Code]],5,AN_TME22[[#All],[Advanced Network/Insurance Carrier Org ID]],B227)/D227)</f>
        <v>NA</v>
      </c>
      <c r="H227" s="109" t="str">
        <f>IF(D227=0,"NA",SUMIFS(AN_TME22[[#All],[Claims: Professional, Primary Care (for Monitoring Purposes)]],AN_TME22[[#All],[Insurance Category Code]],5,AN_TME22[[#All],[Advanced Network/Insurance Carrier Org ID]],B227)/D227)</f>
        <v>NA</v>
      </c>
      <c r="I227" s="109" t="str">
        <f>IF(D227=0,"NA",SUMIFS(AN_TME22[[#All],[Claims: Professional, Specialty]],AN_TME22[[#All],[Insurance Category Code]],5,AN_TME22[[#All],[Advanced Network/Insurance Carrier Org ID]],B227)/D227)</f>
        <v>NA</v>
      </c>
      <c r="J227" s="109" t="str">
        <f>IF(D227=0,"NA",SUMIFS(AN_TME22[[#All],[Claims: Professional Other]],AN_TME22[[#All],[Insurance Category Code]],5,AN_TME22[[#All],[Advanced Network/Insurance Carrier Org ID]],B227)/D227)</f>
        <v>NA</v>
      </c>
      <c r="K227" s="109" t="str">
        <f>IF(D227=0,"NA",SUMIFS(AN_TME22[[#All],[Claims: Pharmacy]],AN_TME22[[#All],[Insurance Category Code]],5,AN_TME22[[#All],[Advanced Network/Insurance Carrier Org ID]],B227)/D227)</f>
        <v>NA</v>
      </c>
      <c r="L227" s="109" t="str">
        <f>IF(D227=0,"NA",SUMIFS(AN_TME22[[#All],[Claims: Long-Term Care]],AN_TME22[[#All],[Insurance Category Code]],5,AN_TME22[[#All],[Advanced Network/Insurance Carrier Org ID]],B227)/D227)</f>
        <v>NA</v>
      </c>
      <c r="M227" s="109" t="str">
        <f>IF(D227=0,"NA",SUMIFS(AN_TME22[[#All],[Claims: Other]],AN_TME22[[#All],[Insurance Category Code]],5,AN_TME22[[#All],[Advanced Network/Insurance Carrier Org ID]],B227)/D227)</f>
        <v>NA</v>
      </c>
      <c r="N227" s="165" t="str">
        <f>IF(D227=0,"NA",SUMIFS(AN_TME22[[#All],[TOTAL Non-Truncated Unadjusted Claims Expenses]],AN_TME22[[#All],[Insurance Category Code]],5,AN_TME22[[#All],[Advanced Network/Insurance Carrier Org ID]],B227)/D227)</f>
        <v>NA</v>
      </c>
      <c r="O227" s="165" t="str">
        <f>IF(D227=0,"NA",SUMIFS(AN_TME22[[#All],[TOTAL Truncated Unadjusted Claims Expenses (A21 -A19)]],AN_TME22[[#All],[Insurance Category Code]],5,AN_TME22[[#All],[Advanced Network/Insurance Carrier Org ID]],B227)/D227)</f>
        <v>NA</v>
      </c>
      <c r="P227" s="165" t="str">
        <f>IF(D227=0,"NA",SUMIFS(AN_TME22[[#All],[TOTAL Non-Claims Expenses]],AN_TME22[[#All],[Insurance Category Code]],5,AN_TME22[[#All],[Advanced Network/Insurance Carrier Org ID]],B227)/D227)</f>
        <v>NA</v>
      </c>
      <c r="Q227" s="165" t="str">
        <f>IF(D227=0,"NA",SUMIFS(AN_TME22[[#All],[TOTAL Non-Truncated Unadjusted Expenses (A21 + A23)]],AN_TME22[[#All],[Insurance Category Code]],5,AN_TME22[[#All],[Advanced Network/Insurance Carrier Org ID]],B227)/D227)</f>
        <v>NA</v>
      </c>
      <c r="R227" s="165" t="str">
        <f>IF(D227=0,"NA",SUMIFS(AN_TME22[[#All],[TOTAL Truncated Unadjusted Expenses (A22 + A23)]],AN_TME22[[#All],[Insurance Category Code]],5,AN_TME22[[#All],[Advanced Network/Insurance Carrier Org ID]],B227)/D227)</f>
        <v>NA</v>
      </c>
      <c r="S227" s="507">
        <f>SUMIFS(AN_TME23[[#All],[Member Months]],AN_TME23[[#All],[Insurance Category Code]],5,AN_TME23[[#All],[Advanced Network/Insurance Carrier Org ID]],B227)</f>
        <v>0</v>
      </c>
      <c r="T227" s="155" t="str">
        <f>IF(S227=0,"NA",SUMIFS(AN_TME23[[#All],[Claims: Hospital Inpatient]],AN_TME23[[#All],[Insurance Category Code]],5,AN_TME23[[#All],[Advanced Network/Insurance Carrier Org ID]],B227)/S227)</f>
        <v>NA</v>
      </c>
      <c r="U227" s="109" t="str">
        <f>IF(S227=0,"NA",SUMIFS(AN_TME23[[#All],[Claims: Hospital Outpatient]],AN_TME23[[#All],[Insurance Category Code]],5,AN_TME23[[#All],[Advanced Network/Insurance Carrier Org ID]],B227)/S227)</f>
        <v>NA</v>
      </c>
      <c r="V227" s="109" t="str">
        <f>IF(S227=0,"NA",SUMIFS(AN_TME23[[#All],[Claims: Professional, Primary Care]],AN_TME23[[#All],[Insurance Category Code]],5,AN_TME23[[#All],[Advanced Network/Insurance Carrier Org ID]],B227)/S227)</f>
        <v>NA</v>
      </c>
      <c r="W227" s="109" t="str">
        <f>IF(S227=0,"NA",SUMIFS(AN_TME23[[#All],[Claims: Professional, Primary Care (for Monitoring Purposes)]],AN_TME23[[#All],[Insurance Category Code]],5,AN_TME23[[#All],[Advanced Network/Insurance Carrier Org ID]],B227)/S227)</f>
        <v>NA</v>
      </c>
      <c r="X227" s="109" t="str">
        <f>IF(S227=0,"NA",SUMIFS(AN_TME23[[#All],[Claims: Professional, Specialty]],AN_TME23[[#All],[Insurance Category Code]],5,AN_TME23[[#All],[Advanced Network/Insurance Carrier Org ID]],B227)/S227)</f>
        <v>NA</v>
      </c>
      <c r="Y227" s="109" t="str">
        <f>IF(S227=0,"NA",SUMIFS(AN_TME23[[#All],[Claims: Professional Other]],AN_TME23[[#All],[Insurance Category Code]],5,AN_TME23[[#All],[Advanced Network/Insurance Carrier Org ID]],B227)/S227)</f>
        <v>NA</v>
      </c>
      <c r="Z227" s="109" t="str">
        <f>IF(S227=0,"NA",SUMIFS(AN_TME23[[#All],[Claims: Pharmacy]],AN_TME23[[#All],[Insurance Category Code]],5,AN_TME23[[#All],[Advanced Network/Insurance Carrier Org ID]],B227)/S227)</f>
        <v>NA</v>
      </c>
      <c r="AA227" s="109" t="str">
        <f>IF(S227=0,"NA",SUMIFS(AN_TME23[[#All],[Claims: Long-Term Care]],AN_TME23[[#All],[Insurance Category Code]],5,AN_TME23[[#All],[Advanced Network/Insurance Carrier Org ID]],B227)/S227)</f>
        <v>NA</v>
      </c>
      <c r="AB227" s="109" t="str">
        <f>IF(S227=0,"NA",SUMIFS(AN_TME23[[#All],[Claims: Other]],AN_TME23[[#All],[Insurance Category Code]],5,AN_TME23[[#All],[Advanced Network/Insurance Carrier Org ID]],B227)/S227)</f>
        <v>NA</v>
      </c>
      <c r="AC227" s="165" t="str">
        <f>IF(S227=0,"NA",SUMIFS(AN_TME23[[#All],[TOTAL Non-Truncated Unadjusted Claims Expenses]],AN_TME23[[#All],[Insurance Category Code]],5,AN_TME23[[#All],[Advanced Network/Insurance Carrier Org ID]],B227)/S227)</f>
        <v>NA</v>
      </c>
      <c r="AD227" s="165" t="str">
        <f>IF(S227=0,"NA",SUMIFS(AN_TME23[[#All],[TOTAL Truncated Unadjusted Claims Expenses (A21 -A19)]],AN_TME23[[#All],[Insurance Category Code]],5,AN_TME23[[#All],[Advanced Network/Insurance Carrier Org ID]],B227)/S227)</f>
        <v>NA</v>
      </c>
      <c r="AE227" s="165" t="str">
        <f>IF(S227=0,"NA",SUMIFS(AN_TME23[[#All],[TOTAL Non-Claims Expenses]],AN_TME23[[#All],[Insurance Category Code]],5,AN_TME23[[#All],[Advanced Network/Insurance Carrier Org ID]],B227)/S227)</f>
        <v>NA</v>
      </c>
      <c r="AF227" s="165" t="str">
        <f>IF(S227=0,"NA",SUMIFS(AN_TME23[[#All],[TOTAL Non-Truncated Unadjusted Expenses (A21 + A23)]],AN_TME23[[#All],[Insurance Category Code]],5,AN_TME23[[#All],[Advanced Network/Insurance Carrier Org ID]],B227)/S227)</f>
        <v>NA</v>
      </c>
      <c r="AG227" s="156" t="str">
        <f>IF(S227=0,"NA",SUMIFS(AN_TME23[[#All],[TOTAL Truncated Unadjusted Expenses (A22 + A23)]],AN_TME23[[#All],[Insurance Category Code]],5,AN_TME23[[#All],[Advanced Network/Insurance Carrier Org ID]],B227)/S227)</f>
        <v>NA</v>
      </c>
      <c r="AH227" s="478" t="str">
        <f t="shared" si="291"/>
        <v>NA</v>
      </c>
      <c r="AI227" s="479" t="str">
        <f t="shared" si="292"/>
        <v>NA</v>
      </c>
      <c r="AJ227" s="480" t="str">
        <f t="shared" si="293"/>
        <v>NA</v>
      </c>
      <c r="AK227" s="480" t="str">
        <f t="shared" si="294"/>
        <v>NA</v>
      </c>
      <c r="AL227" s="480" t="str">
        <f t="shared" si="295"/>
        <v>NA</v>
      </c>
      <c r="AM227" s="480" t="str">
        <f t="shared" si="296"/>
        <v>NA</v>
      </c>
      <c r="AN227" s="480" t="str">
        <f t="shared" si="297"/>
        <v>NA</v>
      </c>
      <c r="AO227" s="480" t="str">
        <f t="shared" si="298"/>
        <v>NA</v>
      </c>
      <c r="AP227" s="480" t="str">
        <f t="shared" si="299"/>
        <v>NA</v>
      </c>
      <c r="AQ227" s="480" t="str">
        <f t="shared" si="300"/>
        <v>NA</v>
      </c>
      <c r="AR227" s="481" t="str">
        <f t="shared" si="301"/>
        <v>NA</v>
      </c>
      <c r="AS227" s="481" t="str">
        <f t="shared" si="302"/>
        <v>NA</v>
      </c>
      <c r="AT227" s="481" t="str">
        <f t="shared" si="303"/>
        <v>NA</v>
      </c>
      <c r="AU227" s="481" t="str">
        <f t="shared" si="304"/>
        <v>NA</v>
      </c>
      <c r="AV227" s="482" t="str">
        <f t="shared" si="305"/>
        <v>NA</v>
      </c>
    </row>
    <row r="228" spans="1:48" ht="15" customHeight="1" x14ac:dyDescent="0.25">
      <c r="A228" s="164"/>
      <c r="B228" s="166">
        <v>131</v>
      </c>
      <c r="C228" s="169" t="str">
        <f>_xlfn.XLOOKUP(B228, LgProvEntOrgIDs[Advanced Network/Insurer Carrier Org ID], LgProvEntOrgIDs[Advanced Network/Insurance Carrier Overall])</f>
        <v>Yale Medicine</v>
      </c>
      <c r="D228" s="507">
        <f>SUMIFS(AN_TME22[[#All],[Member Months]],AN_TME22[[#All],[Insurance Category Code]],5,AN_TME22[[#All],[Advanced Network/Insurance Carrier Org ID]],B228)</f>
        <v>0</v>
      </c>
      <c r="E228" s="155" t="str">
        <f>IF(D228=0,"NA",SUMIFS(AN_TME22[[#All],[Claims: Hospital Inpatient]],AN_TME22[[#All],[Insurance Category Code]],5,AN_TME22[[#All],[Advanced Network/Insurance Carrier Org ID]],B228)/D228)</f>
        <v>NA</v>
      </c>
      <c r="F228" s="109" t="str">
        <f>IF(D228=0,"NA",SUMIFS(AN_TME22[[#All],[Claims: Hospital Outpatient]],AN_TME22[[#All],[Insurance Category Code]],5,AN_TME22[[#All],[Advanced Network/Insurance Carrier Org ID]],B228)/D228)</f>
        <v>NA</v>
      </c>
      <c r="G228" s="109" t="str">
        <f>IF(D228=0,"NA",SUMIFS(AN_TME22[[#All],[Claims: Professional, Primary Care]],AN_TME22[[#All],[Insurance Category Code]],5,AN_TME22[[#All],[Advanced Network/Insurance Carrier Org ID]],B228)/D228)</f>
        <v>NA</v>
      </c>
      <c r="H228" s="109" t="str">
        <f>IF(D228=0,"NA",SUMIFS(AN_TME22[[#All],[Claims: Professional, Primary Care (for Monitoring Purposes)]],AN_TME22[[#All],[Insurance Category Code]],5,AN_TME22[[#All],[Advanced Network/Insurance Carrier Org ID]],B228)/D228)</f>
        <v>NA</v>
      </c>
      <c r="I228" s="109" t="str">
        <f>IF(D228=0,"NA",SUMIFS(AN_TME22[[#All],[Claims: Professional, Specialty]],AN_TME22[[#All],[Insurance Category Code]],5,AN_TME22[[#All],[Advanced Network/Insurance Carrier Org ID]],B228)/D228)</f>
        <v>NA</v>
      </c>
      <c r="J228" s="109" t="str">
        <f>IF(D228=0,"NA",SUMIFS(AN_TME22[[#All],[Claims: Professional Other]],AN_TME22[[#All],[Insurance Category Code]],5,AN_TME22[[#All],[Advanced Network/Insurance Carrier Org ID]],B228)/D228)</f>
        <v>NA</v>
      </c>
      <c r="K228" s="109" t="str">
        <f>IF(D228=0,"NA",SUMIFS(AN_TME22[[#All],[Claims: Pharmacy]],AN_TME22[[#All],[Insurance Category Code]],5,AN_TME22[[#All],[Advanced Network/Insurance Carrier Org ID]],B228)/D228)</f>
        <v>NA</v>
      </c>
      <c r="L228" s="109" t="str">
        <f>IF(D228=0,"NA",SUMIFS(AN_TME22[[#All],[Claims: Long-Term Care]],AN_TME22[[#All],[Insurance Category Code]],5,AN_TME22[[#All],[Advanced Network/Insurance Carrier Org ID]],B228)/D228)</f>
        <v>NA</v>
      </c>
      <c r="M228" s="109" t="str">
        <f>IF(D228=0,"NA",SUMIFS(AN_TME22[[#All],[Claims: Other]],AN_TME22[[#All],[Insurance Category Code]],5,AN_TME22[[#All],[Advanced Network/Insurance Carrier Org ID]],B228)/D228)</f>
        <v>NA</v>
      </c>
      <c r="N228" s="165" t="str">
        <f>IF(D228=0,"NA",SUMIFS(AN_TME22[[#All],[TOTAL Non-Truncated Unadjusted Claims Expenses]],AN_TME22[[#All],[Insurance Category Code]],5,AN_TME22[[#All],[Advanced Network/Insurance Carrier Org ID]],B228)/D228)</f>
        <v>NA</v>
      </c>
      <c r="O228" s="165" t="str">
        <f>IF(D228=0,"NA",SUMIFS(AN_TME22[[#All],[TOTAL Truncated Unadjusted Claims Expenses (A21 -A19)]],AN_TME22[[#All],[Insurance Category Code]],5,AN_TME22[[#All],[Advanced Network/Insurance Carrier Org ID]],B228)/D228)</f>
        <v>NA</v>
      </c>
      <c r="P228" s="165" t="str">
        <f>IF(D228=0,"NA",SUMIFS(AN_TME22[[#All],[TOTAL Non-Claims Expenses]],AN_TME22[[#All],[Insurance Category Code]],5,AN_TME22[[#All],[Advanced Network/Insurance Carrier Org ID]],B228)/D228)</f>
        <v>NA</v>
      </c>
      <c r="Q228" s="165" t="str">
        <f>IF(D228=0,"NA",SUMIFS(AN_TME22[[#All],[TOTAL Non-Truncated Unadjusted Expenses (A21 + A23)]],AN_TME22[[#All],[Insurance Category Code]],5,AN_TME22[[#All],[Advanced Network/Insurance Carrier Org ID]],B228)/D228)</f>
        <v>NA</v>
      </c>
      <c r="R228" s="165" t="str">
        <f>IF(D228=0,"NA",SUMIFS(AN_TME22[[#All],[TOTAL Truncated Unadjusted Expenses (A22 + A23)]],AN_TME22[[#All],[Insurance Category Code]],5,AN_TME22[[#All],[Advanced Network/Insurance Carrier Org ID]],B228)/D228)</f>
        <v>NA</v>
      </c>
      <c r="S228" s="507">
        <f>SUMIFS(AN_TME23[[#All],[Member Months]],AN_TME23[[#All],[Insurance Category Code]],5,AN_TME23[[#All],[Advanced Network/Insurance Carrier Org ID]],B228)</f>
        <v>0</v>
      </c>
      <c r="T228" s="155" t="str">
        <f>IF(S228=0,"NA",SUMIFS(AN_TME23[[#All],[Claims: Hospital Inpatient]],AN_TME23[[#All],[Insurance Category Code]],5,AN_TME23[[#All],[Advanced Network/Insurance Carrier Org ID]],B228)/S228)</f>
        <v>NA</v>
      </c>
      <c r="U228" s="109" t="str">
        <f>IF(S228=0,"NA",SUMIFS(AN_TME23[[#All],[Claims: Hospital Outpatient]],AN_TME23[[#All],[Insurance Category Code]],5,AN_TME23[[#All],[Advanced Network/Insurance Carrier Org ID]],B228)/S228)</f>
        <v>NA</v>
      </c>
      <c r="V228" s="109" t="str">
        <f>IF(S228=0,"NA",SUMIFS(AN_TME23[[#All],[Claims: Professional, Primary Care]],AN_TME23[[#All],[Insurance Category Code]],5,AN_TME23[[#All],[Advanced Network/Insurance Carrier Org ID]],B228)/S228)</f>
        <v>NA</v>
      </c>
      <c r="W228" s="109" t="str">
        <f>IF(S228=0,"NA",SUMIFS(AN_TME23[[#All],[Claims: Professional, Primary Care (for Monitoring Purposes)]],AN_TME23[[#All],[Insurance Category Code]],5,AN_TME23[[#All],[Advanced Network/Insurance Carrier Org ID]],B228)/S228)</f>
        <v>NA</v>
      </c>
      <c r="X228" s="109" t="str">
        <f>IF(S228=0,"NA",SUMIFS(AN_TME23[[#All],[Claims: Professional, Specialty]],AN_TME23[[#All],[Insurance Category Code]],5,AN_TME23[[#All],[Advanced Network/Insurance Carrier Org ID]],B228)/S228)</f>
        <v>NA</v>
      </c>
      <c r="Y228" s="109" t="str">
        <f>IF(S228=0,"NA",SUMIFS(AN_TME23[[#All],[Claims: Professional Other]],AN_TME23[[#All],[Insurance Category Code]],5,AN_TME23[[#All],[Advanced Network/Insurance Carrier Org ID]],B228)/S228)</f>
        <v>NA</v>
      </c>
      <c r="Z228" s="109" t="str">
        <f>IF(S228=0,"NA",SUMIFS(AN_TME23[[#All],[Claims: Pharmacy]],AN_TME23[[#All],[Insurance Category Code]],5,AN_TME23[[#All],[Advanced Network/Insurance Carrier Org ID]],B228)/S228)</f>
        <v>NA</v>
      </c>
      <c r="AA228" s="109" t="str">
        <f>IF(S228=0,"NA",SUMIFS(AN_TME23[[#All],[Claims: Long-Term Care]],AN_TME23[[#All],[Insurance Category Code]],5,AN_TME23[[#All],[Advanced Network/Insurance Carrier Org ID]],B228)/S228)</f>
        <v>NA</v>
      </c>
      <c r="AB228" s="109" t="str">
        <f>IF(S228=0,"NA",SUMIFS(AN_TME23[[#All],[Claims: Other]],AN_TME23[[#All],[Insurance Category Code]],5,AN_TME23[[#All],[Advanced Network/Insurance Carrier Org ID]],B228)/S228)</f>
        <v>NA</v>
      </c>
      <c r="AC228" s="165" t="str">
        <f>IF(S228=0,"NA",SUMIFS(AN_TME23[[#All],[TOTAL Non-Truncated Unadjusted Claims Expenses]],AN_TME23[[#All],[Insurance Category Code]],5,AN_TME23[[#All],[Advanced Network/Insurance Carrier Org ID]],B228)/S228)</f>
        <v>NA</v>
      </c>
      <c r="AD228" s="165" t="str">
        <f>IF(S228=0,"NA",SUMIFS(AN_TME23[[#All],[TOTAL Truncated Unadjusted Claims Expenses (A21 -A19)]],AN_TME23[[#All],[Insurance Category Code]],5,AN_TME23[[#All],[Advanced Network/Insurance Carrier Org ID]],B228)/S228)</f>
        <v>NA</v>
      </c>
      <c r="AE228" s="165" t="str">
        <f>IF(S228=0,"NA",SUMIFS(AN_TME23[[#All],[TOTAL Non-Claims Expenses]],AN_TME23[[#All],[Insurance Category Code]],5,AN_TME23[[#All],[Advanced Network/Insurance Carrier Org ID]],B228)/S228)</f>
        <v>NA</v>
      </c>
      <c r="AF228" s="165" t="str">
        <f>IF(S228=0,"NA",SUMIFS(AN_TME23[[#All],[TOTAL Non-Truncated Unadjusted Expenses (A21 + A23)]],AN_TME23[[#All],[Insurance Category Code]],5,AN_TME23[[#All],[Advanced Network/Insurance Carrier Org ID]],B228)/S228)</f>
        <v>NA</v>
      </c>
      <c r="AG228" s="156" t="str">
        <f>IF(S228=0,"NA",SUMIFS(AN_TME23[[#All],[TOTAL Truncated Unadjusted Expenses (A22 + A23)]],AN_TME23[[#All],[Insurance Category Code]],5,AN_TME23[[#All],[Advanced Network/Insurance Carrier Org ID]],B228)/S228)</f>
        <v>NA</v>
      </c>
      <c r="AH228" s="478" t="str">
        <f t="shared" si="291"/>
        <v>NA</v>
      </c>
      <c r="AI228" s="479" t="str">
        <f t="shared" si="292"/>
        <v>NA</v>
      </c>
      <c r="AJ228" s="480" t="str">
        <f t="shared" si="293"/>
        <v>NA</v>
      </c>
      <c r="AK228" s="480" t="str">
        <f t="shared" si="294"/>
        <v>NA</v>
      </c>
      <c r="AL228" s="480" t="str">
        <f t="shared" si="295"/>
        <v>NA</v>
      </c>
      <c r="AM228" s="480" t="str">
        <f t="shared" si="296"/>
        <v>NA</v>
      </c>
      <c r="AN228" s="480" t="str">
        <f t="shared" si="297"/>
        <v>NA</v>
      </c>
      <c r="AO228" s="480" t="str">
        <f t="shared" si="298"/>
        <v>NA</v>
      </c>
      <c r="AP228" s="480" t="str">
        <f t="shared" si="299"/>
        <v>NA</v>
      </c>
      <c r="AQ228" s="480" t="str">
        <f t="shared" si="300"/>
        <v>NA</v>
      </c>
      <c r="AR228" s="481" t="str">
        <f t="shared" si="301"/>
        <v>NA</v>
      </c>
      <c r="AS228" s="481" t="str">
        <f t="shared" si="302"/>
        <v>NA</v>
      </c>
      <c r="AT228" s="481" t="str">
        <f t="shared" si="303"/>
        <v>NA</v>
      </c>
      <c r="AU228" s="481" t="str">
        <f t="shared" si="304"/>
        <v>NA</v>
      </c>
      <c r="AV228" s="482" t="str">
        <f t="shared" si="305"/>
        <v>NA</v>
      </c>
    </row>
    <row r="229" spans="1:48" ht="15" customHeight="1" x14ac:dyDescent="0.25">
      <c r="A229" s="164"/>
      <c r="B229" s="166">
        <v>999</v>
      </c>
      <c r="C229" s="169" t="str">
        <f>_xlfn.XLOOKUP(B229, LgProvEntOrgIDs[Advanced Network/Insurer Carrier Org ID], LgProvEntOrgIDs[Advanced Network/Insurance Carrier Overall])</f>
        <v>Members Not Attributed to an Advanced Network</v>
      </c>
      <c r="D229" s="507">
        <f>SUMIFS(AN_TME22[[#All],[Member Months]],AN_TME22[[#All],[Insurance Category Code]],5,AN_TME22[[#All],[Advanced Network/Insurance Carrier Org ID]],B229)</f>
        <v>0</v>
      </c>
      <c r="E229" s="155" t="str">
        <f>IF(D229=0,"NA",SUMIFS(AN_TME22[[#All],[Claims: Hospital Inpatient]],AN_TME22[[#All],[Insurance Category Code]],5,AN_TME22[[#All],[Advanced Network/Insurance Carrier Org ID]],B229)/D229)</f>
        <v>NA</v>
      </c>
      <c r="F229" s="109" t="str">
        <f>IF(D229=0,"NA",SUMIFS(AN_TME22[[#All],[Claims: Hospital Outpatient]],AN_TME22[[#All],[Insurance Category Code]],5,AN_TME22[[#All],[Advanced Network/Insurance Carrier Org ID]],B229)/D229)</f>
        <v>NA</v>
      </c>
      <c r="G229" s="109" t="str">
        <f>IF(D229=0,"NA",SUMIFS(AN_TME22[[#All],[Claims: Professional, Primary Care]],AN_TME22[[#All],[Insurance Category Code]],5,AN_TME22[[#All],[Advanced Network/Insurance Carrier Org ID]],B229)/D229)</f>
        <v>NA</v>
      </c>
      <c r="H229" s="109" t="str">
        <f>IF(D229=0,"NA",SUMIFS(AN_TME22[[#All],[Claims: Professional, Primary Care (for Monitoring Purposes)]],AN_TME22[[#All],[Insurance Category Code]],5,AN_TME22[[#All],[Advanced Network/Insurance Carrier Org ID]],B229)/D229)</f>
        <v>NA</v>
      </c>
      <c r="I229" s="109" t="str">
        <f>IF(D229=0,"NA",SUMIFS(AN_TME22[[#All],[Claims: Professional, Specialty]],AN_TME22[[#All],[Insurance Category Code]],5,AN_TME22[[#All],[Advanced Network/Insurance Carrier Org ID]],B229)/D229)</f>
        <v>NA</v>
      </c>
      <c r="J229" s="109" t="str">
        <f>IF(D229=0,"NA",SUMIFS(AN_TME22[[#All],[Claims: Professional Other]],AN_TME22[[#All],[Insurance Category Code]],5,AN_TME22[[#All],[Advanced Network/Insurance Carrier Org ID]],B229)/D229)</f>
        <v>NA</v>
      </c>
      <c r="K229" s="109" t="str">
        <f>IF(D229=0,"NA",SUMIFS(AN_TME22[[#All],[Claims: Pharmacy]],AN_TME22[[#All],[Insurance Category Code]],5,AN_TME22[[#All],[Advanced Network/Insurance Carrier Org ID]],B229)/D229)</f>
        <v>NA</v>
      </c>
      <c r="L229" s="109" t="str">
        <f>IF(D229=0,"NA",SUMIFS(AN_TME22[[#All],[Claims: Long-Term Care]],AN_TME22[[#All],[Insurance Category Code]],5,AN_TME22[[#All],[Advanced Network/Insurance Carrier Org ID]],B229)/D229)</f>
        <v>NA</v>
      </c>
      <c r="M229" s="109" t="str">
        <f>IF(D229=0,"NA",SUMIFS(AN_TME22[[#All],[Claims: Other]],AN_TME22[[#All],[Insurance Category Code]],5,AN_TME22[[#All],[Advanced Network/Insurance Carrier Org ID]],B229)/D229)</f>
        <v>NA</v>
      </c>
      <c r="N229" s="165" t="str">
        <f>IF(D229=0,"NA",SUMIFS(AN_TME22[[#All],[TOTAL Non-Truncated Unadjusted Claims Expenses]],AN_TME22[[#All],[Insurance Category Code]],5,AN_TME22[[#All],[Advanced Network/Insurance Carrier Org ID]],B229)/D229)</f>
        <v>NA</v>
      </c>
      <c r="O229" s="165" t="str">
        <f>IF(D229=0,"NA",SUMIFS(AN_TME22[[#All],[TOTAL Truncated Unadjusted Claims Expenses (A21 -A19)]],AN_TME22[[#All],[Insurance Category Code]],5,AN_TME22[[#All],[Advanced Network/Insurance Carrier Org ID]],B229)/D229)</f>
        <v>NA</v>
      </c>
      <c r="P229" s="165" t="str">
        <f>IF(D229=0,"NA",SUMIFS(AN_TME22[[#All],[TOTAL Non-Claims Expenses]],AN_TME22[[#All],[Insurance Category Code]],5,AN_TME22[[#All],[Advanced Network/Insurance Carrier Org ID]],B229)/D229)</f>
        <v>NA</v>
      </c>
      <c r="Q229" s="165" t="str">
        <f>IF(D229=0,"NA",SUMIFS(AN_TME22[[#All],[TOTAL Non-Truncated Unadjusted Expenses (A21 + A23)]],AN_TME22[[#All],[Insurance Category Code]],5,AN_TME22[[#All],[Advanced Network/Insurance Carrier Org ID]],B229)/D229)</f>
        <v>NA</v>
      </c>
      <c r="R229" s="165" t="str">
        <f>IF(D229=0,"NA",SUMIFS(AN_TME22[[#All],[TOTAL Truncated Unadjusted Expenses (A22 + A23)]],AN_TME22[[#All],[Insurance Category Code]],5,AN_TME22[[#All],[Advanced Network/Insurance Carrier Org ID]],B229)/D229)</f>
        <v>NA</v>
      </c>
      <c r="S229" s="507">
        <f>SUMIFS(AN_TME23[[#All],[Member Months]],AN_TME23[[#All],[Insurance Category Code]],5,AN_TME23[[#All],[Advanced Network/Insurance Carrier Org ID]],B229)</f>
        <v>0</v>
      </c>
      <c r="T229" s="155" t="str">
        <f>IF(S229=0,"NA",SUMIFS(AN_TME23[[#All],[Claims: Hospital Inpatient]],AN_TME23[[#All],[Insurance Category Code]],5,AN_TME23[[#All],[Advanced Network/Insurance Carrier Org ID]],B229)/S229)</f>
        <v>NA</v>
      </c>
      <c r="U229" s="109" t="str">
        <f>IF(S229=0,"NA",SUMIFS(AN_TME23[[#All],[Claims: Hospital Outpatient]],AN_TME23[[#All],[Insurance Category Code]],5,AN_TME23[[#All],[Advanced Network/Insurance Carrier Org ID]],B229)/S229)</f>
        <v>NA</v>
      </c>
      <c r="V229" s="109" t="str">
        <f>IF(S229=0,"NA",SUMIFS(AN_TME23[[#All],[Claims: Professional, Primary Care]],AN_TME23[[#All],[Insurance Category Code]],5,AN_TME23[[#All],[Advanced Network/Insurance Carrier Org ID]],B229)/S229)</f>
        <v>NA</v>
      </c>
      <c r="W229" s="109" t="str">
        <f>IF(S229=0,"NA",SUMIFS(AN_TME23[[#All],[Claims: Professional, Primary Care (for Monitoring Purposes)]],AN_TME23[[#All],[Insurance Category Code]],5,AN_TME23[[#All],[Advanced Network/Insurance Carrier Org ID]],B229)/S229)</f>
        <v>NA</v>
      </c>
      <c r="X229" s="109" t="str">
        <f>IF(S229=0,"NA",SUMIFS(AN_TME23[[#All],[Claims: Professional, Specialty]],AN_TME23[[#All],[Insurance Category Code]],5,AN_TME23[[#All],[Advanced Network/Insurance Carrier Org ID]],B229)/S229)</f>
        <v>NA</v>
      </c>
      <c r="Y229" s="109" t="str">
        <f>IF(S229=0,"NA",SUMIFS(AN_TME23[[#All],[Claims: Professional Other]],AN_TME23[[#All],[Insurance Category Code]],5,AN_TME23[[#All],[Advanced Network/Insurance Carrier Org ID]],B229)/S229)</f>
        <v>NA</v>
      </c>
      <c r="Z229" s="109" t="str">
        <f>IF(S229=0,"NA",SUMIFS(AN_TME23[[#All],[Claims: Pharmacy]],AN_TME23[[#All],[Insurance Category Code]],5,AN_TME23[[#All],[Advanced Network/Insurance Carrier Org ID]],B229)/S229)</f>
        <v>NA</v>
      </c>
      <c r="AA229" s="109" t="str">
        <f>IF(S229=0,"NA",SUMIFS(AN_TME23[[#All],[Claims: Long-Term Care]],AN_TME23[[#All],[Insurance Category Code]],5,AN_TME23[[#All],[Advanced Network/Insurance Carrier Org ID]],B229)/S229)</f>
        <v>NA</v>
      </c>
      <c r="AB229" s="109" t="str">
        <f>IF(S229=0,"NA",SUMIFS(AN_TME23[[#All],[Claims: Other]],AN_TME23[[#All],[Insurance Category Code]],5,AN_TME23[[#All],[Advanced Network/Insurance Carrier Org ID]],B229)/S229)</f>
        <v>NA</v>
      </c>
      <c r="AC229" s="165" t="str">
        <f>IF(S229=0,"NA",SUMIFS(AN_TME23[[#All],[TOTAL Non-Truncated Unadjusted Claims Expenses]],AN_TME23[[#All],[Insurance Category Code]],5,AN_TME23[[#All],[Advanced Network/Insurance Carrier Org ID]],B229)/S229)</f>
        <v>NA</v>
      </c>
      <c r="AD229" s="165" t="str">
        <f>IF(S229=0,"NA",SUMIFS(AN_TME23[[#All],[TOTAL Truncated Unadjusted Claims Expenses (A21 -A19)]],AN_TME23[[#All],[Insurance Category Code]],5,AN_TME23[[#All],[Advanced Network/Insurance Carrier Org ID]],B229)/S229)</f>
        <v>NA</v>
      </c>
      <c r="AE229" s="165" t="str">
        <f>IF(S229=0,"NA",SUMIFS(AN_TME23[[#All],[TOTAL Non-Claims Expenses]],AN_TME23[[#All],[Insurance Category Code]],5,AN_TME23[[#All],[Advanced Network/Insurance Carrier Org ID]],B229)/S229)</f>
        <v>NA</v>
      </c>
      <c r="AF229" s="165" t="str">
        <f>IF(S229=0,"NA",SUMIFS(AN_TME23[[#All],[TOTAL Non-Truncated Unadjusted Expenses (A21 + A23)]],AN_TME23[[#All],[Insurance Category Code]],5,AN_TME23[[#All],[Advanced Network/Insurance Carrier Org ID]],B229)/S229)</f>
        <v>NA</v>
      </c>
      <c r="AG229" s="156" t="str">
        <f>IF(S229=0,"NA",SUMIFS(AN_TME23[[#All],[TOTAL Truncated Unadjusted Expenses (A22 + A23)]],AN_TME23[[#All],[Insurance Category Code]],5,AN_TME23[[#All],[Advanced Network/Insurance Carrier Org ID]],B229)/S229)</f>
        <v>NA</v>
      </c>
      <c r="AH229" s="478" t="str">
        <f>IF(D229=0,"NA",S229/D229-1)</f>
        <v>NA</v>
      </c>
      <c r="AI229" s="479" t="str">
        <f>IF(D229=0,"NA",T229/E229-1)</f>
        <v>NA</v>
      </c>
      <c r="AJ229" s="480" t="str">
        <f>IF(D229=0,"NA",U229/F229-1)</f>
        <v>NA</v>
      </c>
      <c r="AK229" s="480" t="str">
        <f>IF(D229=0,"NA",V229/G229-1)</f>
        <v>NA</v>
      </c>
      <c r="AL229" s="480" t="str">
        <f>IF(D229=0,"NA",W229/H229-1)</f>
        <v>NA</v>
      </c>
      <c r="AM229" s="480" t="str">
        <f>IF(D229=0,"NA",X229/I229-1)</f>
        <v>NA</v>
      </c>
      <c r="AN229" s="480" t="str">
        <f>IF(D229=0,"NA",Y229/J229-1)</f>
        <v>NA</v>
      </c>
      <c r="AO229" s="480" t="str">
        <f>IF(D229=0,"NA",Z229/K229-1)</f>
        <v>NA</v>
      </c>
      <c r="AP229" s="480" t="str">
        <f>IF(D229=0,"NA",AA229/L229-1)</f>
        <v>NA</v>
      </c>
      <c r="AQ229" s="480" t="str">
        <f>IF(D229=0,"NA",AB229/M229-1)</f>
        <v>NA</v>
      </c>
      <c r="AR229" s="481" t="str">
        <f>IF(D229=0,"NA",AC229/N229-1)</f>
        <v>NA</v>
      </c>
      <c r="AS229" s="481" t="str">
        <f>IF(D229=0,"NA",AD229/O229-1)</f>
        <v>NA</v>
      </c>
      <c r="AT229" s="481" t="str">
        <f>IF(D229=0,"NA",AE229/P229-1)</f>
        <v>NA</v>
      </c>
      <c r="AU229" s="481" t="str">
        <f>IF(D229=0,"NA",AF229/Q229-1)</f>
        <v>NA</v>
      </c>
      <c r="AV229" s="482" t="str">
        <f>IF(D229=0,"NA",AG229/R229-1)</f>
        <v>NA</v>
      </c>
    </row>
    <row r="230" spans="1:48" ht="15" customHeight="1" x14ac:dyDescent="0.25">
      <c r="B230" s="167"/>
      <c r="C230" s="170" t="s">
        <v>319</v>
      </c>
      <c r="D230" s="508">
        <f>SUM(D198:D229)</f>
        <v>0</v>
      </c>
      <c r="E230" s="157" t="str">
        <f>IF(D230=0,"NA",SUMPRODUCT(E198:E229,D198:D229)/D230)</f>
        <v>NA</v>
      </c>
      <c r="F230" s="110" t="str">
        <f>IF(D230=0,"NA",SUMPRODUCT(F198:F229,D198:D229)/D230)</f>
        <v>NA</v>
      </c>
      <c r="G230" s="110" t="str">
        <f>IF(D230=0,"NA",SUMPRODUCT(G198:G229,D198:D229)/D230)</f>
        <v>NA</v>
      </c>
      <c r="H230" s="110" t="str">
        <f>IF(D230=0,"NA",SUMPRODUCT(H198:H229,D198:D229)/D230)</f>
        <v>NA</v>
      </c>
      <c r="I230" s="110" t="str">
        <f>IF(D230=0,"NA",SUMPRODUCT(I198:I229,D198:D229)/D230)</f>
        <v>NA</v>
      </c>
      <c r="J230" s="110" t="str">
        <f>IF(D230=0,"NA",SUMPRODUCT(J198:J229,D198:D229)/D230)</f>
        <v>NA</v>
      </c>
      <c r="K230" s="110" t="str">
        <f>IF(D230=0,"NA",SUMPRODUCT(K198:K229,D198:D229)/D230)</f>
        <v>NA</v>
      </c>
      <c r="L230" s="110" t="str">
        <f>IF(D230=0,"NA",SUMPRODUCT(L198:L229,D198:D229)/D230)</f>
        <v>NA</v>
      </c>
      <c r="M230" s="110" t="str">
        <f>IF(D230=0,"NA",SUMPRODUCT(M198:M229,D198:D229)/D230)</f>
        <v>NA</v>
      </c>
      <c r="N230" s="158" t="str">
        <f>IF(D230=0,"NA",SUMPRODUCT(N198:N229,D198:D229)/D230)</f>
        <v>NA</v>
      </c>
      <c r="O230" s="158" t="str">
        <f>IF(D230=0,"NA",SUMPRODUCT(O198:O229,D198:D229)/D230)</f>
        <v>NA</v>
      </c>
      <c r="P230" s="158" t="str">
        <f>IF(D230=0,"NA",SUMPRODUCT(P198:P229,D198:D229)/D230)</f>
        <v>NA</v>
      </c>
      <c r="Q230" s="158" t="str">
        <f>IF(D230=0,"NA",SUMPRODUCT(Q198:Q229,D198:D229)/D230)</f>
        <v>NA</v>
      </c>
      <c r="R230" s="158" t="str">
        <f>IF(D230=0,"NA",SUMPRODUCT(R198:R229,D198:D229)/D230)</f>
        <v>NA</v>
      </c>
      <c r="S230" s="508">
        <f>SUM(S198:S229)</f>
        <v>0</v>
      </c>
      <c r="T230" s="157" t="str">
        <f>IF(S230=0,"NA",SUMPRODUCT(T198:T229,S198:S229)/S230)</f>
        <v>NA</v>
      </c>
      <c r="U230" s="110" t="str">
        <f>IF(S230=0,"NA",SUMPRODUCT(U198:U229,S198:S229)/S230)</f>
        <v>NA</v>
      </c>
      <c r="V230" s="110" t="str">
        <f>IF(S230=0,"NA",SUMPRODUCT(V198:V229,S198:S229)/S230)</f>
        <v>NA</v>
      </c>
      <c r="W230" s="110" t="str">
        <f>IF(S230=0,"NA",SUMPRODUCT(W198:W229,S198:S229)/S230)</f>
        <v>NA</v>
      </c>
      <c r="X230" s="110" t="str">
        <f>IF(S230=0,"NA",SUMPRODUCT(X198:X229,S198:S229)/S230)</f>
        <v>NA</v>
      </c>
      <c r="Y230" s="110" t="str">
        <f>IF(S230=0,"NA",SUMPRODUCT(Y198:Y229,S198:S229)/S230)</f>
        <v>NA</v>
      </c>
      <c r="Z230" s="110" t="str">
        <f>IF(S230=0,"NA",SUMPRODUCT(Z198:Z229,S198:S229)/S230)</f>
        <v>NA</v>
      </c>
      <c r="AA230" s="110" t="str">
        <f>IF(S230=0,"NA",SUMPRODUCT(AA198:AA229,S198:S229)/S230)</f>
        <v>NA</v>
      </c>
      <c r="AB230" s="110" t="str">
        <f>IF(S230=0,"NA",SUMPRODUCT(AB198:AB229,S198:S229)/S230)</f>
        <v>NA</v>
      </c>
      <c r="AC230" s="158" t="str">
        <f>IF(S230=0,"NA",SUMPRODUCT(AC198:AC229,S198:S229)/S230)</f>
        <v>NA</v>
      </c>
      <c r="AD230" s="158" t="str">
        <f>IF(S230=0,"NA",SUMPRODUCT(AD198:AD229,S198:S229)/S230)</f>
        <v>NA</v>
      </c>
      <c r="AE230" s="158" t="str">
        <f>IF(S230=0,"NA",SUMPRODUCT(AE198:AE229,S198:S229)/S230)</f>
        <v>NA</v>
      </c>
      <c r="AF230" s="158" t="str">
        <f>IF(S230=0,"NA",SUMPRODUCT(AF198:AF229,S198:S229)/S230)</f>
        <v>NA</v>
      </c>
      <c r="AG230" s="159" t="str">
        <f>IF(S230=0,"NA",SUMPRODUCT(AG198:AG229,S198:S229)/S230)</f>
        <v>NA</v>
      </c>
      <c r="AH230" s="483" t="str">
        <f>IF(D230=0,"NA",S230/D230-1)</f>
        <v>NA</v>
      </c>
      <c r="AI230" s="484" t="str">
        <f>IF(D230=0,"NA",T230/E230-1)</f>
        <v>NA</v>
      </c>
      <c r="AJ230" s="485" t="str">
        <f>IF(D230=0,"NA",U230/F230-1)</f>
        <v>NA</v>
      </c>
      <c r="AK230" s="485" t="str">
        <f>IF(D230=0,"NA",V230/G230-1)</f>
        <v>NA</v>
      </c>
      <c r="AL230" s="485" t="str">
        <f>IF(D230=0,"NA",W230/H230-1)</f>
        <v>NA</v>
      </c>
      <c r="AM230" s="485" t="str">
        <f>IF(D230=0,"NA",X230/I230-1)</f>
        <v>NA</v>
      </c>
      <c r="AN230" s="485" t="str">
        <f>IF(D230=0,"NA",Y230/J230-1)</f>
        <v>NA</v>
      </c>
      <c r="AO230" s="485" t="str">
        <f>IF(D230=0,"NA",Z230/K230-1)</f>
        <v>NA</v>
      </c>
      <c r="AP230" s="485" t="str">
        <f>IF(D230=0,"NA",AA230/L230-1)</f>
        <v>NA</v>
      </c>
      <c r="AQ230" s="485" t="str">
        <f>IF(D230=0,"NA",AB230/M230-1)</f>
        <v>NA</v>
      </c>
      <c r="AR230" s="486" t="str">
        <f>IF(D230=0,"NA",AC230/N230-1)</f>
        <v>NA</v>
      </c>
      <c r="AS230" s="486" t="str">
        <f>IF(D230=0,"NA",AD230/O230-1)</f>
        <v>NA</v>
      </c>
      <c r="AT230" s="486" t="str">
        <f>IF(D230=0,"NA",AE230/P230-1)</f>
        <v>NA</v>
      </c>
      <c r="AU230" s="486" t="str">
        <f>IF(D230=0,"NA",AF230/Q230-1)</f>
        <v>NA</v>
      </c>
      <c r="AV230" s="487" t="str">
        <f>IF(D230=0,"NA",AG230/R230-1)</f>
        <v>NA</v>
      </c>
    </row>
    <row r="231" spans="1:48" ht="15.75" customHeight="1" thickBot="1" x14ac:dyDescent="0.3">
      <c r="B231" s="168"/>
      <c r="C231" s="171" t="s">
        <v>320</v>
      </c>
      <c r="D231" s="509">
        <f t="shared" ref="D231:J231" si="306">D230</f>
        <v>0</v>
      </c>
      <c r="E231" s="160" t="str">
        <f t="shared" si="306"/>
        <v>NA</v>
      </c>
      <c r="F231" s="161" t="str">
        <f t="shared" si="306"/>
        <v>NA</v>
      </c>
      <c r="G231" s="161" t="str">
        <f t="shared" si="306"/>
        <v>NA</v>
      </c>
      <c r="H231" s="161" t="str">
        <f t="shared" si="306"/>
        <v>NA</v>
      </c>
      <c r="I231" s="161" t="str">
        <f t="shared" si="306"/>
        <v>NA</v>
      </c>
      <c r="J231" s="161" t="str">
        <f t="shared" si="306"/>
        <v>NA</v>
      </c>
      <c r="K231" s="161" t="str">
        <f>IF(D231=0,"NA",(SUMPRODUCT(K198:K229,D198:D229)-ABS(SUMIF(RX_REBATES22[[#All],[Insurance Category Code]],5,RX_REBATES22[[#All],[Total Pharmacy Rebates]])))/D231)</f>
        <v>NA</v>
      </c>
      <c r="L231" s="161" t="str">
        <f>L230</f>
        <v>NA</v>
      </c>
      <c r="M231" s="161" t="str">
        <f>M230</f>
        <v>NA</v>
      </c>
      <c r="N231" s="162" t="str">
        <f>IF(D231=0,"NA",(SUMPRODUCT(N198:N229,D198:D229)-ABS(SUMIF(RX_REBATES22[[#All],[Insurance Category Code]],5,RX_REBATES22[[#All],[Total Pharmacy Rebates]])))/D231)</f>
        <v>NA</v>
      </c>
      <c r="O231" s="162" t="str">
        <f>IF(D231=0,"NA",(SUMPRODUCT(O198:O229,D198:D229)-ABS(SUMIF(RX_REBATES22[[#All],[Insurance Category Code]],5,RX_REBATES22[[#All],[Total Pharmacy Rebates]])))/D231)</f>
        <v>NA</v>
      </c>
      <c r="P231" s="162" t="str">
        <f>IF(D231=0,"NA",(SUMPRODUCT(P198:P229,D198:D229)-ABS(SUMIF(RX_REBATES22[[#All],[Insurance Category Code]],5,RX_REBATES22[[#All],[Total Pharmacy Rebates]])))/D231)</f>
        <v>NA</v>
      </c>
      <c r="Q231" s="162" t="str">
        <f>IF(D231=0,"NA",(SUMPRODUCT(Q198:Q229,D198:D229)-ABS(SUMIF(RX_REBATES22[[#All],[Insurance Category Code]],5,RX_REBATES22[[#All],[Total Pharmacy Rebates]])))/D231)</f>
        <v>NA</v>
      </c>
      <c r="R231" s="162" t="str">
        <f>IF(D231=0,"NA",(SUMPRODUCT(R198:R229,D198:D229)-ABS(SUMIF(RX_REBATES22[[#All],[Insurance Category Code]],5,RX_REBATES22[[#All],[Total Pharmacy Rebates]])))/D231)</f>
        <v>NA</v>
      </c>
      <c r="S231" s="509">
        <f t="shared" ref="S231:Y231" si="307">S230</f>
        <v>0</v>
      </c>
      <c r="T231" s="160" t="str">
        <f t="shared" si="307"/>
        <v>NA</v>
      </c>
      <c r="U231" s="161" t="str">
        <f t="shared" si="307"/>
        <v>NA</v>
      </c>
      <c r="V231" s="161" t="str">
        <f t="shared" si="307"/>
        <v>NA</v>
      </c>
      <c r="W231" s="161" t="str">
        <f t="shared" si="307"/>
        <v>NA</v>
      </c>
      <c r="X231" s="161" t="str">
        <f t="shared" si="307"/>
        <v>NA</v>
      </c>
      <c r="Y231" s="161" t="str">
        <f t="shared" si="307"/>
        <v>NA</v>
      </c>
      <c r="Z231" s="161" t="str">
        <f>IF(S231=0,"NA",(SUMPRODUCT(Z198:Z229,S198:S229)-ABS(SUMIF(RX_REBATES23[[#All],[Insurance Category Code]],5,RX_REBATES23[[#All],[Total Pharmacy Rebates]])))/S231)</f>
        <v>NA</v>
      </c>
      <c r="AA231" s="161" t="str">
        <f>AA230</f>
        <v>NA</v>
      </c>
      <c r="AB231" s="161" t="str">
        <f>AB230</f>
        <v>NA</v>
      </c>
      <c r="AC231" s="162" t="str">
        <f>IF(S231=0,"NA",(SUMPRODUCT(AC198:AC229,S198:S229)-ABS(SUMIF(RX_REBATES23[[#All],[Insurance Category Code]],5,RX_REBATES23[[#All],[Total Pharmacy Rebates]])))/S231)</f>
        <v>NA</v>
      </c>
      <c r="AD231" s="162" t="str">
        <f>IF(S231=0,"NA",(SUMPRODUCT(AD198:AD229,S198:S229)-ABS(SUMIF(RX_REBATES23[[#All],[Insurance Category Code]],5,RX_REBATES23[[#All],[Total Pharmacy Rebates]])))/S231)</f>
        <v>NA</v>
      </c>
      <c r="AE231" s="162" t="str">
        <f>IF(S231=0,"NA",(SUMPRODUCT(AE198:AE229,S198:S229)-ABS(SUMIF(RX_REBATES23[[#All],[Insurance Category Code]],5,RX_REBATES23[[#All],[Total Pharmacy Rebates]])))/S231)</f>
        <v>NA</v>
      </c>
      <c r="AF231" s="162" t="str">
        <f>IF(S231=0,"NA",(SUMPRODUCT(AF198:AF229,S198:S229)-ABS(SUMIF(RX_REBATES23[[#All],[Insurance Category Code]],5,RX_REBATES23[[#All],[Total Pharmacy Rebates]])))/S231)</f>
        <v>NA</v>
      </c>
      <c r="AG231" s="163" t="str">
        <f>IF(S231=0,"NA",(SUMPRODUCT(AG198:AG229,S198:S229)-ABS(SUMIF(RX_REBATES23[[#All],[Insurance Category Code]],5,RX_REBATES23[[#All],[Total Pharmacy Rebates]])))/S231)</f>
        <v>NA</v>
      </c>
      <c r="AH231" s="488" t="str">
        <f>IF(D231=0,"NA",S231/D231-1)</f>
        <v>NA</v>
      </c>
      <c r="AI231" s="489" t="str">
        <f>IF(D231=0,"NA",T231/E231-1)</f>
        <v>NA</v>
      </c>
      <c r="AJ231" s="490" t="str">
        <f>IF(D231=0,"NA",U231/F231-1)</f>
        <v>NA</v>
      </c>
      <c r="AK231" s="490" t="str">
        <f>IF(D231=0,"NA",V231/G231-1)</f>
        <v>NA</v>
      </c>
      <c r="AL231" s="490" t="str">
        <f>IF(D231=0,"NA",W231/H231-1)</f>
        <v>NA</v>
      </c>
      <c r="AM231" s="490" t="str">
        <f>IF(D231=0,"NA",X231/I231-1)</f>
        <v>NA</v>
      </c>
      <c r="AN231" s="490" t="str">
        <f>IF(D231=0,"NA",Y231/J231-1)</f>
        <v>NA</v>
      </c>
      <c r="AO231" s="490" t="str">
        <f>IF(D231=0,"NA",Z231/K231-1)</f>
        <v>NA</v>
      </c>
      <c r="AP231" s="490" t="str">
        <f>IF(D231=0,"NA",AA231/L231-1)</f>
        <v>NA</v>
      </c>
      <c r="AQ231" s="490" t="str">
        <f>IF(D231=0,"NA",AB231/M231-1)</f>
        <v>NA</v>
      </c>
      <c r="AR231" s="491" t="str">
        <f>IF(D231=0,"NA",AC231/N231-1)</f>
        <v>NA</v>
      </c>
      <c r="AS231" s="491" t="str">
        <f>IF(D231=0,"NA",AD231/O231-1)</f>
        <v>NA</v>
      </c>
      <c r="AT231" s="491" t="str">
        <f>IF(D231=0,"NA",AE231/P231-1)</f>
        <v>NA</v>
      </c>
      <c r="AU231" s="491" t="str">
        <f>IF(D231=0,"NA",AF231/Q231-1)</f>
        <v>NA</v>
      </c>
      <c r="AV231" s="492" t="str">
        <f>IF(D231=0,"NA",AG231/R231-1)</f>
        <v>NA</v>
      </c>
    </row>
    <row r="233" spans="1:48" ht="16.5" thickBot="1" x14ac:dyDescent="0.3">
      <c r="B233" s="54" t="s">
        <v>327</v>
      </c>
      <c r="C233" s="526"/>
    </row>
    <row r="234" spans="1:48" x14ac:dyDescent="0.25">
      <c r="B234" s="603" t="s">
        <v>309</v>
      </c>
      <c r="C234" s="604"/>
      <c r="D234" s="607">
        <v>2022</v>
      </c>
      <c r="E234" s="608"/>
      <c r="F234" s="608"/>
      <c r="G234" s="608"/>
      <c r="H234" s="608"/>
      <c r="I234" s="608"/>
      <c r="J234" s="608"/>
      <c r="K234" s="608"/>
      <c r="L234" s="608"/>
      <c r="M234" s="608"/>
      <c r="N234" s="608"/>
      <c r="O234" s="608"/>
      <c r="P234" s="608"/>
      <c r="Q234" s="608"/>
      <c r="R234" s="608"/>
      <c r="S234" s="607">
        <v>2023</v>
      </c>
      <c r="T234" s="608"/>
      <c r="U234" s="608"/>
      <c r="V234" s="608"/>
      <c r="W234" s="608"/>
      <c r="X234" s="608"/>
      <c r="Y234" s="608"/>
      <c r="Z234" s="608"/>
      <c r="AA234" s="608"/>
      <c r="AB234" s="608"/>
      <c r="AC234" s="608"/>
      <c r="AD234" s="608"/>
      <c r="AE234" s="608"/>
      <c r="AF234" s="608"/>
      <c r="AG234" s="613"/>
      <c r="AH234" s="549" t="s">
        <v>454</v>
      </c>
      <c r="AI234" s="550"/>
      <c r="AJ234" s="551"/>
      <c r="AK234" s="551"/>
      <c r="AL234" s="551"/>
      <c r="AM234" s="551"/>
      <c r="AN234" s="551"/>
      <c r="AO234" s="551"/>
      <c r="AP234" s="551"/>
      <c r="AQ234" s="551"/>
      <c r="AR234" s="552"/>
      <c r="AS234" s="552"/>
      <c r="AT234" s="552"/>
      <c r="AU234" s="552"/>
      <c r="AV234" s="553"/>
    </row>
    <row r="235" spans="1:48" ht="30" x14ac:dyDescent="0.25">
      <c r="B235" s="77" t="s">
        <v>310</v>
      </c>
      <c r="C235" s="79" t="s">
        <v>311</v>
      </c>
      <c r="D235" s="77" t="s">
        <v>211</v>
      </c>
      <c r="E235" s="148" t="s">
        <v>102</v>
      </c>
      <c r="F235" s="78" t="s">
        <v>104</v>
      </c>
      <c r="G235" s="78" t="s">
        <v>106</v>
      </c>
      <c r="H235" s="78" t="s">
        <v>312</v>
      </c>
      <c r="I235" s="78" t="s">
        <v>108</v>
      </c>
      <c r="J235" s="78" t="s">
        <v>109</v>
      </c>
      <c r="K235" s="78" t="s">
        <v>313</v>
      </c>
      <c r="L235" s="78" t="s">
        <v>314</v>
      </c>
      <c r="M235" s="78" t="s">
        <v>115</v>
      </c>
      <c r="N235" s="154" t="s">
        <v>315</v>
      </c>
      <c r="O235" s="154" t="s">
        <v>316</v>
      </c>
      <c r="P235" s="154" t="s">
        <v>214</v>
      </c>
      <c r="Q235" s="154" t="s">
        <v>317</v>
      </c>
      <c r="R235" s="154" t="s">
        <v>318</v>
      </c>
      <c r="S235" s="77" t="s">
        <v>211</v>
      </c>
      <c r="T235" s="148" t="s">
        <v>102</v>
      </c>
      <c r="U235" s="78" t="s">
        <v>104</v>
      </c>
      <c r="V235" s="78" t="s">
        <v>106</v>
      </c>
      <c r="W235" s="78" t="s">
        <v>312</v>
      </c>
      <c r="X235" s="78" t="s">
        <v>108</v>
      </c>
      <c r="Y235" s="78" t="s">
        <v>109</v>
      </c>
      <c r="Z235" s="78" t="s">
        <v>313</v>
      </c>
      <c r="AA235" s="78" t="s">
        <v>314</v>
      </c>
      <c r="AB235" s="78" t="s">
        <v>115</v>
      </c>
      <c r="AC235" s="154" t="s">
        <v>315</v>
      </c>
      <c r="AD235" s="154" t="s">
        <v>316</v>
      </c>
      <c r="AE235" s="154" t="s">
        <v>214</v>
      </c>
      <c r="AF235" s="154" t="s">
        <v>317</v>
      </c>
      <c r="AG235" s="79" t="s">
        <v>318</v>
      </c>
      <c r="AH235" s="77" t="s">
        <v>211</v>
      </c>
      <c r="AI235" s="148" t="s">
        <v>102</v>
      </c>
      <c r="AJ235" s="78" t="s">
        <v>104</v>
      </c>
      <c r="AK235" s="78" t="s">
        <v>106</v>
      </c>
      <c r="AL235" s="78" t="s">
        <v>312</v>
      </c>
      <c r="AM235" s="78" t="s">
        <v>108</v>
      </c>
      <c r="AN235" s="78" t="s">
        <v>109</v>
      </c>
      <c r="AO235" s="78" t="s">
        <v>313</v>
      </c>
      <c r="AP235" s="78" t="s">
        <v>314</v>
      </c>
      <c r="AQ235" s="78" t="s">
        <v>115</v>
      </c>
      <c r="AR235" s="154" t="s">
        <v>315</v>
      </c>
      <c r="AS235" s="154" t="s">
        <v>316</v>
      </c>
      <c r="AT235" s="154" t="s">
        <v>214</v>
      </c>
      <c r="AU235" s="154" t="s">
        <v>317</v>
      </c>
      <c r="AV235" s="79" t="s">
        <v>318</v>
      </c>
    </row>
    <row r="236" spans="1:48" ht="15" customHeight="1" x14ac:dyDescent="0.25">
      <c r="A236" s="164"/>
      <c r="B236" s="166">
        <v>101</v>
      </c>
      <c r="C236" s="169" t="str">
        <f>_xlfn.XLOOKUP(B236, LgProvEntOrgIDs[Advanced Network/Insurer Carrier Org ID], LgProvEntOrgIDs[Advanced Network/Insurance Carrier Overall])</f>
        <v>Privia Quality Network of Connecticut (PQN CT) (formerly Community Medical Group)</v>
      </c>
      <c r="D236" s="507">
        <f>SUMIFS(AN_TME22[[#All],[Member Months]],AN_TME22[[#All],[Insurance Category Code]],7,AN_TME22[[#All],[Advanced Network/Insurance Carrier Org ID]],B236)</f>
        <v>0</v>
      </c>
      <c r="E236" s="155" t="str">
        <f>IF(D236=0,"NA",SUMIFS(AN_TME22[[#All],[Claims: Hospital Inpatient]],AN_TME22[[#All],[Insurance Category Code]],7,AN_TME22[[#All],[Advanced Network/Insurance Carrier Org ID]],B236)/D236)</f>
        <v>NA</v>
      </c>
      <c r="F236" s="109" t="str">
        <f>IF(D236=0,"NA",SUMIFS(AN_TME22[[#All],[Claims: Hospital Outpatient]],AN_TME22[[#All],[Insurance Category Code]],7,AN_TME22[[#All],[Advanced Network/Insurance Carrier Org ID]],B236)/D236)</f>
        <v>NA</v>
      </c>
      <c r="G236" s="109" t="str">
        <f>IF(D236=0,"NA",SUMIFS(AN_TME22[[#All],[Claims: Professional, Primary Care]],AN_TME22[[#All],[Insurance Category Code]],7,AN_TME22[[#All],[Advanced Network/Insurance Carrier Org ID]],B236)/D236)</f>
        <v>NA</v>
      </c>
      <c r="H236" s="109" t="str">
        <f>IF(D236=0,"NA",SUMIFS(AN_TME22[[#All],[Claims: Professional, Primary Care (for Monitoring Purposes)]],AN_TME22[[#All],[Insurance Category Code]],7,AN_TME22[[#All],[Advanced Network/Insurance Carrier Org ID]],B236)/D236)</f>
        <v>NA</v>
      </c>
      <c r="I236" s="109" t="str">
        <f>IF(D236=0,"NA",SUMIFS(AN_TME22[[#All],[Claims: Professional, Specialty]],AN_TME22[[#All],[Insurance Category Code]],7,AN_TME22[[#All],[Advanced Network/Insurance Carrier Org ID]],B236)/D236)</f>
        <v>NA</v>
      </c>
      <c r="J236" s="109" t="str">
        <f>IF(D236=0,"NA",SUMIFS(AN_TME22[[#All],[Claims: Professional Other]],AN_TME22[[#All],[Insurance Category Code]],7,AN_TME22[[#All],[Advanced Network/Insurance Carrier Org ID]],B236)/D236)</f>
        <v>NA</v>
      </c>
      <c r="K236" s="109" t="str">
        <f>IF(D236=0,"NA",SUMIFS(AN_TME22[[#All],[Claims: Pharmacy]],AN_TME22[[#All],[Insurance Category Code]],7,AN_TME22[[#All],[Advanced Network/Insurance Carrier Org ID]],B236)/D236)</f>
        <v>NA</v>
      </c>
      <c r="L236" s="109" t="str">
        <f>IF(D236=0,"NA",SUMIFS(AN_TME22[[#All],[Claims: Long-Term Care]],AN_TME22[[#All],[Insurance Category Code]],7,AN_TME22[[#All],[Advanced Network/Insurance Carrier Org ID]],B236)/D236)</f>
        <v>NA</v>
      </c>
      <c r="M236" s="109" t="str">
        <f>IF(D236=0,"NA",SUMIFS(AN_TME22[[#All],[Claims: Other]],AN_TME22[[#All],[Insurance Category Code]],7,AN_TME22[[#All],[Advanced Network/Insurance Carrier Org ID]],B236)/D236)</f>
        <v>NA</v>
      </c>
      <c r="N236" s="165" t="str">
        <f>IF(D236=0,"NA",SUMIFS(AN_TME22[[#All],[TOTAL Non-Truncated Unadjusted Claims Expenses]],AN_TME22[[#All],[Insurance Category Code]],7,AN_TME22[[#All],[Advanced Network/Insurance Carrier Org ID]],B236)/D236)</f>
        <v>NA</v>
      </c>
      <c r="O236" s="165" t="str">
        <f>IF(D236=0,"NA",SUMIFS(AN_TME22[[#All],[TOTAL Truncated Unadjusted Claims Expenses (A21 -A19)]],AN_TME22[[#All],[Insurance Category Code]],7,AN_TME22[[#All],[Advanced Network/Insurance Carrier Org ID]],B236)/D236)</f>
        <v>NA</v>
      </c>
      <c r="P236" s="165" t="str">
        <f>IF(D236=0,"NA",SUMIFS(AN_TME22[[#All],[TOTAL Non-Claims Expenses]],AN_TME22[[#All],[Insurance Category Code]],7,AN_TME22[[#All],[Advanced Network/Insurance Carrier Org ID]],B236)/D236)</f>
        <v>NA</v>
      </c>
      <c r="Q236" s="165" t="str">
        <f>IF(D236=0,"NA",SUMIFS(AN_TME22[[#All],[TOTAL Non-Truncated Unadjusted Expenses (A21 + A23)]],AN_TME22[[#All],[Insurance Category Code]],7,AN_TME22[[#All],[Advanced Network/Insurance Carrier Org ID]],B236)/D236)</f>
        <v>NA</v>
      </c>
      <c r="R236" s="165" t="str">
        <f>IF(D236=0,"NA",SUMIFS(AN_TME22[[#All],[TOTAL Truncated Unadjusted Expenses (A22 + A23)]],AN_TME22[[#All],[Insurance Category Code]],7,AN_TME22[[#All],[Advanced Network/Insurance Carrier Org ID]],B236)/D236)</f>
        <v>NA</v>
      </c>
      <c r="S236" s="504">
        <f>SUMIFS(AN_TME23[[#All],[Member Months]],AN_TME23[[#All],[Insurance Category Code]],7,AN_TME23[[#All],[Advanced Network/Insurance Carrier Org ID]],B236)</f>
        <v>0</v>
      </c>
      <c r="T236" s="493" t="str">
        <f>IF(S236=0,"NA",SUMIFS(AN_TME23[[#All],[Claims: Hospital Inpatient]],AN_TME23[[#All],[Insurance Category Code]],7,AN_TME23[[#All],[Advanced Network/Insurance Carrier Org ID]],B236)/S236)</f>
        <v>NA</v>
      </c>
      <c r="U236" s="494" t="str">
        <f>IF(S236=0,"NA",SUMIFS(AN_TME23[[#All],[Claims: Hospital Outpatient]],AN_TME23[[#All],[Insurance Category Code]],7,AN_TME23[[#All],[Advanced Network/Insurance Carrier Org ID]],B236)/S236)</f>
        <v>NA</v>
      </c>
      <c r="V236" s="494" t="str">
        <f>IF(S236=0,"NA",SUMIFS(AN_TME23[[#All],[Claims: Professional, Primary Care]],AN_TME23[[#All],[Insurance Category Code]],7,AN_TME23[[#All],[Advanced Network/Insurance Carrier Org ID]],B236)/S236)</f>
        <v>NA</v>
      </c>
      <c r="W236" s="494" t="str">
        <f>IF(S236=0,"NA",SUMIFS(AN_TME23[[#All],[Claims: Professional, Primary Care (for Monitoring Purposes)]],AN_TME23[[#All],[Insurance Category Code]],7,AN_TME23[[#All],[Advanced Network/Insurance Carrier Org ID]],B236)/S236)</f>
        <v>NA</v>
      </c>
      <c r="X236" s="494" t="str">
        <f>IF(S236=0,"NA",SUMIFS(AN_TME23[[#All],[Claims: Professional, Specialty]],AN_TME23[[#All],[Insurance Category Code]],7,AN_TME23[[#All],[Advanced Network/Insurance Carrier Org ID]],B236)/S236)</f>
        <v>NA</v>
      </c>
      <c r="Y236" s="494" t="str">
        <f>IF(S236=0,"NA",SUMIFS(AN_TME23[[#All],[Claims: Professional Other]],AN_TME23[[#All],[Insurance Category Code]],7,AN_TME23[[#All],[Advanced Network/Insurance Carrier Org ID]],B236)/S236)</f>
        <v>NA</v>
      </c>
      <c r="Z236" s="494" t="str">
        <f>IF(S236=0,"NA",SUMIFS(AN_TME23[[#All],[Claims: Pharmacy]],AN_TME23[[#All],[Insurance Category Code]],7,AN_TME23[[#All],[Advanced Network/Insurance Carrier Org ID]],B236)/S236)</f>
        <v>NA</v>
      </c>
      <c r="AA236" s="494" t="str">
        <f>IF(S236=0,"NA",SUMIFS(AN_TME23[[#All],[Claims: Long-Term Care]],AN_TME23[[#All],[Insurance Category Code]],7,AN_TME23[[#All],[Advanced Network/Insurance Carrier Org ID]],B236)/S236)</f>
        <v>NA</v>
      </c>
      <c r="AB236" s="494" t="str">
        <f>IF(S236=0,"NA",SUMIFS(AN_TME23[[#All],[Claims: Other]],AN_TME23[[#All],[Insurance Category Code]],7,AN_TME23[[#All],[Advanced Network/Insurance Carrier Org ID]],B236)/S236)</f>
        <v>NA</v>
      </c>
      <c r="AC236" s="495" t="str">
        <f>IF(S236=0,"NA",SUMIFS(AN_TME23[[#All],[TOTAL Non-Truncated Unadjusted Claims Expenses]],AN_TME23[[#All],[Insurance Category Code]],7,AN_TME23[[#All],[Advanced Network/Insurance Carrier Org ID]],B236)/S236)</f>
        <v>NA</v>
      </c>
      <c r="AD236" s="495" t="str">
        <f>IF(S236=0,"NA",SUMIFS(AN_TME23[[#All],[TOTAL Truncated Unadjusted Claims Expenses (A21 -A19)]],AN_TME23[[#All],[Insurance Category Code]],7,AN_TME23[[#All],[Advanced Network/Insurance Carrier Org ID]],B236)/S236)</f>
        <v>NA</v>
      </c>
      <c r="AE236" s="495" t="str">
        <f>IF(S236=0,"NA",SUMIFS(AN_TME23[[#All],[TOTAL Non-Claims Expenses]],AN_TME23[[#All],[Insurance Category Code]],7,AN_TME23[[#All],[Advanced Network/Insurance Carrier Org ID]],B236)/S236)</f>
        <v>NA</v>
      </c>
      <c r="AF236" s="495" t="str">
        <f>IF(S236=0,"NA",SUMIFS(AN_TME23[[#All],[TOTAL Non-Truncated Unadjusted Expenses (A21 + A23)]],AN_TME23[[#All],[Insurance Category Code]],7,AN_TME23[[#All],[Advanced Network/Insurance Carrier Org ID]],B236)/S236)</f>
        <v>NA</v>
      </c>
      <c r="AG236" s="496" t="str">
        <f>IF(S236=0,"NA",SUMIFS(AN_TME23[[#All],[TOTAL Truncated Unadjusted Expenses (A22 + A23)]],AN_TME23[[#All],[Insurance Category Code]],7,AN_TME23[[#All],[Advanced Network/Insurance Carrier Org ID]],B236)/S236)</f>
        <v>NA</v>
      </c>
      <c r="AH236" s="478" t="str">
        <f>IF(D236=0,"NA",S236/D236-1)</f>
        <v>NA</v>
      </c>
      <c r="AI236" s="479" t="str">
        <f>IF(D236=0,"NA",T236/E236-1)</f>
        <v>NA</v>
      </c>
      <c r="AJ236" s="480" t="str">
        <f>IF(D236=0,"NA",U236/F236-1)</f>
        <v>NA</v>
      </c>
      <c r="AK236" s="480" t="str">
        <f>IF(D236=0,"NA",V236/G236-1)</f>
        <v>NA</v>
      </c>
      <c r="AL236" s="480" t="str">
        <f>IF(D236=0,"NA",W236/H236-1)</f>
        <v>NA</v>
      </c>
      <c r="AM236" s="480" t="str">
        <f>IF(D236=0,"NA",X236/I236-1)</f>
        <v>NA</v>
      </c>
      <c r="AN236" s="480" t="str">
        <f>IF(D236=0,"NA",Y236/J236-1)</f>
        <v>NA</v>
      </c>
      <c r="AO236" s="480" t="str">
        <f>IF(D236=0,"NA",Z236/K236-1)</f>
        <v>NA</v>
      </c>
      <c r="AP236" s="480" t="str">
        <f>IF(D236=0,"NA",AA236/L236-1)</f>
        <v>NA</v>
      </c>
      <c r="AQ236" s="480" t="str">
        <f>IF(D236=0,"NA",AB236/M236-1)</f>
        <v>NA</v>
      </c>
      <c r="AR236" s="481" t="str">
        <f>IF(D236=0,"NA",AC236/N236-1)</f>
        <v>NA</v>
      </c>
      <c r="AS236" s="481" t="str">
        <f>IF(D236=0,"NA",AD236/O236-1)</f>
        <v>NA</v>
      </c>
      <c r="AT236" s="481" t="str">
        <f>IF(D236=0,"NA",AE236/P236-1)</f>
        <v>NA</v>
      </c>
      <c r="AU236" s="481" t="str">
        <f>IF(D236=0,"NA",AF236/Q236-1)</f>
        <v>NA</v>
      </c>
      <c r="AV236" s="482" t="str">
        <f>IF(D236=0,"NA",AG236/R236-1)</f>
        <v>NA</v>
      </c>
    </row>
    <row r="237" spans="1:48" ht="15" customHeight="1" x14ac:dyDescent="0.25">
      <c r="A237" s="164"/>
      <c r="B237" s="166">
        <v>102</v>
      </c>
      <c r="C237" s="169" t="str">
        <f>_xlfn.XLOOKUP(B237, LgProvEntOrgIDs[Advanced Network/Insurer Carrier Org ID], LgProvEntOrgIDs[Advanced Network/Insurance Carrier Overall])</f>
        <v>Connecticut Children's Care Network</v>
      </c>
      <c r="D237" s="507">
        <f>SUMIFS(AN_TME22[[#All],[Member Months]],AN_TME22[[#All],[Insurance Category Code]],7,AN_TME22[[#All],[Advanced Network/Insurance Carrier Org ID]],B237)</f>
        <v>0</v>
      </c>
      <c r="E237" s="155" t="str">
        <f>IF(D237=0,"NA",SUMIFS(AN_TME22[[#All],[Claims: Hospital Inpatient]],AN_TME22[[#All],[Insurance Category Code]],7,AN_TME22[[#All],[Advanced Network/Insurance Carrier Org ID]],B237)/D237)</f>
        <v>NA</v>
      </c>
      <c r="F237" s="109" t="str">
        <f>IF(D237=0,"NA",SUMIFS(AN_TME22[[#All],[Claims: Hospital Outpatient]],AN_TME22[[#All],[Insurance Category Code]],7,AN_TME22[[#All],[Advanced Network/Insurance Carrier Org ID]],B237)/D237)</f>
        <v>NA</v>
      </c>
      <c r="G237" s="109" t="str">
        <f>IF(D237=0,"NA",SUMIFS(AN_TME22[[#All],[Claims: Professional, Primary Care]],AN_TME22[[#All],[Insurance Category Code]],7,AN_TME22[[#All],[Advanced Network/Insurance Carrier Org ID]],B237)/D237)</f>
        <v>NA</v>
      </c>
      <c r="H237" s="109" t="str">
        <f>IF(D237=0,"NA",SUMIFS(AN_TME22[[#All],[Claims: Professional, Primary Care (for Monitoring Purposes)]],AN_TME22[[#All],[Insurance Category Code]],7,AN_TME22[[#All],[Advanced Network/Insurance Carrier Org ID]],B237)/D237)</f>
        <v>NA</v>
      </c>
      <c r="I237" s="109" t="str">
        <f>IF(D237=0,"NA",SUMIFS(AN_TME22[[#All],[Claims: Professional, Specialty]],AN_TME22[[#All],[Insurance Category Code]],7,AN_TME22[[#All],[Advanced Network/Insurance Carrier Org ID]],B237)/D237)</f>
        <v>NA</v>
      </c>
      <c r="J237" s="109" t="str">
        <f>IF(D237=0,"NA",SUMIFS(AN_TME22[[#All],[Claims: Professional Other]],AN_TME22[[#All],[Insurance Category Code]],7,AN_TME22[[#All],[Advanced Network/Insurance Carrier Org ID]],B237)/D237)</f>
        <v>NA</v>
      </c>
      <c r="K237" s="109" t="str">
        <f>IF(D237=0,"NA",SUMIFS(AN_TME22[[#All],[Claims: Pharmacy]],AN_TME22[[#All],[Insurance Category Code]],7,AN_TME22[[#All],[Advanced Network/Insurance Carrier Org ID]],B237)/D237)</f>
        <v>NA</v>
      </c>
      <c r="L237" s="109" t="str">
        <f>IF(D237=0,"NA",SUMIFS(AN_TME22[[#All],[Claims: Long-Term Care]],AN_TME22[[#All],[Insurance Category Code]],7,AN_TME22[[#All],[Advanced Network/Insurance Carrier Org ID]],B237)/D237)</f>
        <v>NA</v>
      </c>
      <c r="M237" s="109" t="str">
        <f>IF(D237=0,"NA",SUMIFS(AN_TME22[[#All],[Claims: Other]],AN_TME22[[#All],[Insurance Category Code]],7,AN_TME22[[#All],[Advanced Network/Insurance Carrier Org ID]],B237)/D237)</f>
        <v>NA</v>
      </c>
      <c r="N237" s="165" t="str">
        <f>IF(D237=0,"NA",SUMIFS(AN_TME22[[#All],[TOTAL Non-Truncated Unadjusted Claims Expenses]],AN_TME22[[#All],[Insurance Category Code]],7,AN_TME22[[#All],[Advanced Network/Insurance Carrier Org ID]],B237)/D237)</f>
        <v>NA</v>
      </c>
      <c r="O237" s="165" t="str">
        <f>IF(D237=0,"NA",SUMIFS(AN_TME22[[#All],[TOTAL Truncated Unadjusted Claims Expenses (A21 -A19)]],AN_TME22[[#All],[Insurance Category Code]],7,AN_TME22[[#All],[Advanced Network/Insurance Carrier Org ID]],B237)/D237)</f>
        <v>NA</v>
      </c>
      <c r="P237" s="165" t="str">
        <f>IF(D237=0,"NA",SUMIFS(AN_TME22[[#All],[TOTAL Non-Claims Expenses]],AN_TME22[[#All],[Insurance Category Code]],7,AN_TME22[[#All],[Advanced Network/Insurance Carrier Org ID]],B237)/D237)</f>
        <v>NA</v>
      </c>
      <c r="Q237" s="165" t="str">
        <f>IF(D237=0,"NA",SUMIFS(AN_TME22[[#All],[TOTAL Non-Truncated Unadjusted Expenses (A21 + A23)]],AN_TME22[[#All],[Insurance Category Code]],7,AN_TME22[[#All],[Advanced Network/Insurance Carrier Org ID]],B237)/D237)</f>
        <v>NA</v>
      </c>
      <c r="R237" s="165" t="str">
        <f>IF(D237=0,"NA",SUMIFS(AN_TME22[[#All],[TOTAL Truncated Unadjusted Expenses (A22 + A23)]],AN_TME22[[#All],[Insurance Category Code]],7,AN_TME22[[#All],[Advanced Network/Insurance Carrier Org ID]],B237)/D237)</f>
        <v>NA</v>
      </c>
      <c r="S237" s="504">
        <f>SUMIFS(AN_TME23[[#All],[Member Months]],AN_TME23[[#All],[Insurance Category Code]],7,AN_TME23[[#All],[Advanced Network/Insurance Carrier Org ID]],B237)</f>
        <v>0</v>
      </c>
      <c r="T237" s="493" t="str">
        <f>IF(S237=0,"NA",SUMIFS(AN_TME23[[#All],[Claims: Hospital Inpatient]],AN_TME23[[#All],[Insurance Category Code]],7,AN_TME23[[#All],[Advanced Network/Insurance Carrier Org ID]],B237)/S237)</f>
        <v>NA</v>
      </c>
      <c r="U237" s="494" t="str">
        <f>IF(S237=0,"NA",SUMIFS(AN_TME23[[#All],[Claims: Hospital Outpatient]],AN_TME23[[#All],[Insurance Category Code]],7,AN_TME23[[#All],[Advanced Network/Insurance Carrier Org ID]],B237)/S237)</f>
        <v>NA</v>
      </c>
      <c r="V237" s="494" t="str">
        <f>IF(S237=0,"NA",SUMIFS(AN_TME23[[#All],[Claims: Professional, Primary Care]],AN_TME23[[#All],[Insurance Category Code]],7,AN_TME23[[#All],[Advanced Network/Insurance Carrier Org ID]],B237)/S237)</f>
        <v>NA</v>
      </c>
      <c r="W237" s="494" t="str">
        <f>IF(S237=0,"NA",SUMIFS(AN_TME23[[#All],[Claims: Professional, Primary Care (for Monitoring Purposes)]],AN_TME23[[#All],[Insurance Category Code]],7,AN_TME23[[#All],[Advanced Network/Insurance Carrier Org ID]],B237)/S237)</f>
        <v>NA</v>
      </c>
      <c r="X237" s="494" t="str">
        <f>IF(S237=0,"NA",SUMIFS(AN_TME23[[#All],[Claims: Professional, Specialty]],AN_TME23[[#All],[Insurance Category Code]],7,AN_TME23[[#All],[Advanced Network/Insurance Carrier Org ID]],B237)/S237)</f>
        <v>NA</v>
      </c>
      <c r="Y237" s="494" t="str">
        <f>IF(S237=0,"NA",SUMIFS(AN_TME23[[#All],[Claims: Professional Other]],AN_TME23[[#All],[Insurance Category Code]],7,AN_TME23[[#All],[Advanced Network/Insurance Carrier Org ID]],B237)/S237)</f>
        <v>NA</v>
      </c>
      <c r="Z237" s="494" t="str">
        <f>IF(S237=0,"NA",SUMIFS(AN_TME23[[#All],[Claims: Pharmacy]],AN_TME23[[#All],[Insurance Category Code]],7,AN_TME23[[#All],[Advanced Network/Insurance Carrier Org ID]],B237)/S237)</f>
        <v>NA</v>
      </c>
      <c r="AA237" s="494" t="str">
        <f>IF(S237=0,"NA",SUMIFS(AN_TME23[[#All],[Claims: Long-Term Care]],AN_TME23[[#All],[Insurance Category Code]],7,AN_TME23[[#All],[Advanced Network/Insurance Carrier Org ID]],B237)/S237)</f>
        <v>NA</v>
      </c>
      <c r="AB237" s="494" t="str">
        <f>IF(S237=0,"NA",SUMIFS(AN_TME23[[#All],[Claims: Other]],AN_TME23[[#All],[Insurance Category Code]],7,AN_TME23[[#All],[Advanced Network/Insurance Carrier Org ID]],B237)/S237)</f>
        <v>NA</v>
      </c>
      <c r="AC237" s="495" t="str">
        <f>IF(S237=0,"NA",SUMIFS(AN_TME23[[#All],[TOTAL Non-Truncated Unadjusted Claims Expenses]],AN_TME23[[#All],[Insurance Category Code]],7,AN_TME23[[#All],[Advanced Network/Insurance Carrier Org ID]],B237)/S237)</f>
        <v>NA</v>
      </c>
      <c r="AD237" s="495" t="str">
        <f>IF(S237=0,"NA",SUMIFS(AN_TME23[[#All],[TOTAL Truncated Unadjusted Claims Expenses (A21 -A19)]],AN_TME23[[#All],[Insurance Category Code]],7,AN_TME23[[#All],[Advanced Network/Insurance Carrier Org ID]],B237)/S237)</f>
        <v>NA</v>
      </c>
      <c r="AE237" s="495" t="str">
        <f>IF(S237=0,"NA",SUMIFS(AN_TME23[[#All],[TOTAL Non-Claims Expenses]],AN_TME23[[#All],[Insurance Category Code]],7,AN_TME23[[#All],[Advanced Network/Insurance Carrier Org ID]],B237)/S237)</f>
        <v>NA</v>
      </c>
      <c r="AF237" s="495" t="str">
        <f>IF(S237=0,"NA",SUMIFS(AN_TME23[[#All],[TOTAL Non-Truncated Unadjusted Expenses (A21 + A23)]],AN_TME23[[#All],[Insurance Category Code]],7,AN_TME23[[#All],[Advanced Network/Insurance Carrier Org ID]],B237)/S237)</f>
        <v>NA</v>
      </c>
      <c r="AG237" s="496" t="str">
        <f>IF(S237=0,"NA",SUMIFS(AN_TME23[[#All],[TOTAL Truncated Unadjusted Expenses (A22 + A23)]],AN_TME23[[#All],[Insurance Category Code]],7,AN_TME23[[#All],[Advanced Network/Insurance Carrier Org ID]],B237)/S237)</f>
        <v>NA</v>
      </c>
      <c r="AH237" s="478" t="str">
        <f t="shared" ref="AH237:AH245" si="308">IF(D237=0,"NA",S237/D237-1)</f>
        <v>NA</v>
      </c>
      <c r="AI237" s="479" t="str">
        <f t="shared" ref="AI237:AI245" si="309">IF(D237=0,"NA",T237/E237-1)</f>
        <v>NA</v>
      </c>
      <c r="AJ237" s="480" t="str">
        <f t="shared" ref="AJ237:AJ245" si="310">IF(D237=0,"NA",U237/F237-1)</f>
        <v>NA</v>
      </c>
      <c r="AK237" s="480" t="str">
        <f t="shared" ref="AK237:AK245" si="311">IF(D237=0,"NA",V237/G237-1)</f>
        <v>NA</v>
      </c>
      <c r="AL237" s="480" t="str">
        <f t="shared" ref="AL237:AL245" si="312">IF(D237=0,"NA",W237/H237-1)</f>
        <v>NA</v>
      </c>
      <c r="AM237" s="480" t="str">
        <f t="shared" ref="AM237:AM245" si="313">IF(D237=0,"NA",X237/I237-1)</f>
        <v>NA</v>
      </c>
      <c r="AN237" s="480" t="str">
        <f t="shared" ref="AN237:AN245" si="314">IF(D237=0,"NA",Y237/J237-1)</f>
        <v>NA</v>
      </c>
      <c r="AO237" s="480" t="str">
        <f t="shared" ref="AO237:AO245" si="315">IF(D237=0,"NA",Z237/K237-1)</f>
        <v>NA</v>
      </c>
      <c r="AP237" s="480" t="str">
        <f t="shared" ref="AP237:AP245" si="316">IF(D237=0,"NA",AA237/L237-1)</f>
        <v>NA</v>
      </c>
      <c r="AQ237" s="480" t="str">
        <f t="shared" ref="AQ237:AQ245" si="317">IF(D237=0,"NA",AB237/M237-1)</f>
        <v>NA</v>
      </c>
      <c r="AR237" s="481" t="str">
        <f t="shared" ref="AR237:AR245" si="318">IF(D237=0,"NA",AC237/N237-1)</f>
        <v>NA</v>
      </c>
      <c r="AS237" s="481" t="str">
        <f t="shared" ref="AS237:AS245" si="319">IF(D237=0,"NA",AD237/O237-1)</f>
        <v>NA</v>
      </c>
      <c r="AT237" s="481" t="str">
        <f t="shared" ref="AT237:AT245" si="320">IF(D237=0,"NA",AE237/P237-1)</f>
        <v>NA</v>
      </c>
      <c r="AU237" s="481" t="str">
        <f t="shared" ref="AU237:AU245" si="321">IF(D237=0,"NA",AF237/Q237-1)</f>
        <v>NA</v>
      </c>
      <c r="AV237" s="482" t="str">
        <f t="shared" ref="AV237:AV245" si="322">IF(D237=0,"NA",AG237/R237-1)</f>
        <v>NA</v>
      </c>
    </row>
    <row r="238" spans="1:48" ht="15" customHeight="1" x14ac:dyDescent="0.25">
      <c r="A238" s="164"/>
      <c r="B238" s="166">
        <v>103</v>
      </c>
      <c r="C238" s="169" t="str">
        <f>_xlfn.XLOOKUP(B238, LgProvEntOrgIDs[Advanced Network/Insurer Carrier Org ID], LgProvEntOrgIDs[Advanced Network/Insurance Carrier Overall])</f>
        <v>Connecticut State Medical Society IPA</v>
      </c>
      <c r="D238" s="507">
        <f>SUMIFS(AN_TME22[[#All],[Member Months]],AN_TME22[[#All],[Insurance Category Code]],7,AN_TME22[[#All],[Advanced Network/Insurance Carrier Org ID]],B238)</f>
        <v>0</v>
      </c>
      <c r="E238" s="155" t="str">
        <f>IF(D238=0,"NA",SUMIFS(AN_TME22[[#All],[Claims: Hospital Inpatient]],AN_TME22[[#All],[Insurance Category Code]],7,AN_TME22[[#All],[Advanced Network/Insurance Carrier Org ID]],B238)/D238)</f>
        <v>NA</v>
      </c>
      <c r="F238" s="109" t="str">
        <f>IF(D238=0,"NA",SUMIFS(AN_TME22[[#All],[Claims: Hospital Outpatient]],AN_TME22[[#All],[Insurance Category Code]],7,AN_TME22[[#All],[Advanced Network/Insurance Carrier Org ID]],B238)/D238)</f>
        <v>NA</v>
      </c>
      <c r="G238" s="109" t="str">
        <f>IF(D238=0,"NA",SUMIFS(AN_TME22[[#All],[Claims: Professional, Primary Care]],AN_TME22[[#All],[Insurance Category Code]],7,AN_TME22[[#All],[Advanced Network/Insurance Carrier Org ID]],B238)/D238)</f>
        <v>NA</v>
      </c>
      <c r="H238" s="109" t="str">
        <f>IF(D238=0,"NA",SUMIFS(AN_TME22[[#All],[Claims: Professional, Primary Care (for Monitoring Purposes)]],AN_TME22[[#All],[Insurance Category Code]],7,AN_TME22[[#All],[Advanced Network/Insurance Carrier Org ID]],B238)/D238)</f>
        <v>NA</v>
      </c>
      <c r="I238" s="109" t="str">
        <f>IF(D238=0,"NA",SUMIFS(AN_TME22[[#All],[Claims: Professional, Specialty]],AN_TME22[[#All],[Insurance Category Code]],7,AN_TME22[[#All],[Advanced Network/Insurance Carrier Org ID]],B238)/D238)</f>
        <v>NA</v>
      </c>
      <c r="J238" s="109" t="str">
        <f>IF(D238=0,"NA",SUMIFS(AN_TME22[[#All],[Claims: Professional Other]],AN_TME22[[#All],[Insurance Category Code]],7,AN_TME22[[#All],[Advanced Network/Insurance Carrier Org ID]],B238)/D238)</f>
        <v>NA</v>
      </c>
      <c r="K238" s="109" t="str">
        <f>IF(D238=0,"NA",SUMIFS(AN_TME22[[#All],[Claims: Pharmacy]],AN_TME22[[#All],[Insurance Category Code]],7,AN_TME22[[#All],[Advanced Network/Insurance Carrier Org ID]],B238)/D238)</f>
        <v>NA</v>
      </c>
      <c r="L238" s="109" t="str">
        <f>IF(D238=0,"NA",SUMIFS(AN_TME22[[#All],[Claims: Long-Term Care]],AN_TME22[[#All],[Insurance Category Code]],7,AN_TME22[[#All],[Advanced Network/Insurance Carrier Org ID]],B238)/D238)</f>
        <v>NA</v>
      </c>
      <c r="M238" s="109" t="str">
        <f>IF(D238=0,"NA",SUMIFS(AN_TME22[[#All],[Claims: Other]],AN_TME22[[#All],[Insurance Category Code]],7,AN_TME22[[#All],[Advanced Network/Insurance Carrier Org ID]],B238)/D238)</f>
        <v>NA</v>
      </c>
      <c r="N238" s="165" t="str">
        <f>IF(D238=0,"NA",SUMIFS(AN_TME22[[#All],[TOTAL Non-Truncated Unadjusted Claims Expenses]],AN_TME22[[#All],[Insurance Category Code]],7,AN_TME22[[#All],[Advanced Network/Insurance Carrier Org ID]],B238)/D238)</f>
        <v>NA</v>
      </c>
      <c r="O238" s="165" t="str">
        <f>IF(D238=0,"NA",SUMIFS(AN_TME22[[#All],[TOTAL Truncated Unadjusted Claims Expenses (A21 -A19)]],AN_TME22[[#All],[Insurance Category Code]],7,AN_TME22[[#All],[Advanced Network/Insurance Carrier Org ID]],B238)/D238)</f>
        <v>NA</v>
      </c>
      <c r="P238" s="165" t="str">
        <f>IF(D238=0,"NA",SUMIFS(AN_TME22[[#All],[TOTAL Non-Claims Expenses]],AN_TME22[[#All],[Insurance Category Code]],7,AN_TME22[[#All],[Advanced Network/Insurance Carrier Org ID]],B238)/D238)</f>
        <v>NA</v>
      </c>
      <c r="Q238" s="165" t="str">
        <f>IF(D238=0,"NA",SUMIFS(AN_TME22[[#All],[TOTAL Non-Truncated Unadjusted Expenses (A21 + A23)]],AN_TME22[[#All],[Insurance Category Code]],7,AN_TME22[[#All],[Advanced Network/Insurance Carrier Org ID]],B238)/D238)</f>
        <v>NA</v>
      </c>
      <c r="R238" s="165" t="str">
        <f>IF(D238=0,"NA",SUMIFS(AN_TME22[[#All],[TOTAL Truncated Unadjusted Expenses (A22 + A23)]],AN_TME22[[#All],[Insurance Category Code]],7,AN_TME22[[#All],[Advanced Network/Insurance Carrier Org ID]],B238)/D238)</f>
        <v>NA</v>
      </c>
      <c r="S238" s="504">
        <f>SUMIFS(AN_TME23[[#All],[Member Months]],AN_TME23[[#All],[Insurance Category Code]],7,AN_TME23[[#All],[Advanced Network/Insurance Carrier Org ID]],B238)</f>
        <v>0</v>
      </c>
      <c r="T238" s="493" t="str">
        <f>IF(S238=0,"NA",SUMIFS(AN_TME23[[#All],[Claims: Hospital Inpatient]],AN_TME23[[#All],[Insurance Category Code]],7,AN_TME23[[#All],[Advanced Network/Insurance Carrier Org ID]],B238)/S238)</f>
        <v>NA</v>
      </c>
      <c r="U238" s="494" t="str">
        <f>IF(S238=0,"NA",SUMIFS(AN_TME23[[#All],[Claims: Hospital Outpatient]],AN_TME23[[#All],[Insurance Category Code]],7,AN_TME23[[#All],[Advanced Network/Insurance Carrier Org ID]],B238)/S238)</f>
        <v>NA</v>
      </c>
      <c r="V238" s="494" t="str">
        <f>IF(S238=0,"NA",SUMIFS(AN_TME23[[#All],[Claims: Professional, Primary Care]],AN_TME23[[#All],[Insurance Category Code]],7,AN_TME23[[#All],[Advanced Network/Insurance Carrier Org ID]],B238)/S238)</f>
        <v>NA</v>
      </c>
      <c r="W238" s="494" t="str">
        <f>IF(S238=0,"NA",SUMIFS(AN_TME23[[#All],[Claims: Professional, Primary Care (for Monitoring Purposes)]],AN_TME23[[#All],[Insurance Category Code]],7,AN_TME23[[#All],[Advanced Network/Insurance Carrier Org ID]],B238)/S238)</f>
        <v>NA</v>
      </c>
      <c r="X238" s="494" t="str">
        <f>IF(S238=0,"NA",SUMIFS(AN_TME23[[#All],[Claims: Professional, Specialty]],AN_TME23[[#All],[Insurance Category Code]],7,AN_TME23[[#All],[Advanced Network/Insurance Carrier Org ID]],B238)/S238)</f>
        <v>NA</v>
      </c>
      <c r="Y238" s="494" t="str">
        <f>IF(S238=0,"NA",SUMIFS(AN_TME23[[#All],[Claims: Professional Other]],AN_TME23[[#All],[Insurance Category Code]],7,AN_TME23[[#All],[Advanced Network/Insurance Carrier Org ID]],B238)/S238)</f>
        <v>NA</v>
      </c>
      <c r="Z238" s="494" t="str">
        <f>IF(S238=0,"NA",SUMIFS(AN_TME23[[#All],[Claims: Pharmacy]],AN_TME23[[#All],[Insurance Category Code]],7,AN_TME23[[#All],[Advanced Network/Insurance Carrier Org ID]],B238)/S238)</f>
        <v>NA</v>
      </c>
      <c r="AA238" s="494" t="str">
        <f>IF(S238=0,"NA",SUMIFS(AN_TME23[[#All],[Claims: Long-Term Care]],AN_TME23[[#All],[Insurance Category Code]],7,AN_TME23[[#All],[Advanced Network/Insurance Carrier Org ID]],B238)/S238)</f>
        <v>NA</v>
      </c>
      <c r="AB238" s="494" t="str">
        <f>IF(S238=0,"NA",SUMIFS(AN_TME23[[#All],[Claims: Other]],AN_TME23[[#All],[Insurance Category Code]],7,AN_TME23[[#All],[Advanced Network/Insurance Carrier Org ID]],B238)/S238)</f>
        <v>NA</v>
      </c>
      <c r="AC238" s="495" t="str">
        <f>IF(S238=0,"NA",SUMIFS(AN_TME23[[#All],[TOTAL Non-Truncated Unadjusted Claims Expenses]],AN_TME23[[#All],[Insurance Category Code]],7,AN_TME23[[#All],[Advanced Network/Insurance Carrier Org ID]],B238)/S238)</f>
        <v>NA</v>
      </c>
      <c r="AD238" s="495" t="str">
        <f>IF(S238=0,"NA",SUMIFS(AN_TME23[[#All],[TOTAL Truncated Unadjusted Claims Expenses (A21 -A19)]],AN_TME23[[#All],[Insurance Category Code]],7,AN_TME23[[#All],[Advanced Network/Insurance Carrier Org ID]],B238)/S238)</f>
        <v>NA</v>
      </c>
      <c r="AE238" s="495" t="str">
        <f>IF(S238=0,"NA",SUMIFS(AN_TME23[[#All],[TOTAL Non-Claims Expenses]],AN_TME23[[#All],[Insurance Category Code]],7,AN_TME23[[#All],[Advanced Network/Insurance Carrier Org ID]],B238)/S238)</f>
        <v>NA</v>
      </c>
      <c r="AF238" s="495" t="str">
        <f>IF(S238=0,"NA",SUMIFS(AN_TME23[[#All],[TOTAL Non-Truncated Unadjusted Expenses (A21 + A23)]],AN_TME23[[#All],[Insurance Category Code]],7,AN_TME23[[#All],[Advanced Network/Insurance Carrier Org ID]],B238)/S238)</f>
        <v>NA</v>
      </c>
      <c r="AG238" s="496" t="str">
        <f>IF(S238=0,"NA",SUMIFS(AN_TME23[[#All],[TOTAL Truncated Unadjusted Expenses (A22 + A23)]],AN_TME23[[#All],[Insurance Category Code]],7,AN_TME23[[#All],[Advanced Network/Insurance Carrier Org ID]],B238)/S238)</f>
        <v>NA</v>
      </c>
      <c r="AH238" s="478" t="str">
        <f t="shared" si="308"/>
        <v>NA</v>
      </c>
      <c r="AI238" s="479" t="str">
        <f t="shared" si="309"/>
        <v>NA</v>
      </c>
      <c r="AJ238" s="480" t="str">
        <f t="shared" si="310"/>
        <v>NA</v>
      </c>
      <c r="AK238" s="480" t="str">
        <f t="shared" si="311"/>
        <v>NA</v>
      </c>
      <c r="AL238" s="480" t="str">
        <f t="shared" si="312"/>
        <v>NA</v>
      </c>
      <c r="AM238" s="480" t="str">
        <f t="shared" si="313"/>
        <v>NA</v>
      </c>
      <c r="AN238" s="480" t="str">
        <f t="shared" si="314"/>
        <v>NA</v>
      </c>
      <c r="AO238" s="480" t="str">
        <f t="shared" si="315"/>
        <v>NA</v>
      </c>
      <c r="AP238" s="480" t="str">
        <f t="shared" si="316"/>
        <v>NA</v>
      </c>
      <c r="AQ238" s="480" t="str">
        <f t="shared" si="317"/>
        <v>NA</v>
      </c>
      <c r="AR238" s="481" t="str">
        <f t="shared" si="318"/>
        <v>NA</v>
      </c>
      <c r="AS238" s="481" t="str">
        <f t="shared" si="319"/>
        <v>NA</v>
      </c>
      <c r="AT238" s="481" t="str">
        <f t="shared" si="320"/>
        <v>NA</v>
      </c>
      <c r="AU238" s="481" t="str">
        <f t="shared" si="321"/>
        <v>NA</v>
      </c>
      <c r="AV238" s="482" t="str">
        <f t="shared" si="322"/>
        <v>NA</v>
      </c>
    </row>
    <row r="239" spans="1:48" ht="15" customHeight="1" x14ac:dyDescent="0.25">
      <c r="A239" s="164"/>
      <c r="B239" s="166">
        <v>104</v>
      </c>
      <c r="C239" s="169" t="str">
        <f>_xlfn.XLOOKUP(B239, LgProvEntOrgIDs[Advanced Network/Insurer Carrier Org ID], LgProvEntOrgIDs[Advanced Network/Insurance Carrier Overall])</f>
        <v>Integrated Care Partners</v>
      </c>
      <c r="D239" s="507">
        <f>SUMIFS(AN_TME22[[#All],[Member Months]],AN_TME22[[#All],[Insurance Category Code]],7,AN_TME22[[#All],[Advanced Network/Insurance Carrier Org ID]],B239)</f>
        <v>0</v>
      </c>
      <c r="E239" s="155" t="str">
        <f>IF(D239=0,"NA",SUMIFS(AN_TME22[[#All],[Claims: Hospital Inpatient]],AN_TME22[[#All],[Insurance Category Code]],7,AN_TME22[[#All],[Advanced Network/Insurance Carrier Org ID]],B239)/D239)</f>
        <v>NA</v>
      </c>
      <c r="F239" s="109" t="str">
        <f>IF(D239=0,"NA",SUMIFS(AN_TME22[[#All],[Claims: Hospital Outpatient]],AN_TME22[[#All],[Insurance Category Code]],7,AN_TME22[[#All],[Advanced Network/Insurance Carrier Org ID]],B239)/D239)</f>
        <v>NA</v>
      </c>
      <c r="G239" s="109" t="str">
        <f>IF(D239=0,"NA",SUMIFS(AN_TME22[[#All],[Claims: Professional, Primary Care]],AN_TME22[[#All],[Insurance Category Code]],7,AN_TME22[[#All],[Advanced Network/Insurance Carrier Org ID]],B239)/D239)</f>
        <v>NA</v>
      </c>
      <c r="H239" s="109" t="str">
        <f>IF(D239=0,"NA",SUMIFS(AN_TME22[[#All],[Claims: Professional, Primary Care (for Monitoring Purposes)]],AN_TME22[[#All],[Insurance Category Code]],7,AN_TME22[[#All],[Advanced Network/Insurance Carrier Org ID]],B239)/D239)</f>
        <v>NA</v>
      </c>
      <c r="I239" s="109" t="str">
        <f>IF(D239=0,"NA",SUMIFS(AN_TME22[[#All],[Claims: Professional, Specialty]],AN_TME22[[#All],[Insurance Category Code]],7,AN_TME22[[#All],[Advanced Network/Insurance Carrier Org ID]],B239)/D239)</f>
        <v>NA</v>
      </c>
      <c r="J239" s="109" t="str">
        <f>IF(D239=0,"NA",SUMIFS(AN_TME22[[#All],[Claims: Professional Other]],AN_TME22[[#All],[Insurance Category Code]],7,AN_TME22[[#All],[Advanced Network/Insurance Carrier Org ID]],B239)/D239)</f>
        <v>NA</v>
      </c>
      <c r="K239" s="109" t="str">
        <f>IF(D239=0,"NA",SUMIFS(AN_TME22[[#All],[Claims: Pharmacy]],AN_TME22[[#All],[Insurance Category Code]],7,AN_TME22[[#All],[Advanced Network/Insurance Carrier Org ID]],B239)/D239)</f>
        <v>NA</v>
      </c>
      <c r="L239" s="109" t="str">
        <f>IF(D239=0,"NA",SUMIFS(AN_TME22[[#All],[Claims: Long-Term Care]],AN_TME22[[#All],[Insurance Category Code]],7,AN_TME22[[#All],[Advanced Network/Insurance Carrier Org ID]],B239)/D239)</f>
        <v>NA</v>
      </c>
      <c r="M239" s="109" t="str">
        <f>IF(D239=0,"NA",SUMIFS(AN_TME22[[#All],[Claims: Other]],AN_TME22[[#All],[Insurance Category Code]],7,AN_TME22[[#All],[Advanced Network/Insurance Carrier Org ID]],B239)/D239)</f>
        <v>NA</v>
      </c>
      <c r="N239" s="165" t="str">
        <f>IF(D239=0,"NA",SUMIFS(AN_TME22[[#All],[TOTAL Non-Truncated Unadjusted Claims Expenses]],AN_TME22[[#All],[Insurance Category Code]],7,AN_TME22[[#All],[Advanced Network/Insurance Carrier Org ID]],B239)/D239)</f>
        <v>NA</v>
      </c>
      <c r="O239" s="165" t="str">
        <f>IF(D239=0,"NA",SUMIFS(AN_TME22[[#All],[TOTAL Truncated Unadjusted Claims Expenses (A21 -A19)]],AN_TME22[[#All],[Insurance Category Code]],7,AN_TME22[[#All],[Advanced Network/Insurance Carrier Org ID]],B239)/D239)</f>
        <v>NA</v>
      </c>
      <c r="P239" s="165" t="str">
        <f>IF(D239=0,"NA",SUMIFS(AN_TME22[[#All],[TOTAL Non-Claims Expenses]],AN_TME22[[#All],[Insurance Category Code]],7,AN_TME22[[#All],[Advanced Network/Insurance Carrier Org ID]],B239)/D239)</f>
        <v>NA</v>
      </c>
      <c r="Q239" s="165" t="str">
        <f>IF(D239=0,"NA",SUMIFS(AN_TME22[[#All],[TOTAL Non-Truncated Unadjusted Expenses (A21 + A23)]],AN_TME22[[#All],[Insurance Category Code]],7,AN_TME22[[#All],[Advanced Network/Insurance Carrier Org ID]],B239)/D239)</f>
        <v>NA</v>
      </c>
      <c r="R239" s="165" t="str">
        <f>IF(D239=0,"NA",SUMIFS(AN_TME22[[#All],[TOTAL Truncated Unadjusted Expenses (A22 + A23)]],AN_TME22[[#All],[Insurance Category Code]],7,AN_TME22[[#All],[Advanced Network/Insurance Carrier Org ID]],B239)/D239)</f>
        <v>NA</v>
      </c>
      <c r="S239" s="504">
        <f>SUMIFS(AN_TME23[[#All],[Member Months]],AN_TME23[[#All],[Insurance Category Code]],7,AN_TME23[[#All],[Advanced Network/Insurance Carrier Org ID]],B239)</f>
        <v>0</v>
      </c>
      <c r="T239" s="493" t="str">
        <f>IF(S239=0,"NA",SUMIFS(AN_TME23[[#All],[Claims: Hospital Inpatient]],AN_TME23[[#All],[Insurance Category Code]],7,AN_TME23[[#All],[Advanced Network/Insurance Carrier Org ID]],B239)/S239)</f>
        <v>NA</v>
      </c>
      <c r="U239" s="494" t="str">
        <f>IF(S239=0,"NA",SUMIFS(AN_TME23[[#All],[Claims: Hospital Outpatient]],AN_TME23[[#All],[Insurance Category Code]],7,AN_TME23[[#All],[Advanced Network/Insurance Carrier Org ID]],B239)/S239)</f>
        <v>NA</v>
      </c>
      <c r="V239" s="494" t="str">
        <f>IF(S239=0,"NA",SUMIFS(AN_TME23[[#All],[Claims: Professional, Primary Care]],AN_TME23[[#All],[Insurance Category Code]],7,AN_TME23[[#All],[Advanced Network/Insurance Carrier Org ID]],B239)/S239)</f>
        <v>NA</v>
      </c>
      <c r="W239" s="494" t="str">
        <f>IF(S239=0,"NA",SUMIFS(AN_TME23[[#All],[Claims: Professional, Primary Care (for Monitoring Purposes)]],AN_TME23[[#All],[Insurance Category Code]],7,AN_TME23[[#All],[Advanced Network/Insurance Carrier Org ID]],B239)/S239)</f>
        <v>NA</v>
      </c>
      <c r="X239" s="494" t="str">
        <f>IF(S239=0,"NA",SUMIFS(AN_TME23[[#All],[Claims: Professional, Specialty]],AN_TME23[[#All],[Insurance Category Code]],7,AN_TME23[[#All],[Advanced Network/Insurance Carrier Org ID]],B239)/S239)</f>
        <v>NA</v>
      </c>
      <c r="Y239" s="494" t="str">
        <f>IF(S239=0,"NA",SUMIFS(AN_TME23[[#All],[Claims: Professional Other]],AN_TME23[[#All],[Insurance Category Code]],7,AN_TME23[[#All],[Advanced Network/Insurance Carrier Org ID]],B239)/S239)</f>
        <v>NA</v>
      </c>
      <c r="Z239" s="494" t="str">
        <f>IF(S239=0,"NA",SUMIFS(AN_TME23[[#All],[Claims: Pharmacy]],AN_TME23[[#All],[Insurance Category Code]],7,AN_TME23[[#All],[Advanced Network/Insurance Carrier Org ID]],B239)/S239)</f>
        <v>NA</v>
      </c>
      <c r="AA239" s="494" t="str">
        <f>IF(S239=0,"NA",SUMIFS(AN_TME23[[#All],[Claims: Long-Term Care]],AN_TME23[[#All],[Insurance Category Code]],7,AN_TME23[[#All],[Advanced Network/Insurance Carrier Org ID]],B239)/S239)</f>
        <v>NA</v>
      </c>
      <c r="AB239" s="494" t="str">
        <f>IF(S239=0,"NA",SUMIFS(AN_TME23[[#All],[Claims: Other]],AN_TME23[[#All],[Insurance Category Code]],7,AN_TME23[[#All],[Advanced Network/Insurance Carrier Org ID]],B239)/S239)</f>
        <v>NA</v>
      </c>
      <c r="AC239" s="495" t="str">
        <f>IF(S239=0,"NA",SUMIFS(AN_TME23[[#All],[TOTAL Non-Truncated Unadjusted Claims Expenses]],AN_TME23[[#All],[Insurance Category Code]],7,AN_TME23[[#All],[Advanced Network/Insurance Carrier Org ID]],B239)/S239)</f>
        <v>NA</v>
      </c>
      <c r="AD239" s="495" t="str">
        <f>IF(S239=0,"NA",SUMIFS(AN_TME23[[#All],[TOTAL Truncated Unadjusted Claims Expenses (A21 -A19)]],AN_TME23[[#All],[Insurance Category Code]],7,AN_TME23[[#All],[Advanced Network/Insurance Carrier Org ID]],B239)/S239)</f>
        <v>NA</v>
      </c>
      <c r="AE239" s="495" t="str">
        <f>IF(S239=0,"NA",SUMIFS(AN_TME23[[#All],[TOTAL Non-Claims Expenses]],AN_TME23[[#All],[Insurance Category Code]],7,AN_TME23[[#All],[Advanced Network/Insurance Carrier Org ID]],B239)/S239)</f>
        <v>NA</v>
      </c>
      <c r="AF239" s="495" t="str">
        <f>IF(S239=0,"NA",SUMIFS(AN_TME23[[#All],[TOTAL Non-Truncated Unadjusted Expenses (A21 + A23)]],AN_TME23[[#All],[Insurance Category Code]],7,AN_TME23[[#All],[Advanced Network/Insurance Carrier Org ID]],B239)/S239)</f>
        <v>NA</v>
      </c>
      <c r="AG239" s="496" t="str">
        <f>IF(S239=0,"NA",SUMIFS(AN_TME23[[#All],[TOTAL Truncated Unadjusted Expenses (A22 + A23)]],AN_TME23[[#All],[Insurance Category Code]],7,AN_TME23[[#All],[Advanced Network/Insurance Carrier Org ID]],B239)/S239)</f>
        <v>NA</v>
      </c>
      <c r="AH239" s="478" t="str">
        <f t="shared" si="308"/>
        <v>NA</v>
      </c>
      <c r="AI239" s="479" t="str">
        <f t="shared" si="309"/>
        <v>NA</v>
      </c>
      <c r="AJ239" s="480" t="str">
        <f t="shared" si="310"/>
        <v>NA</v>
      </c>
      <c r="AK239" s="480" t="str">
        <f t="shared" si="311"/>
        <v>NA</v>
      </c>
      <c r="AL239" s="480" t="str">
        <f t="shared" si="312"/>
        <v>NA</v>
      </c>
      <c r="AM239" s="480" t="str">
        <f t="shared" si="313"/>
        <v>NA</v>
      </c>
      <c r="AN239" s="480" t="str">
        <f t="shared" si="314"/>
        <v>NA</v>
      </c>
      <c r="AO239" s="480" t="str">
        <f t="shared" si="315"/>
        <v>NA</v>
      </c>
      <c r="AP239" s="480" t="str">
        <f t="shared" si="316"/>
        <v>NA</v>
      </c>
      <c r="AQ239" s="480" t="str">
        <f t="shared" si="317"/>
        <v>NA</v>
      </c>
      <c r="AR239" s="481" t="str">
        <f t="shared" si="318"/>
        <v>NA</v>
      </c>
      <c r="AS239" s="481" t="str">
        <f t="shared" si="319"/>
        <v>NA</v>
      </c>
      <c r="AT239" s="481" t="str">
        <f t="shared" si="320"/>
        <v>NA</v>
      </c>
      <c r="AU239" s="481" t="str">
        <f t="shared" si="321"/>
        <v>NA</v>
      </c>
      <c r="AV239" s="482" t="str">
        <f t="shared" si="322"/>
        <v>NA</v>
      </c>
    </row>
    <row r="240" spans="1:48" ht="15" customHeight="1" x14ac:dyDescent="0.25">
      <c r="A240" s="164"/>
      <c r="B240" s="166">
        <v>105</v>
      </c>
      <c r="C240" s="169" t="str">
        <f>_xlfn.XLOOKUP(B240, LgProvEntOrgIDs[Advanced Network/Insurer Carrier Org ID], LgProvEntOrgIDs[Advanced Network/Insurance Carrier Overall])</f>
        <v>NA</v>
      </c>
      <c r="D240" s="507">
        <f>SUMIFS(AN_TME22[[#All],[Member Months]],AN_TME22[[#All],[Insurance Category Code]],7,AN_TME22[[#All],[Advanced Network/Insurance Carrier Org ID]],B240)</f>
        <v>0</v>
      </c>
      <c r="E240" s="155" t="str">
        <f>IF(D240=0,"NA",SUMIFS(AN_TME22[[#All],[Claims: Hospital Inpatient]],AN_TME22[[#All],[Insurance Category Code]],7,AN_TME22[[#All],[Advanced Network/Insurance Carrier Org ID]],B240)/D240)</f>
        <v>NA</v>
      </c>
      <c r="F240" s="109" t="str">
        <f>IF(D240=0,"NA",SUMIFS(AN_TME22[[#All],[Claims: Hospital Outpatient]],AN_TME22[[#All],[Insurance Category Code]],7,AN_TME22[[#All],[Advanced Network/Insurance Carrier Org ID]],B240)/D240)</f>
        <v>NA</v>
      </c>
      <c r="G240" s="109" t="str">
        <f>IF(D240=0,"NA",SUMIFS(AN_TME22[[#All],[Claims: Professional, Primary Care]],AN_TME22[[#All],[Insurance Category Code]],7,AN_TME22[[#All],[Advanced Network/Insurance Carrier Org ID]],B240)/D240)</f>
        <v>NA</v>
      </c>
      <c r="H240" s="109" t="str">
        <f>IF(D240=0,"NA",SUMIFS(AN_TME22[[#All],[Claims: Professional, Primary Care (for Monitoring Purposes)]],AN_TME22[[#All],[Insurance Category Code]],7,AN_TME22[[#All],[Advanced Network/Insurance Carrier Org ID]],B240)/D240)</f>
        <v>NA</v>
      </c>
      <c r="I240" s="109" t="str">
        <f>IF(D240=0,"NA",SUMIFS(AN_TME22[[#All],[Claims: Professional, Specialty]],AN_TME22[[#All],[Insurance Category Code]],7,AN_TME22[[#All],[Advanced Network/Insurance Carrier Org ID]],B240)/D240)</f>
        <v>NA</v>
      </c>
      <c r="J240" s="109" t="str">
        <f>IF(D240=0,"NA",SUMIFS(AN_TME22[[#All],[Claims: Professional Other]],AN_TME22[[#All],[Insurance Category Code]],7,AN_TME22[[#All],[Advanced Network/Insurance Carrier Org ID]],B240)/D240)</f>
        <v>NA</v>
      </c>
      <c r="K240" s="109" t="str">
        <f>IF(D240=0,"NA",SUMIFS(AN_TME22[[#All],[Claims: Pharmacy]],AN_TME22[[#All],[Insurance Category Code]],7,AN_TME22[[#All],[Advanced Network/Insurance Carrier Org ID]],B240)/D240)</f>
        <v>NA</v>
      </c>
      <c r="L240" s="109" t="str">
        <f>IF(D240=0,"NA",SUMIFS(AN_TME22[[#All],[Claims: Long-Term Care]],AN_TME22[[#All],[Insurance Category Code]],7,AN_TME22[[#All],[Advanced Network/Insurance Carrier Org ID]],B240)/D240)</f>
        <v>NA</v>
      </c>
      <c r="M240" s="109" t="str">
        <f>IF(D240=0,"NA",SUMIFS(AN_TME22[[#All],[Claims: Other]],AN_TME22[[#All],[Insurance Category Code]],7,AN_TME22[[#All],[Advanced Network/Insurance Carrier Org ID]],B240)/D240)</f>
        <v>NA</v>
      </c>
      <c r="N240" s="165" t="str">
        <f>IF(D240=0,"NA",SUMIFS(AN_TME22[[#All],[TOTAL Non-Truncated Unadjusted Claims Expenses]],AN_TME22[[#All],[Insurance Category Code]],7,AN_TME22[[#All],[Advanced Network/Insurance Carrier Org ID]],B240)/D240)</f>
        <v>NA</v>
      </c>
      <c r="O240" s="165" t="str">
        <f>IF(D240=0,"NA",SUMIFS(AN_TME22[[#All],[TOTAL Truncated Unadjusted Claims Expenses (A21 -A19)]],AN_TME22[[#All],[Insurance Category Code]],7,AN_TME22[[#All],[Advanced Network/Insurance Carrier Org ID]],B240)/D240)</f>
        <v>NA</v>
      </c>
      <c r="P240" s="165" t="str">
        <f>IF(D240=0,"NA",SUMIFS(AN_TME22[[#All],[TOTAL Non-Claims Expenses]],AN_TME22[[#All],[Insurance Category Code]],7,AN_TME22[[#All],[Advanced Network/Insurance Carrier Org ID]],B240)/D240)</f>
        <v>NA</v>
      </c>
      <c r="Q240" s="165" t="str">
        <f>IF(D240=0,"NA",SUMIFS(AN_TME22[[#All],[TOTAL Non-Truncated Unadjusted Expenses (A21 + A23)]],AN_TME22[[#All],[Insurance Category Code]],7,AN_TME22[[#All],[Advanced Network/Insurance Carrier Org ID]],B240)/D240)</f>
        <v>NA</v>
      </c>
      <c r="R240" s="165" t="str">
        <f>IF(D240=0,"NA",SUMIFS(AN_TME22[[#All],[TOTAL Truncated Unadjusted Expenses (A22 + A23)]],AN_TME22[[#All],[Insurance Category Code]],7,AN_TME22[[#All],[Advanced Network/Insurance Carrier Org ID]],B240)/D240)</f>
        <v>NA</v>
      </c>
      <c r="S240" s="504">
        <f>SUMIFS(AN_TME23[[#All],[Member Months]],AN_TME23[[#All],[Insurance Category Code]],7,AN_TME23[[#All],[Advanced Network/Insurance Carrier Org ID]],B240)</f>
        <v>0</v>
      </c>
      <c r="T240" s="493" t="str">
        <f>IF(S240=0,"NA",SUMIFS(AN_TME23[[#All],[Claims: Hospital Inpatient]],AN_TME23[[#All],[Insurance Category Code]],7,AN_TME23[[#All],[Advanced Network/Insurance Carrier Org ID]],B240)/S240)</f>
        <v>NA</v>
      </c>
      <c r="U240" s="494" t="str">
        <f>IF(S240=0,"NA",SUMIFS(AN_TME23[[#All],[Claims: Hospital Outpatient]],AN_TME23[[#All],[Insurance Category Code]],7,AN_TME23[[#All],[Advanced Network/Insurance Carrier Org ID]],B240)/S240)</f>
        <v>NA</v>
      </c>
      <c r="V240" s="494" t="str">
        <f>IF(S240=0,"NA",SUMIFS(AN_TME23[[#All],[Claims: Professional, Primary Care]],AN_TME23[[#All],[Insurance Category Code]],7,AN_TME23[[#All],[Advanced Network/Insurance Carrier Org ID]],B240)/S240)</f>
        <v>NA</v>
      </c>
      <c r="W240" s="494" t="str">
        <f>IF(S240=0,"NA",SUMIFS(AN_TME23[[#All],[Claims: Professional, Primary Care (for Monitoring Purposes)]],AN_TME23[[#All],[Insurance Category Code]],7,AN_TME23[[#All],[Advanced Network/Insurance Carrier Org ID]],B240)/S240)</f>
        <v>NA</v>
      </c>
      <c r="X240" s="494" t="str">
        <f>IF(S240=0,"NA",SUMIFS(AN_TME23[[#All],[Claims: Professional, Specialty]],AN_TME23[[#All],[Insurance Category Code]],7,AN_TME23[[#All],[Advanced Network/Insurance Carrier Org ID]],B240)/S240)</f>
        <v>NA</v>
      </c>
      <c r="Y240" s="494" t="str">
        <f>IF(S240=0,"NA",SUMIFS(AN_TME23[[#All],[Claims: Professional Other]],AN_TME23[[#All],[Insurance Category Code]],7,AN_TME23[[#All],[Advanced Network/Insurance Carrier Org ID]],B240)/S240)</f>
        <v>NA</v>
      </c>
      <c r="Z240" s="494" t="str">
        <f>IF(S240=0,"NA",SUMIFS(AN_TME23[[#All],[Claims: Pharmacy]],AN_TME23[[#All],[Insurance Category Code]],7,AN_TME23[[#All],[Advanced Network/Insurance Carrier Org ID]],B240)/S240)</f>
        <v>NA</v>
      </c>
      <c r="AA240" s="494" t="str">
        <f>IF(S240=0,"NA",SUMIFS(AN_TME23[[#All],[Claims: Long-Term Care]],AN_TME23[[#All],[Insurance Category Code]],7,AN_TME23[[#All],[Advanced Network/Insurance Carrier Org ID]],B240)/S240)</f>
        <v>NA</v>
      </c>
      <c r="AB240" s="494" t="str">
        <f>IF(S240=0,"NA",SUMIFS(AN_TME23[[#All],[Claims: Other]],AN_TME23[[#All],[Insurance Category Code]],7,AN_TME23[[#All],[Advanced Network/Insurance Carrier Org ID]],B240)/S240)</f>
        <v>NA</v>
      </c>
      <c r="AC240" s="495" t="str">
        <f>IF(S240=0,"NA",SUMIFS(AN_TME23[[#All],[TOTAL Non-Truncated Unadjusted Claims Expenses]],AN_TME23[[#All],[Insurance Category Code]],7,AN_TME23[[#All],[Advanced Network/Insurance Carrier Org ID]],B240)/S240)</f>
        <v>NA</v>
      </c>
      <c r="AD240" s="495" t="str">
        <f>IF(S240=0,"NA",SUMIFS(AN_TME23[[#All],[TOTAL Truncated Unadjusted Claims Expenses (A21 -A19)]],AN_TME23[[#All],[Insurance Category Code]],7,AN_TME23[[#All],[Advanced Network/Insurance Carrier Org ID]],B240)/S240)</f>
        <v>NA</v>
      </c>
      <c r="AE240" s="495" t="str">
        <f>IF(S240=0,"NA",SUMIFS(AN_TME23[[#All],[TOTAL Non-Claims Expenses]],AN_TME23[[#All],[Insurance Category Code]],7,AN_TME23[[#All],[Advanced Network/Insurance Carrier Org ID]],B240)/S240)</f>
        <v>NA</v>
      </c>
      <c r="AF240" s="495" t="str">
        <f>IF(S240=0,"NA",SUMIFS(AN_TME23[[#All],[TOTAL Non-Truncated Unadjusted Expenses (A21 + A23)]],AN_TME23[[#All],[Insurance Category Code]],7,AN_TME23[[#All],[Advanced Network/Insurance Carrier Org ID]],B240)/S240)</f>
        <v>NA</v>
      </c>
      <c r="AG240" s="496" t="str">
        <f>IF(S240=0,"NA",SUMIFS(AN_TME23[[#All],[TOTAL Truncated Unadjusted Expenses (A22 + A23)]],AN_TME23[[#All],[Insurance Category Code]],7,AN_TME23[[#All],[Advanced Network/Insurance Carrier Org ID]],B240)/S240)</f>
        <v>NA</v>
      </c>
      <c r="AH240" s="478" t="str">
        <f t="shared" si="308"/>
        <v>NA</v>
      </c>
      <c r="AI240" s="479" t="str">
        <f t="shared" si="309"/>
        <v>NA</v>
      </c>
      <c r="AJ240" s="480" t="str">
        <f t="shared" si="310"/>
        <v>NA</v>
      </c>
      <c r="AK240" s="480" t="str">
        <f t="shared" si="311"/>
        <v>NA</v>
      </c>
      <c r="AL240" s="480" t="str">
        <f t="shared" si="312"/>
        <v>NA</v>
      </c>
      <c r="AM240" s="480" t="str">
        <f t="shared" si="313"/>
        <v>NA</v>
      </c>
      <c r="AN240" s="480" t="str">
        <f t="shared" si="314"/>
        <v>NA</v>
      </c>
      <c r="AO240" s="480" t="str">
        <f t="shared" si="315"/>
        <v>NA</v>
      </c>
      <c r="AP240" s="480" t="str">
        <f t="shared" si="316"/>
        <v>NA</v>
      </c>
      <c r="AQ240" s="480" t="str">
        <f t="shared" si="317"/>
        <v>NA</v>
      </c>
      <c r="AR240" s="481" t="str">
        <f t="shared" si="318"/>
        <v>NA</v>
      </c>
      <c r="AS240" s="481" t="str">
        <f t="shared" si="319"/>
        <v>NA</v>
      </c>
      <c r="AT240" s="481" t="str">
        <f t="shared" si="320"/>
        <v>NA</v>
      </c>
      <c r="AU240" s="481" t="str">
        <f t="shared" si="321"/>
        <v>NA</v>
      </c>
      <c r="AV240" s="482" t="str">
        <f t="shared" si="322"/>
        <v>NA</v>
      </c>
    </row>
    <row r="241" spans="1:48" ht="15" customHeight="1" x14ac:dyDescent="0.25">
      <c r="A241" s="164"/>
      <c r="B241" s="166">
        <v>106</v>
      </c>
      <c r="C241" s="169" t="str">
        <f>_xlfn.XLOOKUP(B241, LgProvEntOrgIDs[Advanced Network/Insurer Carrier Org ID], LgProvEntOrgIDs[Advanced Network/Insurance Carrier Overall])</f>
        <v>Northeast Medical Group</v>
      </c>
      <c r="D241" s="507">
        <f>SUMIFS(AN_TME22[[#All],[Member Months]],AN_TME22[[#All],[Insurance Category Code]],7,AN_TME22[[#All],[Advanced Network/Insurance Carrier Org ID]],B241)</f>
        <v>0</v>
      </c>
      <c r="E241" s="155" t="str">
        <f>IF(D241=0,"NA",SUMIFS(AN_TME22[[#All],[Claims: Hospital Inpatient]],AN_TME22[[#All],[Insurance Category Code]],7,AN_TME22[[#All],[Advanced Network/Insurance Carrier Org ID]],B241)/D241)</f>
        <v>NA</v>
      </c>
      <c r="F241" s="109" t="str">
        <f>IF(D241=0,"NA",SUMIFS(AN_TME22[[#All],[Claims: Hospital Outpatient]],AN_TME22[[#All],[Insurance Category Code]],7,AN_TME22[[#All],[Advanced Network/Insurance Carrier Org ID]],B241)/D241)</f>
        <v>NA</v>
      </c>
      <c r="G241" s="109" t="str">
        <f>IF(D241=0,"NA",SUMIFS(AN_TME22[[#All],[Claims: Professional, Primary Care]],AN_TME22[[#All],[Insurance Category Code]],7,AN_TME22[[#All],[Advanced Network/Insurance Carrier Org ID]],B241)/D241)</f>
        <v>NA</v>
      </c>
      <c r="H241" s="109" t="str">
        <f>IF(D241=0,"NA",SUMIFS(AN_TME22[[#All],[Claims: Professional, Primary Care (for Monitoring Purposes)]],AN_TME22[[#All],[Insurance Category Code]],7,AN_TME22[[#All],[Advanced Network/Insurance Carrier Org ID]],B241)/D241)</f>
        <v>NA</v>
      </c>
      <c r="I241" s="109" t="str">
        <f>IF(D241=0,"NA",SUMIFS(AN_TME22[[#All],[Claims: Professional, Specialty]],AN_TME22[[#All],[Insurance Category Code]],7,AN_TME22[[#All],[Advanced Network/Insurance Carrier Org ID]],B241)/D241)</f>
        <v>NA</v>
      </c>
      <c r="J241" s="109" t="str">
        <f>IF(D241=0,"NA",SUMIFS(AN_TME22[[#All],[Claims: Professional Other]],AN_TME22[[#All],[Insurance Category Code]],7,AN_TME22[[#All],[Advanced Network/Insurance Carrier Org ID]],B241)/D241)</f>
        <v>NA</v>
      </c>
      <c r="K241" s="109" t="str">
        <f>IF(D241=0,"NA",SUMIFS(AN_TME22[[#All],[Claims: Pharmacy]],AN_TME22[[#All],[Insurance Category Code]],7,AN_TME22[[#All],[Advanced Network/Insurance Carrier Org ID]],B241)/D241)</f>
        <v>NA</v>
      </c>
      <c r="L241" s="109" t="str">
        <f>IF(D241=0,"NA",SUMIFS(AN_TME22[[#All],[Claims: Long-Term Care]],AN_TME22[[#All],[Insurance Category Code]],7,AN_TME22[[#All],[Advanced Network/Insurance Carrier Org ID]],B241)/D241)</f>
        <v>NA</v>
      </c>
      <c r="M241" s="109" t="str">
        <f>IF(D241=0,"NA",SUMIFS(AN_TME22[[#All],[Claims: Other]],AN_TME22[[#All],[Insurance Category Code]],7,AN_TME22[[#All],[Advanced Network/Insurance Carrier Org ID]],B241)/D241)</f>
        <v>NA</v>
      </c>
      <c r="N241" s="165" t="str">
        <f>IF(D241=0,"NA",SUMIFS(AN_TME22[[#All],[TOTAL Non-Truncated Unadjusted Claims Expenses]],AN_TME22[[#All],[Insurance Category Code]],7,AN_TME22[[#All],[Advanced Network/Insurance Carrier Org ID]],B241)/D241)</f>
        <v>NA</v>
      </c>
      <c r="O241" s="165" t="str">
        <f>IF(D241=0,"NA",SUMIFS(AN_TME22[[#All],[TOTAL Truncated Unadjusted Claims Expenses (A21 -A19)]],AN_TME22[[#All],[Insurance Category Code]],7,AN_TME22[[#All],[Advanced Network/Insurance Carrier Org ID]],B241)/D241)</f>
        <v>NA</v>
      </c>
      <c r="P241" s="165" t="str">
        <f>IF(D241=0,"NA",SUMIFS(AN_TME22[[#All],[TOTAL Non-Claims Expenses]],AN_TME22[[#All],[Insurance Category Code]],7,AN_TME22[[#All],[Advanced Network/Insurance Carrier Org ID]],B241)/D241)</f>
        <v>NA</v>
      </c>
      <c r="Q241" s="165" t="str">
        <f>IF(D241=0,"NA",SUMIFS(AN_TME22[[#All],[TOTAL Non-Truncated Unadjusted Expenses (A21 + A23)]],AN_TME22[[#All],[Insurance Category Code]],7,AN_TME22[[#All],[Advanced Network/Insurance Carrier Org ID]],B241)/D241)</f>
        <v>NA</v>
      </c>
      <c r="R241" s="165" t="str">
        <f>IF(D241=0,"NA",SUMIFS(AN_TME22[[#All],[TOTAL Truncated Unadjusted Expenses (A22 + A23)]],AN_TME22[[#All],[Insurance Category Code]],7,AN_TME22[[#All],[Advanced Network/Insurance Carrier Org ID]],B241)/D241)</f>
        <v>NA</v>
      </c>
      <c r="S241" s="504">
        <f>SUMIFS(AN_TME23[[#All],[Member Months]],AN_TME23[[#All],[Insurance Category Code]],7,AN_TME23[[#All],[Advanced Network/Insurance Carrier Org ID]],B241)</f>
        <v>0</v>
      </c>
      <c r="T241" s="493" t="str">
        <f>IF(S241=0,"NA",SUMIFS(AN_TME23[[#All],[Claims: Hospital Inpatient]],AN_TME23[[#All],[Insurance Category Code]],7,AN_TME23[[#All],[Advanced Network/Insurance Carrier Org ID]],B241)/S241)</f>
        <v>NA</v>
      </c>
      <c r="U241" s="494" t="str">
        <f>IF(S241=0,"NA",SUMIFS(AN_TME23[[#All],[Claims: Hospital Outpatient]],AN_TME23[[#All],[Insurance Category Code]],7,AN_TME23[[#All],[Advanced Network/Insurance Carrier Org ID]],B241)/S241)</f>
        <v>NA</v>
      </c>
      <c r="V241" s="494" t="str">
        <f>IF(S241=0,"NA",SUMIFS(AN_TME23[[#All],[Claims: Professional, Primary Care]],AN_TME23[[#All],[Insurance Category Code]],7,AN_TME23[[#All],[Advanced Network/Insurance Carrier Org ID]],B241)/S241)</f>
        <v>NA</v>
      </c>
      <c r="W241" s="494" t="str">
        <f>IF(S241=0,"NA",SUMIFS(AN_TME23[[#All],[Claims: Professional, Primary Care (for Monitoring Purposes)]],AN_TME23[[#All],[Insurance Category Code]],7,AN_TME23[[#All],[Advanced Network/Insurance Carrier Org ID]],B241)/S241)</f>
        <v>NA</v>
      </c>
      <c r="X241" s="494" t="str">
        <f>IF(S241=0,"NA",SUMIFS(AN_TME23[[#All],[Claims: Professional, Specialty]],AN_TME23[[#All],[Insurance Category Code]],7,AN_TME23[[#All],[Advanced Network/Insurance Carrier Org ID]],B241)/S241)</f>
        <v>NA</v>
      </c>
      <c r="Y241" s="494" t="str">
        <f>IF(S241=0,"NA",SUMIFS(AN_TME23[[#All],[Claims: Professional Other]],AN_TME23[[#All],[Insurance Category Code]],7,AN_TME23[[#All],[Advanced Network/Insurance Carrier Org ID]],B241)/S241)</f>
        <v>NA</v>
      </c>
      <c r="Z241" s="494" t="str">
        <f>IF(S241=0,"NA",SUMIFS(AN_TME23[[#All],[Claims: Pharmacy]],AN_TME23[[#All],[Insurance Category Code]],7,AN_TME23[[#All],[Advanced Network/Insurance Carrier Org ID]],B241)/S241)</f>
        <v>NA</v>
      </c>
      <c r="AA241" s="494" t="str">
        <f>IF(S241=0,"NA",SUMIFS(AN_TME23[[#All],[Claims: Long-Term Care]],AN_TME23[[#All],[Insurance Category Code]],7,AN_TME23[[#All],[Advanced Network/Insurance Carrier Org ID]],B241)/S241)</f>
        <v>NA</v>
      </c>
      <c r="AB241" s="494" t="str">
        <f>IF(S241=0,"NA",SUMIFS(AN_TME23[[#All],[Claims: Other]],AN_TME23[[#All],[Insurance Category Code]],7,AN_TME23[[#All],[Advanced Network/Insurance Carrier Org ID]],B241)/S241)</f>
        <v>NA</v>
      </c>
      <c r="AC241" s="495" t="str">
        <f>IF(S241=0,"NA",SUMIFS(AN_TME23[[#All],[TOTAL Non-Truncated Unadjusted Claims Expenses]],AN_TME23[[#All],[Insurance Category Code]],7,AN_TME23[[#All],[Advanced Network/Insurance Carrier Org ID]],B241)/S241)</f>
        <v>NA</v>
      </c>
      <c r="AD241" s="495" t="str">
        <f>IF(S241=0,"NA",SUMIFS(AN_TME23[[#All],[TOTAL Truncated Unadjusted Claims Expenses (A21 -A19)]],AN_TME23[[#All],[Insurance Category Code]],7,AN_TME23[[#All],[Advanced Network/Insurance Carrier Org ID]],B241)/S241)</f>
        <v>NA</v>
      </c>
      <c r="AE241" s="495" t="str">
        <f>IF(S241=0,"NA",SUMIFS(AN_TME23[[#All],[TOTAL Non-Claims Expenses]],AN_TME23[[#All],[Insurance Category Code]],7,AN_TME23[[#All],[Advanced Network/Insurance Carrier Org ID]],B241)/S241)</f>
        <v>NA</v>
      </c>
      <c r="AF241" s="495" t="str">
        <f>IF(S241=0,"NA",SUMIFS(AN_TME23[[#All],[TOTAL Non-Truncated Unadjusted Expenses (A21 + A23)]],AN_TME23[[#All],[Insurance Category Code]],7,AN_TME23[[#All],[Advanced Network/Insurance Carrier Org ID]],B241)/S241)</f>
        <v>NA</v>
      </c>
      <c r="AG241" s="496" t="str">
        <f>IF(S241=0,"NA",SUMIFS(AN_TME23[[#All],[TOTAL Truncated Unadjusted Expenses (A22 + A23)]],AN_TME23[[#All],[Insurance Category Code]],7,AN_TME23[[#All],[Advanced Network/Insurance Carrier Org ID]],B241)/S241)</f>
        <v>NA</v>
      </c>
      <c r="AH241" s="478" t="str">
        <f t="shared" si="308"/>
        <v>NA</v>
      </c>
      <c r="AI241" s="479" t="str">
        <f t="shared" si="309"/>
        <v>NA</v>
      </c>
      <c r="AJ241" s="480" t="str">
        <f t="shared" si="310"/>
        <v>NA</v>
      </c>
      <c r="AK241" s="480" t="str">
        <f t="shared" si="311"/>
        <v>NA</v>
      </c>
      <c r="AL241" s="480" t="str">
        <f t="shared" si="312"/>
        <v>NA</v>
      </c>
      <c r="AM241" s="480" t="str">
        <f t="shared" si="313"/>
        <v>NA</v>
      </c>
      <c r="AN241" s="480" t="str">
        <f t="shared" si="314"/>
        <v>NA</v>
      </c>
      <c r="AO241" s="480" t="str">
        <f t="shared" si="315"/>
        <v>NA</v>
      </c>
      <c r="AP241" s="480" t="str">
        <f t="shared" si="316"/>
        <v>NA</v>
      </c>
      <c r="AQ241" s="480" t="str">
        <f t="shared" si="317"/>
        <v>NA</v>
      </c>
      <c r="AR241" s="481" t="str">
        <f t="shared" si="318"/>
        <v>NA</v>
      </c>
      <c r="AS241" s="481" t="str">
        <f t="shared" si="319"/>
        <v>NA</v>
      </c>
      <c r="AT241" s="481" t="str">
        <f t="shared" si="320"/>
        <v>NA</v>
      </c>
      <c r="AU241" s="481" t="str">
        <f t="shared" si="321"/>
        <v>NA</v>
      </c>
      <c r="AV241" s="482" t="str">
        <f t="shared" si="322"/>
        <v>NA</v>
      </c>
    </row>
    <row r="242" spans="1:48" ht="15" customHeight="1" x14ac:dyDescent="0.25">
      <c r="A242" s="164"/>
      <c r="B242" s="166">
        <v>107</v>
      </c>
      <c r="C242" s="169" t="str">
        <f>_xlfn.XLOOKUP(B242, LgProvEntOrgIDs[Advanced Network/Insurer Carrier Org ID], LgProvEntOrgIDs[Advanced Network/Insurance Carrier Overall])</f>
        <v>OptumCare Network of Connecticut (including ProHealth)</v>
      </c>
      <c r="D242" s="507">
        <f>SUMIFS(AN_TME22[[#All],[Member Months]],AN_TME22[[#All],[Insurance Category Code]],7,AN_TME22[[#All],[Advanced Network/Insurance Carrier Org ID]],B242)</f>
        <v>0</v>
      </c>
      <c r="E242" s="155" t="str">
        <f>IF(D242=0,"NA",SUMIFS(AN_TME22[[#All],[Claims: Hospital Inpatient]],AN_TME22[[#All],[Insurance Category Code]],7,AN_TME22[[#All],[Advanced Network/Insurance Carrier Org ID]],B242)/D242)</f>
        <v>NA</v>
      </c>
      <c r="F242" s="109" t="str">
        <f>IF(D242=0,"NA",SUMIFS(AN_TME22[[#All],[Claims: Hospital Outpatient]],AN_TME22[[#All],[Insurance Category Code]],7,AN_TME22[[#All],[Advanced Network/Insurance Carrier Org ID]],B242)/D242)</f>
        <v>NA</v>
      </c>
      <c r="G242" s="109" t="str">
        <f>IF(D242=0,"NA",SUMIFS(AN_TME22[[#All],[Claims: Professional, Primary Care]],AN_TME22[[#All],[Insurance Category Code]],7,AN_TME22[[#All],[Advanced Network/Insurance Carrier Org ID]],B242)/D242)</f>
        <v>NA</v>
      </c>
      <c r="H242" s="109" t="str">
        <f>IF(D242=0,"NA",SUMIFS(AN_TME22[[#All],[Claims: Professional, Primary Care (for Monitoring Purposes)]],AN_TME22[[#All],[Insurance Category Code]],7,AN_TME22[[#All],[Advanced Network/Insurance Carrier Org ID]],B242)/D242)</f>
        <v>NA</v>
      </c>
      <c r="I242" s="109" t="str">
        <f>IF(D242=0,"NA",SUMIFS(AN_TME22[[#All],[Claims: Professional, Specialty]],AN_TME22[[#All],[Insurance Category Code]],7,AN_TME22[[#All],[Advanced Network/Insurance Carrier Org ID]],B242)/D242)</f>
        <v>NA</v>
      </c>
      <c r="J242" s="109" t="str">
        <f>IF(D242=0,"NA",SUMIFS(AN_TME22[[#All],[Claims: Professional Other]],AN_TME22[[#All],[Insurance Category Code]],7,AN_TME22[[#All],[Advanced Network/Insurance Carrier Org ID]],B242)/D242)</f>
        <v>NA</v>
      </c>
      <c r="K242" s="109" t="str">
        <f>IF(D242=0,"NA",SUMIFS(AN_TME22[[#All],[Claims: Pharmacy]],AN_TME22[[#All],[Insurance Category Code]],7,AN_TME22[[#All],[Advanced Network/Insurance Carrier Org ID]],B242)/D242)</f>
        <v>NA</v>
      </c>
      <c r="L242" s="109" t="str">
        <f>IF(D242=0,"NA",SUMIFS(AN_TME22[[#All],[Claims: Long-Term Care]],AN_TME22[[#All],[Insurance Category Code]],7,AN_TME22[[#All],[Advanced Network/Insurance Carrier Org ID]],B242)/D242)</f>
        <v>NA</v>
      </c>
      <c r="M242" s="109" t="str">
        <f>IF(D242=0,"NA",SUMIFS(AN_TME22[[#All],[Claims: Other]],AN_TME22[[#All],[Insurance Category Code]],7,AN_TME22[[#All],[Advanced Network/Insurance Carrier Org ID]],B242)/D242)</f>
        <v>NA</v>
      </c>
      <c r="N242" s="165" t="str">
        <f>IF(D242=0,"NA",SUMIFS(AN_TME22[[#All],[TOTAL Non-Truncated Unadjusted Claims Expenses]],AN_TME22[[#All],[Insurance Category Code]],7,AN_TME22[[#All],[Advanced Network/Insurance Carrier Org ID]],B242)/D242)</f>
        <v>NA</v>
      </c>
      <c r="O242" s="165" t="str">
        <f>IF(D242=0,"NA",SUMIFS(AN_TME22[[#All],[TOTAL Truncated Unadjusted Claims Expenses (A21 -A19)]],AN_TME22[[#All],[Insurance Category Code]],7,AN_TME22[[#All],[Advanced Network/Insurance Carrier Org ID]],B242)/D242)</f>
        <v>NA</v>
      </c>
      <c r="P242" s="165" t="str">
        <f>IF(D242=0,"NA",SUMIFS(AN_TME22[[#All],[TOTAL Non-Claims Expenses]],AN_TME22[[#All],[Insurance Category Code]],7,AN_TME22[[#All],[Advanced Network/Insurance Carrier Org ID]],B242)/D242)</f>
        <v>NA</v>
      </c>
      <c r="Q242" s="165" t="str">
        <f>IF(D242=0,"NA",SUMIFS(AN_TME22[[#All],[TOTAL Non-Truncated Unadjusted Expenses (A21 + A23)]],AN_TME22[[#All],[Insurance Category Code]],7,AN_TME22[[#All],[Advanced Network/Insurance Carrier Org ID]],B242)/D242)</f>
        <v>NA</v>
      </c>
      <c r="R242" s="165" t="str">
        <f>IF(D242=0,"NA",SUMIFS(AN_TME22[[#All],[TOTAL Truncated Unadjusted Expenses (A22 + A23)]],AN_TME22[[#All],[Insurance Category Code]],7,AN_TME22[[#All],[Advanced Network/Insurance Carrier Org ID]],B242)/D242)</f>
        <v>NA</v>
      </c>
      <c r="S242" s="504">
        <f>SUMIFS(AN_TME23[[#All],[Member Months]],AN_TME23[[#All],[Insurance Category Code]],7,AN_TME23[[#All],[Advanced Network/Insurance Carrier Org ID]],B242)</f>
        <v>0</v>
      </c>
      <c r="T242" s="493" t="str">
        <f>IF(S242=0,"NA",SUMIFS(AN_TME23[[#All],[Claims: Hospital Inpatient]],AN_TME23[[#All],[Insurance Category Code]],7,AN_TME23[[#All],[Advanced Network/Insurance Carrier Org ID]],B242)/S242)</f>
        <v>NA</v>
      </c>
      <c r="U242" s="494" t="str">
        <f>IF(S242=0,"NA",SUMIFS(AN_TME23[[#All],[Claims: Hospital Outpatient]],AN_TME23[[#All],[Insurance Category Code]],7,AN_TME23[[#All],[Advanced Network/Insurance Carrier Org ID]],B242)/S242)</f>
        <v>NA</v>
      </c>
      <c r="V242" s="494" t="str">
        <f>IF(S242=0,"NA",SUMIFS(AN_TME23[[#All],[Claims: Professional, Primary Care]],AN_TME23[[#All],[Insurance Category Code]],7,AN_TME23[[#All],[Advanced Network/Insurance Carrier Org ID]],B242)/S242)</f>
        <v>NA</v>
      </c>
      <c r="W242" s="494" t="str">
        <f>IF(S242=0,"NA",SUMIFS(AN_TME23[[#All],[Claims: Professional, Primary Care (for Monitoring Purposes)]],AN_TME23[[#All],[Insurance Category Code]],7,AN_TME23[[#All],[Advanced Network/Insurance Carrier Org ID]],B242)/S242)</f>
        <v>NA</v>
      </c>
      <c r="X242" s="494" t="str">
        <f>IF(S242=0,"NA",SUMIFS(AN_TME23[[#All],[Claims: Professional, Specialty]],AN_TME23[[#All],[Insurance Category Code]],7,AN_TME23[[#All],[Advanced Network/Insurance Carrier Org ID]],B242)/S242)</f>
        <v>NA</v>
      </c>
      <c r="Y242" s="494" t="str">
        <f>IF(S242=0,"NA",SUMIFS(AN_TME23[[#All],[Claims: Professional Other]],AN_TME23[[#All],[Insurance Category Code]],7,AN_TME23[[#All],[Advanced Network/Insurance Carrier Org ID]],B242)/S242)</f>
        <v>NA</v>
      </c>
      <c r="Z242" s="494" t="str">
        <f>IF(S242=0,"NA",SUMIFS(AN_TME23[[#All],[Claims: Pharmacy]],AN_TME23[[#All],[Insurance Category Code]],7,AN_TME23[[#All],[Advanced Network/Insurance Carrier Org ID]],B242)/S242)</f>
        <v>NA</v>
      </c>
      <c r="AA242" s="494" t="str">
        <f>IF(S242=0,"NA",SUMIFS(AN_TME23[[#All],[Claims: Long-Term Care]],AN_TME23[[#All],[Insurance Category Code]],7,AN_TME23[[#All],[Advanced Network/Insurance Carrier Org ID]],B242)/S242)</f>
        <v>NA</v>
      </c>
      <c r="AB242" s="494" t="str">
        <f>IF(S242=0,"NA",SUMIFS(AN_TME23[[#All],[Claims: Other]],AN_TME23[[#All],[Insurance Category Code]],7,AN_TME23[[#All],[Advanced Network/Insurance Carrier Org ID]],B242)/S242)</f>
        <v>NA</v>
      </c>
      <c r="AC242" s="495" t="str">
        <f>IF(S242=0,"NA",SUMIFS(AN_TME23[[#All],[TOTAL Non-Truncated Unadjusted Claims Expenses]],AN_TME23[[#All],[Insurance Category Code]],7,AN_TME23[[#All],[Advanced Network/Insurance Carrier Org ID]],B242)/S242)</f>
        <v>NA</v>
      </c>
      <c r="AD242" s="495" t="str">
        <f>IF(S242=0,"NA",SUMIFS(AN_TME23[[#All],[TOTAL Truncated Unadjusted Claims Expenses (A21 -A19)]],AN_TME23[[#All],[Insurance Category Code]],7,AN_TME23[[#All],[Advanced Network/Insurance Carrier Org ID]],B242)/S242)</f>
        <v>NA</v>
      </c>
      <c r="AE242" s="495" t="str">
        <f>IF(S242=0,"NA",SUMIFS(AN_TME23[[#All],[TOTAL Non-Claims Expenses]],AN_TME23[[#All],[Insurance Category Code]],7,AN_TME23[[#All],[Advanced Network/Insurance Carrier Org ID]],B242)/S242)</f>
        <v>NA</v>
      </c>
      <c r="AF242" s="495" t="str">
        <f>IF(S242=0,"NA",SUMIFS(AN_TME23[[#All],[TOTAL Non-Truncated Unadjusted Expenses (A21 + A23)]],AN_TME23[[#All],[Insurance Category Code]],7,AN_TME23[[#All],[Advanced Network/Insurance Carrier Org ID]],B242)/S242)</f>
        <v>NA</v>
      </c>
      <c r="AG242" s="496" t="str">
        <f>IF(S242=0,"NA",SUMIFS(AN_TME23[[#All],[TOTAL Truncated Unadjusted Expenses (A22 + A23)]],AN_TME23[[#All],[Insurance Category Code]],7,AN_TME23[[#All],[Advanced Network/Insurance Carrier Org ID]],B242)/S242)</f>
        <v>NA</v>
      </c>
      <c r="AH242" s="478" t="str">
        <f t="shared" si="308"/>
        <v>NA</v>
      </c>
      <c r="AI242" s="479" t="str">
        <f t="shared" si="309"/>
        <v>NA</v>
      </c>
      <c r="AJ242" s="480" t="str">
        <f t="shared" si="310"/>
        <v>NA</v>
      </c>
      <c r="AK242" s="480" t="str">
        <f t="shared" si="311"/>
        <v>NA</v>
      </c>
      <c r="AL242" s="480" t="str">
        <f t="shared" si="312"/>
        <v>NA</v>
      </c>
      <c r="AM242" s="480" t="str">
        <f t="shared" si="313"/>
        <v>NA</v>
      </c>
      <c r="AN242" s="480" t="str">
        <f t="shared" si="314"/>
        <v>NA</v>
      </c>
      <c r="AO242" s="480" t="str">
        <f t="shared" si="315"/>
        <v>NA</v>
      </c>
      <c r="AP242" s="480" t="str">
        <f t="shared" si="316"/>
        <v>NA</v>
      </c>
      <c r="AQ242" s="480" t="str">
        <f t="shared" si="317"/>
        <v>NA</v>
      </c>
      <c r="AR242" s="481" t="str">
        <f t="shared" si="318"/>
        <v>NA</v>
      </c>
      <c r="AS242" s="481" t="str">
        <f t="shared" si="319"/>
        <v>NA</v>
      </c>
      <c r="AT242" s="481" t="str">
        <f t="shared" si="320"/>
        <v>NA</v>
      </c>
      <c r="AU242" s="481" t="str">
        <f t="shared" si="321"/>
        <v>NA</v>
      </c>
      <c r="AV242" s="482" t="str">
        <f t="shared" si="322"/>
        <v>NA</v>
      </c>
    </row>
    <row r="243" spans="1:48" ht="45" customHeight="1" x14ac:dyDescent="0.25">
      <c r="A243" s="164"/>
      <c r="B243" s="166">
        <v>108</v>
      </c>
      <c r="C243" s="169" t="str">
        <f>_xlfn.XLOOKUP(B243, LgProvEntOrgIDs[Advanced Network/Insurer Carrier Org ID], LgProvEntOrgIDs[Advanced Network/Insurance Carrier Overall])</f>
        <v>Prospect Connecticut Medical Foundation Inc. (dba Prospect Medical, Prospect Health Services, Prospect Holdings)</v>
      </c>
      <c r="D243" s="507">
        <f>SUMIFS(AN_TME22[[#All],[Member Months]],AN_TME22[[#All],[Insurance Category Code]],7,AN_TME22[[#All],[Advanced Network/Insurance Carrier Org ID]],B243)</f>
        <v>0</v>
      </c>
      <c r="E243" s="155" t="str">
        <f>IF(D243=0,"NA",SUMIFS(AN_TME22[[#All],[Claims: Hospital Inpatient]],AN_TME22[[#All],[Insurance Category Code]],7,AN_TME22[[#All],[Advanced Network/Insurance Carrier Org ID]],B243)/D243)</f>
        <v>NA</v>
      </c>
      <c r="F243" s="109" t="str">
        <f>IF(D243=0,"NA",SUMIFS(AN_TME22[[#All],[Claims: Hospital Outpatient]],AN_TME22[[#All],[Insurance Category Code]],7,AN_TME22[[#All],[Advanced Network/Insurance Carrier Org ID]],B243)/D243)</f>
        <v>NA</v>
      </c>
      <c r="G243" s="109" t="str">
        <f>IF(D243=0,"NA",SUMIFS(AN_TME22[[#All],[Claims: Professional, Primary Care]],AN_TME22[[#All],[Insurance Category Code]],7,AN_TME22[[#All],[Advanced Network/Insurance Carrier Org ID]],B243)/D243)</f>
        <v>NA</v>
      </c>
      <c r="H243" s="109" t="str">
        <f>IF(D243=0,"NA",SUMIFS(AN_TME22[[#All],[Claims: Professional, Primary Care (for Monitoring Purposes)]],AN_TME22[[#All],[Insurance Category Code]],7,AN_TME22[[#All],[Advanced Network/Insurance Carrier Org ID]],B243)/D243)</f>
        <v>NA</v>
      </c>
      <c r="I243" s="109" t="str">
        <f>IF(D243=0,"NA",SUMIFS(AN_TME22[[#All],[Claims: Professional, Specialty]],AN_TME22[[#All],[Insurance Category Code]],7,AN_TME22[[#All],[Advanced Network/Insurance Carrier Org ID]],B243)/D243)</f>
        <v>NA</v>
      </c>
      <c r="J243" s="109" t="str">
        <f>IF(D243=0,"NA",SUMIFS(AN_TME22[[#All],[Claims: Professional Other]],AN_TME22[[#All],[Insurance Category Code]],7,AN_TME22[[#All],[Advanced Network/Insurance Carrier Org ID]],B243)/D243)</f>
        <v>NA</v>
      </c>
      <c r="K243" s="109" t="str">
        <f>IF(D243=0,"NA",SUMIFS(AN_TME22[[#All],[Claims: Pharmacy]],AN_TME22[[#All],[Insurance Category Code]],7,AN_TME22[[#All],[Advanced Network/Insurance Carrier Org ID]],B243)/D243)</f>
        <v>NA</v>
      </c>
      <c r="L243" s="109" t="str">
        <f>IF(D243=0,"NA",SUMIFS(AN_TME22[[#All],[Claims: Long-Term Care]],AN_TME22[[#All],[Insurance Category Code]],7,AN_TME22[[#All],[Advanced Network/Insurance Carrier Org ID]],B243)/D243)</f>
        <v>NA</v>
      </c>
      <c r="M243" s="109" t="str">
        <f>IF(D243=0,"NA",SUMIFS(AN_TME22[[#All],[Claims: Other]],AN_TME22[[#All],[Insurance Category Code]],7,AN_TME22[[#All],[Advanced Network/Insurance Carrier Org ID]],B243)/D243)</f>
        <v>NA</v>
      </c>
      <c r="N243" s="165" t="str">
        <f>IF(D243=0,"NA",SUMIFS(AN_TME22[[#All],[TOTAL Non-Truncated Unadjusted Claims Expenses]],AN_TME22[[#All],[Insurance Category Code]],7,AN_TME22[[#All],[Advanced Network/Insurance Carrier Org ID]],B243)/D243)</f>
        <v>NA</v>
      </c>
      <c r="O243" s="165" t="str">
        <f>IF(D243=0,"NA",SUMIFS(AN_TME22[[#All],[TOTAL Truncated Unadjusted Claims Expenses (A21 -A19)]],AN_TME22[[#All],[Insurance Category Code]],7,AN_TME22[[#All],[Advanced Network/Insurance Carrier Org ID]],B243)/D243)</f>
        <v>NA</v>
      </c>
      <c r="P243" s="165" t="str">
        <f>IF(D243=0,"NA",SUMIFS(AN_TME22[[#All],[TOTAL Non-Claims Expenses]],AN_TME22[[#All],[Insurance Category Code]],7,AN_TME22[[#All],[Advanced Network/Insurance Carrier Org ID]],B243)/D243)</f>
        <v>NA</v>
      </c>
      <c r="Q243" s="165" t="str">
        <f>IF(D243=0,"NA",SUMIFS(AN_TME22[[#All],[TOTAL Non-Truncated Unadjusted Expenses (A21 + A23)]],AN_TME22[[#All],[Insurance Category Code]],7,AN_TME22[[#All],[Advanced Network/Insurance Carrier Org ID]],B243)/D243)</f>
        <v>NA</v>
      </c>
      <c r="R243" s="165" t="str">
        <f>IF(D243=0,"NA",SUMIFS(AN_TME22[[#All],[TOTAL Truncated Unadjusted Expenses (A22 + A23)]],AN_TME22[[#All],[Insurance Category Code]],7,AN_TME22[[#All],[Advanced Network/Insurance Carrier Org ID]],B243)/D243)</f>
        <v>NA</v>
      </c>
      <c r="S243" s="504">
        <f>SUMIFS(AN_TME23[[#All],[Member Months]],AN_TME23[[#All],[Insurance Category Code]],7,AN_TME23[[#All],[Advanced Network/Insurance Carrier Org ID]],B243)</f>
        <v>0</v>
      </c>
      <c r="T243" s="493" t="str">
        <f>IF(S243=0,"NA",SUMIFS(AN_TME23[[#All],[Claims: Hospital Inpatient]],AN_TME23[[#All],[Insurance Category Code]],7,AN_TME23[[#All],[Advanced Network/Insurance Carrier Org ID]],B243)/S243)</f>
        <v>NA</v>
      </c>
      <c r="U243" s="494" t="str">
        <f>IF(S243=0,"NA",SUMIFS(AN_TME23[[#All],[Claims: Hospital Outpatient]],AN_TME23[[#All],[Insurance Category Code]],7,AN_TME23[[#All],[Advanced Network/Insurance Carrier Org ID]],B243)/S243)</f>
        <v>NA</v>
      </c>
      <c r="V243" s="494" t="str">
        <f>IF(S243=0,"NA",SUMIFS(AN_TME23[[#All],[Claims: Professional, Primary Care]],AN_TME23[[#All],[Insurance Category Code]],7,AN_TME23[[#All],[Advanced Network/Insurance Carrier Org ID]],B243)/S243)</f>
        <v>NA</v>
      </c>
      <c r="W243" s="494" t="str">
        <f>IF(S243=0,"NA",SUMIFS(AN_TME23[[#All],[Claims: Professional, Primary Care (for Monitoring Purposes)]],AN_TME23[[#All],[Insurance Category Code]],7,AN_TME23[[#All],[Advanced Network/Insurance Carrier Org ID]],B243)/S243)</f>
        <v>NA</v>
      </c>
      <c r="X243" s="494" t="str">
        <f>IF(S243=0,"NA",SUMIFS(AN_TME23[[#All],[Claims: Professional, Specialty]],AN_TME23[[#All],[Insurance Category Code]],7,AN_TME23[[#All],[Advanced Network/Insurance Carrier Org ID]],B243)/S243)</f>
        <v>NA</v>
      </c>
      <c r="Y243" s="494" t="str">
        <f>IF(S243=0,"NA",SUMIFS(AN_TME23[[#All],[Claims: Professional Other]],AN_TME23[[#All],[Insurance Category Code]],7,AN_TME23[[#All],[Advanced Network/Insurance Carrier Org ID]],B243)/S243)</f>
        <v>NA</v>
      </c>
      <c r="Z243" s="494" t="str">
        <f>IF(S243=0,"NA",SUMIFS(AN_TME23[[#All],[Claims: Pharmacy]],AN_TME23[[#All],[Insurance Category Code]],7,AN_TME23[[#All],[Advanced Network/Insurance Carrier Org ID]],B243)/S243)</f>
        <v>NA</v>
      </c>
      <c r="AA243" s="494" t="str">
        <f>IF(S243=0,"NA",SUMIFS(AN_TME23[[#All],[Claims: Long-Term Care]],AN_TME23[[#All],[Insurance Category Code]],7,AN_TME23[[#All],[Advanced Network/Insurance Carrier Org ID]],B243)/S243)</f>
        <v>NA</v>
      </c>
      <c r="AB243" s="494" t="str">
        <f>IF(S243=0,"NA",SUMIFS(AN_TME23[[#All],[Claims: Other]],AN_TME23[[#All],[Insurance Category Code]],7,AN_TME23[[#All],[Advanced Network/Insurance Carrier Org ID]],B243)/S243)</f>
        <v>NA</v>
      </c>
      <c r="AC243" s="495" t="str">
        <f>IF(S243=0,"NA",SUMIFS(AN_TME23[[#All],[TOTAL Non-Truncated Unadjusted Claims Expenses]],AN_TME23[[#All],[Insurance Category Code]],7,AN_TME23[[#All],[Advanced Network/Insurance Carrier Org ID]],B243)/S243)</f>
        <v>NA</v>
      </c>
      <c r="AD243" s="495" t="str">
        <f>IF(S243=0,"NA",SUMIFS(AN_TME23[[#All],[TOTAL Truncated Unadjusted Claims Expenses (A21 -A19)]],AN_TME23[[#All],[Insurance Category Code]],7,AN_TME23[[#All],[Advanced Network/Insurance Carrier Org ID]],B243)/S243)</f>
        <v>NA</v>
      </c>
      <c r="AE243" s="495" t="str">
        <f>IF(S243=0,"NA",SUMIFS(AN_TME23[[#All],[TOTAL Non-Claims Expenses]],AN_TME23[[#All],[Insurance Category Code]],7,AN_TME23[[#All],[Advanced Network/Insurance Carrier Org ID]],B243)/S243)</f>
        <v>NA</v>
      </c>
      <c r="AF243" s="495" t="str">
        <f>IF(S243=0,"NA",SUMIFS(AN_TME23[[#All],[TOTAL Non-Truncated Unadjusted Expenses (A21 + A23)]],AN_TME23[[#All],[Insurance Category Code]],7,AN_TME23[[#All],[Advanced Network/Insurance Carrier Org ID]],B243)/S243)</f>
        <v>NA</v>
      </c>
      <c r="AG243" s="496" t="str">
        <f>IF(S243=0,"NA",SUMIFS(AN_TME23[[#All],[TOTAL Truncated Unadjusted Expenses (A22 + A23)]],AN_TME23[[#All],[Insurance Category Code]],7,AN_TME23[[#All],[Advanced Network/Insurance Carrier Org ID]],B243)/S243)</f>
        <v>NA</v>
      </c>
      <c r="AH243" s="478" t="str">
        <f t="shared" si="308"/>
        <v>NA</v>
      </c>
      <c r="AI243" s="479" t="str">
        <f t="shared" si="309"/>
        <v>NA</v>
      </c>
      <c r="AJ243" s="480" t="str">
        <f t="shared" si="310"/>
        <v>NA</v>
      </c>
      <c r="AK243" s="480" t="str">
        <f t="shared" si="311"/>
        <v>NA</v>
      </c>
      <c r="AL243" s="480" t="str">
        <f t="shared" si="312"/>
        <v>NA</v>
      </c>
      <c r="AM243" s="480" t="str">
        <f t="shared" si="313"/>
        <v>NA</v>
      </c>
      <c r="AN243" s="480" t="str">
        <f t="shared" si="314"/>
        <v>NA</v>
      </c>
      <c r="AO243" s="480" t="str">
        <f t="shared" si="315"/>
        <v>NA</v>
      </c>
      <c r="AP243" s="480" t="str">
        <f t="shared" si="316"/>
        <v>NA</v>
      </c>
      <c r="AQ243" s="480" t="str">
        <f t="shared" si="317"/>
        <v>NA</v>
      </c>
      <c r="AR243" s="481" t="str">
        <f t="shared" si="318"/>
        <v>NA</v>
      </c>
      <c r="AS243" s="481" t="str">
        <f t="shared" si="319"/>
        <v>NA</v>
      </c>
      <c r="AT243" s="481" t="str">
        <f t="shared" si="320"/>
        <v>NA</v>
      </c>
      <c r="AU243" s="481" t="str">
        <f t="shared" si="321"/>
        <v>NA</v>
      </c>
      <c r="AV243" s="482" t="str">
        <f t="shared" si="322"/>
        <v>NA</v>
      </c>
    </row>
    <row r="244" spans="1:48" ht="45" customHeight="1" x14ac:dyDescent="0.25">
      <c r="A244" s="164"/>
      <c r="B244" s="166">
        <v>109</v>
      </c>
      <c r="C244" s="169" t="str">
        <f>_xlfn.XLOOKUP(B244, LgProvEntOrgIDs[Advanced Network/Insurer Carrier Org ID], LgProvEntOrgIDs[Advanced Network/Insurance Carrier Overall])</f>
        <v>Southern New England Health Care Organization (aka SOHO Health, Trinity Health of New England ACO, LLC)</v>
      </c>
      <c r="D244" s="507">
        <f>SUMIFS(AN_TME22[[#All],[Member Months]],AN_TME22[[#All],[Insurance Category Code]],7,AN_TME22[[#All],[Advanced Network/Insurance Carrier Org ID]],B244)</f>
        <v>0</v>
      </c>
      <c r="E244" s="155" t="str">
        <f>IF(D244=0,"NA",SUMIFS(AN_TME22[[#All],[Claims: Hospital Inpatient]],AN_TME22[[#All],[Insurance Category Code]],7,AN_TME22[[#All],[Advanced Network/Insurance Carrier Org ID]],B244)/D244)</f>
        <v>NA</v>
      </c>
      <c r="F244" s="109" t="str">
        <f>IF(D244=0,"NA",SUMIFS(AN_TME22[[#All],[Claims: Hospital Outpatient]],AN_TME22[[#All],[Insurance Category Code]],7,AN_TME22[[#All],[Advanced Network/Insurance Carrier Org ID]],B244)/D244)</f>
        <v>NA</v>
      </c>
      <c r="G244" s="109" t="str">
        <f>IF(D244=0,"NA",SUMIFS(AN_TME22[[#All],[Claims: Professional, Primary Care]],AN_TME22[[#All],[Insurance Category Code]],7,AN_TME22[[#All],[Advanced Network/Insurance Carrier Org ID]],B244)/D244)</f>
        <v>NA</v>
      </c>
      <c r="H244" s="109" t="str">
        <f>IF(D244=0,"NA",SUMIFS(AN_TME22[[#All],[Claims: Professional, Primary Care (for Monitoring Purposes)]],AN_TME22[[#All],[Insurance Category Code]],7,AN_TME22[[#All],[Advanced Network/Insurance Carrier Org ID]],B244)/D244)</f>
        <v>NA</v>
      </c>
      <c r="I244" s="109" t="str">
        <f>IF(D244=0,"NA",SUMIFS(AN_TME22[[#All],[Claims: Professional, Specialty]],AN_TME22[[#All],[Insurance Category Code]],7,AN_TME22[[#All],[Advanced Network/Insurance Carrier Org ID]],B244)/D244)</f>
        <v>NA</v>
      </c>
      <c r="J244" s="109" t="str">
        <f>IF(D244=0,"NA",SUMIFS(AN_TME22[[#All],[Claims: Professional Other]],AN_TME22[[#All],[Insurance Category Code]],7,AN_TME22[[#All],[Advanced Network/Insurance Carrier Org ID]],B244)/D244)</f>
        <v>NA</v>
      </c>
      <c r="K244" s="109" t="str">
        <f>IF(D244=0,"NA",SUMIFS(AN_TME22[[#All],[Claims: Pharmacy]],AN_TME22[[#All],[Insurance Category Code]],7,AN_TME22[[#All],[Advanced Network/Insurance Carrier Org ID]],B244)/D244)</f>
        <v>NA</v>
      </c>
      <c r="L244" s="109" t="str">
        <f>IF(D244=0,"NA",SUMIFS(AN_TME22[[#All],[Claims: Long-Term Care]],AN_TME22[[#All],[Insurance Category Code]],7,AN_TME22[[#All],[Advanced Network/Insurance Carrier Org ID]],B244)/D244)</f>
        <v>NA</v>
      </c>
      <c r="M244" s="109" t="str">
        <f>IF(D244=0,"NA",SUMIFS(AN_TME22[[#All],[Claims: Other]],AN_TME22[[#All],[Insurance Category Code]],7,AN_TME22[[#All],[Advanced Network/Insurance Carrier Org ID]],B244)/D244)</f>
        <v>NA</v>
      </c>
      <c r="N244" s="165" t="str">
        <f>IF(D244=0,"NA",SUMIFS(AN_TME22[[#All],[TOTAL Non-Truncated Unadjusted Claims Expenses]],AN_TME22[[#All],[Insurance Category Code]],7,AN_TME22[[#All],[Advanced Network/Insurance Carrier Org ID]],B244)/D244)</f>
        <v>NA</v>
      </c>
      <c r="O244" s="165" t="str">
        <f>IF(D244=0,"NA",SUMIFS(AN_TME22[[#All],[TOTAL Truncated Unadjusted Claims Expenses (A21 -A19)]],AN_TME22[[#All],[Insurance Category Code]],7,AN_TME22[[#All],[Advanced Network/Insurance Carrier Org ID]],B244)/D244)</f>
        <v>NA</v>
      </c>
      <c r="P244" s="165" t="str">
        <f>IF(D244=0,"NA",SUMIFS(AN_TME22[[#All],[TOTAL Non-Claims Expenses]],AN_TME22[[#All],[Insurance Category Code]],7,AN_TME22[[#All],[Advanced Network/Insurance Carrier Org ID]],B244)/D244)</f>
        <v>NA</v>
      </c>
      <c r="Q244" s="165" t="str">
        <f>IF(D244=0,"NA",SUMIFS(AN_TME22[[#All],[TOTAL Non-Truncated Unadjusted Expenses (A21 + A23)]],AN_TME22[[#All],[Insurance Category Code]],7,AN_TME22[[#All],[Advanced Network/Insurance Carrier Org ID]],B244)/D244)</f>
        <v>NA</v>
      </c>
      <c r="R244" s="165" t="str">
        <f>IF(D244=0,"NA",SUMIFS(AN_TME22[[#All],[TOTAL Truncated Unadjusted Expenses (A22 + A23)]],AN_TME22[[#All],[Insurance Category Code]],7,AN_TME22[[#All],[Advanced Network/Insurance Carrier Org ID]],B244)/D244)</f>
        <v>NA</v>
      </c>
      <c r="S244" s="504">
        <f>SUMIFS(AN_TME23[[#All],[Member Months]],AN_TME23[[#All],[Insurance Category Code]],7,AN_TME23[[#All],[Advanced Network/Insurance Carrier Org ID]],B244)</f>
        <v>0</v>
      </c>
      <c r="T244" s="493" t="str">
        <f>IF(S244=0,"NA",SUMIFS(AN_TME23[[#All],[Claims: Hospital Inpatient]],AN_TME23[[#All],[Insurance Category Code]],7,AN_TME23[[#All],[Advanced Network/Insurance Carrier Org ID]],B244)/S244)</f>
        <v>NA</v>
      </c>
      <c r="U244" s="494" t="str">
        <f>IF(S244=0,"NA",SUMIFS(AN_TME23[[#All],[Claims: Hospital Outpatient]],AN_TME23[[#All],[Insurance Category Code]],7,AN_TME23[[#All],[Advanced Network/Insurance Carrier Org ID]],B244)/S244)</f>
        <v>NA</v>
      </c>
      <c r="V244" s="494" t="str">
        <f>IF(S244=0,"NA",SUMIFS(AN_TME23[[#All],[Claims: Professional, Primary Care]],AN_TME23[[#All],[Insurance Category Code]],7,AN_TME23[[#All],[Advanced Network/Insurance Carrier Org ID]],B244)/S244)</f>
        <v>NA</v>
      </c>
      <c r="W244" s="494" t="str">
        <f>IF(S244=0,"NA",SUMIFS(AN_TME23[[#All],[Claims: Professional, Primary Care (for Monitoring Purposes)]],AN_TME23[[#All],[Insurance Category Code]],7,AN_TME23[[#All],[Advanced Network/Insurance Carrier Org ID]],B244)/S244)</f>
        <v>NA</v>
      </c>
      <c r="X244" s="494" t="str">
        <f>IF(S244=0,"NA",SUMIFS(AN_TME23[[#All],[Claims: Professional, Specialty]],AN_TME23[[#All],[Insurance Category Code]],7,AN_TME23[[#All],[Advanced Network/Insurance Carrier Org ID]],B244)/S244)</f>
        <v>NA</v>
      </c>
      <c r="Y244" s="494" t="str">
        <f>IF(S244=0,"NA",SUMIFS(AN_TME23[[#All],[Claims: Professional Other]],AN_TME23[[#All],[Insurance Category Code]],7,AN_TME23[[#All],[Advanced Network/Insurance Carrier Org ID]],B244)/S244)</f>
        <v>NA</v>
      </c>
      <c r="Z244" s="494" t="str">
        <f>IF(S244=0,"NA",SUMIFS(AN_TME23[[#All],[Claims: Pharmacy]],AN_TME23[[#All],[Insurance Category Code]],7,AN_TME23[[#All],[Advanced Network/Insurance Carrier Org ID]],B244)/S244)</f>
        <v>NA</v>
      </c>
      <c r="AA244" s="494" t="str">
        <f>IF(S244=0,"NA",SUMIFS(AN_TME23[[#All],[Claims: Long-Term Care]],AN_TME23[[#All],[Insurance Category Code]],7,AN_TME23[[#All],[Advanced Network/Insurance Carrier Org ID]],B244)/S244)</f>
        <v>NA</v>
      </c>
      <c r="AB244" s="494" t="str">
        <f>IF(S244=0,"NA",SUMIFS(AN_TME23[[#All],[Claims: Other]],AN_TME23[[#All],[Insurance Category Code]],7,AN_TME23[[#All],[Advanced Network/Insurance Carrier Org ID]],B244)/S244)</f>
        <v>NA</v>
      </c>
      <c r="AC244" s="495" t="str">
        <f>IF(S244=0,"NA",SUMIFS(AN_TME23[[#All],[TOTAL Non-Truncated Unadjusted Claims Expenses]],AN_TME23[[#All],[Insurance Category Code]],7,AN_TME23[[#All],[Advanced Network/Insurance Carrier Org ID]],B244)/S244)</f>
        <v>NA</v>
      </c>
      <c r="AD244" s="495" t="str">
        <f>IF(S244=0,"NA",SUMIFS(AN_TME23[[#All],[TOTAL Truncated Unadjusted Claims Expenses (A21 -A19)]],AN_TME23[[#All],[Insurance Category Code]],7,AN_TME23[[#All],[Advanced Network/Insurance Carrier Org ID]],B244)/S244)</f>
        <v>NA</v>
      </c>
      <c r="AE244" s="495" t="str">
        <f>IF(S244=0,"NA",SUMIFS(AN_TME23[[#All],[TOTAL Non-Claims Expenses]],AN_TME23[[#All],[Insurance Category Code]],7,AN_TME23[[#All],[Advanced Network/Insurance Carrier Org ID]],B244)/S244)</f>
        <v>NA</v>
      </c>
      <c r="AF244" s="495" t="str">
        <f>IF(S244=0,"NA",SUMIFS(AN_TME23[[#All],[TOTAL Non-Truncated Unadjusted Expenses (A21 + A23)]],AN_TME23[[#All],[Insurance Category Code]],7,AN_TME23[[#All],[Advanced Network/Insurance Carrier Org ID]],B244)/S244)</f>
        <v>NA</v>
      </c>
      <c r="AG244" s="496" t="str">
        <f>IF(S244=0,"NA",SUMIFS(AN_TME23[[#All],[TOTAL Truncated Unadjusted Expenses (A22 + A23)]],AN_TME23[[#All],[Insurance Category Code]],7,AN_TME23[[#All],[Advanced Network/Insurance Carrier Org ID]],B244)/S244)</f>
        <v>NA</v>
      </c>
      <c r="AH244" s="478" t="str">
        <f t="shared" si="308"/>
        <v>NA</v>
      </c>
      <c r="AI244" s="479" t="str">
        <f t="shared" si="309"/>
        <v>NA</v>
      </c>
      <c r="AJ244" s="480" t="str">
        <f t="shared" si="310"/>
        <v>NA</v>
      </c>
      <c r="AK244" s="480" t="str">
        <f t="shared" si="311"/>
        <v>NA</v>
      </c>
      <c r="AL244" s="480" t="str">
        <f t="shared" si="312"/>
        <v>NA</v>
      </c>
      <c r="AM244" s="480" t="str">
        <f t="shared" si="313"/>
        <v>NA</v>
      </c>
      <c r="AN244" s="480" t="str">
        <f t="shared" si="314"/>
        <v>NA</v>
      </c>
      <c r="AO244" s="480" t="str">
        <f t="shared" si="315"/>
        <v>NA</v>
      </c>
      <c r="AP244" s="480" t="str">
        <f t="shared" si="316"/>
        <v>NA</v>
      </c>
      <c r="AQ244" s="480" t="str">
        <f t="shared" si="317"/>
        <v>NA</v>
      </c>
      <c r="AR244" s="481" t="str">
        <f t="shared" si="318"/>
        <v>NA</v>
      </c>
      <c r="AS244" s="481" t="str">
        <f t="shared" si="319"/>
        <v>NA</v>
      </c>
      <c r="AT244" s="481" t="str">
        <f t="shared" si="320"/>
        <v>NA</v>
      </c>
      <c r="AU244" s="481" t="str">
        <f t="shared" si="321"/>
        <v>NA</v>
      </c>
      <c r="AV244" s="482" t="str">
        <f t="shared" si="322"/>
        <v>NA</v>
      </c>
    </row>
    <row r="245" spans="1:48" ht="15" customHeight="1" x14ac:dyDescent="0.25">
      <c r="A245" s="164"/>
      <c r="B245" s="166">
        <v>110</v>
      </c>
      <c r="C245" s="169" t="str">
        <f>_xlfn.XLOOKUP(B245, LgProvEntOrgIDs[Advanced Network/Insurer Carrier Org ID], LgProvEntOrgIDs[Advanced Network/Insurance Carrier Overall])</f>
        <v>Value Care Alliance</v>
      </c>
      <c r="D245" s="507">
        <f>SUMIFS(AN_TME22[[#All],[Member Months]],AN_TME22[[#All],[Insurance Category Code]],7,AN_TME22[[#All],[Advanced Network/Insurance Carrier Org ID]],B245)</f>
        <v>0</v>
      </c>
      <c r="E245" s="155" t="str">
        <f>IF(D245=0,"NA",SUMIFS(AN_TME22[[#All],[Claims: Hospital Inpatient]],AN_TME22[[#All],[Insurance Category Code]],7,AN_TME22[[#All],[Advanced Network/Insurance Carrier Org ID]],B245)/D245)</f>
        <v>NA</v>
      </c>
      <c r="F245" s="109" t="str">
        <f>IF(D245=0,"NA",SUMIFS(AN_TME22[[#All],[Claims: Hospital Outpatient]],AN_TME22[[#All],[Insurance Category Code]],7,AN_TME22[[#All],[Advanced Network/Insurance Carrier Org ID]],B245)/D245)</f>
        <v>NA</v>
      </c>
      <c r="G245" s="109" t="str">
        <f>IF(D245=0,"NA",SUMIFS(AN_TME22[[#All],[Claims: Professional, Primary Care]],AN_TME22[[#All],[Insurance Category Code]],7,AN_TME22[[#All],[Advanced Network/Insurance Carrier Org ID]],B245)/D245)</f>
        <v>NA</v>
      </c>
      <c r="H245" s="109" t="str">
        <f>IF(D245=0,"NA",SUMIFS(AN_TME22[[#All],[Claims: Professional, Primary Care (for Monitoring Purposes)]],AN_TME22[[#All],[Insurance Category Code]],7,AN_TME22[[#All],[Advanced Network/Insurance Carrier Org ID]],B245)/D245)</f>
        <v>NA</v>
      </c>
      <c r="I245" s="109" t="str">
        <f>IF(D245=0,"NA",SUMIFS(AN_TME22[[#All],[Claims: Professional, Specialty]],AN_TME22[[#All],[Insurance Category Code]],7,AN_TME22[[#All],[Advanced Network/Insurance Carrier Org ID]],B245)/D245)</f>
        <v>NA</v>
      </c>
      <c r="J245" s="109" t="str">
        <f>IF(D245=0,"NA",SUMIFS(AN_TME22[[#All],[Claims: Professional Other]],AN_TME22[[#All],[Insurance Category Code]],7,AN_TME22[[#All],[Advanced Network/Insurance Carrier Org ID]],B245)/D245)</f>
        <v>NA</v>
      </c>
      <c r="K245" s="109" t="str">
        <f>IF(D245=0,"NA",SUMIFS(AN_TME22[[#All],[Claims: Pharmacy]],AN_TME22[[#All],[Insurance Category Code]],7,AN_TME22[[#All],[Advanced Network/Insurance Carrier Org ID]],B245)/D245)</f>
        <v>NA</v>
      </c>
      <c r="L245" s="109" t="str">
        <f>IF(D245=0,"NA",SUMIFS(AN_TME22[[#All],[Claims: Long-Term Care]],AN_TME22[[#All],[Insurance Category Code]],7,AN_TME22[[#All],[Advanced Network/Insurance Carrier Org ID]],B245)/D245)</f>
        <v>NA</v>
      </c>
      <c r="M245" s="109" t="str">
        <f>IF(D245=0,"NA",SUMIFS(AN_TME22[[#All],[Claims: Other]],AN_TME22[[#All],[Insurance Category Code]],7,AN_TME22[[#All],[Advanced Network/Insurance Carrier Org ID]],B245)/D245)</f>
        <v>NA</v>
      </c>
      <c r="N245" s="165" t="str">
        <f>IF(D245=0,"NA",SUMIFS(AN_TME22[[#All],[TOTAL Non-Truncated Unadjusted Claims Expenses]],AN_TME22[[#All],[Insurance Category Code]],7,AN_TME22[[#All],[Advanced Network/Insurance Carrier Org ID]],B245)/D245)</f>
        <v>NA</v>
      </c>
      <c r="O245" s="165" t="str">
        <f>IF(D245=0,"NA",SUMIFS(AN_TME22[[#All],[TOTAL Truncated Unadjusted Claims Expenses (A21 -A19)]],AN_TME22[[#All],[Insurance Category Code]],7,AN_TME22[[#All],[Advanced Network/Insurance Carrier Org ID]],B245)/D245)</f>
        <v>NA</v>
      </c>
      <c r="P245" s="165" t="str">
        <f>IF(D245=0,"NA",SUMIFS(AN_TME22[[#All],[TOTAL Non-Claims Expenses]],AN_TME22[[#All],[Insurance Category Code]],7,AN_TME22[[#All],[Advanced Network/Insurance Carrier Org ID]],B245)/D245)</f>
        <v>NA</v>
      </c>
      <c r="Q245" s="165" t="str">
        <f>IF(D245=0,"NA",SUMIFS(AN_TME22[[#All],[TOTAL Non-Truncated Unadjusted Expenses (A21 + A23)]],AN_TME22[[#All],[Insurance Category Code]],7,AN_TME22[[#All],[Advanced Network/Insurance Carrier Org ID]],B245)/D245)</f>
        <v>NA</v>
      </c>
      <c r="R245" s="165" t="str">
        <f>IF(D245=0,"NA",SUMIFS(AN_TME22[[#All],[TOTAL Truncated Unadjusted Expenses (A22 + A23)]],AN_TME22[[#All],[Insurance Category Code]],7,AN_TME22[[#All],[Advanced Network/Insurance Carrier Org ID]],B245)/D245)</f>
        <v>NA</v>
      </c>
      <c r="S245" s="504">
        <f>SUMIFS(AN_TME23[[#All],[Member Months]],AN_TME23[[#All],[Insurance Category Code]],7,AN_TME23[[#All],[Advanced Network/Insurance Carrier Org ID]],B245)</f>
        <v>0</v>
      </c>
      <c r="T245" s="493" t="str">
        <f>IF(S245=0,"NA",SUMIFS(AN_TME23[[#All],[Claims: Hospital Inpatient]],AN_TME23[[#All],[Insurance Category Code]],7,AN_TME23[[#All],[Advanced Network/Insurance Carrier Org ID]],B245)/S245)</f>
        <v>NA</v>
      </c>
      <c r="U245" s="494" t="str">
        <f>IF(S245=0,"NA",SUMIFS(AN_TME23[[#All],[Claims: Hospital Outpatient]],AN_TME23[[#All],[Insurance Category Code]],7,AN_TME23[[#All],[Advanced Network/Insurance Carrier Org ID]],B245)/S245)</f>
        <v>NA</v>
      </c>
      <c r="V245" s="494" t="str">
        <f>IF(S245=0,"NA",SUMIFS(AN_TME23[[#All],[Claims: Professional, Primary Care]],AN_TME23[[#All],[Insurance Category Code]],7,AN_TME23[[#All],[Advanced Network/Insurance Carrier Org ID]],B245)/S245)</f>
        <v>NA</v>
      </c>
      <c r="W245" s="494" t="str">
        <f>IF(S245=0,"NA",SUMIFS(AN_TME23[[#All],[Claims: Professional, Primary Care (for Monitoring Purposes)]],AN_TME23[[#All],[Insurance Category Code]],7,AN_TME23[[#All],[Advanced Network/Insurance Carrier Org ID]],B245)/S245)</f>
        <v>NA</v>
      </c>
      <c r="X245" s="494" t="str">
        <f>IF(S245=0,"NA",SUMIFS(AN_TME23[[#All],[Claims: Professional, Specialty]],AN_TME23[[#All],[Insurance Category Code]],7,AN_TME23[[#All],[Advanced Network/Insurance Carrier Org ID]],B245)/S245)</f>
        <v>NA</v>
      </c>
      <c r="Y245" s="494" t="str">
        <f>IF(S245=0,"NA",SUMIFS(AN_TME23[[#All],[Claims: Professional Other]],AN_TME23[[#All],[Insurance Category Code]],7,AN_TME23[[#All],[Advanced Network/Insurance Carrier Org ID]],B245)/S245)</f>
        <v>NA</v>
      </c>
      <c r="Z245" s="494" t="str">
        <f>IF(S245=0,"NA",SUMIFS(AN_TME23[[#All],[Claims: Pharmacy]],AN_TME23[[#All],[Insurance Category Code]],7,AN_TME23[[#All],[Advanced Network/Insurance Carrier Org ID]],B245)/S245)</f>
        <v>NA</v>
      </c>
      <c r="AA245" s="494" t="str">
        <f>IF(S245=0,"NA",SUMIFS(AN_TME23[[#All],[Claims: Long-Term Care]],AN_TME23[[#All],[Insurance Category Code]],7,AN_TME23[[#All],[Advanced Network/Insurance Carrier Org ID]],B245)/S245)</f>
        <v>NA</v>
      </c>
      <c r="AB245" s="494" t="str">
        <f>IF(S245=0,"NA",SUMIFS(AN_TME23[[#All],[Claims: Other]],AN_TME23[[#All],[Insurance Category Code]],7,AN_TME23[[#All],[Advanced Network/Insurance Carrier Org ID]],B245)/S245)</f>
        <v>NA</v>
      </c>
      <c r="AC245" s="495" t="str">
        <f>IF(S245=0,"NA",SUMIFS(AN_TME23[[#All],[TOTAL Non-Truncated Unadjusted Claims Expenses]],AN_TME23[[#All],[Insurance Category Code]],7,AN_TME23[[#All],[Advanced Network/Insurance Carrier Org ID]],B245)/S245)</f>
        <v>NA</v>
      </c>
      <c r="AD245" s="495" t="str">
        <f>IF(S245=0,"NA",SUMIFS(AN_TME23[[#All],[TOTAL Truncated Unadjusted Claims Expenses (A21 -A19)]],AN_TME23[[#All],[Insurance Category Code]],7,AN_TME23[[#All],[Advanced Network/Insurance Carrier Org ID]],B245)/S245)</f>
        <v>NA</v>
      </c>
      <c r="AE245" s="495" t="str">
        <f>IF(S245=0,"NA",SUMIFS(AN_TME23[[#All],[TOTAL Non-Claims Expenses]],AN_TME23[[#All],[Insurance Category Code]],7,AN_TME23[[#All],[Advanced Network/Insurance Carrier Org ID]],B245)/S245)</f>
        <v>NA</v>
      </c>
      <c r="AF245" s="495" t="str">
        <f>IF(S245=0,"NA",SUMIFS(AN_TME23[[#All],[TOTAL Non-Truncated Unadjusted Expenses (A21 + A23)]],AN_TME23[[#All],[Insurance Category Code]],7,AN_TME23[[#All],[Advanced Network/Insurance Carrier Org ID]],B245)/S245)</f>
        <v>NA</v>
      </c>
      <c r="AG245" s="496" t="str">
        <f>IF(S245=0,"NA",SUMIFS(AN_TME23[[#All],[TOTAL Truncated Unadjusted Expenses (A22 + A23)]],AN_TME23[[#All],[Insurance Category Code]],7,AN_TME23[[#All],[Advanced Network/Insurance Carrier Org ID]],B245)/S245)</f>
        <v>NA</v>
      </c>
      <c r="AH245" s="478" t="str">
        <f t="shared" si="308"/>
        <v>NA</v>
      </c>
      <c r="AI245" s="479" t="str">
        <f t="shared" si="309"/>
        <v>NA</v>
      </c>
      <c r="AJ245" s="480" t="str">
        <f t="shared" si="310"/>
        <v>NA</v>
      </c>
      <c r="AK245" s="480" t="str">
        <f t="shared" si="311"/>
        <v>NA</v>
      </c>
      <c r="AL245" s="480" t="str">
        <f t="shared" si="312"/>
        <v>NA</v>
      </c>
      <c r="AM245" s="480" t="str">
        <f t="shared" si="313"/>
        <v>NA</v>
      </c>
      <c r="AN245" s="480" t="str">
        <f t="shared" si="314"/>
        <v>NA</v>
      </c>
      <c r="AO245" s="480" t="str">
        <f t="shared" si="315"/>
        <v>NA</v>
      </c>
      <c r="AP245" s="480" t="str">
        <f t="shared" si="316"/>
        <v>NA</v>
      </c>
      <c r="AQ245" s="480" t="str">
        <f t="shared" si="317"/>
        <v>NA</v>
      </c>
      <c r="AR245" s="481" t="str">
        <f t="shared" si="318"/>
        <v>NA</v>
      </c>
      <c r="AS245" s="481" t="str">
        <f t="shared" si="319"/>
        <v>NA</v>
      </c>
      <c r="AT245" s="481" t="str">
        <f t="shared" si="320"/>
        <v>NA</v>
      </c>
      <c r="AU245" s="481" t="str">
        <f t="shared" si="321"/>
        <v>NA</v>
      </c>
      <c r="AV245" s="482" t="str">
        <f t="shared" si="322"/>
        <v>NA</v>
      </c>
    </row>
    <row r="246" spans="1:48" ht="15" customHeight="1" x14ac:dyDescent="0.25">
      <c r="A246" s="164"/>
      <c r="B246" s="166">
        <v>111</v>
      </c>
      <c r="C246" s="169" t="str">
        <f>_xlfn.XLOOKUP(B246, LgProvEntOrgIDs[Advanced Network/Insurer Carrier Org ID], LgProvEntOrgIDs[Advanced Network/Insurance Carrier Overall])</f>
        <v>NA</v>
      </c>
      <c r="D246" s="507">
        <f>SUMIFS(AN_TME22[[#All],[Member Months]],AN_TME22[[#All],[Insurance Category Code]],7,AN_TME22[[#All],[Advanced Network/Insurance Carrier Org ID]],B246)</f>
        <v>0</v>
      </c>
      <c r="E246" s="155" t="str">
        <f>IF(D246=0,"NA",SUMIFS(AN_TME22[[#All],[Claims: Hospital Inpatient]],AN_TME22[[#All],[Insurance Category Code]],7,AN_TME22[[#All],[Advanced Network/Insurance Carrier Org ID]],B246)/D246)</f>
        <v>NA</v>
      </c>
      <c r="F246" s="109" t="str">
        <f>IF(D246=0,"NA",SUMIFS(AN_TME22[[#All],[Claims: Hospital Outpatient]],AN_TME22[[#All],[Insurance Category Code]],7,AN_TME22[[#All],[Advanced Network/Insurance Carrier Org ID]],B246)/D246)</f>
        <v>NA</v>
      </c>
      <c r="G246" s="109" t="str">
        <f>IF(D246=0,"NA",SUMIFS(AN_TME22[[#All],[Claims: Professional, Primary Care]],AN_TME22[[#All],[Insurance Category Code]],7,AN_TME22[[#All],[Advanced Network/Insurance Carrier Org ID]],B246)/D246)</f>
        <v>NA</v>
      </c>
      <c r="H246" s="109" t="str">
        <f>IF(D246=0,"NA",SUMIFS(AN_TME22[[#All],[Claims: Professional, Primary Care (for Monitoring Purposes)]],AN_TME22[[#All],[Insurance Category Code]],7,AN_TME22[[#All],[Advanced Network/Insurance Carrier Org ID]],B246)/D246)</f>
        <v>NA</v>
      </c>
      <c r="I246" s="109" t="str">
        <f>IF(D246=0,"NA",SUMIFS(AN_TME22[[#All],[Claims: Professional, Specialty]],AN_TME22[[#All],[Insurance Category Code]],7,AN_TME22[[#All],[Advanced Network/Insurance Carrier Org ID]],B246)/D246)</f>
        <v>NA</v>
      </c>
      <c r="J246" s="109" t="str">
        <f>IF(D246=0,"NA",SUMIFS(AN_TME22[[#All],[Claims: Professional Other]],AN_TME22[[#All],[Insurance Category Code]],7,AN_TME22[[#All],[Advanced Network/Insurance Carrier Org ID]],B246)/D246)</f>
        <v>NA</v>
      </c>
      <c r="K246" s="109" t="str">
        <f>IF(D246=0,"NA",SUMIFS(AN_TME22[[#All],[Claims: Pharmacy]],AN_TME22[[#All],[Insurance Category Code]],7,AN_TME22[[#All],[Advanced Network/Insurance Carrier Org ID]],B246)/D246)</f>
        <v>NA</v>
      </c>
      <c r="L246" s="109" t="str">
        <f>IF(D246=0,"NA",SUMIFS(AN_TME22[[#All],[Claims: Long-Term Care]],AN_TME22[[#All],[Insurance Category Code]],7,AN_TME22[[#All],[Advanced Network/Insurance Carrier Org ID]],B246)/D246)</f>
        <v>NA</v>
      </c>
      <c r="M246" s="109" t="str">
        <f>IF(D246=0,"NA",SUMIFS(AN_TME22[[#All],[Claims: Other]],AN_TME22[[#All],[Insurance Category Code]],7,AN_TME22[[#All],[Advanced Network/Insurance Carrier Org ID]],B246)/D246)</f>
        <v>NA</v>
      </c>
      <c r="N246" s="165" t="str">
        <f>IF(D246=0,"NA",SUMIFS(AN_TME22[[#All],[TOTAL Non-Truncated Unadjusted Claims Expenses]],AN_TME22[[#All],[Insurance Category Code]],7,AN_TME22[[#All],[Advanced Network/Insurance Carrier Org ID]],B246)/D246)</f>
        <v>NA</v>
      </c>
      <c r="O246" s="165" t="str">
        <f>IF(D246=0,"NA",SUMIFS(AN_TME22[[#All],[TOTAL Truncated Unadjusted Claims Expenses (A21 -A19)]],AN_TME22[[#All],[Insurance Category Code]],7,AN_TME22[[#All],[Advanced Network/Insurance Carrier Org ID]],B246)/D246)</f>
        <v>NA</v>
      </c>
      <c r="P246" s="165" t="str">
        <f>IF(D246=0,"NA",SUMIFS(AN_TME22[[#All],[TOTAL Non-Claims Expenses]],AN_TME22[[#All],[Insurance Category Code]],7,AN_TME22[[#All],[Advanced Network/Insurance Carrier Org ID]],B246)/D246)</f>
        <v>NA</v>
      </c>
      <c r="Q246" s="165" t="str">
        <f>IF(D246=0,"NA",SUMIFS(AN_TME22[[#All],[TOTAL Non-Truncated Unadjusted Expenses (A21 + A23)]],AN_TME22[[#All],[Insurance Category Code]],7,AN_TME22[[#All],[Advanced Network/Insurance Carrier Org ID]],B246)/D246)</f>
        <v>NA</v>
      </c>
      <c r="R246" s="165" t="str">
        <f>IF(D246=0,"NA",SUMIFS(AN_TME22[[#All],[TOTAL Truncated Unadjusted Expenses (A22 + A23)]],AN_TME22[[#All],[Insurance Category Code]],7,AN_TME22[[#All],[Advanced Network/Insurance Carrier Org ID]],B246)/D246)</f>
        <v>NA</v>
      </c>
      <c r="S246" s="504">
        <f>SUMIFS(AN_TME23[[#All],[Member Months]],AN_TME23[[#All],[Insurance Category Code]],7,AN_TME23[[#All],[Advanced Network/Insurance Carrier Org ID]],B246)</f>
        <v>0</v>
      </c>
      <c r="T246" s="493" t="str">
        <f>IF(S246=0,"NA",SUMIFS(AN_TME23[[#All],[Claims: Hospital Inpatient]],AN_TME23[[#All],[Insurance Category Code]],7,AN_TME23[[#All],[Advanced Network/Insurance Carrier Org ID]],B246)/S246)</f>
        <v>NA</v>
      </c>
      <c r="U246" s="494" t="str">
        <f>IF(S246=0,"NA",SUMIFS(AN_TME23[[#All],[Claims: Hospital Outpatient]],AN_TME23[[#All],[Insurance Category Code]],7,AN_TME23[[#All],[Advanced Network/Insurance Carrier Org ID]],B246)/S246)</f>
        <v>NA</v>
      </c>
      <c r="V246" s="494" t="str">
        <f>IF(S246=0,"NA",SUMIFS(AN_TME23[[#All],[Claims: Professional, Primary Care]],AN_TME23[[#All],[Insurance Category Code]],7,AN_TME23[[#All],[Advanced Network/Insurance Carrier Org ID]],B246)/S246)</f>
        <v>NA</v>
      </c>
      <c r="W246" s="494" t="str">
        <f>IF(S246=0,"NA",SUMIFS(AN_TME23[[#All],[Claims: Professional, Primary Care (for Monitoring Purposes)]],AN_TME23[[#All],[Insurance Category Code]],7,AN_TME23[[#All],[Advanced Network/Insurance Carrier Org ID]],B246)/S246)</f>
        <v>NA</v>
      </c>
      <c r="X246" s="494" t="str">
        <f>IF(S246=0,"NA",SUMIFS(AN_TME23[[#All],[Claims: Professional, Specialty]],AN_TME23[[#All],[Insurance Category Code]],7,AN_TME23[[#All],[Advanced Network/Insurance Carrier Org ID]],B246)/S246)</f>
        <v>NA</v>
      </c>
      <c r="Y246" s="494" t="str">
        <f>IF(S246=0,"NA",SUMIFS(AN_TME23[[#All],[Claims: Professional Other]],AN_TME23[[#All],[Insurance Category Code]],7,AN_TME23[[#All],[Advanced Network/Insurance Carrier Org ID]],B246)/S246)</f>
        <v>NA</v>
      </c>
      <c r="Z246" s="494" t="str">
        <f>IF(S246=0,"NA",SUMIFS(AN_TME23[[#All],[Claims: Pharmacy]],AN_TME23[[#All],[Insurance Category Code]],7,AN_TME23[[#All],[Advanced Network/Insurance Carrier Org ID]],B246)/S246)</f>
        <v>NA</v>
      </c>
      <c r="AA246" s="494" t="str">
        <f>IF(S246=0,"NA",SUMIFS(AN_TME23[[#All],[Claims: Long-Term Care]],AN_TME23[[#All],[Insurance Category Code]],7,AN_TME23[[#All],[Advanced Network/Insurance Carrier Org ID]],B246)/S246)</f>
        <v>NA</v>
      </c>
      <c r="AB246" s="494" t="str">
        <f>IF(S246=0,"NA",SUMIFS(AN_TME23[[#All],[Claims: Other]],AN_TME23[[#All],[Insurance Category Code]],7,AN_TME23[[#All],[Advanced Network/Insurance Carrier Org ID]],B246)/S246)</f>
        <v>NA</v>
      </c>
      <c r="AC246" s="495" t="str">
        <f>IF(S246=0,"NA",SUMIFS(AN_TME23[[#All],[TOTAL Non-Truncated Unadjusted Claims Expenses]],AN_TME23[[#All],[Insurance Category Code]],7,AN_TME23[[#All],[Advanced Network/Insurance Carrier Org ID]],B246)/S246)</f>
        <v>NA</v>
      </c>
      <c r="AD246" s="495" t="str">
        <f>IF(S246=0,"NA",SUMIFS(AN_TME23[[#All],[TOTAL Truncated Unadjusted Claims Expenses (A21 -A19)]],AN_TME23[[#All],[Insurance Category Code]],7,AN_TME23[[#All],[Advanced Network/Insurance Carrier Org ID]],B246)/S246)</f>
        <v>NA</v>
      </c>
      <c r="AE246" s="495" t="str">
        <f>IF(S246=0,"NA",SUMIFS(AN_TME23[[#All],[TOTAL Non-Claims Expenses]],AN_TME23[[#All],[Insurance Category Code]],7,AN_TME23[[#All],[Advanced Network/Insurance Carrier Org ID]],B246)/S246)</f>
        <v>NA</v>
      </c>
      <c r="AF246" s="495" t="str">
        <f>IF(S246=0,"NA",SUMIFS(AN_TME23[[#All],[TOTAL Non-Truncated Unadjusted Expenses (A21 + A23)]],AN_TME23[[#All],[Insurance Category Code]],7,AN_TME23[[#All],[Advanced Network/Insurance Carrier Org ID]],B246)/S246)</f>
        <v>NA</v>
      </c>
      <c r="AG246" s="496" t="str">
        <f>IF(S246=0,"NA",SUMIFS(AN_TME23[[#All],[TOTAL Truncated Unadjusted Expenses (A22 + A23)]],AN_TME23[[#All],[Insurance Category Code]],7,AN_TME23[[#All],[Advanced Network/Insurance Carrier Org ID]],B246)/S246)</f>
        <v>NA</v>
      </c>
      <c r="AH246" s="478" t="str">
        <f>IF(D246=0,"NA",S246/D246-1)</f>
        <v>NA</v>
      </c>
      <c r="AI246" s="479" t="str">
        <f>IF(D246=0,"NA",T246/E246-1)</f>
        <v>NA</v>
      </c>
      <c r="AJ246" s="480" t="str">
        <f>IF(D246=0,"NA",U246/F246-1)</f>
        <v>NA</v>
      </c>
      <c r="AK246" s="480" t="str">
        <f>IF(D246=0,"NA",V246/G246-1)</f>
        <v>NA</v>
      </c>
      <c r="AL246" s="480" t="str">
        <f>IF(D246=0,"NA",W246/H246-1)</f>
        <v>NA</v>
      </c>
      <c r="AM246" s="480" t="str">
        <f>IF(D246=0,"NA",X246/I246-1)</f>
        <v>NA</v>
      </c>
      <c r="AN246" s="480" t="str">
        <f>IF(D246=0,"NA",Y246/J246-1)</f>
        <v>NA</v>
      </c>
      <c r="AO246" s="480" t="str">
        <f>IF(D246=0,"NA",Z246/K246-1)</f>
        <v>NA</v>
      </c>
      <c r="AP246" s="480" t="str">
        <f>IF(D246=0,"NA",AA246/L246-1)</f>
        <v>NA</v>
      </c>
      <c r="AQ246" s="480" t="str">
        <f>IF(D246=0,"NA",AB246/M246-1)</f>
        <v>NA</v>
      </c>
      <c r="AR246" s="481" t="str">
        <f>IF(D246=0,"NA",AC246/N246-1)</f>
        <v>NA</v>
      </c>
      <c r="AS246" s="481" t="str">
        <f>IF(D246=0,"NA",AD246/O246-1)</f>
        <v>NA</v>
      </c>
      <c r="AT246" s="481" t="str">
        <f>IF(D246=0,"NA",AE246/P246-1)</f>
        <v>NA</v>
      </c>
      <c r="AU246" s="481" t="str">
        <f>IF(D246=0,"NA",AF246/Q246-1)</f>
        <v>NA</v>
      </c>
      <c r="AV246" s="482" t="str">
        <f>IF(D246=0,"NA",AG246/R246-1)</f>
        <v>NA</v>
      </c>
    </row>
    <row r="247" spans="1:48" ht="15" customHeight="1" x14ac:dyDescent="0.25">
      <c r="A247" s="164"/>
      <c r="B247" s="166">
        <v>112</v>
      </c>
      <c r="C247" s="169" t="str">
        <f>_xlfn.XLOOKUP(B247, LgProvEntOrgIDs[Advanced Network/Insurer Carrier Org ID], LgProvEntOrgIDs[Advanced Network/Insurance Carrier Overall])</f>
        <v>Charter Oak Health Center</v>
      </c>
      <c r="D247" s="507">
        <f>SUMIFS(AN_TME22[[#All],[Member Months]],AN_TME22[[#All],[Insurance Category Code]],7,AN_TME22[[#All],[Advanced Network/Insurance Carrier Org ID]],B247)</f>
        <v>0</v>
      </c>
      <c r="E247" s="155" t="str">
        <f>IF(D247=0,"NA",SUMIFS(AN_TME22[[#All],[Claims: Hospital Inpatient]],AN_TME22[[#All],[Insurance Category Code]],7,AN_TME22[[#All],[Advanced Network/Insurance Carrier Org ID]],B247)/D247)</f>
        <v>NA</v>
      </c>
      <c r="F247" s="109" t="str">
        <f>IF(D247=0,"NA",SUMIFS(AN_TME22[[#All],[Claims: Hospital Outpatient]],AN_TME22[[#All],[Insurance Category Code]],7,AN_TME22[[#All],[Advanced Network/Insurance Carrier Org ID]],B247)/D247)</f>
        <v>NA</v>
      </c>
      <c r="G247" s="109" t="str">
        <f>IF(D247=0,"NA",SUMIFS(AN_TME22[[#All],[Claims: Professional, Primary Care]],AN_TME22[[#All],[Insurance Category Code]],7,AN_TME22[[#All],[Advanced Network/Insurance Carrier Org ID]],B247)/D247)</f>
        <v>NA</v>
      </c>
      <c r="H247" s="109" t="str">
        <f>IF(D247=0,"NA",SUMIFS(AN_TME22[[#All],[Claims: Professional, Primary Care (for Monitoring Purposes)]],AN_TME22[[#All],[Insurance Category Code]],7,AN_TME22[[#All],[Advanced Network/Insurance Carrier Org ID]],B247)/D247)</f>
        <v>NA</v>
      </c>
      <c r="I247" s="109" t="str">
        <f>IF(D247=0,"NA",SUMIFS(AN_TME22[[#All],[Claims: Professional, Specialty]],AN_TME22[[#All],[Insurance Category Code]],7,AN_TME22[[#All],[Advanced Network/Insurance Carrier Org ID]],B247)/D247)</f>
        <v>NA</v>
      </c>
      <c r="J247" s="109" t="str">
        <f>IF(D247=0,"NA",SUMIFS(AN_TME22[[#All],[Claims: Professional Other]],AN_TME22[[#All],[Insurance Category Code]],7,AN_TME22[[#All],[Advanced Network/Insurance Carrier Org ID]],B247)/D247)</f>
        <v>NA</v>
      </c>
      <c r="K247" s="109" t="str">
        <f>IF(D247=0,"NA",SUMIFS(AN_TME22[[#All],[Claims: Pharmacy]],AN_TME22[[#All],[Insurance Category Code]],7,AN_TME22[[#All],[Advanced Network/Insurance Carrier Org ID]],B247)/D247)</f>
        <v>NA</v>
      </c>
      <c r="L247" s="109" t="str">
        <f>IF(D247=0,"NA",SUMIFS(AN_TME22[[#All],[Claims: Long-Term Care]],AN_TME22[[#All],[Insurance Category Code]],7,AN_TME22[[#All],[Advanced Network/Insurance Carrier Org ID]],B247)/D247)</f>
        <v>NA</v>
      </c>
      <c r="M247" s="109" t="str">
        <f>IF(D247=0,"NA",SUMIFS(AN_TME22[[#All],[Claims: Other]],AN_TME22[[#All],[Insurance Category Code]],7,AN_TME22[[#All],[Advanced Network/Insurance Carrier Org ID]],B247)/D247)</f>
        <v>NA</v>
      </c>
      <c r="N247" s="165" t="str">
        <f>IF(D247=0,"NA",SUMIFS(AN_TME22[[#All],[TOTAL Non-Truncated Unadjusted Claims Expenses]],AN_TME22[[#All],[Insurance Category Code]],7,AN_TME22[[#All],[Advanced Network/Insurance Carrier Org ID]],B247)/D247)</f>
        <v>NA</v>
      </c>
      <c r="O247" s="165" t="str">
        <f>IF(D247=0,"NA",SUMIFS(AN_TME22[[#All],[TOTAL Truncated Unadjusted Claims Expenses (A21 -A19)]],AN_TME22[[#All],[Insurance Category Code]],7,AN_TME22[[#All],[Advanced Network/Insurance Carrier Org ID]],B247)/D247)</f>
        <v>NA</v>
      </c>
      <c r="P247" s="165" t="str">
        <f>IF(D247=0,"NA",SUMIFS(AN_TME22[[#All],[TOTAL Non-Claims Expenses]],AN_TME22[[#All],[Insurance Category Code]],7,AN_TME22[[#All],[Advanced Network/Insurance Carrier Org ID]],B247)/D247)</f>
        <v>NA</v>
      </c>
      <c r="Q247" s="165" t="str">
        <f>IF(D247=0,"NA",SUMIFS(AN_TME22[[#All],[TOTAL Non-Truncated Unadjusted Expenses (A21 + A23)]],AN_TME22[[#All],[Insurance Category Code]],7,AN_TME22[[#All],[Advanced Network/Insurance Carrier Org ID]],B247)/D247)</f>
        <v>NA</v>
      </c>
      <c r="R247" s="165" t="str">
        <f>IF(D247=0,"NA",SUMIFS(AN_TME22[[#All],[TOTAL Truncated Unadjusted Expenses (A22 + A23)]],AN_TME22[[#All],[Insurance Category Code]],7,AN_TME22[[#All],[Advanced Network/Insurance Carrier Org ID]],B247)/D247)</f>
        <v>NA</v>
      </c>
      <c r="S247" s="504">
        <f>SUMIFS(AN_TME23[[#All],[Member Months]],AN_TME23[[#All],[Insurance Category Code]],7,AN_TME23[[#All],[Advanced Network/Insurance Carrier Org ID]],B247)</f>
        <v>0</v>
      </c>
      <c r="T247" s="493" t="str">
        <f>IF(S247=0,"NA",SUMIFS(AN_TME23[[#All],[Claims: Hospital Inpatient]],AN_TME23[[#All],[Insurance Category Code]],7,AN_TME23[[#All],[Advanced Network/Insurance Carrier Org ID]],B247)/S247)</f>
        <v>NA</v>
      </c>
      <c r="U247" s="494" t="str">
        <f>IF(S247=0,"NA",SUMIFS(AN_TME23[[#All],[Claims: Hospital Outpatient]],AN_TME23[[#All],[Insurance Category Code]],7,AN_TME23[[#All],[Advanced Network/Insurance Carrier Org ID]],B247)/S247)</f>
        <v>NA</v>
      </c>
      <c r="V247" s="494" t="str">
        <f>IF(S247=0,"NA",SUMIFS(AN_TME23[[#All],[Claims: Professional, Primary Care]],AN_TME23[[#All],[Insurance Category Code]],7,AN_TME23[[#All],[Advanced Network/Insurance Carrier Org ID]],B247)/S247)</f>
        <v>NA</v>
      </c>
      <c r="W247" s="494" t="str">
        <f>IF(S247=0,"NA",SUMIFS(AN_TME23[[#All],[Claims: Professional, Primary Care (for Monitoring Purposes)]],AN_TME23[[#All],[Insurance Category Code]],7,AN_TME23[[#All],[Advanced Network/Insurance Carrier Org ID]],B247)/S247)</f>
        <v>NA</v>
      </c>
      <c r="X247" s="494" t="str">
        <f>IF(S247=0,"NA",SUMIFS(AN_TME23[[#All],[Claims: Professional, Specialty]],AN_TME23[[#All],[Insurance Category Code]],7,AN_TME23[[#All],[Advanced Network/Insurance Carrier Org ID]],B247)/S247)</f>
        <v>NA</v>
      </c>
      <c r="Y247" s="494" t="str">
        <f>IF(S247=0,"NA",SUMIFS(AN_TME23[[#All],[Claims: Professional Other]],AN_TME23[[#All],[Insurance Category Code]],7,AN_TME23[[#All],[Advanced Network/Insurance Carrier Org ID]],B247)/S247)</f>
        <v>NA</v>
      </c>
      <c r="Z247" s="494" t="str">
        <f>IF(S247=0,"NA",SUMIFS(AN_TME23[[#All],[Claims: Pharmacy]],AN_TME23[[#All],[Insurance Category Code]],7,AN_TME23[[#All],[Advanced Network/Insurance Carrier Org ID]],B247)/S247)</f>
        <v>NA</v>
      </c>
      <c r="AA247" s="494" t="str">
        <f>IF(S247=0,"NA",SUMIFS(AN_TME23[[#All],[Claims: Long-Term Care]],AN_TME23[[#All],[Insurance Category Code]],7,AN_TME23[[#All],[Advanced Network/Insurance Carrier Org ID]],B247)/S247)</f>
        <v>NA</v>
      </c>
      <c r="AB247" s="494" t="str">
        <f>IF(S247=0,"NA",SUMIFS(AN_TME23[[#All],[Claims: Other]],AN_TME23[[#All],[Insurance Category Code]],7,AN_TME23[[#All],[Advanced Network/Insurance Carrier Org ID]],B247)/S247)</f>
        <v>NA</v>
      </c>
      <c r="AC247" s="495" t="str">
        <f>IF(S247=0,"NA",SUMIFS(AN_TME23[[#All],[TOTAL Non-Truncated Unadjusted Claims Expenses]],AN_TME23[[#All],[Insurance Category Code]],7,AN_TME23[[#All],[Advanced Network/Insurance Carrier Org ID]],B247)/S247)</f>
        <v>NA</v>
      </c>
      <c r="AD247" s="495" t="str">
        <f>IF(S247=0,"NA",SUMIFS(AN_TME23[[#All],[TOTAL Truncated Unadjusted Claims Expenses (A21 -A19)]],AN_TME23[[#All],[Insurance Category Code]],7,AN_TME23[[#All],[Advanced Network/Insurance Carrier Org ID]],B247)/S247)</f>
        <v>NA</v>
      </c>
      <c r="AE247" s="495" t="str">
        <f>IF(S247=0,"NA",SUMIFS(AN_TME23[[#All],[TOTAL Non-Claims Expenses]],AN_TME23[[#All],[Insurance Category Code]],7,AN_TME23[[#All],[Advanced Network/Insurance Carrier Org ID]],B247)/S247)</f>
        <v>NA</v>
      </c>
      <c r="AF247" s="495" t="str">
        <f>IF(S247=0,"NA",SUMIFS(AN_TME23[[#All],[TOTAL Non-Truncated Unadjusted Expenses (A21 + A23)]],AN_TME23[[#All],[Insurance Category Code]],7,AN_TME23[[#All],[Advanced Network/Insurance Carrier Org ID]],B247)/S247)</f>
        <v>NA</v>
      </c>
      <c r="AG247" s="496" t="str">
        <f>IF(S247=0,"NA",SUMIFS(AN_TME23[[#All],[TOTAL Truncated Unadjusted Expenses (A22 + A23)]],AN_TME23[[#All],[Insurance Category Code]],7,AN_TME23[[#All],[Advanced Network/Insurance Carrier Org ID]],B247)/S247)</f>
        <v>NA</v>
      </c>
      <c r="AH247" s="478" t="str">
        <f t="shared" ref="AH247:AH266" si="323">IF(D247=0,"NA",S247/D247-1)</f>
        <v>NA</v>
      </c>
      <c r="AI247" s="479" t="str">
        <f t="shared" ref="AI247:AI266" si="324">IF(D247=0,"NA",T247/E247-1)</f>
        <v>NA</v>
      </c>
      <c r="AJ247" s="480" t="str">
        <f t="shared" ref="AJ247:AJ266" si="325">IF(D247=0,"NA",U247/F247-1)</f>
        <v>NA</v>
      </c>
      <c r="AK247" s="480" t="str">
        <f t="shared" ref="AK247:AK266" si="326">IF(D247=0,"NA",V247/G247-1)</f>
        <v>NA</v>
      </c>
      <c r="AL247" s="480" t="str">
        <f t="shared" ref="AL247:AL266" si="327">IF(D247=0,"NA",W247/H247-1)</f>
        <v>NA</v>
      </c>
      <c r="AM247" s="480" t="str">
        <f t="shared" ref="AM247:AM266" si="328">IF(D247=0,"NA",X247/I247-1)</f>
        <v>NA</v>
      </c>
      <c r="AN247" s="480" t="str">
        <f t="shared" ref="AN247:AN266" si="329">IF(D247=0,"NA",Y247/J247-1)</f>
        <v>NA</v>
      </c>
      <c r="AO247" s="480" t="str">
        <f t="shared" ref="AO247:AO266" si="330">IF(D247=0,"NA",Z247/K247-1)</f>
        <v>NA</v>
      </c>
      <c r="AP247" s="480" t="str">
        <f t="shared" ref="AP247:AP266" si="331">IF(D247=0,"NA",AA247/L247-1)</f>
        <v>NA</v>
      </c>
      <c r="AQ247" s="480" t="str">
        <f t="shared" ref="AQ247:AQ266" si="332">IF(D247=0,"NA",AB247/M247-1)</f>
        <v>NA</v>
      </c>
      <c r="AR247" s="481" t="str">
        <f t="shared" ref="AR247:AR266" si="333">IF(D247=0,"NA",AC247/N247-1)</f>
        <v>NA</v>
      </c>
      <c r="AS247" s="481" t="str">
        <f t="shared" ref="AS247:AS266" si="334">IF(D247=0,"NA",AD247/O247-1)</f>
        <v>NA</v>
      </c>
      <c r="AT247" s="481" t="str">
        <f t="shared" ref="AT247:AT266" si="335">IF(D247=0,"NA",AE247/P247-1)</f>
        <v>NA</v>
      </c>
      <c r="AU247" s="481" t="str">
        <f t="shared" ref="AU247:AU266" si="336">IF(D247=0,"NA",AF247/Q247-1)</f>
        <v>NA</v>
      </c>
      <c r="AV247" s="482" t="str">
        <f t="shared" ref="AV247:AV266" si="337">IF(D247=0,"NA",AG247/R247-1)</f>
        <v>NA</v>
      </c>
    </row>
    <row r="248" spans="1:48" ht="15" customHeight="1" x14ac:dyDescent="0.25">
      <c r="A248" s="164"/>
      <c r="B248" s="166">
        <v>113</v>
      </c>
      <c r="C248" s="169" t="str">
        <f>_xlfn.XLOOKUP(B248, LgProvEntOrgIDs[Advanced Network/Insurer Carrier Org ID], LgProvEntOrgIDs[Advanced Network/Insurance Carrier Overall])</f>
        <v>CIFC Greater Danbury Community Health Center</v>
      </c>
      <c r="D248" s="507">
        <f>SUMIFS(AN_TME22[[#All],[Member Months]],AN_TME22[[#All],[Insurance Category Code]],7,AN_TME22[[#All],[Advanced Network/Insurance Carrier Org ID]],B248)</f>
        <v>0</v>
      </c>
      <c r="E248" s="155" t="str">
        <f>IF(D248=0,"NA",SUMIFS(AN_TME22[[#All],[Claims: Hospital Inpatient]],AN_TME22[[#All],[Insurance Category Code]],7,AN_TME22[[#All],[Advanced Network/Insurance Carrier Org ID]],B248)/D248)</f>
        <v>NA</v>
      </c>
      <c r="F248" s="109" t="str">
        <f>IF(D248=0,"NA",SUMIFS(AN_TME22[[#All],[Claims: Hospital Outpatient]],AN_TME22[[#All],[Insurance Category Code]],7,AN_TME22[[#All],[Advanced Network/Insurance Carrier Org ID]],B248)/D248)</f>
        <v>NA</v>
      </c>
      <c r="G248" s="109" t="str">
        <f>IF(D248=0,"NA",SUMIFS(AN_TME22[[#All],[Claims: Professional, Primary Care]],AN_TME22[[#All],[Insurance Category Code]],7,AN_TME22[[#All],[Advanced Network/Insurance Carrier Org ID]],B248)/D248)</f>
        <v>NA</v>
      </c>
      <c r="H248" s="109" t="str">
        <f>IF(D248=0,"NA",SUMIFS(AN_TME22[[#All],[Claims: Professional, Primary Care (for Monitoring Purposes)]],AN_TME22[[#All],[Insurance Category Code]],7,AN_TME22[[#All],[Advanced Network/Insurance Carrier Org ID]],B248)/D248)</f>
        <v>NA</v>
      </c>
      <c r="I248" s="109" t="str">
        <f>IF(D248=0,"NA",SUMIFS(AN_TME22[[#All],[Claims: Professional, Specialty]],AN_TME22[[#All],[Insurance Category Code]],7,AN_TME22[[#All],[Advanced Network/Insurance Carrier Org ID]],B248)/D248)</f>
        <v>NA</v>
      </c>
      <c r="J248" s="109" t="str">
        <f>IF(D248=0,"NA",SUMIFS(AN_TME22[[#All],[Claims: Professional Other]],AN_TME22[[#All],[Insurance Category Code]],7,AN_TME22[[#All],[Advanced Network/Insurance Carrier Org ID]],B248)/D248)</f>
        <v>NA</v>
      </c>
      <c r="K248" s="109" t="str">
        <f>IF(D248=0,"NA",SUMIFS(AN_TME22[[#All],[Claims: Pharmacy]],AN_TME22[[#All],[Insurance Category Code]],7,AN_TME22[[#All],[Advanced Network/Insurance Carrier Org ID]],B248)/D248)</f>
        <v>NA</v>
      </c>
      <c r="L248" s="109" t="str">
        <f>IF(D248=0,"NA",SUMIFS(AN_TME22[[#All],[Claims: Long-Term Care]],AN_TME22[[#All],[Insurance Category Code]],7,AN_TME22[[#All],[Advanced Network/Insurance Carrier Org ID]],B248)/D248)</f>
        <v>NA</v>
      </c>
      <c r="M248" s="109" t="str">
        <f>IF(D248=0,"NA",SUMIFS(AN_TME22[[#All],[Claims: Other]],AN_TME22[[#All],[Insurance Category Code]],7,AN_TME22[[#All],[Advanced Network/Insurance Carrier Org ID]],B248)/D248)</f>
        <v>NA</v>
      </c>
      <c r="N248" s="165" t="str">
        <f>IF(D248=0,"NA",SUMIFS(AN_TME22[[#All],[TOTAL Non-Truncated Unadjusted Claims Expenses]],AN_TME22[[#All],[Insurance Category Code]],7,AN_TME22[[#All],[Advanced Network/Insurance Carrier Org ID]],B248)/D248)</f>
        <v>NA</v>
      </c>
      <c r="O248" s="165" t="str">
        <f>IF(D248=0,"NA",SUMIFS(AN_TME22[[#All],[TOTAL Truncated Unadjusted Claims Expenses (A21 -A19)]],AN_TME22[[#All],[Insurance Category Code]],7,AN_TME22[[#All],[Advanced Network/Insurance Carrier Org ID]],B248)/D248)</f>
        <v>NA</v>
      </c>
      <c r="P248" s="165" t="str">
        <f>IF(D248=0,"NA",SUMIFS(AN_TME22[[#All],[TOTAL Non-Claims Expenses]],AN_TME22[[#All],[Insurance Category Code]],7,AN_TME22[[#All],[Advanced Network/Insurance Carrier Org ID]],B248)/D248)</f>
        <v>NA</v>
      </c>
      <c r="Q248" s="165" t="str">
        <f>IF(D248=0,"NA",SUMIFS(AN_TME22[[#All],[TOTAL Non-Truncated Unadjusted Expenses (A21 + A23)]],AN_TME22[[#All],[Insurance Category Code]],7,AN_TME22[[#All],[Advanced Network/Insurance Carrier Org ID]],B248)/D248)</f>
        <v>NA</v>
      </c>
      <c r="R248" s="165" t="str">
        <f>IF(D248=0,"NA",SUMIFS(AN_TME22[[#All],[TOTAL Truncated Unadjusted Expenses (A22 + A23)]],AN_TME22[[#All],[Insurance Category Code]],7,AN_TME22[[#All],[Advanced Network/Insurance Carrier Org ID]],B248)/D248)</f>
        <v>NA</v>
      </c>
      <c r="S248" s="504">
        <f>SUMIFS(AN_TME23[[#All],[Member Months]],AN_TME23[[#All],[Insurance Category Code]],7,AN_TME23[[#All],[Advanced Network/Insurance Carrier Org ID]],B248)</f>
        <v>0</v>
      </c>
      <c r="T248" s="493" t="str">
        <f>IF(S248=0,"NA",SUMIFS(AN_TME23[[#All],[Claims: Hospital Inpatient]],AN_TME23[[#All],[Insurance Category Code]],7,AN_TME23[[#All],[Advanced Network/Insurance Carrier Org ID]],B248)/S248)</f>
        <v>NA</v>
      </c>
      <c r="U248" s="494" t="str">
        <f>IF(S248=0,"NA",SUMIFS(AN_TME23[[#All],[Claims: Hospital Outpatient]],AN_TME23[[#All],[Insurance Category Code]],7,AN_TME23[[#All],[Advanced Network/Insurance Carrier Org ID]],B248)/S248)</f>
        <v>NA</v>
      </c>
      <c r="V248" s="494" t="str">
        <f>IF(S248=0,"NA",SUMIFS(AN_TME23[[#All],[Claims: Professional, Primary Care]],AN_TME23[[#All],[Insurance Category Code]],7,AN_TME23[[#All],[Advanced Network/Insurance Carrier Org ID]],B248)/S248)</f>
        <v>NA</v>
      </c>
      <c r="W248" s="494" t="str">
        <f>IF(S248=0,"NA",SUMIFS(AN_TME23[[#All],[Claims: Professional, Primary Care (for Monitoring Purposes)]],AN_TME23[[#All],[Insurance Category Code]],7,AN_TME23[[#All],[Advanced Network/Insurance Carrier Org ID]],B248)/S248)</f>
        <v>NA</v>
      </c>
      <c r="X248" s="494" t="str">
        <f>IF(S248=0,"NA",SUMIFS(AN_TME23[[#All],[Claims: Professional, Specialty]],AN_TME23[[#All],[Insurance Category Code]],7,AN_TME23[[#All],[Advanced Network/Insurance Carrier Org ID]],B248)/S248)</f>
        <v>NA</v>
      </c>
      <c r="Y248" s="494" t="str">
        <f>IF(S248=0,"NA",SUMIFS(AN_TME23[[#All],[Claims: Professional Other]],AN_TME23[[#All],[Insurance Category Code]],7,AN_TME23[[#All],[Advanced Network/Insurance Carrier Org ID]],B248)/S248)</f>
        <v>NA</v>
      </c>
      <c r="Z248" s="494" t="str">
        <f>IF(S248=0,"NA",SUMIFS(AN_TME23[[#All],[Claims: Pharmacy]],AN_TME23[[#All],[Insurance Category Code]],7,AN_TME23[[#All],[Advanced Network/Insurance Carrier Org ID]],B248)/S248)</f>
        <v>NA</v>
      </c>
      <c r="AA248" s="494" t="str">
        <f>IF(S248=0,"NA",SUMIFS(AN_TME23[[#All],[Claims: Long-Term Care]],AN_TME23[[#All],[Insurance Category Code]],7,AN_TME23[[#All],[Advanced Network/Insurance Carrier Org ID]],B248)/S248)</f>
        <v>NA</v>
      </c>
      <c r="AB248" s="494" t="str">
        <f>IF(S248=0,"NA",SUMIFS(AN_TME23[[#All],[Claims: Other]],AN_TME23[[#All],[Insurance Category Code]],7,AN_TME23[[#All],[Advanced Network/Insurance Carrier Org ID]],B248)/S248)</f>
        <v>NA</v>
      </c>
      <c r="AC248" s="495" t="str">
        <f>IF(S248=0,"NA",SUMIFS(AN_TME23[[#All],[TOTAL Non-Truncated Unadjusted Claims Expenses]],AN_TME23[[#All],[Insurance Category Code]],7,AN_TME23[[#All],[Advanced Network/Insurance Carrier Org ID]],B248)/S248)</f>
        <v>NA</v>
      </c>
      <c r="AD248" s="495" t="str">
        <f>IF(S248=0,"NA",SUMIFS(AN_TME23[[#All],[TOTAL Truncated Unadjusted Claims Expenses (A21 -A19)]],AN_TME23[[#All],[Insurance Category Code]],7,AN_TME23[[#All],[Advanced Network/Insurance Carrier Org ID]],B248)/S248)</f>
        <v>NA</v>
      </c>
      <c r="AE248" s="495" t="str">
        <f>IF(S248=0,"NA",SUMIFS(AN_TME23[[#All],[TOTAL Non-Claims Expenses]],AN_TME23[[#All],[Insurance Category Code]],7,AN_TME23[[#All],[Advanced Network/Insurance Carrier Org ID]],B248)/S248)</f>
        <v>NA</v>
      </c>
      <c r="AF248" s="495" t="str">
        <f>IF(S248=0,"NA",SUMIFS(AN_TME23[[#All],[TOTAL Non-Truncated Unadjusted Expenses (A21 + A23)]],AN_TME23[[#All],[Insurance Category Code]],7,AN_TME23[[#All],[Advanced Network/Insurance Carrier Org ID]],B248)/S248)</f>
        <v>NA</v>
      </c>
      <c r="AG248" s="496" t="str">
        <f>IF(S248=0,"NA",SUMIFS(AN_TME23[[#All],[TOTAL Truncated Unadjusted Expenses (A22 + A23)]],AN_TME23[[#All],[Insurance Category Code]],7,AN_TME23[[#All],[Advanced Network/Insurance Carrier Org ID]],B248)/S248)</f>
        <v>NA</v>
      </c>
      <c r="AH248" s="478" t="str">
        <f t="shared" si="323"/>
        <v>NA</v>
      </c>
      <c r="AI248" s="479" t="str">
        <f t="shared" si="324"/>
        <v>NA</v>
      </c>
      <c r="AJ248" s="480" t="str">
        <f t="shared" si="325"/>
        <v>NA</v>
      </c>
      <c r="AK248" s="480" t="str">
        <f t="shared" si="326"/>
        <v>NA</v>
      </c>
      <c r="AL248" s="480" t="str">
        <f t="shared" si="327"/>
        <v>NA</v>
      </c>
      <c r="AM248" s="480" t="str">
        <f t="shared" si="328"/>
        <v>NA</v>
      </c>
      <c r="AN248" s="480" t="str">
        <f t="shared" si="329"/>
        <v>NA</v>
      </c>
      <c r="AO248" s="480" t="str">
        <f t="shared" si="330"/>
        <v>NA</v>
      </c>
      <c r="AP248" s="480" t="str">
        <f t="shared" si="331"/>
        <v>NA</v>
      </c>
      <c r="AQ248" s="480" t="str">
        <f t="shared" si="332"/>
        <v>NA</v>
      </c>
      <c r="AR248" s="481" t="str">
        <f t="shared" si="333"/>
        <v>NA</v>
      </c>
      <c r="AS248" s="481" t="str">
        <f t="shared" si="334"/>
        <v>NA</v>
      </c>
      <c r="AT248" s="481" t="str">
        <f t="shared" si="335"/>
        <v>NA</v>
      </c>
      <c r="AU248" s="481" t="str">
        <f t="shared" si="336"/>
        <v>NA</v>
      </c>
      <c r="AV248" s="482" t="str">
        <f t="shared" si="337"/>
        <v>NA</v>
      </c>
    </row>
    <row r="249" spans="1:48" ht="15" customHeight="1" x14ac:dyDescent="0.25">
      <c r="A249" s="164"/>
      <c r="B249" s="166">
        <v>114</v>
      </c>
      <c r="C249" s="169" t="str">
        <f>_xlfn.XLOOKUP(B249, LgProvEntOrgIDs[Advanced Network/Insurer Carrier Org ID], LgProvEntOrgIDs[Advanced Network/Insurance Carrier Overall])</f>
        <v>Community Health and Wellness Center of Greater Torrington</v>
      </c>
      <c r="D249" s="507">
        <f>SUMIFS(AN_TME22[[#All],[Member Months]],AN_TME22[[#All],[Insurance Category Code]],7,AN_TME22[[#All],[Advanced Network/Insurance Carrier Org ID]],B249)</f>
        <v>0</v>
      </c>
      <c r="E249" s="155" t="str">
        <f>IF(D249=0,"NA",SUMIFS(AN_TME22[[#All],[Claims: Hospital Inpatient]],AN_TME22[[#All],[Insurance Category Code]],7,AN_TME22[[#All],[Advanced Network/Insurance Carrier Org ID]],B249)/D249)</f>
        <v>NA</v>
      </c>
      <c r="F249" s="109" t="str">
        <f>IF(D249=0,"NA",SUMIFS(AN_TME22[[#All],[Claims: Hospital Outpatient]],AN_TME22[[#All],[Insurance Category Code]],7,AN_TME22[[#All],[Advanced Network/Insurance Carrier Org ID]],B249)/D249)</f>
        <v>NA</v>
      </c>
      <c r="G249" s="109" t="str">
        <f>IF(D249=0,"NA",SUMIFS(AN_TME22[[#All],[Claims: Professional, Primary Care]],AN_TME22[[#All],[Insurance Category Code]],7,AN_TME22[[#All],[Advanced Network/Insurance Carrier Org ID]],B249)/D249)</f>
        <v>NA</v>
      </c>
      <c r="H249" s="109" t="str">
        <f>IF(D249=0,"NA",SUMIFS(AN_TME22[[#All],[Claims: Professional, Primary Care (for Monitoring Purposes)]],AN_TME22[[#All],[Insurance Category Code]],7,AN_TME22[[#All],[Advanced Network/Insurance Carrier Org ID]],B249)/D249)</f>
        <v>NA</v>
      </c>
      <c r="I249" s="109" t="str">
        <f>IF(D249=0,"NA",SUMIFS(AN_TME22[[#All],[Claims: Professional, Specialty]],AN_TME22[[#All],[Insurance Category Code]],7,AN_TME22[[#All],[Advanced Network/Insurance Carrier Org ID]],B249)/D249)</f>
        <v>NA</v>
      </c>
      <c r="J249" s="109" t="str">
        <f>IF(D249=0,"NA",SUMIFS(AN_TME22[[#All],[Claims: Professional Other]],AN_TME22[[#All],[Insurance Category Code]],7,AN_TME22[[#All],[Advanced Network/Insurance Carrier Org ID]],B249)/D249)</f>
        <v>NA</v>
      </c>
      <c r="K249" s="109" t="str">
        <f>IF(D249=0,"NA",SUMIFS(AN_TME22[[#All],[Claims: Pharmacy]],AN_TME22[[#All],[Insurance Category Code]],7,AN_TME22[[#All],[Advanced Network/Insurance Carrier Org ID]],B249)/D249)</f>
        <v>NA</v>
      </c>
      <c r="L249" s="109" t="str">
        <f>IF(D249=0,"NA",SUMIFS(AN_TME22[[#All],[Claims: Long-Term Care]],AN_TME22[[#All],[Insurance Category Code]],7,AN_TME22[[#All],[Advanced Network/Insurance Carrier Org ID]],B249)/D249)</f>
        <v>NA</v>
      </c>
      <c r="M249" s="109" t="str">
        <f>IF(D249=0,"NA",SUMIFS(AN_TME22[[#All],[Claims: Other]],AN_TME22[[#All],[Insurance Category Code]],7,AN_TME22[[#All],[Advanced Network/Insurance Carrier Org ID]],B249)/D249)</f>
        <v>NA</v>
      </c>
      <c r="N249" s="165" t="str">
        <f>IF(D249=0,"NA",SUMIFS(AN_TME22[[#All],[TOTAL Non-Truncated Unadjusted Claims Expenses]],AN_TME22[[#All],[Insurance Category Code]],7,AN_TME22[[#All],[Advanced Network/Insurance Carrier Org ID]],B249)/D249)</f>
        <v>NA</v>
      </c>
      <c r="O249" s="165" t="str">
        <f>IF(D249=0,"NA",SUMIFS(AN_TME22[[#All],[TOTAL Truncated Unadjusted Claims Expenses (A21 -A19)]],AN_TME22[[#All],[Insurance Category Code]],7,AN_TME22[[#All],[Advanced Network/Insurance Carrier Org ID]],B249)/D249)</f>
        <v>NA</v>
      </c>
      <c r="P249" s="165" t="str">
        <f>IF(D249=0,"NA",SUMIFS(AN_TME22[[#All],[TOTAL Non-Claims Expenses]],AN_TME22[[#All],[Insurance Category Code]],7,AN_TME22[[#All],[Advanced Network/Insurance Carrier Org ID]],B249)/D249)</f>
        <v>NA</v>
      </c>
      <c r="Q249" s="165" t="str">
        <f>IF(D249=0,"NA",SUMIFS(AN_TME22[[#All],[TOTAL Non-Truncated Unadjusted Expenses (A21 + A23)]],AN_TME22[[#All],[Insurance Category Code]],7,AN_TME22[[#All],[Advanced Network/Insurance Carrier Org ID]],B249)/D249)</f>
        <v>NA</v>
      </c>
      <c r="R249" s="165" t="str">
        <f>IF(D249=0,"NA",SUMIFS(AN_TME22[[#All],[TOTAL Truncated Unadjusted Expenses (A22 + A23)]],AN_TME22[[#All],[Insurance Category Code]],7,AN_TME22[[#All],[Advanced Network/Insurance Carrier Org ID]],B249)/D249)</f>
        <v>NA</v>
      </c>
      <c r="S249" s="504">
        <f>SUMIFS(AN_TME23[[#All],[Member Months]],AN_TME23[[#All],[Insurance Category Code]],7,AN_TME23[[#All],[Advanced Network/Insurance Carrier Org ID]],B249)</f>
        <v>0</v>
      </c>
      <c r="T249" s="493" t="str">
        <f>IF(S249=0,"NA",SUMIFS(AN_TME23[[#All],[Claims: Hospital Inpatient]],AN_TME23[[#All],[Insurance Category Code]],7,AN_TME23[[#All],[Advanced Network/Insurance Carrier Org ID]],B249)/S249)</f>
        <v>NA</v>
      </c>
      <c r="U249" s="494" t="str">
        <f>IF(S249=0,"NA",SUMIFS(AN_TME23[[#All],[Claims: Hospital Outpatient]],AN_TME23[[#All],[Insurance Category Code]],7,AN_TME23[[#All],[Advanced Network/Insurance Carrier Org ID]],B249)/S249)</f>
        <v>NA</v>
      </c>
      <c r="V249" s="494" t="str">
        <f>IF(S249=0,"NA",SUMIFS(AN_TME23[[#All],[Claims: Professional, Primary Care]],AN_TME23[[#All],[Insurance Category Code]],7,AN_TME23[[#All],[Advanced Network/Insurance Carrier Org ID]],B249)/S249)</f>
        <v>NA</v>
      </c>
      <c r="W249" s="494" t="str">
        <f>IF(S249=0,"NA",SUMIFS(AN_TME23[[#All],[Claims: Professional, Primary Care (for Monitoring Purposes)]],AN_TME23[[#All],[Insurance Category Code]],7,AN_TME23[[#All],[Advanced Network/Insurance Carrier Org ID]],B249)/S249)</f>
        <v>NA</v>
      </c>
      <c r="X249" s="494" t="str">
        <f>IF(S249=0,"NA",SUMIFS(AN_TME23[[#All],[Claims: Professional, Specialty]],AN_TME23[[#All],[Insurance Category Code]],7,AN_TME23[[#All],[Advanced Network/Insurance Carrier Org ID]],B249)/S249)</f>
        <v>NA</v>
      </c>
      <c r="Y249" s="494" t="str">
        <f>IF(S249=0,"NA",SUMIFS(AN_TME23[[#All],[Claims: Professional Other]],AN_TME23[[#All],[Insurance Category Code]],7,AN_TME23[[#All],[Advanced Network/Insurance Carrier Org ID]],B249)/S249)</f>
        <v>NA</v>
      </c>
      <c r="Z249" s="494" t="str">
        <f>IF(S249=0,"NA",SUMIFS(AN_TME23[[#All],[Claims: Pharmacy]],AN_TME23[[#All],[Insurance Category Code]],7,AN_TME23[[#All],[Advanced Network/Insurance Carrier Org ID]],B249)/S249)</f>
        <v>NA</v>
      </c>
      <c r="AA249" s="494" t="str">
        <f>IF(S249=0,"NA",SUMIFS(AN_TME23[[#All],[Claims: Long-Term Care]],AN_TME23[[#All],[Insurance Category Code]],7,AN_TME23[[#All],[Advanced Network/Insurance Carrier Org ID]],B249)/S249)</f>
        <v>NA</v>
      </c>
      <c r="AB249" s="494" t="str">
        <f>IF(S249=0,"NA",SUMIFS(AN_TME23[[#All],[Claims: Other]],AN_TME23[[#All],[Insurance Category Code]],7,AN_TME23[[#All],[Advanced Network/Insurance Carrier Org ID]],B249)/S249)</f>
        <v>NA</v>
      </c>
      <c r="AC249" s="495" t="str">
        <f>IF(S249=0,"NA",SUMIFS(AN_TME23[[#All],[TOTAL Non-Truncated Unadjusted Claims Expenses]],AN_TME23[[#All],[Insurance Category Code]],7,AN_TME23[[#All],[Advanced Network/Insurance Carrier Org ID]],B249)/S249)</f>
        <v>NA</v>
      </c>
      <c r="AD249" s="495" t="str">
        <f>IF(S249=0,"NA",SUMIFS(AN_TME23[[#All],[TOTAL Truncated Unadjusted Claims Expenses (A21 -A19)]],AN_TME23[[#All],[Insurance Category Code]],7,AN_TME23[[#All],[Advanced Network/Insurance Carrier Org ID]],B249)/S249)</f>
        <v>NA</v>
      </c>
      <c r="AE249" s="495" t="str">
        <f>IF(S249=0,"NA",SUMIFS(AN_TME23[[#All],[TOTAL Non-Claims Expenses]],AN_TME23[[#All],[Insurance Category Code]],7,AN_TME23[[#All],[Advanced Network/Insurance Carrier Org ID]],B249)/S249)</f>
        <v>NA</v>
      </c>
      <c r="AF249" s="495" t="str">
        <f>IF(S249=0,"NA",SUMIFS(AN_TME23[[#All],[TOTAL Non-Truncated Unadjusted Expenses (A21 + A23)]],AN_TME23[[#All],[Insurance Category Code]],7,AN_TME23[[#All],[Advanced Network/Insurance Carrier Org ID]],B249)/S249)</f>
        <v>NA</v>
      </c>
      <c r="AG249" s="496" t="str">
        <f>IF(S249=0,"NA",SUMIFS(AN_TME23[[#All],[TOTAL Truncated Unadjusted Expenses (A22 + A23)]],AN_TME23[[#All],[Insurance Category Code]],7,AN_TME23[[#All],[Advanced Network/Insurance Carrier Org ID]],B249)/S249)</f>
        <v>NA</v>
      </c>
      <c r="AH249" s="478" t="str">
        <f t="shared" si="323"/>
        <v>NA</v>
      </c>
      <c r="AI249" s="479" t="str">
        <f t="shared" si="324"/>
        <v>NA</v>
      </c>
      <c r="AJ249" s="480" t="str">
        <f t="shared" si="325"/>
        <v>NA</v>
      </c>
      <c r="AK249" s="480" t="str">
        <f t="shared" si="326"/>
        <v>NA</v>
      </c>
      <c r="AL249" s="480" t="str">
        <f t="shared" si="327"/>
        <v>NA</v>
      </c>
      <c r="AM249" s="480" t="str">
        <f t="shared" si="328"/>
        <v>NA</v>
      </c>
      <c r="AN249" s="480" t="str">
        <f t="shared" si="329"/>
        <v>NA</v>
      </c>
      <c r="AO249" s="480" t="str">
        <f t="shared" si="330"/>
        <v>NA</v>
      </c>
      <c r="AP249" s="480" t="str">
        <f t="shared" si="331"/>
        <v>NA</v>
      </c>
      <c r="AQ249" s="480" t="str">
        <f t="shared" si="332"/>
        <v>NA</v>
      </c>
      <c r="AR249" s="481" t="str">
        <f t="shared" si="333"/>
        <v>NA</v>
      </c>
      <c r="AS249" s="481" t="str">
        <f t="shared" si="334"/>
        <v>NA</v>
      </c>
      <c r="AT249" s="481" t="str">
        <f t="shared" si="335"/>
        <v>NA</v>
      </c>
      <c r="AU249" s="481" t="str">
        <f t="shared" si="336"/>
        <v>NA</v>
      </c>
      <c r="AV249" s="482" t="str">
        <f t="shared" si="337"/>
        <v>NA</v>
      </c>
    </row>
    <row r="250" spans="1:48" ht="15" customHeight="1" x14ac:dyDescent="0.25">
      <c r="A250" s="164"/>
      <c r="B250" s="166">
        <v>115</v>
      </c>
      <c r="C250" s="169" t="str">
        <f>_xlfn.XLOOKUP(B250, LgProvEntOrgIDs[Advanced Network/Insurer Carrier Org ID], LgProvEntOrgIDs[Advanced Network/Insurance Carrier Overall])</f>
        <v>Community Health Center</v>
      </c>
      <c r="D250" s="507">
        <f>SUMIFS(AN_TME22[[#All],[Member Months]],AN_TME22[[#All],[Insurance Category Code]],7,AN_TME22[[#All],[Advanced Network/Insurance Carrier Org ID]],B250)</f>
        <v>0</v>
      </c>
      <c r="E250" s="155" t="str">
        <f>IF(D250=0,"NA",SUMIFS(AN_TME22[[#All],[Claims: Hospital Inpatient]],AN_TME22[[#All],[Insurance Category Code]],7,AN_TME22[[#All],[Advanced Network/Insurance Carrier Org ID]],B250)/D250)</f>
        <v>NA</v>
      </c>
      <c r="F250" s="109" t="str">
        <f>IF(D250=0,"NA",SUMIFS(AN_TME22[[#All],[Claims: Hospital Outpatient]],AN_TME22[[#All],[Insurance Category Code]],7,AN_TME22[[#All],[Advanced Network/Insurance Carrier Org ID]],B250)/D250)</f>
        <v>NA</v>
      </c>
      <c r="G250" s="109" t="str">
        <f>IF(D250=0,"NA",SUMIFS(AN_TME22[[#All],[Claims: Professional, Primary Care]],AN_TME22[[#All],[Insurance Category Code]],7,AN_TME22[[#All],[Advanced Network/Insurance Carrier Org ID]],B250)/D250)</f>
        <v>NA</v>
      </c>
      <c r="H250" s="109" t="str">
        <f>IF(D250=0,"NA",SUMIFS(AN_TME22[[#All],[Claims: Professional, Primary Care (for Monitoring Purposes)]],AN_TME22[[#All],[Insurance Category Code]],7,AN_TME22[[#All],[Advanced Network/Insurance Carrier Org ID]],B250)/D250)</f>
        <v>NA</v>
      </c>
      <c r="I250" s="109" t="str">
        <f>IF(D250=0,"NA",SUMIFS(AN_TME22[[#All],[Claims: Professional, Specialty]],AN_TME22[[#All],[Insurance Category Code]],7,AN_TME22[[#All],[Advanced Network/Insurance Carrier Org ID]],B250)/D250)</f>
        <v>NA</v>
      </c>
      <c r="J250" s="109" t="str">
        <f>IF(D250=0,"NA",SUMIFS(AN_TME22[[#All],[Claims: Professional Other]],AN_TME22[[#All],[Insurance Category Code]],7,AN_TME22[[#All],[Advanced Network/Insurance Carrier Org ID]],B250)/D250)</f>
        <v>NA</v>
      </c>
      <c r="K250" s="109" t="str">
        <f>IF(D250=0,"NA",SUMIFS(AN_TME22[[#All],[Claims: Pharmacy]],AN_TME22[[#All],[Insurance Category Code]],7,AN_TME22[[#All],[Advanced Network/Insurance Carrier Org ID]],B250)/D250)</f>
        <v>NA</v>
      </c>
      <c r="L250" s="109" t="str">
        <f>IF(D250=0,"NA",SUMIFS(AN_TME22[[#All],[Claims: Long-Term Care]],AN_TME22[[#All],[Insurance Category Code]],7,AN_TME22[[#All],[Advanced Network/Insurance Carrier Org ID]],B250)/D250)</f>
        <v>NA</v>
      </c>
      <c r="M250" s="109" t="str">
        <f>IF(D250=0,"NA",SUMIFS(AN_TME22[[#All],[Claims: Other]],AN_TME22[[#All],[Insurance Category Code]],7,AN_TME22[[#All],[Advanced Network/Insurance Carrier Org ID]],B250)/D250)</f>
        <v>NA</v>
      </c>
      <c r="N250" s="165" t="str">
        <f>IF(D250=0,"NA",SUMIFS(AN_TME22[[#All],[TOTAL Non-Truncated Unadjusted Claims Expenses]],AN_TME22[[#All],[Insurance Category Code]],7,AN_TME22[[#All],[Advanced Network/Insurance Carrier Org ID]],B250)/D250)</f>
        <v>NA</v>
      </c>
      <c r="O250" s="165" t="str">
        <f>IF(D250=0,"NA",SUMIFS(AN_TME22[[#All],[TOTAL Truncated Unadjusted Claims Expenses (A21 -A19)]],AN_TME22[[#All],[Insurance Category Code]],7,AN_TME22[[#All],[Advanced Network/Insurance Carrier Org ID]],B250)/D250)</f>
        <v>NA</v>
      </c>
      <c r="P250" s="165" t="str">
        <f>IF(D250=0,"NA",SUMIFS(AN_TME22[[#All],[TOTAL Non-Claims Expenses]],AN_TME22[[#All],[Insurance Category Code]],7,AN_TME22[[#All],[Advanced Network/Insurance Carrier Org ID]],B250)/D250)</f>
        <v>NA</v>
      </c>
      <c r="Q250" s="165" t="str">
        <f>IF(D250=0,"NA",SUMIFS(AN_TME22[[#All],[TOTAL Non-Truncated Unadjusted Expenses (A21 + A23)]],AN_TME22[[#All],[Insurance Category Code]],7,AN_TME22[[#All],[Advanced Network/Insurance Carrier Org ID]],B250)/D250)</f>
        <v>NA</v>
      </c>
      <c r="R250" s="165" t="str">
        <f>IF(D250=0,"NA",SUMIFS(AN_TME22[[#All],[TOTAL Truncated Unadjusted Expenses (A22 + A23)]],AN_TME22[[#All],[Insurance Category Code]],7,AN_TME22[[#All],[Advanced Network/Insurance Carrier Org ID]],B250)/D250)</f>
        <v>NA</v>
      </c>
      <c r="S250" s="504">
        <f>SUMIFS(AN_TME23[[#All],[Member Months]],AN_TME23[[#All],[Insurance Category Code]],7,AN_TME23[[#All],[Advanced Network/Insurance Carrier Org ID]],B250)</f>
        <v>0</v>
      </c>
      <c r="T250" s="493" t="str">
        <f>IF(S250=0,"NA",SUMIFS(AN_TME23[[#All],[Claims: Hospital Inpatient]],AN_TME23[[#All],[Insurance Category Code]],7,AN_TME23[[#All],[Advanced Network/Insurance Carrier Org ID]],B250)/S250)</f>
        <v>NA</v>
      </c>
      <c r="U250" s="494" t="str">
        <f>IF(S250=0,"NA",SUMIFS(AN_TME23[[#All],[Claims: Hospital Outpatient]],AN_TME23[[#All],[Insurance Category Code]],7,AN_TME23[[#All],[Advanced Network/Insurance Carrier Org ID]],B250)/S250)</f>
        <v>NA</v>
      </c>
      <c r="V250" s="494" t="str">
        <f>IF(S250=0,"NA",SUMIFS(AN_TME23[[#All],[Claims: Professional, Primary Care]],AN_TME23[[#All],[Insurance Category Code]],7,AN_TME23[[#All],[Advanced Network/Insurance Carrier Org ID]],B250)/S250)</f>
        <v>NA</v>
      </c>
      <c r="W250" s="494" t="str">
        <f>IF(S250=0,"NA",SUMIFS(AN_TME23[[#All],[Claims: Professional, Primary Care (for Monitoring Purposes)]],AN_TME23[[#All],[Insurance Category Code]],7,AN_TME23[[#All],[Advanced Network/Insurance Carrier Org ID]],B250)/S250)</f>
        <v>NA</v>
      </c>
      <c r="X250" s="494" t="str">
        <f>IF(S250=0,"NA",SUMIFS(AN_TME23[[#All],[Claims: Professional, Specialty]],AN_TME23[[#All],[Insurance Category Code]],7,AN_TME23[[#All],[Advanced Network/Insurance Carrier Org ID]],B250)/S250)</f>
        <v>NA</v>
      </c>
      <c r="Y250" s="494" t="str">
        <f>IF(S250=0,"NA",SUMIFS(AN_TME23[[#All],[Claims: Professional Other]],AN_TME23[[#All],[Insurance Category Code]],7,AN_TME23[[#All],[Advanced Network/Insurance Carrier Org ID]],B250)/S250)</f>
        <v>NA</v>
      </c>
      <c r="Z250" s="494" t="str">
        <f>IF(S250=0,"NA",SUMIFS(AN_TME23[[#All],[Claims: Pharmacy]],AN_TME23[[#All],[Insurance Category Code]],7,AN_TME23[[#All],[Advanced Network/Insurance Carrier Org ID]],B250)/S250)</f>
        <v>NA</v>
      </c>
      <c r="AA250" s="494" t="str">
        <f>IF(S250=0,"NA",SUMIFS(AN_TME23[[#All],[Claims: Long-Term Care]],AN_TME23[[#All],[Insurance Category Code]],7,AN_TME23[[#All],[Advanced Network/Insurance Carrier Org ID]],B250)/S250)</f>
        <v>NA</v>
      </c>
      <c r="AB250" s="494" t="str">
        <f>IF(S250=0,"NA",SUMIFS(AN_TME23[[#All],[Claims: Other]],AN_TME23[[#All],[Insurance Category Code]],7,AN_TME23[[#All],[Advanced Network/Insurance Carrier Org ID]],B250)/S250)</f>
        <v>NA</v>
      </c>
      <c r="AC250" s="495" t="str">
        <f>IF(S250=0,"NA",SUMIFS(AN_TME23[[#All],[TOTAL Non-Truncated Unadjusted Claims Expenses]],AN_TME23[[#All],[Insurance Category Code]],7,AN_TME23[[#All],[Advanced Network/Insurance Carrier Org ID]],B250)/S250)</f>
        <v>NA</v>
      </c>
      <c r="AD250" s="495" t="str">
        <f>IF(S250=0,"NA",SUMIFS(AN_TME23[[#All],[TOTAL Truncated Unadjusted Claims Expenses (A21 -A19)]],AN_TME23[[#All],[Insurance Category Code]],7,AN_TME23[[#All],[Advanced Network/Insurance Carrier Org ID]],B250)/S250)</f>
        <v>NA</v>
      </c>
      <c r="AE250" s="495" t="str">
        <f>IF(S250=0,"NA",SUMIFS(AN_TME23[[#All],[TOTAL Non-Claims Expenses]],AN_TME23[[#All],[Insurance Category Code]],7,AN_TME23[[#All],[Advanced Network/Insurance Carrier Org ID]],B250)/S250)</f>
        <v>NA</v>
      </c>
      <c r="AF250" s="495" t="str">
        <f>IF(S250=0,"NA",SUMIFS(AN_TME23[[#All],[TOTAL Non-Truncated Unadjusted Expenses (A21 + A23)]],AN_TME23[[#All],[Insurance Category Code]],7,AN_TME23[[#All],[Advanced Network/Insurance Carrier Org ID]],B250)/S250)</f>
        <v>NA</v>
      </c>
      <c r="AG250" s="496" t="str">
        <f>IF(S250=0,"NA",SUMIFS(AN_TME23[[#All],[TOTAL Truncated Unadjusted Expenses (A22 + A23)]],AN_TME23[[#All],[Insurance Category Code]],7,AN_TME23[[#All],[Advanced Network/Insurance Carrier Org ID]],B250)/S250)</f>
        <v>NA</v>
      </c>
      <c r="AH250" s="478" t="str">
        <f t="shared" si="323"/>
        <v>NA</v>
      </c>
      <c r="AI250" s="479" t="str">
        <f t="shared" si="324"/>
        <v>NA</v>
      </c>
      <c r="AJ250" s="480" t="str">
        <f t="shared" si="325"/>
        <v>NA</v>
      </c>
      <c r="AK250" s="480" t="str">
        <f t="shared" si="326"/>
        <v>NA</v>
      </c>
      <c r="AL250" s="480" t="str">
        <f t="shared" si="327"/>
        <v>NA</v>
      </c>
      <c r="AM250" s="480" t="str">
        <f t="shared" si="328"/>
        <v>NA</v>
      </c>
      <c r="AN250" s="480" t="str">
        <f t="shared" si="329"/>
        <v>NA</v>
      </c>
      <c r="AO250" s="480" t="str">
        <f t="shared" si="330"/>
        <v>NA</v>
      </c>
      <c r="AP250" s="480" t="str">
        <f t="shared" si="331"/>
        <v>NA</v>
      </c>
      <c r="AQ250" s="480" t="str">
        <f t="shared" si="332"/>
        <v>NA</v>
      </c>
      <c r="AR250" s="481" t="str">
        <f t="shared" si="333"/>
        <v>NA</v>
      </c>
      <c r="AS250" s="481" t="str">
        <f t="shared" si="334"/>
        <v>NA</v>
      </c>
      <c r="AT250" s="481" t="str">
        <f t="shared" si="335"/>
        <v>NA</v>
      </c>
      <c r="AU250" s="481" t="str">
        <f t="shared" si="336"/>
        <v>NA</v>
      </c>
      <c r="AV250" s="482" t="str">
        <f t="shared" si="337"/>
        <v>NA</v>
      </c>
    </row>
    <row r="251" spans="1:48" ht="15" customHeight="1" x14ac:dyDescent="0.25">
      <c r="A251" s="164"/>
      <c r="B251" s="166">
        <v>116</v>
      </c>
      <c r="C251" s="169" t="str">
        <f>_xlfn.XLOOKUP(B251, LgProvEntOrgIDs[Advanced Network/Insurer Carrier Org ID], LgProvEntOrgIDs[Advanced Network/Insurance Carrier Overall])</f>
        <v>Community Health Services</v>
      </c>
      <c r="D251" s="507">
        <f>SUMIFS(AN_TME22[[#All],[Member Months]],AN_TME22[[#All],[Insurance Category Code]],7,AN_TME22[[#All],[Advanced Network/Insurance Carrier Org ID]],B251)</f>
        <v>0</v>
      </c>
      <c r="E251" s="155" t="str">
        <f>IF(D251=0,"NA",SUMIFS(AN_TME22[[#All],[Claims: Hospital Inpatient]],AN_TME22[[#All],[Insurance Category Code]],7,AN_TME22[[#All],[Advanced Network/Insurance Carrier Org ID]],B251)/D251)</f>
        <v>NA</v>
      </c>
      <c r="F251" s="109" t="str">
        <f>IF(D251=0,"NA",SUMIFS(AN_TME22[[#All],[Claims: Hospital Outpatient]],AN_TME22[[#All],[Insurance Category Code]],7,AN_TME22[[#All],[Advanced Network/Insurance Carrier Org ID]],B251)/D251)</f>
        <v>NA</v>
      </c>
      <c r="G251" s="109" t="str">
        <f>IF(D251=0,"NA",SUMIFS(AN_TME22[[#All],[Claims: Professional, Primary Care]],AN_TME22[[#All],[Insurance Category Code]],7,AN_TME22[[#All],[Advanced Network/Insurance Carrier Org ID]],B251)/D251)</f>
        <v>NA</v>
      </c>
      <c r="H251" s="109" t="str">
        <f>IF(D251=0,"NA",SUMIFS(AN_TME22[[#All],[Claims: Professional, Primary Care (for Monitoring Purposes)]],AN_TME22[[#All],[Insurance Category Code]],7,AN_TME22[[#All],[Advanced Network/Insurance Carrier Org ID]],B251)/D251)</f>
        <v>NA</v>
      </c>
      <c r="I251" s="109" t="str">
        <f>IF(D251=0,"NA",SUMIFS(AN_TME22[[#All],[Claims: Professional, Specialty]],AN_TME22[[#All],[Insurance Category Code]],7,AN_TME22[[#All],[Advanced Network/Insurance Carrier Org ID]],B251)/D251)</f>
        <v>NA</v>
      </c>
      <c r="J251" s="109" t="str">
        <f>IF(D251=0,"NA",SUMIFS(AN_TME22[[#All],[Claims: Professional Other]],AN_TME22[[#All],[Insurance Category Code]],7,AN_TME22[[#All],[Advanced Network/Insurance Carrier Org ID]],B251)/D251)</f>
        <v>NA</v>
      </c>
      <c r="K251" s="109" t="str">
        <f>IF(D251=0,"NA",SUMIFS(AN_TME22[[#All],[Claims: Pharmacy]],AN_TME22[[#All],[Insurance Category Code]],7,AN_TME22[[#All],[Advanced Network/Insurance Carrier Org ID]],B251)/D251)</f>
        <v>NA</v>
      </c>
      <c r="L251" s="109" t="str">
        <f>IF(D251=0,"NA",SUMIFS(AN_TME22[[#All],[Claims: Long-Term Care]],AN_TME22[[#All],[Insurance Category Code]],7,AN_TME22[[#All],[Advanced Network/Insurance Carrier Org ID]],B251)/D251)</f>
        <v>NA</v>
      </c>
      <c r="M251" s="109" t="str">
        <f>IF(D251=0,"NA",SUMIFS(AN_TME22[[#All],[Claims: Other]],AN_TME22[[#All],[Insurance Category Code]],7,AN_TME22[[#All],[Advanced Network/Insurance Carrier Org ID]],B251)/D251)</f>
        <v>NA</v>
      </c>
      <c r="N251" s="165" t="str">
        <f>IF(D251=0,"NA",SUMIFS(AN_TME22[[#All],[TOTAL Non-Truncated Unadjusted Claims Expenses]],AN_TME22[[#All],[Insurance Category Code]],7,AN_TME22[[#All],[Advanced Network/Insurance Carrier Org ID]],B251)/D251)</f>
        <v>NA</v>
      </c>
      <c r="O251" s="165" t="str">
        <f>IF(D251=0,"NA",SUMIFS(AN_TME22[[#All],[TOTAL Truncated Unadjusted Claims Expenses (A21 -A19)]],AN_TME22[[#All],[Insurance Category Code]],7,AN_TME22[[#All],[Advanced Network/Insurance Carrier Org ID]],B251)/D251)</f>
        <v>NA</v>
      </c>
      <c r="P251" s="165" t="str">
        <f>IF(D251=0,"NA",SUMIFS(AN_TME22[[#All],[TOTAL Non-Claims Expenses]],AN_TME22[[#All],[Insurance Category Code]],7,AN_TME22[[#All],[Advanced Network/Insurance Carrier Org ID]],B251)/D251)</f>
        <v>NA</v>
      </c>
      <c r="Q251" s="165" t="str">
        <f>IF(D251=0,"NA",SUMIFS(AN_TME22[[#All],[TOTAL Non-Truncated Unadjusted Expenses (A21 + A23)]],AN_TME22[[#All],[Insurance Category Code]],7,AN_TME22[[#All],[Advanced Network/Insurance Carrier Org ID]],B251)/D251)</f>
        <v>NA</v>
      </c>
      <c r="R251" s="165" t="str">
        <f>IF(D251=0,"NA",SUMIFS(AN_TME22[[#All],[TOTAL Truncated Unadjusted Expenses (A22 + A23)]],AN_TME22[[#All],[Insurance Category Code]],7,AN_TME22[[#All],[Advanced Network/Insurance Carrier Org ID]],B251)/D251)</f>
        <v>NA</v>
      </c>
      <c r="S251" s="504">
        <f>SUMIFS(AN_TME23[[#All],[Member Months]],AN_TME23[[#All],[Insurance Category Code]],7,AN_TME23[[#All],[Advanced Network/Insurance Carrier Org ID]],B251)</f>
        <v>0</v>
      </c>
      <c r="T251" s="493" t="str">
        <f>IF(S251=0,"NA",SUMIFS(AN_TME23[[#All],[Claims: Hospital Inpatient]],AN_TME23[[#All],[Insurance Category Code]],7,AN_TME23[[#All],[Advanced Network/Insurance Carrier Org ID]],B251)/S251)</f>
        <v>NA</v>
      </c>
      <c r="U251" s="494" t="str">
        <f>IF(S251=0,"NA",SUMIFS(AN_TME23[[#All],[Claims: Hospital Outpatient]],AN_TME23[[#All],[Insurance Category Code]],7,AN_TME23[[#All],[Advanced Network/Insurance Carrier Org ID]],B251)/S251)</f>
        <v>NA</v>
      </c>
      <c r="V251" s="494" t="str">
        <f>IF(S251=0,"NA",SUMIFS(AN_TME23[[#All],[Claims: Professional, Primary Care]],AN_TME23[[#All],[Insurance Category Code]],7,AN_TME23[[#All],[Advanced Network/Insurance Carrier Org ID]],B251)/S251)</f>
        <v>NA</v>
      </c>
      <c r="W251" s="494" t="str">
        <f>IF(S251=0,"NA",SUMIFS(AN_TME23[[#All],[Claims: Professional, Primary Care (for Monitoring Purposes)]],AN_TME23[[#All],[Insurance Category Code]],7,AN_TME23[[#All],[Advanced Network/Insurance Carrier Org ID]],B251)/S251)</f>
        <v>NA</v>
      </c>
      <c r="X251" s="494" t="str">
        <f>IF(S251=0,"NA",SUMIFS(AN_TME23[[#All],[Claims: Professional, Specialty]],AN_TME23[[#All],[Insurance Category Code]],7,AN_TME23[[#All],[Advanced Network/Insurance Carrier Org ID]],B251)/S251)</f>
        <v>NA</v>
      </c>
      <c r="Y251" s="494" t="str">
        <f>IF(S251=0,"NA",SUMIFS(AN_TME23[[#All],[Claims: Professional Other]],AN_TME23[[#All],[Insurance Category Code]],7,AN_TME23[[#All],[Advanced Network/Insurance Carrier Org ID]],B251)/S251)</f>
        <v>NA</v>
      </c>
      <c r="Z251" s="494" t="str">
        <f>IF(S251=0,"NA",SUMIFS(AN_TME23[[#All],[Claims: Pharmacy]],AN_TME23[[#All],[Insurance Category Code]],7,AN_TME23[[#All],[Advanced Network/Insurance Carrier Org ID]],B251)/S251)</f>
        <v>NA</v>
      </c>
      <c r="AA251" s="494" t="str">
        <f>IF(S251=0,"NA",SUMIFS(AN_TME23[[#All],[Claims: Long-Term Care]],AN_TME23[[#All],[Insurance Category Code]],7,AN_TME23[[#All],[Advanced Network/Insurance Carrier Org ID]],B251)/S251)</f>
        <v>NA</v>
      </c>
      <c r="AB251" s="494" t="str">
        <f>IF(S251=0,"NA",SUMIFS(AN_TME23[[#All],[Claims: Other]],AN_TME23[[#All],[Insurance Category Code]],7,AN_TME23[[#All],[Advanced Network/Insurance Carrier Org ID]],B251)/S251)</f>
        <v>NA</v>
      </c>
      <c r="AC251" s="495" t="str">
        <f>IF(S251=0,"NA",SUMIFS(AN_TME23[[#All],[TOTAL Non-Truncated Unadjusted Claims Expenses]],AN_TME23[[#All],[Insurance Category Code]],7,AN_TME23[[#All],[Advanced Network/Insurance Carrier Org ID]],B251)/S251)</f>
        <v>NA</v>
      </c>
      <c r="AD251" s="495" t="str">
        <f>IF(S251=0,"NA",SUMIFS(AN_TME23[[#All],[TOTAL Truncated Unadjusted Claims Expenses (A21 -A19)]],AN_TME23[[#All],[Insurance Category Code]],7,AN_TME23[[#All],[Advanced Network/Insurance Carrier Org ID]],B251)/S251)</f>
        <v>NA</v>
      </c>
      <c r="AE251" s="495" t="str">
        <f>IF(S251=0,"NA",SUMIFS(AN_TME23[[#All],[TOTAL Non-Claims Expenses]],AN_TME23[[#All],[Insurance Category Code]],7,AN_TME23[[#All],[Advanced Network/Insurance Carrier Org ID]],B251)/S251)</f>
        <v>NA</v>
      </c>
      <c r="AF251" s="495" t="str">
        <f>IF(S251=0,"NA",SUMIFS(AN_TME23[[#All],[TOTAL Non-Truncated Unadjusted Expenses (A21 + A23)]],AN_TME23[[#All],[Insurance Category Code]],7,AN_TME23[[#All],[Advanced Network/Insurance Carrier Org ID]],B251)/S251)</f>
        <v>NA</v>
      </c>
      <c r="AG251" s="496" t="str">
        <f>IF(S251=0,"NA",SUMIFS(AN_TME23[[#All],[TOTAL Truncated Unadjusted Expenses (A22 + A23)]],AN_TME23[[#All],[Insurance Category Code]],7,AN_TME23[[#All],[Advanced Network/Insurance Carrier Org ID]],B251)/S251)</f>
        <v>NA</v>
      </c>
      <c r="AH251" s="478" t="str">
        <f t="shared" si="323"/>
        <v>NA</v>
      </c>
      <c r="AI251" s="479" t="str">
        <f t="shared" si="324"/>
        <v>NA</v>
      </c>
      <c r="AJ251" s="480" t="str">
        <f t="shared" si="325"/>
        <v>NA</v>
      </c>
      <c r="AK251" s="480" t="str">
        <f t="shared" si="326"/>
        <v>NA</v>
      </c>
      <c r="AL251" s="480" t="str">
        <f t="shared" si="327"/>
        <v>NA</v>
      </c>
      <c r="AM251" s="480" t="str">
        <f t="shared" si="328"/>
        <v>NA</v>
      </c>
      <c r="AN251" s="480" t="str">
        <f t="shared" si="329"/>
        <v>NA</v>
      </c>
      <c r="AO251" s="480" t="str">
        <f t="shared" si="330"/>
        <v>NA</v>
      </c>
      <c r="AP251" s="480" t="str">
        <f t="shared" si="331"/>
        <v>NA</v>
      </c>
      <c r="AQ251" s="480" t="str">
        <f t="shared" si="332"/>
        <v>NA</v>
      </c>
      <c r="AR251" s="481" t="str">
        <f t="shared" si="333"/>
        <v>NA</v>
      </c>
      <c r="AS251" s="481" t="str">
        <f t="shared" si="334"/>
        <v>NA</v>
      </c>
      <c r="AT251" s="481" t="str">
        <f t="shared" si="335"/>
        <v>NA</v>
      </c>
      <c r="AU251" s="481" t="str">
        <f t="shared" si="336"/>
        <v>NA</v>
      </c>
      <c r="AV251" s="482" t="str">
        <f t="shared" si="337"/>
        <v>NA</v>
      </c>
    </row>
    <row r="252" spans="1:48" ht="15" customHeight="1" x14ac:dyDescent="0.25">
      <c r="A252" s="164"/>
      <c r="B252" s="166">
        <v>117</v>
      </c>
      <c r="C252" s="169" t="str">
        <f>_xlfn.XLOOKUP(B252, LgProvEntOrgIDs[Advanced Network/Insurer Carrier Org ID], LgProvEntOrgIDs[Advanced Network/Insurance Carrier Overall])</f>
        <v>Cornell Scott Hill Health Center</v>
      </c>
      <c r="D252" s="507">
        <f>SUMIFS(AN_TME22[[#All],[Member Months]],AN_TME22[[#All],[Insurance Category Code]],7,AN_TME22[[#All],[Advanced Network/Insurance Carrier Org ID]],B252)</f>
        <v>0</v>
      </c>
      <c r="E252" s="155" t="str">
        <f>IF(D252=0,"NA",SUMIFS(AN_TME22[[#All],[Claims: Hospital Inpatient]],AN_TME22[[#All],[Insurance Category Code]],7,AN_TME22[[#All],[Advanced Network/Insurance Carrier Org ID]],B252)/D252)</f>
        <v>NA</v>
      </c>
      <c r="F252" s="109" t="str">
        <f>IF(D252=0,"NA",SUMIFS(AN_TME22[[#All],[Claims: Hospital Outpatient]],AN_TME22[[#All],[Insurance Category Code]],7,AN_TME22[[#All],[Advanced Network/Insurance Carrier Org ID]],B252)/D252)</f>
        <v>NA</v>
      </c>
      <c r="G252" s="109" t="str">
        <f>IF(D252=0,"NA",SUMIFS(AN_TME22[[#All],[Claims: Professional, Primary Care]],AN_TME22[[#All],[Insurance Category Code]],7,AN_TME22[[#All],[Advanced Network/Insurance Carrier Org ID]],B252)/D252)</f>
        <v>NA</v>
      </c>
      <c r="H252" s="109" t="str">
        <f>IF(D252=0,"NA",SUMIFS(AN_TME22[[#All],[Claims: Professional, Primary Care (for Monitoring Purposes)]],AN_TME22[[#All],[Insurance Category Code]],7,AN_TME22[[#All],[Advanced Network/Insurance Carrier Org ID]],B252)/D252)</f>
        <v>NA</v>
      </c>
      <c r="I252" s="109" t="str">
        <f>IF(D252=0,"NA",SUMIFS(AN_TME22[[#All],[Claims: Professional, Specialty]],AN_TME22[[#All],[Insurance Category Code]],7,AN_TME22[[#All],[Advanced Network/Insurance Carrier Org ID]],B252)/D252)</f>
        <v>NA</v>
      </c>
      <c r="J252" s="109" t="str">
        <f>IF(D252=0,"NA",SUMIFS(AN_TME22[[#All],[Claims: Professional Other]],AN_TME22[[#All],[Insurance Category Code]],7,AN_TME22[[#All],[Advanced Network/Insurance Carrier Org ID]],B252)/D252)</f>
        <v>NA</v>
      </c>
      <c r="K252" s="109" t="str">
        <f>IF(D252=0,"NA",SUMIFS(AN_TME22[[#All],[Claims: Pharmacy]],AN_TME22[[#All],[Insurance Category Code]],7,AN_TME22[[#All],[Advanced Network/Insurance Carrier Org ID]],B252)/D252)</f>
        <v>NA</v>
      </c>
      <c r="L252" s="109" t="str">
        <f>IF(D252=0,"NA",SUMIFS(AN_TME22[[#All],[Claims: Long-Term Care]],AN_TME22[[#All],[Insurance Category Code]],7,AN_TME22[[#All],[Advanced Network/Insurance Carrier Org ID]],B252)/D252)</f>
        <v>NA</v>
      </c>
      <c r="M252" s="109" t="str">
        <f>IF(D252=0,"NA",SUMIFS(AN_TME22[[#All],[Claims: Other]],AN_TME22[[#All],[Insurance Category Code]],7,AN_TME22[[#All],[Advanced Network/Insurance Carrier Org ID]],B252)/D252)</f>
        <v>NA</v>
      </c>
      <c r="N252" s="165" t="str">
        <f>IF(D252=0,"NA",SUMIFS(AN_TME22[[#All],[TOTAL Non-Truncated Unadjusted Claims Expenses]],AN_TME22[[#All],[Insurance Category Code]],7,AN_TME22[[#All],[Advanced Network/Insurance Carrier Org ID]],B252)/D252)</f>
        <v>NA</v>
      </c>
      <c r="O252" s="165" t="str">
        <f>IF(D252=0,"NA",SUMIFS(AN_TME22[[#All],[TOTAL Truncated Unadjusted Claims Expenses (A21 -A19)]],AN_TME22[[#All],[Insurance Category Code]],7,AN_TME22[[#All],[Advanced Network/Insurance Carrier Org ID]],B252)/D252)</f>
        <v>NA</v>
      </c>
      <c r="P252" s="165" t="str">
        <f>IF(D252=0,"NA",SUMIFS(AN_TME22[[#All],[TOTAL Non-Claims Expenses]],AN_TME22[[#All],[Insurance Category Code]],7,AN_TME22[[#All],[Advanced Network/Insurance Carrier Org ID]],B252)/D252)</f>
        <v>NA</v>
      </c>
      <c r="Q252" s="165" t="str">
        <f>IF(D252=0,"NA",SUMIFS(AN_TME22[[#All],[TOTAL Non-Truncated Unadjusted Expenses (A21 + A23)]],AN_TME22[[#All],[Insurance Category Code]],7,AN_TME22[[#All],[Advanced Network/Insurance Carrier Org ID]],B252)/D252)</f>
        <v>NA</v>
      </c>
      <c r="R252" s="165" t="str">
        <f>IF(D252=0,"NA",SUMIFS(AN_TME22[[#All],[TOTAL Truncated Unadjusted Expenses (A22 + A23)]],AN_TME22[[#All],[Insurance Category Code]],7,AN_TME22[[#All],[Advanced Network/Insurance Carrier Org ID]],B252)/D252)</f>
        <v>NA</v>
      </c>
      <c r="S252" s="504">
        <f>SUMIFS(AN_TME23[[#All],[Member Months]],AN_TME23[[#All],[Insurance Category Code]],7,AN_TME23[[#All],[Advanced Network/Insurance Carrier Org ID]],B252)</f>
        <v>0</v>
      </c>
      <c r="T252" s="493" t="str">
        <f>IF(S252=0,"NA",SUMIFS(AN_TME23[[#All],[Claims: Hospital Inpatient]],AN_TME23[[#All],[Insurance Category Code]],7,AN_TME23[[#All],[Advanced Network/Insurance Carrier Org ID]],B252)/S252)</f>
        <v>NA</v>
      </c>
      <c r="U252" s="494" t="str">
        <f>IF(S252=0,"NA",SUMIFS(AN_TME23[[#All],[Claims: Hospital Outpatient]],AN_TME23[[#All],[Insurance Category Code]],7,AN_TME23[[#All],[Advanced Network/Insurance Carrier Org ID]],B252)/S252)</f>
        <v>NA</v>
      </c>
      <c r="V252" s="494" t="str">
        <f>IF(S252=0,"NA",SUMIFS(AN_TME23[[#All],[Claims: Professional, Primary Care]],AN_TME23[[#All],[Insurance Category Code]],7,AN_TME23[[#All],[Advanced Network/Insurance Carrier Org ID]],B252)/S252)</f>
        <v>NA</v>
      </c>
      <c r="W252" s="494" t="str">
        <f>IF(S252=0,"NA",SUMIFS(AN_TME23[[#All],[Claims: Professional, Primary Care (for Monitoring Purposes)]],AN_TME23[[#All],[Insurance Category Code]],7,AN_TME23[[#All],[Advanced Network/Insurance Carrier Org ID]],B252)/S252)</f>
        <v>NA</v>
      </c>
      <c r="X252" s="494" t="str">
        <f>IF(S252=0,"NA",SUMIFS(AN_TME23[[#All],[Claims: Professional, Specialty]],AN_TME23[[#All],[Insurance Category Code]],7,AN_TME23[[#All],[Advanced Network/Insurance Carrier Org ID]],B252)/S252)</f>
        <v>NA</v>
      </c>
      <c r="Y252" s="494" t="str">
        <f>IF(S252=0,"NA",SUMIFS(AN_TME23[[#All],[Claims: Professional Other]],AN_TME23[[#All],[Insurance Category Code]],7,AN_TME23[[#All],[Advanced Network/Insurance Carrier Org ID]],B252)/S252)</f>
        <v>NA</v>
      </c>
      <c r="Z252" s="494" t="str">
        <f>IF(S252=0,"NA",SUMIFS(AN_TME23[[#All],[Claims: Pharmacy]],AN_TME23[[#All],[Insurance Category Code]],7,AN_TME23[[#All],[Advanced Network/Insurance Carrier Org ID]],B252)/S252)</f>
        <v>NA</v>
      </c>
      <c r="AA252" s="494" t="str">
        <f>IF(S252=0,"NA",SUMIFS(AN_TME23[[#All],[Claims: Long-Term Care]],AN_TME23[[#All],[Insurance Category Code]],7,AN_TME23[[#All],[Advanced Network/Insurance Carrier Org ID]],B252)/S252)</f>
        <v>NA</v>
      </c>
      <c r="AB252" s="494" t="str">
        <f>IF(S252=0,"NA",SUMIFS(AN_TME23[[#All],[Claims: Other]],AN_TME23[[#All],[Insurance Category Code]],7,AN_TME23[[#All],[Advanced Network/Insurance Carrier Org ID]],B252)/S252)</f>
        <v>NA</v>
      </c>
      <c r="AC252" s="495" t="str">
        <f>IF(S252=0,"NA",SUMIFS(AN_TME23[[#All],[TOTAL Non-Truncated Unadjusted Claims Expenses]],AN_TME23[[#All],[Insurance Category Code]],7,AN_TME23[[#All],[Advanced Network/Insurance Carrier Org ID]],B252)/S252)</f>
        <v>NA</v>
      </c>
      <c r="AD252" s="495" t="str">
        <f>IF(S252=0,"NA",SUMIFS(AN_TME23[[#All],[TOTAL Truncated Unadjusted Claims Expenses (A21 -A19)]],AN_TME23[[#All],[Insurance Category Code]],7,AN_TME23[[#All],[Advanced Network/Insurance Carrier Org ID]],B252)/S252)</f>
        <v>NA</v>
      </c>
      <c r="AE252" s="495" t="str">
        <f>IF(S252=0,"NA",SUMIFS(AN_TME23[[#All],[TOTAL Non-Claims Expenses]],AN_TME23[[#All],[Insurance Category Code]],7,AN_TME23[[#All],[Advanced Network/Insurance Carrier Org ID]],B252)/S252)</f>
        <v>NA</v>
      </c>
      <c r="AF252" s="495" t="str">
        <f>IF(S252=0,"NA",SUMIFS(AN_TME23[[#All],[TOTAL Non-Truncated Unadjusted Expenses (A21 + A23)]],AN_TME23[[#All],[Insurance Category Code]],7,AN_TME23[[#All],[Advanced Network/Insurance Carrier Org ID]],B252)/S252)</f>
        <v>NA</v>
      </c>
      <c r="AG252" s="496" t="str">
        <f>IF(S252=0,"NA",SUMIFS(AN_TME23[[#All],[TOTAL Truncated Unadjusted Expenses (A22 + A23)]],AN_TME23[[#All],[Insurance Category Code]],7,AN_TME23[[#All],[Advanced Network/Insurance Carrier Org ID]],B252)/S252)</f>
        <v>NA</v>
      </c>
      <c r="AH252" s="478" t="str">
        <f t="shared" si="323"/>
        <v>NA</v>
      </c>
      <c r="AI252" s="479" t="str">
        <f t="shared" si="324"/>
        <v>NA</v>
      </c>
      <c r="AJ252" s="480" t="str">
        <f t="shared" si="325"/>
        <v>NA</v>
      </c>
      <c r="AK252" s="480" t="str">
        <f t="shared" si="326"/>
        <v>NA</v>
      </c>
      <c r="AL252" s="480" t="str">
        <f t="shared" si="327"/>
        <v>NA</v>
      </c>
      <c r="AM252" s="480" t="str">
        <f t="shared" si="328"/>
        <v>NA</v>
      </c>
      <c r="AN252" s="480" t="str">
        <f t="shared" si="329"/>
        <v>NA</v>
      </c>
      <c r="AO252" s="480" t="str">
        <f t="shared" si="330"/>
        <v>NA</v>
      </c>
      <c r="AP252" s="480" t="str">
        <f t="shared" si="331"/>
        <v>NA</v>
      </c>
      <c r="AQ252" s="480" t="str">
        <f t="shared" si="332"/>
        <v>NA</v>
      </c>
      <c r="AR252" s="481" t="str">
        <f t="shared" si="333"/>
        <v>NA</v>
      </c>
      <c r="AS252" s="481" t="str">
        <f t="shared" si="334"/>
        <v>NA</v>
      </c>
      <c r="AT252" s="481" t="str">
        <f t="shared" si="335"/>
        <v>NA</v>
      </c>
      <c r="AU252" s="481" t="str">
        <f t="shared" si="336"/>
        <v>NA</v>
      </c>
      <c r="AV252" s="482" t="str">
        <f t="shared" si="337"/>
        <v>NA</v>
      </c>
    </row>
    <row r="253" spans="1:48" ht="15" customHeight="1" x14ac:dyDescent="0.25">
      <c r="A253" s="164"/>
      <c r="B253" s="166">
        <v>118</v>
      </c>
      <c r="C253" s="169" t="str">
        <f>_xlfn.XLOOKUP(B253, LgProvEntOrgIDs[Advanced Network/Insurer Carrier Org ID], LgProvEntOrgIDs[Advanced Network/Insurance Carrier Overall])</f>
        <v>Fair Haven Community Health Center</v>
      </c>
      <c r="D253" s="507">
        <f>SUMIFS(AN_TME22[[#All],[Member Months]],AN_TME22[[#All],[Insurance Category Code]],7,AN_TME22[[#All],[Advanced Network/Insurance Carrier Org ID]],B253)</f>
        <v>0</v>
      </c>
      <c r="E253" s="155" t="str">
        <f>IF(D253=0,"NA",SUMIFS(AN_TME22[[#All],[Claims: Hospital Inpatient]],AN_TME22[[#All],[Insurance Category Code]],7,AN_TME22[[#All],[Advanced Network/Insurance Carrier Org ID]],B253)/D253)</f>
        <v>NA</v>
      </c>
      <c r="F253" s="109" t="str">
        <f>IF(D253=0,"NA",SUMIFS(AN_TME22[[#All],[Claims: Hospital Outpatient]],AN_TME22[[#All],[Insurance Category Code]],7,AN_TME22[[#All],[Advanced Network/Insurance Carrier Org ID]],B253)/D253)</f>
        <v>NA</v>
      </c>
      <c r="G253" s="109" t="str">
        <f>IF(D253=0,"NA",SUMIFS(AN_TME22[[#All],[Claims: Professional, Primary Care]],AN_TME22[[#All],[Insurance Category Code]],7,AN_TME22[[#All],[Advanced Network/Insurance Carrier Org ID]],B253)/D253)</f>
        <v>NA</v>
      </c>
      <c r="H253" s="109" t="str">
        <f>IF(D253=0,"NA",SUMIFS(AN_TME22[[#All],[Claims: Professional, Primary Care (for Monitoring Purposes)]],AN_TME22[[#All],[Insurance Category Code]],7,AN_TME22[[#All],[Advanced Network/Insurance Carrier Org ID]],B253)/D253)</f>
        <v>NA</v>
      </c>
      <c r="I253" s="109" t="str">
        <f>IF(D253=0,"NA",SUMIFS(AN_TME22[[#All],[Claims: Professional, Specialty]],AN_TME22[[#All],[Insurance Category Code]],7,AN_TME22[[#All],[Advanced Network/Insurance Carrier Org ID]],B253)/D253)</f>
        <v>NA</v>
      </c>
      <c r="J253" s="109" t="str">
        <f>IF(D253=0,"NA",SUMIFS(AN_TME22[[#All],[Claims: Professional Other]],AN_TME22[[#All],[Insurance Category Code]],7,AN_TME22[[#All],[Advanced Network/Insurance Carrier Org ID]],B253)/D253)</f>
        <v>NA</v>
      </c>
      <c r="K253" s="109" t="str">
        <f>IF(D253=0,"NA",SUMIFS(AN_TME22[[#All],[Claims: Pharmacy]],AN_TME22[[#All],[Insurance Category Code]],7,AN_TME22[[#All],[Advanced Network/Insurance Carrier Org ID]],B253)/D253)</f>
        <v>NA</v>
      </c>
      <c r="L253" s="109" t="str">
        <f>IF(D253=0,"NA",SUMIFS(AN_TME22[[#All],[Claims: Long-Term Care]],AN_TME22[[#All],[Insurance Category Code]],7,AN_TME22[[#All],[Advanced Network/Insurance Carrier Org ID]],B253)/D253)</f>
        <v>NA</v>
      </c>
      <c r="M253" s="109" t="str">
        <f>IF(D253=0,"NA",SUMIFS(AN_TME22[[#All],[Claims: Other]],AN_TME22[[#All],[Insurance Category Code]],7,AN_TME22[[#All],[Advanced Network/Insurance Carrier Org ID]],B253)/D253)</f>
        <v>NA</v>
      </c>
      <c r="N253" s="165" t="str">
        <f>IF(D253=0,"NA",SUMIFS(AN_TME22[[#All],[TOTAL Non-Truncated Unadjusted Claims Expenses]],AN_TME22[[#All],[Insurance Category Code]],7,AN_TME22[[#All],[Advanced Network/Insurance Carrier Org ID]],B253)/D253)</f>
        <v>NA</v>
      </c>
      <c r="O253" s="165" t="str">
        <f>IF(D253=0,"NA",SUMIFS(AN_TME22[[#All],[TOTAL Truncated Unadjusted Claims Expenses (A21 -A19)]],AN_TME22[[#All],[Insurance Category Code]],7,AN_TME22[[#All],[Advanced Network/Insurance Carrier Org ID]],B253)/D253)</f>
        <v>NA</v>
      </c>
      <c r="P253" s="165" t="str">
        <f>IF(D253=0,"NA",SUMIFS(AN_TME22[[#All],[TOTAL Non-Claims Expenses]],AN_TME22[[#All],[Insurance Category Code]],7,AN_TME22[[#All],[Advanced Network/Insurance Carrier Org ID]],B253)/D253)</f>
        <v>NA</v>
      </c>
      <c r="Q253" s="165" t="str">
        <f>IF(D253=0,"NA",SUMIFS(AN_TME22[[#All],[TOTAL Non-Truncated Unadjusted Expenses (A21 + A23)]],AN_TME22[[#All],[Insurance Category Code]],7,AN_TME22[[#All],[Advanced Network/Insurance Carrier Org ID]],B253)/D253)</f>
        <v>NA</v>
      </c>
      <c r="R253" s="165" t="str">
        <f>IF(D253=0,"NA",SUMIFS(AN_TME22[[#All],[TOTAL Truncated Unadjusted Expenses (A22 + A23)]],AN_TME22[[#All],[Insurance Category Code]],7,AN_TME22[[#All],[Advanced Network/Insurance Carrier Org ID]],B253)/D253)</f>
        <v>NA</v>
      </c>
      <c r="S253" s="504">
        <f>SUMIFS(AN_TME23[[#All],[Member Months]],AN_TME23[[#All],[Insurance Category Code]],7,AN_TME23[[#All],[Advanced Network/Insurance Carrier Org ID]],B253)</f>
        <v>0</v>
      </c>
      <c r="T253" s="493" t="str">
        <f>IF(S253=0,"NA",SUMIFS(AN_TME23[[#All],[Claims: Hospital Inpatient]],AN_TME23[[#All],[Insurance Category Code]],7,AN_TME23[[#All],[Advanced Network/Insurance Carrier Org ID]],B253)/S253)</f>
        <v>NA</v>
      </c>
      <c r="U253" s="494" t="str">
        <f>IF(S253=0,"NA",SUMIFS(AN_TME23[[#All],[Claims: Hospital Outpatient]],AN_TME23[[#All],[Insurance Category Code]],7,AN_TME23[[#All],[Advanced Network/Insurance Carrier Org ID]],B253)/S253)</f>
        <v>NA</v>
      </c>
      <c r="V253" s="494" t="str">
        <f>IF(S253=0,"NA",SUMIFS(AN_TME23[[#All],[Claims: Professional, Primary Care]],AN_TME23[[#All],[Insurance Category Code]],7,AN_TME23[[#All],[Advanced Network/Insurance Carrier Org ID]],B253)/S253)</f>
        <v>NA</v>
      </c>
      <c r="W253" s="494" t="str">
        <f>IF(S253=0,"NA",SUMIFS(AN_TME23[[#All],[Claims: Professional, Primary Care (for Monitoring Purposes)]],AN_TME23[[#All],[Insurance Category Code]],7,AN_TME23[[#All],[Advanced Network/Insurance Carrier Org ID]],B253)/S253)</f>
        <v>NA</v>
      </c>
      <c r="X253" s="494" t="str">
        <f>IF(S253=0,"NA",SUMIFS(AN_TME23[[#All],[Claims: Professional, Specialty]],AN_TME23[[#All],[Insurance Category Code]],7,AN_TME23[[#All],[Advanced Network/Insurance Carrier Org ID]],B253)/S253)</f>
        <v>NA</v>
      </c>
      <c r="Y253" s="494" t="str">
        <f>IF(S253=0,"NA",SUMIFS(AN_TME23[[#All],[Claims: Professional Other]],AN_TME23[[#All],[Insurance Category Code]],7,AN_TME23[[#All],[Advanced Network/Insurance Carrier Org ID]],B253)/S253)</f>
        <v>NA</v>
      </c>
      <c r="Z253" s="494" t="str">
        <f>IF(S253=0,"NA",SUMIFS(AN_TME23[[#All],[Claims: Pharmacy]],AN_TME23[[#All],[Insurance Category Code]],7,AN_TME23[[#All],[Advanced Network/Insurance Carrier Org ID]],B253)/S253)</f>
        <v>NA</v>
      </c>
      <c r="AA253" s="494" t="str">
        <f>IF(S253=0,"NA",SUMIFS(AN_TME23[[#All],[Claims: Long-Term Care]],AN_TME23[[#All],[Insurance Category Code]],7,AN_TME23[[#All],[Advanced Network/Insurance Carrier Org ID]],B253)/S253)</f>
        <v>NA</v>
      </c>
      <c r="AB253" s="494" t="str">
        <f>IF(S253=0,"NA",SUMIFS(AN_TME23[[#All],[Claims: Other]],AN_TME23[[#All],[Insurance Category Code]],7,AN_TME23[[#All],[Advanced Network/Insurance Carrier Org ID]],B253)/S253)</f>
        <v>NA</v>
      </c>
      <c r="AC253" s="495" t="str">
        <f>IF(S253=0,"NA",SUMIFS(AN_TME23[[#All],[TOTAL Non-Truncated Unadjusted Claims Expenses]],AN_TME23[[#All],[Insurance Category Code]],7,AN_TME23[[#All],[Advanced Network/Insurance Carrier Org ID]],B253)/S253)</f>
        <v>NA</v>
      </c>
      <c r="AD253" s="495" t="str">
        <f>IF(S253=0,"NA",SUMIFS(AN_TME23[[#All],[TOTAL Truncated Unadjusted Claims Expenses (A21 -A19)]],AN_TME23[[#All],[Insurance Category Code]],7,AN_TME23[[#All],[Advanced Network/Insurance Carrier Org ID]],B253)/S253)</f>
        <v>NA</v>
      </c>
      <c r="AE253" s="495" t="str">
        <f>IF(S253=0,"NA",SUMIFS(AN_TME23[[#All],[TOTAL Non-Claims Expenses]],AN_TME23[[#All],[Insurance Category Code]],7,AN_TME23[[#All],[Advanced Network/Insurance Carrier Org ID]],B253)/S253)</f>
        <v>NA</v>
      </c>
      <c r="AF253" s="495" t="str">
        <f>IF(S253=0,"NA",SUMIFS(AN_TME23[[#All],[TOTAL Non-Truncated Unadjusted Expenses (A21 + A23)]],AN_TME23[[#All],[Insurance Category Code]],7,AN_TME23[[#All],[Advanced Network/Insurance Carrier Org ID]],B253)/S253)</f>
        <v>NA</v>
      </c>
      <c r="AG253" s="496" t="str">
        <f>IF(S253=0,"NA",SUMIFS(AN_TME23[[#All],[TOTAL Truncated Unadjusted Expenses (A22 + A23)]],AN_TME23[[#All],[Insurance Category Code]],7,AN_TME23[[#All],[Advanced Network/Insurance Carrier Org ID]],B253)/S253)</f>
        <v>NA</v>
      </c>
      <c r="AH253" s="478" t="str">
        <f t="shared" si="323"/>
        <v>NA</v>
      </c>
      <c r="AI253" s="479" t="str">
        <f t="shared" si="324"/>
        <v>NA</v>
      </c>
      <c r="AJ253" s="480" t="str">
        <f t="shared" si="325"/>
        <v>NA</v>
      </c>
      <c r="AK253" s="480" t="str">
        <f t="shared" si="326"/>
        <v>NA</v>
      </c>
      <c r="AL253" s="480" t="str">
        <f t="shared" si="327"/>
        <v>NA</v>
      </c>
      <c r="AM253" s="480" t="str">
        <f t="shared" si="328"/>
        <v>NA</v>
      </c>
      <c r="AN253" s="480" t="str">
        <f t="shared" si="329"/>
        <v>NA</v>
      </c>
      <c r="AO253" s="480" t="str">
        <f t="shared" si="330"/>
        <v>NA</v>
      </c>
      <c r="AP253" s="480" t="str">
        <f t="shared" si="331"/>
        <v>NA</v>
      </c>
      <c r="AQ253" s="480" t="str">
        <f t="shared" si="332"/>
        <v>NA</v>
      </c>
      <c r="AR253" s="481" t="str">
        <f t="shared" si="333"/>
        <v>NA</v>
      </c>
      <c r="AS253" s="481" t="str">
        <f t="shared" si="334"/>
        <v>NA</v>
      </c>
      <c r="AT253" s="481" t="str">
        <f t="shared" si="335"/>
        <v>NA</v>
      </c>
      <c r="AU253" s="481" t="str">
        <f t="shared" si="336"/>
        <v>NA</v>
      </c>
      <c r="AV253" s="482" t="str">
        <f t="shared" si="337"/>
        <v>NA</v>
      </c>
    </row>
    <row r="254" spans="1:48" ht="15" customHeight="1" x14ac:dyDescent="0.25">
      <c r="A254" s="164"/>
      <c r="B254" s="166">
        <v>119</v>
      </c>
      <c r="C254" s="169" t="str">
        <f>_xlfn.XLOOKUP(B254, LgProvEntOrgIDs[Advanced Network/Insurer Carrier Org ID], LgProvEntOrgIDs[Advanced Network/Insurance Carrier Overall])</f>
        <v>Family Centers</v>
      </c>
      <c r="D254" s="507">
        <f>SUMIFS(AN_TME22[[#All],[Member Months]],AN_TME22[[#All],[Insurance Category Code]],7,AN_TME22[[#All],[Advanced Network/Insurance Carrier Org ID]],B254)</f>
        <v>0</v>
      </c>
      <c r="E254" s="155" t="str">
        <f>IF(D254=0,"NA",SUMIFS(AN_TME22[[#All],[Claims: Hospital Inpatient]],AN_TME22[[#All],[Insurance Category Code]],7,AN_TME22[[#All],[Advanced Network/Insurance Carrier Org ID]],B254)/D254)</f>
        <v>NA</v>
      </c>
      <c r="F254" s="109" t="str">
        <f>IF(D254=0,"NA",SUMIFS(AN_TME22[[#All],[Claims: Hospital Outpatient]],AN_TME22[[#All],[Insurance Category Code]],7,AN_TME22[[#All],[Advanced Network/Insurance Carrier Org ID]],B254)/D254)</f>
        <v>NA</v>
      </c>
      <c r="G254" s="109" t="str">
        <f>IF(D254=0,"NA",SUMIFS(AN_TME22[[#All],[Claims: Professional, Primary Care]],AN_TME22[[#All],[Insurance Category Code]],7,AN_TME22[[#All],[Advanced Network/Insurance Carrier Org ID]],B254)/D254)</f>
        <v>NA</v>
      </c>
      <c r="H254" s="109" t="str">
        <f>IF(D254=0,"NA",SUMIFS(AN_TME22[[#All],[Claims: Professional, Primary Care (for Monitoring Purposes)]],AN_TME22[[#All],[Insurance Category Code]],7,AN_TME22[[#All],[Advanced Network/Insurance Carrier Org ID]],B254)/D254)</f>
        <v>NA</v>
      </c>
      <c r="I254" s="109" t="str">
        <f>IF(D254=0,"NA",SUMIFS(AN_TME22[[#All],[Claims: Professional, Specialty]],AN_TME22[[#All],[Insurance Category Code]],7,AN_TME22[[#All],[Advanced Network/Insurance Carrier Org ID]],B254)/D254)</f>
        <v>NA</v>
      </c>
      <c r="J254" s="109" t="str">
        <f>IF(D254=0,"NA",SUMIFS(AN_TME22[[#All],[Claims: Professional Other]],AN_TME22[[#All],[Insurance Category Code]],7,AN_TME22[[#All],[Advanced Network/Insurance Carrier Org ID]],B254)/D254)</f>
        <v>NA</v>
      </c>
      <c r="K254" s="109" t="str">
        <f>IF(D254=0,"NA",SUMIFS(AN_TME22[[#All],[Claims: Pharmacy]],AN_TME22[[#All],[Insurance Category Code]],7,AN_TME22[[#All],[Advanced Network/Insurance Carrier Org ID]],B254)/D254)</f>
        <v>NA</v>
      </c>
      <c r="L254" s="109" t="str">
        <f>IF(D254=0,"NA",SUMIFS(AN_TME22[[#All],[Claims: Long-Term Care]],AN_TME22[[#All],[Insurance Category Code]],7,AN_TME22[[#All],[Advanced Network/Insurance Carrier Org ID]],B254)/D254)</f>
        <v>NA</v>
      </c>
      <c r="M254" s="109" t="str">
        <f>IF(D254=0,"NA",SUMIFS(AN_TME22[[#All],[Claims: Other]],AN_TME22[[#All],[Insurance Category Code]],7,AN_TME22[[#All],[Advanced Network/Insurance Carrier Org ID]],B254)/D254)</f>
        <v>NA</v>
      </c>
      <c r="N254" s="165" t="str">
        <f>IF(D254=0,"NA",SUMIFS(AN_TME22[[#All],[TOTAL Non-Truncated Unadjusted Claims Expenses]],AN_TME22[[#All],[Insurance Category Code]],7,AN_TME22[[#All],[Advanced Network/Insurance Carrier Org ID]],B254)/D254)</f>
        <v>NA</v>
      </c>
      <c r="O254" s="165" t="str">
        <f>IF(D254=0,"NA",SUMIFS(AN_TME22[[#All],[TOTAL Truncated Unadjusted Claims Expenses (A21 -A19)]],AN_TME22[[#All],[Insurance Category Code]],7,AN_TME22[[#All],[Advanced Network/Insurance Carrier Org ID]],B254)/D254)</f>
        <v>NA</v>
      </c>
      <c r="P254" s="165" t="str">
        <f>IF(D254=0,"NA",SUMIFS(AN_TME22[[#All],[TOTAL Non-Claims Expenses]],AN_TME22[[#All],[Insurance Category Code]],7,AN_TME22[[#All],[Advanced Network/Insurance Carrier Org ID]],B254)/D254)</f>
        <v>NA</v>
      </c>
      <c r="Q254" s="165" t="str">
        <f>IF(D254=0,"NA",SUMIFS(AN_TME22[[#All],[TOTAL Non-Truncated Unadjusted Expenses (A21 + A23)]],AN_TME22[[#All],[Insurance Category Code]],7,AN_TME22[[#All],[Advanced Network/Insurance Carrier Org ID]],B254)/D254)</f>
        <v>NA</v>
      </c>
      <c r="R254" s="165" t="str">
        <f>IF(D254=0,"NA",SUMIFS(AN_TME22[[#All],[TOTAL Truncated Unadjusted Expenses (A22 + A23)]],AN_TME22[[#All],[Insurance Category Code]],7,AN_TME22[[#All],[Advanced Network/Insurance Carrier Org ID]],B254)/D254)</f>
        <v>NA</v>
      </c>
      <c r="S254" s="504">
        <f>SUMIFS(AN_TME23[[#All],[Member Months]],AN_TME23[[#All],[Insurance Category Code]],7,AN_TME23[[#All],[Advanced Network/Insurance Carrier Org ID]],B254)</f>
        <v>0</v>
      </c>
      <c r="T254" s="493" t="str">
        <f>IF(S254=0,"NA",SUMIFS(AN_TME23[[#All],[Claims: Hospital Inpatient]],AN_TME23[[#All],[Insurance Category Code]],7,AN_TME23[[#All],[Advanced Network/Insurance Carrier Org ID]],B254)/S254)</f>
        <v>NA</v>
      </c>
      <c r="U254" s="494" t="str">
        <f>IF(S254=0,"NA",SUMIFS(AN_TME23[[#All],[Claims: Hospital Outpatient]],AN_TME23[[#All],[Insurance Category Code]],7,AN_TME23[[#All],[Advanced Network/Insurance Carrier Org ID]],B254)/S254)</f>
        <v>NA</v>
      </c>
      <c r="V254" s="494" t="str">
        <f>IF(S254=0,"NA",SUMIFS(AN_TME23[[#All],[Claims: Professional, Primary Care]],AN_TME23[[#All],[Insurance Category Code]],7,AN_TME23[[#All],[Advanced Network/Insurance Carrier Org ID]],B254)/S254)</f>
        <v>NA</v>
      </c>
      <c r="W254" s="494" t="str">
        <f>IF(S254=0,"NA",SUMIFS(AN_TME23[[#All],[Claims: Professional, Primary Care (for Monitoring Purposes)]],AN_TME23[[#All],[Insurance Category Code]],7,AN_TME23[[#All],[Advanced Network/Insurance Carrier Org ID]],B254)/S254)</f>
        <v>NA</v>
      </c>
      <c r="X254" s="494" t="str">
        <f>IF(S254=0,"NA",SUMIFS(AN_TME23[[#All],[Claims: Professional, Specialty]],AN_TME23[[#All],[Insurance Category Code]],7,AN_TME23[[#All],[Advanced Network/Insurance Carrier Org ID]],B254)/S254)</f>
        <v>NA</v>
      </c>
      <c r="Y254" s="494" t="str">
        <f>IF(S254=0,"NA",SUMIFS(AN_TME23[[#All],[Claims: Professional Other]],AN_TME23[[#All],[Insurance Category Code]],7,AN_TME23[[#All],[Advanced Network/Insurance Carrier Org ID]],B254)/S254)</f>
        <v>NA</v>
      </c>
      <c r="Z254" s="494" t="str">
        <f>IF(S254=0,"NA",SUMIFS(AN_TME23[[#All],[Claims: Pharmacy]],AN_TME23[[#All],[Insurance Category Code]],7,AN_TME23[[#All],[Advanced Network/Insurance Carrier Org ID]],B254)/S254)</f>
        <v>NA</v>
      </c>
      <c r="AA254" s="494" t="str">
        <f>IF(S254=0,"NA",SUMIFS(AN_TME23[[#All],[Claims: Long-Term Care]],AN_TME23[[#All],[Insurance Category Code]],7,AN_TME23[[#All],[Advanced Network/Insurance Carrier Org ID]],B254)/S254)</f>
        <v>NA</v>
      </c>
      <c r="AB254" s="494" t="str">
        <f>IF(S254=0,"NA",SUMIFS(AN_TME23[[#All],[Claims: Other]],AN_TME23[[#All],[Insurance Category Code]],7,AN_TME23[[#All],[Advanced Network/Insurance Carrier Org ID]],B254)/S254)</f>
        <v>NA</v>
      </c>
      <c r="AC254" s="495" t="str">
        <f>IF(S254=0,"NA",SUMIFS(AN_TME23[[#All],[TOTAL Non-Truncated Unadjusted Claims Expenses]],AN_TME23[[#All],[Insurance Category Code]],7,AN_TME23[[#All],[Advanced Network/Insurance Carrier Org ID]],B254)/S254)</f>
        <v>NA</v>
      </c>
      <c r="AD254" s="495" t="str">
        <f>IF(S254=0,"NA",SUMIFS(AN_TME23[[#All],[TOTAL Truncated Unadjusted Claims Expenses (A21 -A19)]],AN_TME23[[#All],[Insurance Category Code]],7,AN_TME23[[#All],[Advanced Network/Insurance Carrier Org ID]],B254)/S254)</f>
        <v>NA</v>
      </c>
      <c r="AE254" s="495" t="str">
        <f>IF(S254=0,"NA",SUMIFS(AN_TME23[[#All],[TOTAL Non-Claims Expenses]],AN_TME23[[#All],[Insurance Category Code]],7,AN_TME23[[#All],[Advanced Network/Insurance Carrier Org ID]],B254)/S254)</f>
        <v>NA</v>
      </c>
      <c r="AF254" s="495" t="str">
        <f>IF(S254=0,"NA",SUMIFS(AN_TME23[[#All],[TOTAL Non-Truncated Unadjusted Expenses (A21 + A23)]],AN_TME23[[#All],[Insurance Category Code]],7,AN_TME23[[#All],[Advanced Network/Insurance Carrier Org ID]],B254)/S254)</f>
        <v>NA</v>
      </c>
      <c r="AG254" s="496" t="str">
        <f>IF(S254=0,"NA",SUMIFS(AN_TME23[[#All],[TOTAL Truncated Unadjusted Expenses (A22 + A23)]],AN_TME23[[#All],[Insurance Category Code]],7,AN_TME23[[#All],[Advanced Network/Insurance Carrier Org ID]],B254)/S254)</f>
        <v>NA</v>
      </c>
      <c r="AH254" s="478" t="str">
        <f t="shared" si="323"/>
        <v>NA</v>
      </c>
      <c r="AI254" s="479" t="str">
        <f t="shared" si="324"/>
        <v>NA</v>
      </c>
      <c r="AJ254" s="480" t="str">
        <f t="shared" si="325"/>
        <v>NA</v>
      </c>
      <c r="AK254" s="480" t="str">
        <f t="shared" si="326"/>
        <v>NA</v>
      </c>
      <c r="AL254" s="480" t="str">
        <f t="shared" si="327"/>
        <v>NA</v>
      </c>
      <c r="AM254" s="480" t="str">
        <f t="shared" si="328"/>
        <v>NA</v>
      </c>
      <c r="AN254" s="480" t="str">
        <f t="shared" si="329"/>
        <v>NA</v>
      </c>
      <c r="AO254" s="480" t="str">
        <f t="shared" si="330"/>
        <v>NA</v>
      </c>
      <c r="AP254" s="480" t="str">
        <f t="shared" si="331"/>
        <v>NA</v>
      </c>
      <c r="AQ254" s="480" t="str">
        <f t="shared" si="332"/>
        <v>NA</v>
      </c>
      <c r="AR254" s="481" t="str">
        <f t="shared" si="333"/>
        <v>NA</v>
      </c>
      <c r="AS254" s="481" t="str">
        <f t="shared" si="334"/>
        <v>NA</v>
      </c>
      <c r="AT254" s="481" t="str">
        <f t="shared" si="335"/>
        <v>NA</v>
      </c>
      <c r="AU254" s="481" t="str">
        <f t="shared" si="336"/>
        <v>NA</v>
      </c>
      <c r="AV254" s="482" t="str">
        <f t="shared" si="337"/>
        <v>NA</v>
      </c>
    </row>
    <row r="255" spans="1:48" ht="15" customHeight="1" x14ac:dyDescent="0.25">
      <c r="A255" s="164"/>
      <c r="B255" s="166">
        <v>120</v>
      </c>
      <c r="C255" s="169" t="str">
        <f>_xlfn.XLOOKUP(B255, LgProvEntOrgIDs[Advanced Network/Insurer Carrier Org ID], LgProvEntOrgIDs[Advanced Network/Insurance Carrier Overall])</f>
        <v>First Choice Community Health Centers</v>
      </c>
      <c r="D255" s="507">
        <f>SUMIFS(AN_TME22[[#All],[Member Months]],AN_TME22[[#All],[Insurance Category Code]],7,AN_TME22[[#All],[Advanced Network/Insurance Carrier Org ID]],B255)</f>
        <v>0</v>
      </c>
      <c r="E255" s="155" t="str">
        <f>IF(D255=0,"NA",SUMIFS(AN_TME22[[#All],[Claims: Hospital Inpatient]],AN_TME22[[#All],[Insurance Category Code]],7,AN_TME22[[#All],[Advanced Network/Insurance Carrier Org ID]],B255)/D255)</f>
        <v>NA</v>
      </c>
      <c r="F255" s="109" t="str">
        <f>IF(D255=0,"NA",SUMIFS(AN_TME22[[#All],[Claims: Hospital Outpatient]],AN_TME22[[#All],[Insurance Category Code]],7,AN_TME22[[#All],[Advanced Network/Insurance Carrier Org ID]],B255)/D255)</f>
        <v>NA</v>
      </c>
      <c r="G255" s="109" t="str">
        <f>IF(D255=0,"NA",SUMIFS(AN_TME22[[#All],[Claims: Professional, Primary Care]],AN_TME22[[#All],[Insurance Category Code]],7,AN_TME22[[#All],[Advanced Network/Insurance Carrier Org ID]],B255)/D255)</f>
        <v>NA</v>
      </c>
      <c r="H255" s="109" t="str">
        <f>IF(D255=0,"NA",SUMIFS(AN_TME22[[#All],[Claims: Professional, Primary Care (for Monitoring Purposes)]],AN_TME22[[#All],[Insurance Category Code]],7,AN_TME22[[#All],[Advanced Network/Insurance Carrier Org ID]],B255)/D255)</f>
        <v>NA</v>
      </c>
      <c r="I255" s="109" t="str">
        <f>IF(D255=0,"NA",SUMIFS(AN_TME22[[#All],[Claims: Professional, Specialty]],AN_TME22[[#All],[Insurance Category Code]],7,AN_TME22[[#All],[Advanced Network/Insurance Carrier Org ID]],B255)/D255)</f>
        <v>NA</v>
      </c>
      <c r="J255" s="109" t="str">
        <f>IF(D255=0,"NA",SUMIFS(AN_TME22[[#All],[Claims: Professional Other]],AN_TME22[[#All],[Insurance Category Code]],7,AN_TME22[[#All],[Advanced Network/Insurance Carrier Org ID]],B255)/D255)</f>
        <v>NA</v>
      </c>
      <c r="K255" s="109" t="str">
        <f>IF(D255=0,"NA",SUMIFS(AN_TME22[[#All],[Claims: Pharmacy]],AN_TME22[[#All],[Insurance Category Code]],7,AN_TME22[[#All],[Advanced Network/Insurance Carrier Org ID]],B255)/D255)</f>
        <v>NA</v>
      </c>
      <c r="L255" s="109" t="str">
        <f>IF(D255=0,"NA",SUMIFS(AN_TME22[[#All],[Claims: Long-Term Care]],AN_TME22[[#All],[Insurance Category Code]],7,AN_TME22[[#All],[Advanced Network/Insurance Carrier Org ID]],B255)/D255)</f>
        <v>NA</v>
      </c>
      <c r="M255" s="109" t="str">
        <f>IF(D255=0,"NA",SUMIFS(AN_TME22[[#All],[Claims: Other]],AN_TME22[[#All],[Insurance Category Code]],7,AN_TME22[[#All],[Advanced Network/Insurance Carrier Org ID]],B255)/D255)</f>
        <v>NA</v>
      </c>
      <c r="N255" s="165" t="str">
        <f>IF(D255=0,"NA",SUMIFS(AN_TME22[[#All],[TOTAL Non-Truncated Unadjusted Claims Expenses]],AN_TME22[[#All],[Insurance Category Code]],7,AN_TME22[[#All],[Advanced Network/Insurance Carrier Org ID]],B255)/D255)</f>
        <v>NA</v>
      </c>
      <c r="O255" s="165" t="str">
        <f>IF(D255=0,"NA",SUMIFS(AN_TME22[[#All],[TOTAL Truncated Unadjusted Claims Expenses (A21 -A19)]],AN_TME22[[#All],[Insurance Category Code]],7,AN_TME22[[#All],[Advanced Network/Insurance Carrier Org ID]],B255)/D255)</f>
        <v>NA</v>
      </c>
      <c r="P255" s="165" t="str">
        <f>IF(D255=0,"NA",SUMIFS(AN_TME22[[#All],[TOTAL Non-Claims Expenses]],AN_TME22[[#All],[Insurance Category Code]],7,AN_TME22[[#All],[Advanced Network/Insurance Carrier Org ID]],B255)/D255)</f>
        <v>NA</v>
      </c>
      <c r="Q255" s="165" t="str">
        <f>IF(D255=0,"NA",SUMIFS(AN_TME22[[#All],[TOTAL Non-Truncated Unadjusted Expenses (A21 + A23)]],AN_TME22[[#All],[Insurance Category Code]],7,AN_TME22[[#All],[Advanced Network/Insurance Carrier Org ID]],B255)/D255)</f>
        <v>NA</v>
      </c>
      <c r="R255" s="165" t="str">
        <f>IF(D255=0,"NA",SUMIFS(AN_TME22[[#All],[TOTAL Truncated Unadjusted Expenses (A22 + A23)]],AN_TME22[[#All],[Insurance Category Code]],7,AN_TME22[[#All],[Advanced Network/Insurance Carrier Org ID]],B255)/D255)</f>
        <v>NA</v>
      </c>
      <c r="S255" s="504">
        <f>SUMIFS(AN_TME23[[#All],[Member Months]],AN_TME23[[#All],[Insurance Category Code]],7,AN_TME23[[#All],[Advanced Network/Insurance Carrier Org ID]],B255)</f>
        <v>0</v>
      </c>
      <c r="T255" s="493" t="str">
        <f>IF(S255=0,"NA",SUMIFS(AN_TME23[[#All],[Claims: Hospital Inpatient]],AN_TME23[[#All],[Insurance Category Code]],7,AN_TME23[[#All],[Advanced Network/Insurance Carrier Org ID]],B255)/S255)</f>
        <v>NA</v>
      </c>
      <c r="U255" s="494" t="str">
        <f>IF(S255=0,"NA",SUMIFS(AN_TME23[[#All],[Claims: Hospital Outpatient]],AN_TME23[[#All],[Insurance Category Code]],7,AN_TME23[[#All],[Advanced Network/Insurance Carrier Org ID]],B255)/S255)</f>
        <v>NA</v>
      </c>
      <c r="V255" s="494" t="str">
        <f>IF(S255=0,"NA",SUMIFS(AN_TME23[[#All],[Claims: Professional, Primary Care]],AN_TME23[[#All],[Insurance Category Code]],7,AN_TME23[[#All],[Advanced Network/Insurance Carrier Org ID]],B255)/S255)</f>
        <v>NA</v>
      </c>
      <c r="W255" s="494" t="str">
        <f>IF(S255=0,"NA",SUMIFS(AN_TME23[[#All],[Claims: Professional, Primary Care (for Monitoring Purposes)]],AN_TME23[[#All],[Insurance Category Code]],7,AN_TME23[[#All],[Advanced Network/Insurance Carrier Org ID]],B255)/S255)</f>
        <v>NA</v>
      </c>
      <c r="X255" s="494" t="str">
        <f>IF(S255=0,"NA",SUMIFS(AN_TME23[[#All],[Claims: Professional, Specialty]],AN_TME23[[#All],[Insurance Category Code]],7,AN_TME23[[#All],[Advanced Network/Insurance Carrier Org ID]],B255)/S255)</f>
        <v>NA</v>
      </c>
      <c r="Y255" s="494" t="str">
        <f>IF(S255=0,"NA",SUMIFS(AN_TME23[[#All],[Claims: Professional Other]],AN_TME23[[#All],[Insurance Category Code]],7,AN_TME23[[#All],[Advanced Network/Insurance Carrier Org ID]],B255)/S255)</f>
        <v>NA</v>
      </c>
      <c r="Z255" s="494" t="str">
        <f>IF(S255=0,"NA",SUMIFS(AN_TME23[[#All],[Claims: Pharmacy]],AN_TME23[[#All],[Insurance Category Code]],7,AN_TME23[[#All],[Advanced Network/Insurance Carrier Org ID]],B255)/S255)</f>
        <v>NA</v>
      </c>
      <c r="AA255" s="494" t="str">
        <f>IF(S255=0,"NA",SUMIFS(AN_TME23[[#All],[Claims: Long-Term Care]],AN_TME23[[#All],[Insurance Category Code]],7,AN_TME23[[#All],[Advanced Network/Insurance Carrier Org ID]],B255)/S255)</f>
        <v>NA</v>
      </c>
      <c r="AB255" s="494" t="str">
        <f>IF(S255=0,"NA",SUMIFS(AN_TME23[[#All],[Claims: Other]],AN_TME23[[#All],[Insurance Category Code]],7,AN_TME23[[#All],[Advanced Network/Insurance Carrier Org ID]],B255)/S255)</f>
        <v>NA</v>
      </c>
      <c r="AC255" s="495" t="str">
        <f>IF(S255=0,"NA",SUMIFS(AN_TME23[[#All],[TOTAL Non-Truncated Unadjusted Claims Expenses]],AN_TME23[[#All],[Insurance Category Code]],7,AN_TME23[[#All],[Advanced Network/Insurance Carrier Org ID]],B255)/S255)</f>
        <v>NA</v>
      </c>
      <c r="AD255" s="495" t="str">
        <f>IF(S255=0,"NA",SUMIFS(AN_TME23[[#All],[TOTAL Truncated Unadjusted Claims Expenses (A21 -A19)]],AN_TME23[[#All],[Insurance Category Code]],7,AN_TME23[[#All],[Advanced Network/Insurance Carrier Org ID]],B255)/S255)</f>
        <v>NA</v>
      </c>
      <c r="AE255" s="495" t="str">
        <f>IF(S255=0,"NA",SUMIFS(AN_TME23[[#All],[TOTAL Non-Claims Expenses]],AN_TME23[[#All],[Insurance Category Code]],7,AN_TME23[[#All],[Advanced Network/Insurance Carrier Org ID]],B255)/S255)</f>
        <v>NA</v>
      </c>
      <c r="AF255" s="495" t="str">
        <f>IF(S255=0,"NA",SUMIFS(AN_TME23[[#All],[TOTAL Non-Truncated Unadjusted Expenses (A21 + A23)]],AN_TME23[[#All],[Insurance Category Code]],7,AN_TME23[[#All],[Advanced Network/Insurance Carrier Org ID]],B255)/S255)</f>
        <v>NA</v>
      </c>
      <c r="AG255" s="496" t="str">
        <f>IF(S255=0,"NA",SUMIFS(AN_TME23[[#All],[TOTAL Truncated Unadjusted Expenses (A22 + A23)]],AN_TME23[[#All],[Insurance Category Code]],7,AN_TME23[[#All],[Advanced Network/Insurance Carrier Org ID]],B255)/S255)</f>
        <v>NA</v>
      </c>
      <c r="AH255" s="478" t="str">
        <f t="shared" si="323"/>
        <v>NA</v>
      </c>
      <c r="AI255" s="479" t="str">
        <f t="shared" si="324"/>
        <v>NA</v>
      </c>
      <c r="AJ255" s="480" t="str">
        <f t="shared" si="325"/>
        <v>NA</v>
      </c>
      <c r="AK255" s="480" t="str">
        <f t="shared" si="326"/>
        <v>NA</v>
      </c>
      <c r="AL255" s="480" t="str">
        <f t="shared" si="327"/>
        <v>NA</v>
      </c>
      <c r="AM255" s="480" t="str">
        <f t="shared" si="328"/>
        <v>NA</v>
      </c>
      <c r="AN255" s="480" t="str">
        <f t="shared" si="329"/>
        <v>NA</v>
      </c>
      <c r="AO255" s="480" t="str">
        <f t="shared" si="330"/>
        <v>NA</v>
      </c>
      <c r="AP255" s="480" t="str">
        <f t="shared" si="331"/>
        <v>NA</v>
      </c>
      <c r="AQ255" s="480" t="str">
        <f t="shared" si="332"/>
        <v>NA</v>
      </c>
      <c r="AR255" s="481" t="str">
        <f t="shared" si="333"/>
        <v>NA</v>
      </c>
      <c r="AS255" s="481" t="str">
        <f t="shared" si="334"/>
        <v>NA</v>
      </c>
      <c r="AT255" s="481" t="str">
        <f t="shared" si="335"/>
        <v>NA</v>
      </c>
      <c r="AU255" s="481" t="str">
        <f t="shared" si="336"/>
        <v>NA</v>
      </c>
      <c r="AV255" s="482" t="str">
        <f t="shared" si="337"/>
        <v>NA</v>
      </c>
    </row>
    <row r="256" spans="1:48" ht="15" customHeight="1" x14ac:dyDescent="0.25">
      <c r="A256" s="164"/>
      <c r="B256" s="166">
        <v>121</v>
      </c>
      <c r="C256" s="169" t="str">
        <f>_xlfn.XLOOKUP(B256, LgProvEntOrgIDs[Advanced Network/Insurer Carrier Org ID], LgProvEntOrgIDs[Advanced Network/Insurance Carrier Overall])</f>
        <v>Generations Family Health Center</v>
      </c>
      <c r="D256" s="507">
        <f>SUMIFS(AN_TME22[[#All],[Member Months]],AN_TME22[[#All],[Insurance Category Code]],7,AN_TME22[[#All],[Advanced Network/Insurance Carrier Org ID]],B256)</f>
        <v>0</v>
      </c>
      <c r="E256" s="155" t="str">
        <f>IF(D256=0,"NA",SUMIFS(AN_TME22[[#All],[Claims: Hospital Inpatient]],AN_TME22[[#All],[Insurance Category Code]],7,AN_TME22[[#All],[Advanced Network/Insurance Carrier Org ID]],B256)/D256)</f>
        <v>NA</v>
      </c>
      <c r="F256" s="109" t="str">
        <f>IF(D256=0,"NA",SUMIFS(AN_TME22[[#All],[Claims: Hospital Outpatient]],AN_TME22[[#All],[Insurance Category Code]],7,AN_TME22[[#All],[Advanced Network/Insurance Carrier Org ID]],B256)/D256)</f>
        <v>NA</v>
      </c>
      <c r="G256" s="109" t="str">
        <f>IF(D256=0,"NA",SUMIFS(AN_TME22[[#All],[Claims: Professional, Primary Care]],AN_TME22[[#All],[Insurance Category Code]],7,AN_TME22[[#All],[Advanced Network/Insurance Carrier Org ID]],B256)/D256)</f>
        <v>NA</v>
      </c>
      <c r="H256" s="109" t="str">
        <f>IF(D256=0,"NA",SUMIFS(AN_TME22[[#All],[Claims: Professional, Primary Care (for Monitoring Purposes)]],AN_TME22[[#All],[Insurance Category Code]],7,AN_TME22[[#All],[Advanced Network/Insurance Carrier Org ID]],B256)/D256)</f>
        <v>NA</v>
      </c>
      <c r="I256" s="109" t="str">
        <f>IF(D256=0,"NA",SUMIFS(AN_TME22[[#All],[Claims: Professional, Specialty]],AN_TME22[[#All],[Insurance Category Code]],7,AN_TME22[[#All],[Advanced Network/Insurance Carrier Org ID]],B256)/D256)</f>
        <v>NA</v>
      </c>
      <c r="J256" s="109" t="str">
        <f>IF(D256=0,"NA",SUMIFS(AN_TME22[[#All],[Claims: Professional Other]],AN_TME22[[#All],[Insurance Category Code]],7,AN_TME22[[#All],[Advanced Network/Insurance Carrier Org ID]],B256)/D256)</f>
        <v>NA</v>
      </c>
      <c r="K256" s="109" t="str">
        <f>IF(D256=0,"NA",SUMIFS(AN_TME22[[#All],[Claims: Pharmacy]],AN_TME22[[#All],[Insurance Category Code]],7,AN_TME22[[#All],[Advanced Network/Insurance Carrier Org ID]],B256)/D256)</f>
        <v>NA</v>
      </c>
      <c r="L256" s="109" t="str">
        <f>IF(D256=0,"NA",SUMIFS(AN_TME22[[#All],[Claims: Long-Term Care]],AN_TME22[[#All],[Insurance Category Code]],7,AN_TME22[[#All],[Advanced Network/Insurance Carrier Org ID]],B256)/D256)</f>
        <v>NA</v>
      </c>
      <c r="M256" s="109" t="str">
        <f>IF(D256=0,"NA",SUMIFS(AN_TME22[[#All],[Claims: Other]],AN_TME22[[#All],[Insurance Category Code]],7,AN_TME22[[#All],[Advanced Network/Insurance Carrier Org ID]],B256)/D256)</f>
        <v>NA</v>
      </c>
      <c r="N256" s="165" t="str">
        <f>IF(D256=0,"NA",SUMIFS(AN_TME22[[#All],[TOTAL Non-Truncated Unadjusted Claims Expenses]],AN_TME22[[#All],[Insurance Category Code]],7,AN_TME22[[#All],[Advanced Network/Insurance Carrier Org ID]],B256)/D256)</f>
        <v>NA</v>
      </c>
      <c r="O256" s="165" t="str">
        <f>IF(D256=0,"NA",SUMIFS(AN_TME22[[#All],[TOTAL Truncated Unadjusted Claims Expenses (A21 -A19)]],AN_TME22[[#All],[Insurance Category Code]],7,AN_TME22[[#All],[Advanced Network/Insurance Carrier Org ID]],B256)/D256)</f>
        <v>NA</v>
      </c>
      <c r="P256" s="165" t="str">
        <f>IF(D256=0,"NA",SUMIFS(AN_TME22[[#All],[TOTAL Non-Claims Expenses]],AN_TME22[[#All],[Insurance Category Code]],7,AN_TME22[[#All],[Advanced Network/Insurance Carrier Org ID]],B256)/D256)</f>
        <v>NA</v>
      </c>
      <c r="Q256" s="165" t="str">
        <f>IF(D256=0,"NA",SUMIFS(AN_TME22[[#All],[TOTAL Non-Truncated Unadjusted Expenses (A21 + A23)]],AN_TME22[[#All],[Insurance Category Code]],7,AN_TME22[[#All],[Advanced Network/Insurance Carrier Org ID]],B256)/D256)</f>
        <v>NA</v>
      </c>
      <c r="R256" s="165" t="str">
        <f>IF(D256=0,"NA",SUMIFS(AN_TME22[[#All],[TOTAL Truncated Unadjusted Expenses (A22 + A23)]],AN_TME22[[#All],[Insurance Category Code]],7,AN_TME22[[#All],[Advanced Network/Insurance Carrier Org ID]],B256)/D256)</f>
        <v>NA</v>
      </c>
      <c r="S256" s="504">
        <f>SUMIFS(AN_TME23[[#All],[Member Months]],AN_TME23[[#All],[Insurance Category Code]],7,AN_TME23[[#All],[Advanced Network/Insurance Carrier Org ID]],B256)</f>
        <v>0</v>
      </c>
      <c r="T256" s="493" t="str">
        <f>IF(S256=0,"NA",SUMIFS(AN_TME23[[#All],[Claims: Hospital Inpatient]],AN_TME23[[#All],[Insurance Category Code]],7,AN_TME23[[#All],[Advanced Network/Insurance Carrier Org ID]],B256)/S256)</f>
        <v>NA</v>
      </c>
      <c r="U256" s="494" t="str">
        <f>IF(S256=0,"NA",SUMIFS(AN_TME23[[#All],[Claims: Hospital Outpatient]],AN_TME23[[#All],[Insurance Category Code]],7,AN_TME23[[#All],[Advanced Network/Insurance Carrier Org ID]],B256)/S256)</f>
        <v>NA</v>
      </c>
      <c r="V256" s="494" t="str">
        <f>IF(S256=0,"NA",SUMIFS(AN_TME23[[#All],[Claims: Professional, Primary Care]],AN_TME23[[#All],[Insurance Category Code]],7,AN_TME23[[#All],[Advanced Network/Insurance Carrier Org ID]],B256)/S256)</f>
        <v>NA</v>
      </c>
      <c r="W256" s="494" t="str">
        <f>IF(S256=0,"NA",SUMIFS(AN_TME23[[#All],[Claims: Professional, Primary Care (for Monitoring Purposes)]],AN_TME23[[#All],[Insurance Category Code]],7,AN_TME23[[#All],[Advanced Network/Insurance Carrier Org ID]],B256)/S256)</f>
        <v>NA</v>
      </c>
      <c r="X256" s="494" t="str">
        <f>IF(S256=0,"NA",SUMIFS(AN_TME23[[#All],[Claims: Professional, Specialty]],AN_TME23[[#All],[Insurance Category Code]],7,AN_TME23[[#All],[Advanced Network/Insurance Carrier Org ID]],B256)/S256)</f>
        <v>NA</v>
      </c>
      <c r="Y256" s="494" t="str">
        <f>IF(S256=0,"NA",SUMIFS(AN_TME23[[#All],[Claims: Professional Other]],AN_TME23[[#All],[Insurance Category Code]],7,AN_TME23[[#All],[Advanced Network/Insurance Carrier Org ID]],B256)/S256)</f>
        <v>NA</v>
      </c>
      <c r="Z256" s="494" t="str">
        <f>IF(S256=0,"NA",SUMIFS(AN_TME23[[#All],[Claims: Pharmacy]],AN_TME23[[#All],[Insurance Category Code]],7,AN_TME23[[#All],[Advanced Network/Insurance Carrier Org ID]],B256)/S256)</f>
        <v>NA</v>
      </c>
      <c r="AA256" s="494" t="str">
        <f>IF(S256=0,"NA",SUMIFS(AN_TME23[[#All],[Claims: Long-Term Care]],AN_TME23[[#All],[Insurance Category Code]],7,AN_TME23[[#All],[Advanced Network/Insurance Carrier Org ID]],B256)/S256)</f>
        <v>NA</v>
      </c>
      <c r="AB256" s="494" t="str">
        <f>IF(S256=0,"NA",SUMIFS(AN_TME23[[#All],[Claims: Other]],AN_TME23[[#All],[Insurance Category Code]],7,AN_TME23[[#All],[Advanced Network/Insurance Carrier Org ID]],B256)/S256)</f>
        <v>NA</v>
      </c>
      <c r="AC256" s="495" t="str">
        <f>IF(S256=0,"NA",SUMIFS(AN_TME23[[#All],[TOTAL Non-Truncated Unadjusted Claims Expenses]],AN_TME23[[#All],[Insurance Category Code]],7,AN_TME23[[#All],[Advanced Network/Insurance Carrier Org ID]],B256)/S256)</f>
        <v>NA</v>
      </c>
      <c r="AD256" s="495" t="str">
        <f>IF(S256=0,"NA",SUMIFS(AN_TME23[[#All],[TOTAL Truncated Unadjusted Claims Expenses (A21 -A19)]],AN_TME23[[#All],[Insurance Category Code]],7,AN_TME23[[#All],[Advanced Network/Insurance Carrier Org ID]],B256)/S256)</f>
        <v>NA</v>
      </c>
      <c r="AE256" s="495" t="str">
        <f>IF(S256=0,"NA",SUMIFS(AN_TME23[[#All],[TOTAL Non-Claims Expenses]],AN_TME23[[#All],[Insurance Category Code]],7,AN_TME23[[#All],[Advanced Network/Insurance Carrier Org ID]],B256)/S256)</f>
        <v>NA</v>
      </c>
      <c r="AF256" s="495" t="str">
        <f>IF(S256=0,"NA",SUMIFS(AN_TME23[[#All],[TOTAL Non-Truncated Unadjusted Expenses (A21 + A23)]],AN_TME23[[#All],[Insurance Category Code]],7,AN_TME23[[#All],[Advanced Network/Insurance Carrier Org ID]],B256)/S256)</f>
        <v>NA</v>
      </c>
      <c r="AG256" s="496" t="str">
        <f>IF(S256=0,"NA",SUMIFS(AN_TME23[[#All],[TOTAL Truncated Unadjusted Expenses (A22 + A23)]],AN_TME23[[#All],[Insurance Category Code]],7,AN_TME23[[#All],[Advanced Network/Insurance Carrier Org ID]],B256)/S256)</f>
        <v>NA</v>
      </c>
      <c r="AH256" s="478" t="str">
        <f t="shared" si="323"/>
        <v>NA</v>
      </c>
      <c r="AI256" s="479" t="str">
        <f t="shared" si="324"/>
        <v>NA</v>
      </c>
      <c r="AJ256" s="480" t="str">
        <f t="shared" si="325"/>
        <v>NA</v>
      </c>
      <c r="AK256" s="480" t="str">
        <f t="shared" si="326"/>
        <v>NA</v>
      </c>
      <c r="AL256" s="480" t="str">
        <f t="shared" si="327"/>
        <v>NA</v>
      </c>
      <c r="AM256" s="480" t="str">
        <f t="shared" si="328"/>
        <v>NA</v>
      </c>
      <c r="AN256" s="480" t="str">
        <f t="shared" si="329"/>
        <v>NA</v>
      </c>
      <c r="AO256" s="480" t="str">
        <f t="shared" si="330"/>
        <v>NA</v>
      </c>
      <c r="AP256" s="480" t="str">
        <f t="shared" si="331"/>
        <v>NA</v>
      </c>
      <c r="AQ256" s="480" t="str">
        <f t="shared" si="332"/>
        <v>NA</v>
      </c>
      <c r="AR256" s="481" t="str">
        <f t="shared" si="333"/>
        <v>NA</v>
      </c>
      <c r="AS256" s="481" t="str">
        <f t="shared" si="334"/>
        <v>NA</v>
      </c>
      <c r="AT256" s="481" t="str">
        <f t="shared" si="335"/>
        <v>NA</v>
      </c>
      <c r="AU256" s="481" t="str">
        <f t="shared" si="336"/>
        <v>NA</v>
      </c>
      <c r="AV256" s="482" t="str">
        <f t="shared" si="337"/>
        <v>NA</v>
      </c>
    </row>
    <row r="257" spans="1:48" ht="15" customHeight="1" x14ac:dyDescent="0.25">
      <c r="A257" s="164"/>
      <c r="B257" s="166">
        <v>122</v>
      </c>
      <c r="C257" s="169" t="str">
        <f>_xlfn.XLOOKUP(B257, LgProvEntOrgIDs[Advanced Network/Insurer Carrier Org ID], LgProvEntOrgIDs[Advanced Network/Insurance Carrier Overall])</f>
        <v>Norwalk Community Health Center</v>
      </c>
      <c r="D257" s="507">
        <f>SUMIFS(AN_TME22[[#All],[Member Months]],AN_TME22[[#All],[Insurance Category Code]],7,AN_TME22[[#All],[Advanced Network/Insurance Carrier Org ID]],B257)</f>
        <v>0</v>
      </c>
      <c r="E257" s="155" t="str">
        <f>IF(D257=0,"NA",SUMIFS(AN_TME22[[#All],[Claims: Hospital Inpatient]],AN_TME22[[#All],[Insurance Category Code]],7,AN_TME22[[#All],[Advanced Network/Insurance Carrier Org ID]],B257)/D257)</f>
        <v>NA</v>
      </c>
      <c r="F257" s="109" t="str">
        <f>IF(D257=0,"NA",SUMIFS(AN_TME22[[#All],[Claims: Hospital Outpatient]],AN_TME22[[#All],[Insurance Category Code]],7,AN_TME22[[#All],[Advanced Network/Insurance Carrier Org ID]],B257)/D257)</f>
        <v>NA</v>
      </c>
      <c r="G257" s="109" t="str">
        <f>IF(D257=0,"NA",SUMIFS(AN_TME22[[#All],[Claims: Professional, Primary Care]],AN_TME22[[#All],[Insurance Category Code]],7,AN_TME22[[#All],[Advanced Network/Insurance Carrier Org ID]],B257)/D257)</f>
        <v>NA</v>
      </c>
      <c r="H257" s="109" t="str">
        <f>IF(D257=0,"NA",SUMIFS(AN_TME22[[#All],[Claims: Professional, Primary Care (for Monitoring Purposes)]],AN_TME22[[#All],[Insurance Category Code]],7,AN_TME22[[#All],[Advanced Network/Insurance Carrier Org ID]],B257)/D257)</f>
        <v>NA</v>
      </c>
      <c r="I257" s="109" t="str">
        <f>IF(D257=0,"NA",SUMIFS(AN_TME22[[#All],[Claims: Professional, Specialty]],AN_TME22[[#All],[Insurance Category Code]],7,AN_TME22[[#All],[Advanced Network/Insurance Carrier Org ID]],B257)/D257)</f>
        <v>NA</v>
      </c>
      <c r="J257" s="109" t="str">
        <f>IF(D257=0,"NA",SUMIFS(AN_TME22[[#All],[Claims: Professional Other]],AN_TME22[[#All],[Insurance Category Code]],7,AN_TME22[[#All],[Advanced Network/Insurance Carrier Org ID]],B257)/D257)</f>
        <v>NA</v>
      </c>
      <c r="K257" s="109" t="str">
        <f>IF(D257=0,"NA",SUMIFS(AN_TME22[[#All],[Claims: Pharmacy]],AN_TME22[[#All],[Insurance Category Code]],7,AN_TME22[[#All],[Advanced Network/Insurance Carrier Org ID]],B257)/D257)</f>
        <v>NA</v>
      </c>
      <c r="L257" s="109" t="str">
        <f>IF(D257=0,"NA",SUMIFS(AN_TME22[[#All],[Claims: Long-Term Care]],AN_TME22[[#All],[Insurance Category Code]],7,AN_TME22[[#All],[Advanced Network/Insurance Carrier Org ID]],B257)/D257)</f>
        <v>NA</v>
      </c>
      <c r="M257" s="109" t="str">
        <f>IF(D257=0,"NA",SUMIFS(AN_TME22[[#All],[Claims: Other]],AN_TME22[[#All],[Insurance Category Code]],7,AN_TME22[[#All],[Advanced Network/Insurance Carrier Org ID]],B257)/D257)</f>
        <v>NA</v>
      </c>
      <c r="N257" s="165" t="str">
        <f>IF(D257=0,"NA",SUMIFS(AN_TME22[[#All],[TOTAL Non-Truncated Unadjusted Claims Expenses]],AN_TME22[[#All],[Insurance Category Code]],7,AN_TME22[[#All],[Advanced Network/Insurance Carrier Org ID]],B257)/D257)</f>
        <v>NA</v>
      </c>
      <c r="O257" s="165" t="str">
        <f>IF(D257=0,"NA",SUMIFS(AN_TME22[[#All],[TOTAL Truncated Unadjusted Claims Expenses (A21 -A19)]],AN_TME22[[#All],[Insurance Category Code]],7,AN_TME22[[#All],[Advanced Network/Insurance Carrier Org ID]],B257)/D257)</f>
        <v>NA</v>
      </c>
      <c r="P257" s="165" t="str">
        <f>IF(D257=0,"NA",SUMIFS(AN_TME22[[#All],[TOTAL Non-Claims Expenses]],AN_TME22[[#All],[Insurance Category Code]],7,AN_TME22[[#All],[Advanced Network/Insurance Carrier Org ID]],B257)/D257)</f>
        <v>NA</v>
      </c>
      <c r="Q257" s="165" t="str">
        <f>IF(D257=0,"NA",SUMIFS(AN_TME22[[#All],[TOTAL Non-Truncated Unadjusted Expenses (A21 + A23)]],AN_TME22[[#All],[Insurance Category Code]],7,AN_TME22[[#All],[Advanced Network/Insurance Carrier Org ID]],B257)/D257)</f>
        <v>NA</v>
      </c>
      <c r="R257" s="165" t="str">
        <f>IF(D257=0,"NA",SUMIFS(AN_TME22[[#All],[TOTAL Truncated Unadjusted Expenses (A22 + A23)]],AN_TME22[[#All],[Insurance Category Code]],7,AN_TME22[[#All],[Advanced Network/Insurance Carrier Org ID]],B257)/D257)</f>
        <v>NA</v>
      </c>
      <c r="S257" s="504">
        <f>SUMIFS(AN_TME23[[#All],[Member Months]],AN_TME23[[#All],[Insurance Category Code]],7,AN_TME23[[#All],[Advanced Network/Insurance Carrier Org ID]],B257)</f>
        <v>0</v>
      </c>
      <c r="T257" s="493" t="str">
        <f>IF(S257=0,"NA",SUMIFS(AN_TME23[[#All],[Claims: Hospital Inpatient]],AN_TME23[[#All],[Insurance Category Code]],7,AN_TME23[[#All],[Advanced Network/Insurance Carrier Org ID]],B257)/S257)</f>
        <v>NA</v>
      </c>
      <c r="U257" s="494" t="str">
        <f>IF(S257=0,"NA",SUMIFS(AN_TME23[[#All],[Claims: Hospital Outpatient]],AN_TME23[[#All],[Insurance Category Code]],7,AN_TME23[[#All],[Advanced Network/Insurance Carrier Org ID]],B257)/S257)</f>
        <v>NA</v>
      </c>
      <c r="V257" s="494" t="str">
        <f>IF(S257=0,"NA",SUMIFS(AN_TME23[[#All],[Claims: Professional, Primary Care]],AN_TME23[[#All],[Insurance Category Code]],7,AN_TME23[[#All],[Advanced Network/Insurance Carrier Org ID]],B257)/S257)</f>
        <v>NA</v>
      </c>
      <c r="W257" s="494" t="str">
        <f>IF(S257=0,"NA",SUMIFS(AN_TME23[[#All],[Claims: Professional, Primary Care (for Monitoring Purposes)]],AN_TME23[[#All],[Insurance Category Code]],7,AN_TME23[[#All],[Advanced Network/Insurance Carrier Org ID]],B257)/S257)</f>
        <v>NA</v>
      </c>
      <c r="X257" s="494" t="str">
        <f>IF(S257=0,"NA",SUMIFS(AN_TME23[[#All],[Claims: Professional, Specialty]],AN_TME23[[#All],[Insurance Category Code]],7,AN_TME23[[#All],[Advanced Network/Insurance Carrier Org ID]],B257)/S257)</f>
        <v>NA</v>
      </c>
      <c r="Y257" s="494" t="str">
        <f>IF(S257=0,"NA",SUMIFS(AN_TME23[[#All],[Claims: Professional Other]],AN_TME23[[#All],[Insurance Category Code]],7,AN_TME23[[#All],[Advanced Network/Insurance Carrier Org ID]],B257)/S257)</f>
        <v>NA</v>
      </c>
      <c r="Z257" s="494" t="str">
        <f>IF(S257=0,"NA",SUMIFS(AN_TME23[[#All],[Claims: Pharmacy]],AN_TME23[[#All],[Insurance Category Code]],7,AN_TME23[[#All],[Advanced Network/Insurance Carrier Org ID]],B257)/S257)</f>
        <v>NA</v>
      </c>
      <c r="AA257" s="494" t="str">
        <f>IF(S257=0,"NA",SUMIFS(AN_TME23[[#All],[Claims: Long-Term Care]],AN_TME23[[#All],[Insurance Category Code]],7,AN_TME23[[#All],[Advanced Network/Insurance Carrier Org ID]],B257)/S257)</f>
        <v>NA</v>
      </c>
      <c r="AB257" s="494" t="str">
        <f>IF(S257=0,"NA",SUMIFS(AN_TME23[[#All],[Claims: Other]],AN_TME23[[#All],[Insurance Category Code]],7,AN_TME23[[#All],[Advanced Network/Insurance Carrier Org ID]],B257)/S257)</f>
        <v>NA</v>
      </c>
      <c r="AC257" s="495" t="str">
        <f>IF(S257=0,"NA",SUMIFS(AN_TME23[[#All],[TOTAL Non-Truncated Unadjusted Claims Expenses]],AN_TME23[[#All],[Insurance Category Code]],7,AN_TME23[[#All],[Advanced Network/Insurance Carrier Org ID]],B257)/S257)</f>
        <v>NA</v>
      </c>
      <c r="AD257" s="495" t="str">
        <f>IF(S257=0,"NA",SUMIFS(AN_TME23[[#All],[TOTAL Truncated Unadjusted Claims Expenses (A21 -A19)]],AN_TME23[[#All],[Insurance Category Code]],7,AN_TME23[[#All],[Advanced Network/Insurance Carrier Org ID]],B257)/S257)</f>
        <v>NA</v>
      </c>
      <c r="AE257" s="495" t="str">
        <f>IF(S257=0,"NA",SUMIFS(AN_TME23[[#All],[TOTAL Non-Claims Expenses]],AN_TME23[[#All],[Insurance Category Code]],7,AN_TME23[[#All],[Advanced Network/Insurance Carrier Org ID]],B257)/S257)</f>
        <v>NA</v>
      </c>
      <c r="AF257" s="495" t="str">
        <f>IF(S257=0,"NA",SUMIFS(AN_TME23[[#All],[TOTAL Non-Truncated Unadjusted Expenses (A21 + A23)]],AN_TME23[[#All],[Insurance Category Code]],7,AN_TME23[[#All],[Advanced Network/Insurance Carrier Org ID]],B257)/S257)</f>
        <v>NA</v>
      </c>
      <c r="AG257" s="496" t="str">
        <f>IF(S257=0,"NA",SUMIFS(AN_TME23[[#All],[TOTAL Truncated Unadjusted Expenses (A22 + A23)]],AN_TME23[[#All],[Insurance Category Code]],7,AN_TME23[[#All],[Advanced Network/Insurance Carrier Org ID]],B257)/S257)</f>
        <v>NA</v>
      </c>
      <c r="AH257" s="478" t="str">
        <f t="shared" si="323"/>
        <v>NA</v>
      </c>
      <c r="AI257" s="479" t="str">
        <f t="shared" si="324"/>
        <v>NA</v>
      </c>
      <c r="AJ257" s="480" t="str">
        <f t="shared" si="325"/>
        <v>NA</v>
      </c>
      <c r="AK257" s="480" t="str">
        <f t="shared" si="326"/>
        <v>NA</v>
      </c>
      <c r="AL257" s="480" t="str">
        <f t="shared" si="327"/>
        <v>NA</v>
      </c>
      <c r="AM257" s="480" t="str">
        <f t="shared" si="328"/>
        <v>NA</v>
      </c>
      <c r="AN257" s="480" t="str">
        <f t="shared" si="329"/>
        <v>NA</v>
      </c>
      <c r="AO257" s="480" t="str">
        <f t="shared" si="330"/>
        <v>NA</v>
      </c>
      <c r="AP257" s="480" t="str">
        <f t="shared" si="331"/>
        <v>NA</v>
      </c>
      <c r="AQ257" s="480" t="str">
        <f t="shared" si="332"/>
        <v>NA</v>
      </c>
      <c r="AR257" s="481" t="str">
        <f t="shared" si="333"/>
        <v>NA</v>
      </c>
      <c r="AS257" s="481" t="str">
        <f t="shared" si="334"/>
        <v>NA</v>
      </c>
      <c r="AT257" s="481" t="str">
        <f t="shared" si="335"/>
        <v>NA</v>
      </c>
      <c r="AU257" s="481" t="str">
        <f t="shared" si="336"/>
        <v>NA</v>
      </c>
      <c r="AV257" s="482" t="str">
        <f t="shared" si="337"/>
        <v>NA</v>
      </c>
    </row>
    <row r="258" spans="1:48" ht="15" customHeight="1" x14ac:dyDescent="0.25">
      <c r="A258" s="164"/>
      <c r="B258" s="166">
        <v>123</v>
      </c>
      <c r="C258" s="169" t="str">
        <f>_xlfn.XLOOKUP(B258, LgProvEntOrgIDs[Advanced Network/Insurer Carrier Org ID], LgProvEntOrgIDs[Advanced Network/Insurance Carrier Overall])</f>
        <v>Optimus Health Care, Inc.</v>
      </c>
      <c r="D258" s="507">
        <f>SUMIFS(AN_TME22[[#All],[Member Months]],AN_TME22[[#All],[Insurance Category Code]],7,AN_TME22[[#All],[Advanced Network/Insurance Carrier Org ID]],B258)</f>
        <v>0</v>
      </c>
      <c r="E258" s="155" t="str">
        <f>IF(D258=0,"NA",SUMIFS(AN_TME22[[#All],[Claims: Hospital Inpatient]],AN_TME22[[#All],[Insurance Category Code]],7,AN_TME22[[#All],[Advanced Network/Insurance Carrier Org ID]],B258)/D258)</f>
        <v>NA</v>
      </c>
      <c r="F258" s="109" t="str">
        <f>IF(D258=0,"NA",SUMIFS(AN_TME22[[#All],[Claims: Hospital Outpatient]],AN_TME22[[#All],[Insurance Category Code]],7,AN_TME22[[#All],[Advanced Network/Insurance Carrier Org ID]],B258)/D258)</f>
        <v>NA</v>
      </c>
      <c r="G258" s="109" t="str">
        <f>IF(D258=0,"NA",SUMIFS(AN_TME22[[#All],[Claims: Professional, Primary Care]],AN_TME22[[#All],[Insurance Category Code]],7,AN_TME22[[#All],[Advanced Network/Insurance Carrier Org ID]],B258)/D258)</f>
        <v>NA</v>
      </c>
      <c r="H258" s="109" t="str">
        <f>IF(D258=0,"NA",SUMIFS(AN_TME22[[#All],[Claims: Professional, Primary Care (for Monitoring Purposes)]],AN_TME22[[#All],[Insurance Category Code]],7,AN_TME22[[#All],[Advanced Network/Insurance Carrier Org ID]],B258)/D258)</f>
        <v>NA</v>
      </c>
      <c r="I258" s="109" t="str">
        <f>IF(D258=0,"NA",SUMIFS(AN_TME22[[#All],[Claims: Professional, Specialty]],AN_TME22[[#All],[Insurance Category Code]],7,AN_TME22[[#All],[Advanced Network/Insurance Carrier Org ID]],B258)/D258)</f>
        <v>NA</v>
      </c>
      <c r="J258" s="109" t="str">
        <f>IF(D258=0,"NA",SUMIFS(AN_TME22[[#All],[Claims: Professional Other]],AN_TME22[[#All],[Insurance Category Code]],7,AN_TME22[[#All],[Advanced Network/Insurance Carrier Org ID]],B258)/D258)</f>
        <v>NA</v>
      </c>
      <c r="K258" s="109" t="str">
        <f>IF(D258=0,"NA",SUMIFS(AN_TME22[[#All],[Claims: Pharmacy]],AN_TME22[[#All],[Insurance Category Code]],7,AN_TME22[[#All],[Advanced Network/Insurance Carrier Org ID]],B258)/D258)</f>
        <v>NA</v>
      </c>
      <c r="L258" s="109" t="str">
        <f>IF(D258=0,"NA",SUMIFS(AN_TME22[[#All],[Claims: Long-Term Care]],AN_TME22[[#All],[Insurance Category Code]],7,AN_TME22[[#All],[Advanced Network/Insurance Carrier Org ID]],B258)/D258)</f>
        <v>NA</v>
      </c>
      <c r="M258" s="109" t="str">
        <f>IF(D258=0,"NA",SUMIFS(AN_TME22[[#All],[Claims: Other]],AN_TME22[[#All],[Insurance Category Code]],7,AN_TME22[[#All],[Advanced Network/Insurance Carrier Org ID]],B258)/D258)</f>
        <v>NA</v>
      </c>
      <c r="N258" s="165" t="str">
        <f>IF(D258=0,"NA",SUMIFS(AN_TME22[[#All],[TOTAL Non-Truncated Unadjusted Claims Expenses]],AN_TME22[[#All],[Insurance Category Code]],7,AN_TME22[[#All],[Advanced Network/Insurance Carrier Org ID]],B258)/D258)</f>
        <v>NA</v>
      </c>
      <c r="O258" s="165" t="str">
        <f>IF(D258=0,"NA",SUMIFS(AN_TME22[[#All],[TOTAL Truncated Unadjusted Claims Expenses (A21 -A19)]],AN_TME22[[#All],[Insurance Category Code]],7,AN_TME22[[#All],[Advanced Network/Insurance Carrier Org ID]],B258)/D258)</f>
        <v>NA</v>
      </c>
      <c r="P258" s="165" t="str">
        <f>IF(D258=0,"NA",SUMIFS(AN_TME22[[#All],[TOTAL Non-Claims Expenses]],AN_TME22[[#All],[Insurance Category Code]],7,AN_TME22[[#All],[Advanced Network/Insurance Carrier Org ID]],B258)/D258)</f>
        <v>NA</v>
      </c>
      <c r="Q258" s="165" t="str">
        <f>IF(D258=0,"NA",SUMIFS(AN_TME22[[#All],[TOTAL Non-Truncated Unadjusted Expenses (A21 + A23)]],AN_TME22[[#All],[Insurance Category Code]],7,AN_TME22[[#All],[Advanced Network/Insurance Carrier Org ID]],B258)/D258)</f>
        <v>NA</v>
      </c>
      <c r="R258" s="165" t="str">
        <f>IF(D258=0,"NA",SUMIFS(AN_TME22[[#All],[TOTAL Truncated Unadjusted Expenses (A22 + A23)]],AN_TME22[[#All],[Insurance Category Code]],7,AN_TME22[[#All],[Advanced Network/Insurance Carrier Org ID]],B258)/D258)</f>
        <v>NA</v>
      </c>
      <c r="S258" s="504">
        <f>SUMIFS(AN_TME23[[#All],[Member Months]],AN_TME23[[#All],[Insurance Category Code]],7,AN_TME23[[#All],[Advanced Network/Insurance Carrier Org ID]],B258)</f>
        <v>0</v>
      </c>
      <c r="T258" s="493" t="str">
        <f>IF(S258=0,"NA",SUMIFS(AN_TME23[[#All],[Claims: Hospital Inpatient]],AN_TME23[[#All],[Insurance Category Code]],7,AN_TME23[[#All],[Advanced Network/Insurance Carrier Org ID]],B258)/S258)</f>
        <v>NA</v>
      </c>
      <c r="U258" s="494" t="str">
        <f>IF(S258=0,"NA",SUMIFS(AN_TME23[[#All],[Claims: Hospital Outpatient]],AN_TME23[[#All],[Insurance Category Code]],7,AN_TME23[[#All],[Advanced Network/Insurance Carrier Org ID]],B258)/S258)</f>
        <v>NA</v>
      </c>
      <c r="V258" s="494" t="str">
        <f>IF(S258=0,"NA",SUMIFS(AN_TME23[[#All],[Claims: Professional, Primary Care]],AN_TME23[[#All],[Insurance Category Code]],7,AN_TME23[[#All],[Advanced Network/Insurance Carrier Org ID]],B258)/S258)</f>
        <v>NA</v>
      </c>
      <c r="W258" s="494" t="str">
        <f>IF(S258=0,"NA",SUMIFS(AN_TME23[[#All],[Claims: Professional, Primary Care (for Monitoring Purposes)]],AN_TME23[[#All],[Insurance Category Code]],7,AN_TME23[[#All],[Advanced Network/Insurance Carrier Org ID]],B258)/S258)</f>
        <v>NA</v>
      </c>
      <c r="X258" s="494" t="str">
        <f>IF(S258=0,"NA",SUMIFS(AN_TME23[[#All],[Claims: Professional, Specialty]],AN_TME23[[#All],[Insurance Category Code]],7,AN_TME23[[#All],[Advanced Network/Insurance Carrier Org ID]],B258)/S258)</f>
        <v>NA</v>
      </c>
      <c r="Y258" s="494" t="str">
        <f>IF(S258=0,"NA",SUMIFS(AN_TME23[[#All],[Claims: Professional Other]],AN_TME23[[#All],[Insurance Category Code]],7,AN_TME23[[#All],[Advanced Network/Insurance Carrier Org ID]],B258)/S258)</f>
        <v>NA</v>
      </c>
      <c r="Z258" s="494" t="str">
        <f>IF(S258=0,"NA",SUMIFS(AN_TME23[[#All],[Claims: Pharmacy]],AN_TME23[[#All],[Insurance Category Code]],7,AN_TME23[[#All],[Advanced Network/Insurance Carrier Org ID]],B258)/S258)</f>
        <v>NA</v>
      </c>
      <c r="AA258" s="494" t="str">
        <f>IF(S258=0,"NA",SUMIFS(AN_TME23[[#All],[Claims: Long-Term Care]],AN_TME23[[#All],[Insurance Category Code]],7,AN_TME23[[#All],[Advanced Network/Insurance Carrier Org ID]],B258)/S258)</f>
        <v>NA</v>
      </c>
      <c r="AB258" s="494" t="str">
        <f>IF(S258=0,"NA",SUMIFS(AN_TME23[[#All],[Claims: Other]],AN_TME23[[#All],[Insurance Category Code]],7,AN_TME23[[#All],[Advanced Network/Insurance Carrier Org ID]],B258)/S258)</f>
        <v>NA</v>
      </c>
      <c r="AC258" s="495" t="str">
        <f>IF(S258=0,"NA",SUMIFS(AN_TME23[[#All],[TOTAL Non-Truncated Unadjusted Claims Expenses]],AN_TME23[[#All],[Insurance Category Code]],7,AN_TME23[[#All],[Advanced Network/Insurance Carrier Org ID]],B258)/S258)</f>
        <v>NA</v>
      </c>
      <c r="AD258" s="495" t="str">
        <f>IF(S258=0,"NA",SUMIFS(AN_TME23[[#All],[TOTAL Truncated Unadjusted Claims Expenses (A21 -A19)]],AN_TME23[[#All],[Insurance Category Code]],7,AN_TME23[[#All],[Advanced Network/Insurance Carrier Org ID]],B258)/S258)</f>
        <v>NA</v>
      </c>
      <c r="AE258" s="495" t="str">
        <f>IF(S258=0,"NA",SUMIFS(AN_TME23[[#All],[TOTAL Non-Claims Expenses]],AN_TME23[[#All],[Insurance Category Code]],7,AN_TME23[[#All],[Advanced Network/Insurance Carrier Org ID]],B258)/S258)</f>
        <v>NA</v>
      </c>
      <c r="AF258" s="495" t="str">
        <f>IF(S258=0,"NA",SUMIFS(AN_TME23[[#All],[TOTAL Non-Truncated Unadjusted Expenses (A21 + A23)]],AN_TME23[[#All],[Insurance Category Code]],7,AN_TME23[[#All],[Advanced Network/Insurance Carrier Org ID]],B258)/S258)</f>
        <v>NA</v>
      </c>
      <c r="AG258" s="496" t="str">
        <f>IF(S258=0,"NA",SUMIFS(AN_TME23[[#All],[TOTAL Truncated Unadjusted Expenses (A22 + A23)]],AN_TME23[[#All],[Insurance Category Code]],7,AN_TME23[[#All],[Advanced Network/Insurance Carrier Org ID]],B258)/S258)</f>
        <v>NA</v>
      </c>
      <c r="AH258" s="478" t="str">
        <f t="shared" si="323"/>
        <v>NA</v>
      </c>
      <c r="AI258" s="479" t="str">
        <f t="shared" si="324"/>
        <v>NA</v>
      </c>
      <c r="AJ258" s="480" t="str">
        <f t="shared" si="325"/>
        <v>NA</v>
      </c>
      <c r="AK258" s="480" t="str">
        <f t="shared" si="326"/>
        <v>NA</v>
      </c>
      <c r="AL258" s="480" t="str">
        <f t="shared" si="327"/>
        <v>NA</v>
      </c>
      <c r="AM258" s="480" t="str">
        <f t="shared" si="328"/>
        <v>NA</v>
      </c>
      <c r="AN258" s="480" t="str">
        <f t="shared" si="329"/>
        <v>NA</v>
      </c>
      <c r="AO258" s="480" t="str">
        <f t="shared" si="330"/>
        <v>NA</v>
      </c>
      <c r="AP258" s="480" t="str">
        <f t="shared" si="331"/>
        <v>NA</v>
      </c>
      <c r="AQ258" s="480" t="str">
        <f t="shared" si="332"/>
        <v>NA</v>
      </c>
      <c r="AR258" s="481" t="str">
        <f t="shared" si="333"/>
        <v>NA</v>
      </c>
      <c r="AS258" s="481" t="str">
        <f t="shared" si="334"/>
        <v>NA</v>
      </c>
      <c r="AT258" s="481" t="str">
        <f t="shared" si="335"/>
        <v>NA</v>
      </c>
      <c r="AU258" s="481" t="str">
        <f t="shared" si="336"/>
        <v>NA</v>
      </c>
      <c r="AV258" s="482" t="str">
        <f t="shared" si="337"/>
        <v>NA</v>
      </c>
    </row>
    <row r="259" spans="1:48" ht="15" customHeight="1" x14ac:dyDescent="0.25">
      <c r="A259" s="164"/>
      <c r="B259" s="166">
        <v>124</v>
      </c>
      <c r="C259" s="169" t="str">
        <f>_xlfn.XLOOKUP(B259, LgProvEntOrgIDs[Advanced Network/Insurer Carrier Org ID], LgProvEntOrgIDs[Advanced Network/Insurance Carrier Overall])</f>
        <v>Southwest Community Health Center, Inc.</v>
      </c>
      <c r="D259" s="507">
        <f>SUMIFS(AN_TME22[[#All],[Member Months]],AN_TME22[[#All],[Insurance Category Code]],7,AN_TME22[[#All],[Advanced Network/Insurance Carrier Org ID]],B259)</f>
        <v>0</v>
      </c>
      <c r="E259" s="155" t="str">
        <f>IF(D259=0,"NA",SUMIFS(AN_TME22[[#All],[Claims: Hospital Inpatient]],AN_TME22[[#All],[Insurance Category Code]],7,AN_TME22[[#All],[Advanced Network/Insurance Carrier Org ID]],B259)/D259)</f>
        <v>NA</v>
      </c>
      <c r="F259" s="109" t="str">
        <f>IF(D259=0,"NA",SUMIFS(AN_TME22[[#All],[Claims: Hospital Outpatient]],AN_TME22[[#All],[Insurance Category Code]],7,AN_TME22[[#All],[Advanced Network/Insurance Carrier Org ID]],B259)/D259)</f>
        <v>NA</v>
      </c>
      <c r="G259" s="109" t="str">
        <f>IF(D259=0,"NA",SUMIFS(AN_TME22[[#All],[Claims: Professional, Primary Care]],AN_TME22[[#All],[Insurance Category Code]],7,AN_TME22[[#All],[Advanced Network/Insurance Carrier Org ID]],B259)/D259)</f>
        <v>NA</v>
      </c>
      <c r="H259" s="109" t="str">
        <f>IF(D259=0,"NA",SUMIFS(AN_TME22[[#All],[Claims: Professional, Primary Care (for Monitoring Purposes)]],AN_TME22[[#All],[Insurance Category Code]],7,AN_TME22[[#All],[Advanced Network/Insurance Carrier Org ID]],B259)/D259)</f>
        <v>NA</v>
      </c>
      <c r="I259" s="109" t="str">
        <f>IF(D259=0,"NA",SUMIFS(AN_TME22[[#All],[Claims: Professional, Specialty]],AN_TME22[[#All],[Insurance Category Code]],7,AN_TME22[[#All],[Advanced Network/Insurance Carrier Org ID]],B259)/D259)</f>
        <v>NA</v>
      </c>
      <c r="J259" s="109" t="str">
        <f>IF(D259=0,"NA",SUMIFS(AN_TME22[[#All],[Claims: Professional Other]],AN_TME22[[#All],[Insurance Category Code]],7,AN_TME22[[#All],[Advanced Network/Insurance Carrier Org ID]],B259)/D259)</f>
        <v>NA</v>
      </c>
      <c r="K259" s="109" t="str">
        <f>IF(D259=0,"NA",SUMIFS(AN_TME22[[#All],[Claims: Pharmacy]],AN_TME22[[#All],[Insurance Category Code]],7,AN_TME22[[#All],[Advanced Network/Insurance Carrier Org ID]],B259)/D259)</f>
        <v>NA</v>
      </c>
      <c r="L259" s="109" t="str">
        <f>IF(D259=0,"NA",SUMIFS(AN_TME22[[#All],[Claims: Long-Term Care]],AN_TME22[[#All],[Insurance Category Code]],7,AN_TME22[[#All],[Advanced Network/Insurance Carrier Org ID]],B259)/D259)</f>
        <v>NA</v>
      </c>
      <c r="M259" s="109" t="str">
        <f>IF(D259=0,"NA",SUMIFS(AN_TME22[[#All],[Claims: Other]],AN_TME22[[#All],[Insurance Category Code]],7,AN_TME22[[#All],[Advanced Network/Insurance Carrier Org ID]],B259)/D259)</f>
        <v>NA</v>
      </c>
      <c r="N259" s="165" t="str">
        <f>IF(D259=0,"NA",SUMIFS(AN_TME22[[#All],[TOTAL Non-Truncated Unadjusted Claims Expenses]],AN_TME22[[#All],[Insurance Category Code]],7,AN_TME22[[#All],[Advanced Network/Insurance Carrier Org ID]],B259)/D259)</f>
        <v>NA</v>
      </c>
      <c r="O259" s="165" t="str">
        <f>IF(D259=0,"NA",SUMIFS(AN_TME22[[#All],[TOTAL Truncated Unadjusted Claims Expenses (A21 -A19)]],AN_TME22[[#All],[Insurance Category Code]],7,AN_TME22[[#All],[Advanced Network/Insurance Carrier Org ID]],B259)/D259)</f>
        <v>NA</v>
      </c>
      <c r="P259" s="165" t="str">
        <f>IF(D259=0,"NA",SUMIFS(AN_TME22[[#All],[TOTAL Non-Claims Expenses]],AN_TME22[[#All],[Insurance Category Code]],7,AN_TME22[[#All],[Advanced Network/Insurance Carrier Org ID]],B259)/D259)</f>
        <v>NA</v>
      </c>
      <c r="Q259" s="165" t="str">
        <f>IF(D259=0,"NA",SUMIFS(AN_TME22[[#All],[TOTAL Non-Truncated Unadjusted Expenses (A21 + A23)]],AN_TME22[[#All],[Insurance Category Code]],7,AN_TME22[[#All],[Advanced Network/Insurance Carrier Org ID]],B259)/D259)</f>
        <v>NA</v>
      </c>
      <c r="R259" s="165" t="str">
        <f>IF(D259=0,"NA",SUMIFS(AN_TME22[[#All],[TOTAL Truncated Unadjusted Expenses (A22 + A23)]],AN_TME22[[#All],[Insurance Category Code]],7,AN_TME22[[#All],[Advanced Network/Insurance Carrier Org ID]],B259)/D259)</f>
        <v>NA</v>
      </c>
      <c r="S259" s="504">
        <f>SUMIFS(AN_TME23[[#All],[Member Months]],AN_TME23[[#All],[Insurance Category Code]],7,AN_TME23[[#All],[Advanced Network/Insurance Carrier Org ID]],B259)</f>
        <v>0</v>
      </c>
      <c r="T259" s="493" t="str">
        <f>IF(S259=0,"NA",SUMIFS(AN_TME23[[#All],[Claims: Hospital Inpatient]],AN_TME23[[#All],[Insurance Category Code]],7,AN_TME23[[#All],[Advanced Network/Insurance Carrier Org ID]],B259)/S259)</f>
        <v>NA</v>
      </c>
      <c r="U259" s="494" t="str">
        <f>IF(S259=0,"NA",SUMIFS(AN_TME23[[#All],[Claims: Hospital Outpatient]],AN_TME23[[#All],[Insurance Category Code]],7,AN_TME23[[#All],[Advanced Network/Insurance Carrier Org ID]],B259)/S259)</f>
        <v>NA</v>
      </c>
      <c r="V259" s="494" t="str">
        <f>IF(S259=0,"NA",SUMIFS(AN_TME23[[#All],[Claims: Professional, Primary Care]],AN_TME23[[#All],[Insurance Category Code]],7,AN_TME23[[#All],[Advanced Network/Insurance Carrier Org ID]],B259)/S259)</f>
        <v>NA</v>
      </c>
      <c r="W259" s="494" t="str">
        <f>IF(S259=0,"NA",SUMIFS(AN_TME23[[#All],[Claims: Professional, Primary Care (for Monitoring Purposes)]],AN_TME23[[#All],[Insurance Category Code]],7,AN_TME23[[#All],[Advanced Network/Insurance Carrier Org ID]],B259)/S259)</f>
        <v>NA</v>
      </c>
      <c r="X259" s="494" t="str">
        <f>IF(S259=0,"NA",SUMIFS(AN_TME23[[#All],[Claims: Professional, Specialty]],AN_TME23[[#All],[Insurance Category Code]],7,AN_TME23[[#All],[Advanced Network/Insurance Carrier Org ID]],B259)/S259)</f>
        <v>NA</v>
      </c>
      <c r="Y259" s="494" t="str">
        <f>IF(S259=0,"NA",SUMIFS(AN_TME23[[#All],[Claims: Professional Other]],AN_TME23[[#All],[Insurance Category Code]],7,AN_TME23[[#All],[Advanced Network/Insurance Carrier Org ID]],B259)/S259)</f>
        <v>NA</v>
      </c>
      <c r="Z259" s="494" t="str">
        <f>IF(S259=0,"NA",SUMIFS(AN_TME23[[#All],[Claims: Pharmacy]],AN_TME23[[#All],[Insurance Category Code]],7,AN_TME23[[#All],[Advanced Network/Insurance Carrier Org ID]],B259)/S259)</f>
        <v>NA</v>
      </c>
      <c r="AA259" s="494" t="str">
        <f>IF(S259=0,"NA",SUMIFS(AN_TME23[[#All],[Claims: Long-Term Care]],AN_TME23[[#All],[Insurance Category Code]],7,AN_TME23[[#All],[Advanced Network/Insurance Carrier Org ID]],B259)/S259)</f>
        <v>NA</v>
      </c>
      <c r="AB259" s="494" t="str">
        <f>IF(S259=0,"NA",SUMIFS(AN_TME23[[#All],[Claims: Other]],AN_TME23[[#All],[Insurance Category Code]],7,AN_TME23[[#All],[Advanced Network/Insurance Carrier Org ID]],B259)/S259)</f>
        <v>NA</v>
      </c>
      <c r="AC259" s="495" t="str">
        <f>IF(S259=0,"NA",SUMIFS(AN_TME23[[#All],[TOTAL Non-Truncated Unadjusted Claims Expenses]],AN_TME23[[#All],[Insurance Category Code]],7,AN_TME23[[#All],[Advanced Network/Insurance Carrier Org ID]],B259)/S259)</f>
        <v>NA</v>
      </c>
      <c r="AD259" s="495" t="str">
        <f>IF(S259=0,"NA",SUMIFS(AN_TME23[[#All],[TOTAL Truncated Unadjusted Claims Expenses (A21 -A19)]],AN_TME23[[#All],[Insurance Category Code]],7,AN_TME23[[#All],[Advanced Network/Insurance Carrier Org ID]],B259)/S259)</f>
        <v>NA</v>
      </c>
      <c r="AE259" s="495" t="str">
        <f>IF(S259=0,"NA",SUMIFS(AN_TME23[[#All],[TOTAL Non-Claims Expenses]],AN_TME23[[#All],[Insurance Category Code]],7,AN_TME23[[#All],[Advanced Network/Insurance Carrier Org ID]],B259)/S259)</f>
        <v>NA</v>
      </c>
      <c r="AF259" s="495" t="str">
        <f>IF(S259=0,"NA",SUMIFS(AN_TME23[[#All],[TOTAL Non-Truncated Unadjusted Expenses (A21 + A23)]],AN_TME23[[#All],[Insurance Category Code]],7,AN_TME23[[#All],[Advanced Network/Insurance Carrier Org ID]],B259)/S259)</f>
        <v>NA</v>
      </c>
      <c r="AG259" s="496" t="str">
        <f>IF(S259=0,"NA",SUMIFS(AN_TME23[[#All],[TOTAL Truncated Unadjusted Expenses (A22 + A23)]],AN_TME23[[#All],[Insurance Category Code]],7,AN_TME23[[#All],[Advanced Network/Insurance Carrier Org ID]],B259)/S259)</f>
        <v>NA</v>
      </c>
      <c r="AH259" s="478" t="str">
        <f t="shared" si="323"/>
        <v>NA</v>
      </c>
      <c r="AI259" s="479" t="str">
        <f t="shared" si="324"/>
        <v>NA</v>
      </c>
      <c r="AJ259" s="480" t="str">
        <f t="shared" si="325"/>
        <v>NA</v>
      </c>
      <c r="AK259" s="480" t="str">
        <f t="shared" si="326"/>
        <v>NA</v>
      </c>
      <c r="AL259" s="480" t="str">
        <f t="shared" si="327"/>
        <v>NA</v>
      </c>
      <c r="AM259" s="480" t="str">
        <f t="shared" si="328"/>
        <v>NA</v>
      </c>
      <c r="AN259" s="480" t="str">
        <f t="shared" si="329"/>
        <v>NA</v>
      </c>
      <c r="AO259" s="480" t="str">
        <f t="shared" si="330"/>
        <v>NA</v>
      </c>
      <c r="AP259" s="480" t="str">
        <f t="shared" si="331"/>
        <v>NA</v>
      </c>
      <c r="AQ259" s="480" t="str">
        <f t="shared" si="332"/>
        <v>NA</v>
      </c>
      <c r="AR259" s="481" t="str">
        <f t="shared" si="333"/>
        <v>NA</v>
      </c>
      <c r="AS259" s="481" t="str">
        <f t="shared" si="334"/>
        <v>NA</v>
      </c>
      <c r="AT259" s="481" t="str">
        <f t="shared" si="335"/>
        <v>NA</v>
      </c>
      <c r="AU259" s="481" t="str">
        <f t="shared" si="336"/>
        <v>NA</v>
      </c>
      <c r="AV259" s="482" t="str">
        <f t="shared" si="337"/>
        <v>NA</v>
      </c>
    </row>
    <row r="260" spans="1:48" ht="15" customHeight="1" x14ac:dyDescent="0.25">
      <c r="A260" s="164"/>
      <c r="B260" s="166">
        <v>125</v>
      </c>
      <c r="C260" s="169" t="str">
        <f>_xlfn.XLOOKUP(B260, LgProvEntOrgIDs[Advanced Network/Insurer Carrier Org ID], LgProvEntOrgIDs[Advanced Network/Insurance Carrier Overall])</f>
        <v>Stamford Health Medical Group</v>
      </c>
      <c r="D260" s="507">
        <f>SUMIFS(AN_TME22[[#All],[Member Months]],AN_TME22[[#All],[Insurance Category Code]],7,AN_TME22[[#All],[Advanced Network/Insurance Carrier Org ID]],B260)</f>
        <v>0</v>
      </c>
      <c r="E260" s="155" t="str">
        <f>IF(D260=0,"NA",SUMIFS(AN_TME22[[#All],[Claims: Hospital Inpatient]],AN_TME22[[#All],[Insurance Category Code]],7,AN_TME22[[#All],[Advanced Network/Insurance Carrier Org ID]],B260)/D260)</f>
        <v>NA</v>
      </c>
      <c r="F260" s="109" t="str">
        <f>IF(D260=0,"NA",SUMIFS(AN_TME22[[#All],[Claims: Hospital Outpatient]],AN_TME22[[#All],[Insurance Category Code]],7,AN_TME22[[#All],[Advanced Network/Insurance Carrier Org ID]],B260)/D260)</f>
        <v>NA</v>
      </c>
      <c r="G260" s="109" t="str">
        <f>IF(D260=0,"NA",SUMIFS(AN_TME22[[#All],[Claims: Professional, Primary Care]],AN_TME22[[#All],[Insurance Category Code]],7,AN_TME22[[#All],[Advanced Network/Insurance Carrier Org ID]],B260)/D260)</f>
        <v>NA</v>
      </c>
      <c r="H260" s="109" t="str">
        <f>IF(D260=0,"NA",SUMIFS(AN_TME22[[#All],[Claims: Professional, Primary Care (for Monitoring Purposes)]],AN_TME22[[#All],[Insurance Category Code]],7,AN_TME22[[#All],[Advanced Network/Insurance Carrier Org ID]],B260)/D260)</f>
        <v>NA</v>
      </c>
      <c r="I260" s="109" t="str">
        <f>IF(D260=0,"NA",SUMIFS(AN_TME22[[#All],[Claims: Professional, Specialty]],AN_TME22[[#All],[Insurance Category Code]],7,AN_TME22[[#All],[Advanced Network/Insurance Carrier Org ID]],B260)/D260)</f>
        <v>NA</v>
      </c>
      <c r="J260" s="109" t="str">
        <f>IF(D260=0,"NA",SUMIFS(AN_TME22[[#All],[Claims: Professional Other]],AN_TME22[[#All],[Insurance Category Code]],7,AN_TME22[[#All],[Advanced Network/Insurance Carrier Org ID]],B260)/D260)</f>
        <v>NA</v>
      </c>
      <c r="K260" s="109" t="str">
        <f>IF(D260=0,"NA",SUMIFS(AN_TME22[[#All],[Claims: Pharmacy]],AN_TME22[[#All],[Insurance Category Code]],7,AN_TME22[[#All],[Advanced Network/Insurance Carrier Org ID]],B260)/D260)</f>
        <v>NA</v>
      </c>
      <c r="L260" s="109" t="str">
        <f>IF(D260=0,"NA",SUMIFS(AN_TME22[[#All],[Claims: Long-Term Care]],AN_TME22[[#All],[Insurance Category Code]],7,AN_TME22[[#All],[Advanced Network/Insurance Carrier Org ID]],B260)/D260)</f>
        <v>NA</v>
      </c>
      <c r="M260" s="109" t="str">
        <f>IF(D260=0,"NA",SUMIFS(AN_TME22[[#All],[Claims: Other]],AN_TME22[[#All],[Insurance Category Code]],7,AN_TME22[[#All],[Advanced Network/Insurance Carrier Org ID]],B260)/D260)</f>
        <v>NA</v>
      </c>
      <c r="N260" s="165" t="str">
        <f>IF(D260=0,"NA",SUMIFS(AN_TME22[[#All],[TOTAL Non-Truncated Unadjusted Claims Expenses]],AN_TME22[[#All],[Insurance Category Code]],7,AN_TME22[[#All],[Advanced Network/Insurance Carrier Org ID]],B260)/D260)</f>
        <v>NA</v>
      </c>
      <c r="O260" s="165" t="str">
        <f>IF(D260=0,"NA",SUMIFS(AN_TME22[[#All],[TOTAL Truncated Unadjusted Claims Expenses (A21 -A19)]],AN_TME22[[#All],[Insurance Category Code]],7,AN_TME22[[#All],[Advanced Network/Insurance Carrier Org ID]],B260)/D260)</f>
        <v>NA</v>
      </c>
      <c r="P260" s="165" t="str">
        <f>IF(D260=0,"NA",SUMIFS(AN_TME22[[#All],[TOTAL Non-Claims Expenses]],AN_TME22[[#All],[Insurance Category Code]],7,AN_TME22[[#All],[Advanced Network/Insurance Carrier Org ID]],B260)/D260)</f>
        <v>NA</v>
      </c>
      <c r="Q260" s="165" t="str">
        <f>IF(D260=0,"NA",SUMIFS(AN_TME22[[#All],[TOTAL Non-Truncated Unadjusted Expenses (A21 + A23)]],AN_TME22[[#All],[Insurance Category Code]],7,AN_TME22[[#All],[Advanced Network/Insurance Carrier Org ID]],B260)/D260)</f>
        <v>NA</v>
      </c>
      <c r="R260" s="165" t="str">
        <f>IF(D260=0,"NA",SUMIFS(AN_TME22[[#All],[TOTAL Truncated Unadjusted Expenses (A22 + A23)]],AN_TME22[[#All],[Insurance Category Code]],7,AN_TME22[[#All],[Advanced Network/Insurance Carrier Org ID]],B260)/D260)</f>
        <v>NA</v>
      </c>
      <c r="S260" s="504">
        <f>SUMIFS(AN_TME23[[#All],[Member Months]],AN_TME23[[#All],[Insurance Category Code]],7,AN_TME23[[#All],[Advanced Network/Insurance Carrier Org ID]],B260)</f>
        <v>0</v>
      </c>
      <c r="T260" s="493" t="str">
        <f>IF(S260=0,"NA",SUMIFS(AN_TME23[[#All],[Claims: Hospital Inpatient]],AN_TME23[[#All],[Insurance Category Code]],7,AN_TME23[[#All],[Advanced Network/Insurance Carrier Org ID]],B260)/S260)</f>
        <v>NA</v>
      </c>
      <c r="U260" s="494" t="str">
        <f>IF(S260=0,"NA",SUMIFS(AN_TME23[[#All],[Claims: Hospital Outpatient]],AN_TME23[[#All],[Insurance Category Code]],7,AN_TME23[[#All],[Advanced Network/Insurance Carrier Org ID]],B260)/S260)</f>
        <v>NA</v>
      </c>
      <c r="V260" s="494" t="str">
        <f>IF(S260=0,"NA",SUMIFS(AN_TME23[[#All],[Claims: Professional, Primary Care]],AN_TME23[[#All],[Insurance Category Code]],7,AN_TME23[[#All],[Advanced Network/Insurance Carrier Org ID]],B260)/S260)</f>
        <v>NA</v>
      </c>
      <c r="W260" s="494" t="str">
        <f>IF(S260=0,"NA",SUMIFS(AN_TME23[[#All],[Claims: Professional, Primary Care (for Monitoring Purposes)]],AN_TME23[[#All],[Insurance Category Code]],7,AN_TME23[[#All],[Advanced Network/Insurance Carrier Org ID]],B260)/S260)</f>
        <v>NA</v>
      </c>
      <c r="X260" s="494" t="str">
        <f>IF(S260=0,"NA",SUMIFS(AN_TME23[[#All],[Claims: Professional, Specialty]],AN_TME23[[#All],[Insurance Category Code]],7,AN_TME23[[#All],[Advanced Network/Insurance Carrier Org ID]],B260)/S260)</f>
        <v>NA</v>
      </c>
      <c r="Y260" s="494" t="str">
        <f>IF(S260=0,"NA",SUMIFS(AN_TME23[[#All],[Claims: Professional Other]],AN_TME23[[#All],[Insurance Category Code]],7,AN_TME23[[#All],[Advanced Network/Insurance Carrier Org ID]],B260)/S260)</f>
        <v>NA</v>
      </c>
      <c r="Z260" s="494" t="str">
        <f>IF(S260=0,"NA",SUMIFS(AN_TME23[[#All],[Claims: Pharmacy]],AN_TME23[[#All],[Insurance Category Code]],7,AN_TME23[[#All],[Advanced Network/Insurance Carrier Org ID]],B260)/S260)</f>
        <v>NA</v>
      </c>
      <c r="AA260" s="494" t="str">
        <f>IF(S260=0,"NA",SUMIFS(AN_TME23[[#All],[Claims: Long-Term Care]],AN_TME23[[#All],[Insurance Category Code]],7,AN_TME23[[#All],[Advanced Network/Insurance Carrier Org ID]],B260)/S260)</f>
        <v>NA</v>
      </c>
      <c r="AB260" s="494" t="str">
        <f>IF(S260=0,"NA",SUMIFS(AN_TME23[[#All],[Claims: Other]],AN_TME23[[#All],[Insurance Category Code]],7,AN_TME23[[#All],[Advanced Network/Insurance Carrier Org ID]],B260)/S260)</f>
        <v>NA</v>
      </c>
      <c r="AC260" s="495" t="str">
        <f>IF(S260=0,"NA",SUMIFS(AN_TME23[[#All],[TOTAL Non-Truncated Unadjusted Claims Expenses]],AN_TME23[[#All],[Insurance Category Code]],7,AN_TME23[[#All],[Advanced Network/Insurance Carrier Org ID]],B260)/S260)</f>
        <v>NA</v>
      </c>
      <c r="AD260" s="495" t="str">
        <f>IF(S260=0,"NA",SUMIFS(AN_TME23[[#All],[TOTAL Truncated Unadjusted Claims Expenses (A21 -A19)]],AN_TME23[[#All],[Insurance Category Code]],7,AN_TME23[[#All],[Advanced Network/Insurance Carrier Org ID]],B260)/S260)</f>
        <v>NA</v>
      </c>
      <c r="AE260" s="495" t="str">
        <f>IF(S260=0,"NA",SUMIFS(AN_TME23[[#All],[TOTAL Non-Claims Expenses]],AN_TME23[[#All],[Insurance Category Code]],7,AN_TME23[[#All],[Advanced Network/Insurance Carrier Org ID]],B260)/S260)</f>
        <v>NA</v>
      </c>
      <c r="AF260" s="495" t="str">
        <f>IF(S260=0,"NA",SUMIFS(AN_TME23[[#All],[TOTAL Non-Truncated Unadjusted Expenses (A21 + A23)]],AN_TME23[[#All],[Insurance Category Code]],7,AN_TME23[[#All],[Advanced Network/Insurance Carrier Org ID]],B260)/S260)</f>
        <v>NA</v>
      </c>
      <c r="AG260" s="496" t="str">
        <f>IF(S260=0,"NA",SUMIFS(AN_TME23[[#All],[TOTAL Truncated Unadjusted Expenses (A22 + A23)]],AN_TME23[[#All],[Insurance Category Code]],7,AN_TME23[[#All],[Advanced Network/Insurance Carrier Org ID]],B260)/S260)</f>
        <v>NA</v>
      </c>
      <c r="AH260" s="478" t="str">
        <f t="shared" si="323"/>
        <v>NA</v>
      </c>
      <c r="AI260" s="479" t="str">
        <f t="shared" si="324"/>
        <v>NA</v>
      </c>
      <c r="AJ260" s="480" t="str">
        <f t="shared" si="325"/>
        <v>NA</v>
      </c>
      <c r="AK260" s="480" t="str">
        <f t="shared" si="326"/>
        <v>NA</v>
      </c>
      <c r="AL260" s="480" t="str">
        <f t="shared" si="327"/>
        <v>NA</v>
      </c>
      <c r="AM260" s="480" t="str">
        <f t="shared" si="328"/>
        <v>NA</v>
      </c>
      <c r="AN260" s="480" t="str">
        <f t="shared" si="329"/>
        <v>NA</v>
      </c>
      <c r="AO260" s="480" t="str">
        <f t="shared" si="330"/>
        <v>NA</v>
      </c>
      <c r="AP260" s="480" t="str">
        <f t="shared" si="331"/>
        <v>NA</v>
      </c>
      <c r="AQ260" s="480" t="str">
        <f t="shared" si="332"/>
        <v>NA</v>
      </c>
      <c r="AR260" s="481" t="str">
        <f t="shared" si="333"/>
        <v>NA</v>
      </c>
      <c r="AS260" s="481" t="str">
        <f t="shared" si="334"/>
        <v>NA</v>
      </c>
      <c r="AT260" s="481" t="str">
        <f t="shared" si="335"/>
        <v>NA</v>
      </c>
      <c r="AU260" s="481" t="str">
        <f t="shared" si="336"/>
        <v>NA</v>
      </c>
      <c r="AV260" s="482" t="str">
        <f t="shared" si="337"/>
        <v>NA</v>
      </c>
    </row>
    <row r="261" spans="1:48" ht="15" customHeight="1" x14ac:dyDescent="0.25">
      <c r="A261" s="164"/>
      <c r="B261" s="166">
        <v>126</v>
      </c>
      <c r="C261" s="169" t="str">
        <f>_xlfn.XLOOKUP(B261, LgProvEntOrgIDs[Advanced Network/Insurer Carrier Org ID], LgProvEntOrgIDs[Advanced Network/Insurance Carrier Overall])</f>
        <v>Starling Physicians</v>
      </c>
      <c r="D261" s="507">
        <f>SUMIFS(AN_TME22[[#All],[Member Months]],AN_TME22[[#All],[Insurance Category Code]],7,AN_TME22[[#All],[Advanced Network/Insurance Carrier Org ID]],B261)</f>
        <v>0</v>
      </c>
      <c r="E261" s="155" t="str">
        <f>IF(D261=0,"NA",SUMIFS(AN_TME22[[#All],[Claims: Hospital Inpatient]],AN_TME22[[#All],[Insurance Category Code]],7,AN_TME22[[#All],[Advanced Network/Insurance Carrier Org ID]],B261)/D261)</f>
        <v>NA</v>
      </c>
      <c r="F261" s="109" t="str">
        <f>IF(D261=0,"NA",SUMIFS(AN_TME22[[#All],[Claims: Hospital Outpatient]],AN_TME22[[#All],[Insurance Category Code]],7,AN_TME22[[#All],[Advanced Network/Insurance Carrier Org ID]],B261)/D261)</f>
        <v>NA</v>
      </c>
      <c r="G261" s="109" t="str">
        <f>IF(D261=0,"NA",SUMIFS(AN_TME22[[#All],[Claims: Professional, Primary Care]],AN_TME22[[#All],[Insurance Category Code]],7,AN_TME22[[#All],[Advanced Network/Insurance Carrier Org ID]],B261)/D261)</f>
        <v>NA</v>
      </c>
      <c r="H261" s="109" t="str">
        <f>IF(D261=0,"NA",SUMIFS(AN_TME22[[#All],[Claims: Professional, Primary Care (for Monitoring Purposes)]],AN_TME22[[#All],[Insurance Category Code]],7,AN_TME22[[#All],[Advanced Network/Insurance Carrier Org ID]],B261)/D261)</f>
        <v>NA</v>
      </c>
      <c r="I261" s="109" t="str">
        <f>IF(D261=0,"NA",SUMIFS(AN_TME22[[#All],[Claims: Professional, Specialty]],AN_TME22[[#All],[Insurance Category Code]],7,AN_TME22[[#All],[Advanced Network/Insurance Carrier Org ID]],B261)/D261)</f>
        <v>NA</v>
      </c>
      <c r="J261" s="109" t="str">
        <f>IF(D261=0,"NA",SUMIFS(AN_TME22[[#All],[Claims: Professional Other]],AN_TME22[[#All],[Insurance Category Code]],7,AN_TME22[[#All],[Advanced Network/Insurance Carrier Org ID]],B261)/D261)</f>
        <v>NA</v>
      </c>
      <c r="K261" s="109" t="str">
        <f>IF(D261=0,"NA",SUMIFS(AN_TME22[[#All],[Claims: Pharmacy]],AN_TME22[[#All],[Insurance Category Code]],7,AN_TME22[[#All],[Advanced Network/Insurance Carrier Org ID]],B261)/D261)</f>
        <v>NA</v>
      </c>
      <c r="L261" s="109" t="str">
        <f>IF(D261=0,"NA",SUMIFS(AN_TME22[[#All],[Claims: Long-Term Care]],AN_TME22[[#All],[Insurance Category Code]],7,AN_TME22[[#All],[Advanced Network/Insurance Carrier Org ID]],B261)/D261)</f>
        <v>NA</v>
      </c>
      <c r="M261" s="109" t="str">
        <f>IF(D261=0,"NA",SUMIFS(AN_TME22[[#All],[Claims: Other]],AN_TME22[[#All],[Insurance Category Code]],7,AN_TME22[[#All],[Advanced Network/Insurance Carrier Org ID]],B261)/D261)</f>
        <v>NA</v>
      </c>
      <c r="N261" s="165" t="str">
        <f>IF(D261=0,"NA",SUMIFS(AN_TME22[[#All],[TOTAL Non-Truncated Unadjusted Claims Expenses]],AN_TME22[[#All],[Insurance Category Code]],7,AN_TME22[[#All],[Advanced Network/Insurance Carrier Org ID]],B261)/D261)</f>
        <v>NA</v>
      </c>
      <c r="O261" s="165" t="str">
        <f>IF(D261=0,"NA",SUMIFS(AN_TME22[[#All],[TOTAL Truncated Unadjusted Claims Expenses (A21 -A19)]],AN_TME22[[#All],[Insurance Category Code]],7,AN_TME22[[#All],[Advanced Network/Insurance Carrier Org ID]],B261)/D261)</f>
        <v>NA</v>
      </c>
      <c r="P261" s="165" t="str">
        <f>IF(D261=0,"NA",SUMIFS(AN_TME22[[#All],[TOTAL Non-Claims Expenses]],AN_TME22[[#All],[Insurance Category Code]],7,AN_TME22[[#All],[Advanced Network/Insurance Carrier Org ID]],B261)/D261)</f>
        <v>NA</v>
      </c>
      <c r="Q261" s="165" t="str">
        <f>IF(D261=0,"NA",SUMIFS(AN_TME22[[#All],[TOTAL Non-Truncated Unadjusted Expenses (A21 + A23)]],AN_TME22[[#All],[Insurance Category Code]],7,AN_TME22[[#All],[Advanced Network/Insurance Carrier Org ID]],B261)/D261)</f>
        <v>NA</v>
      </c>
      <c r="R261" s="165" t="str">
        <f>IF(D261=0,"NA",SUMIFS(AN_TME22[[#All],[TOTAL Truncated Unadjusted Expenses (A22 + A23)]],AN_TME22[[#All],[Insurance Category Code]],7,AN_TME22[[#All],[Advanced Network/Insurance Carrier Org ID]],B261)/D261)</f>
        <v>NA</v>
      </c>
      <c r="S261" s="504">
        <f>SUMIFS(AN_TME23[[#All],[Member Months]],AN_TME23[[#All],[Insurance Category Code]],7,AN_TME23[[#All],[Advanced Network/Insurance Carrier Org ID]],B261)</f>
        <v>0</v>
      </c>
      <c r="T261" s="493" t="str">
        <f>IF(S261=0,"NA",SUMIFS(AN_TME23[[#All],[Claims: Hospital Inpatient]],AN_TME23[[#All],[Insurance Category Code]],7,AN_TME23[[#All],[Advanced Network/Insurance Carrier Org ID]],B261)/S261)</f>
        <v>NA</v>
      </c>
      <c r="U261" s="494" t="str">
        <f>IF(S261=0,"NA",SUMIFS(AN_TME23[[#All],[Claims: Hospital Outpatient]],AN_TME23[[#All],[Insurance Category Code]],7,AN_TME23[[#All],[Advanced Network/Insurance Carrier Org ID]],B261)/S261)</f>
        <v>NA</v>
      </c>
      <c r="V261" s="494" t="str">
        <f>IF(S261=0,"NA",SUMIFS(AN_TME23[[#All],[Claims: Professional, Primary Care]],AN_TME23[[#All],[Insurance Category Code]],7,AN_TME23[[#All],[Advanced Network/Insurance Carrier Org ID]],B261)/S261)</f>
        <v>NA</v>
      </c>
      <c r="W261" s="494" t="str">
        <f>IF(S261=0,"NA",SUMIFS(AN_TME23[[#All],[Claims: Professional, Primary Care (for Monitoring Purposes)]],AN_TME23[[#All],[Insurance Category Code]],7,AN_TME23[[#All],[Advanced Network/Insurance Carrier Org ID]],B261)/S261)</f>
        <v>NA</v>
      </c>
      <c r="X261" s="494" t="str">
        <f>IF(S261=0,"NA",SUMIFS(AN_TME23[[#All],[Claims: Professional, Specialty]],AN_TME23[[#All],[Insurance Category Code]],7,AN_TME23[[#All],[Advanced Network/Insurance Carrier Org ID]],B261)/S261)</f>
        <v>NA</v>
      </c>
      <c r="Y261" s="494" t="str">
        <f>IF(S261=0,"NA",SUMIFS(AN_TME23[[#All],[Claims: Professional Other]],AN_TME23[[#All],[Insurance Category Code]],7,AN_TME23[[#All],[Advanced Network/Insurance Carrier Org ID]],B261)/S261)</f>
        <v>NA</v>
      </c>
      <c r="Z261" s="494" t="str">
        <f>IF(S261=0,"NA",SUMIFS(AN_TME23[[#All],[Claims: Pharmacy]],AN_TME23[[#All],[Insurance Category Code]],7,AN_TME23[[#All],[Advanced Network/Insurance Carrier Org ID]],B261)/S261)</f>
        <v>NA</v>
      </c>
      <c r="AA261" s="494" t="str">
        <f>IF(S261=0,"NA",SUMIFS(AN_TME23[[#All],[Claims: Long-Term Care]],AN_TME23[[#All],[Insurance Category Code]],7,AN_TME23[[#All],[Advanced Network/Insurance Carrier Org ID]],B261)/S261)</f>
        <v>NA</v>
      </c>
      <c r="AB261" s="494" t="str">
        <f>IF(S261=0,"NA",SUMIFS(AN_TME23[[#All],[Claims: Other]],AN_TME23[[#All],[Insurance Category Code]],7,AN_TME23[[#All],[Advanced Network/Insurance Carrier Org ID]],B261)/S261)</f>
        <v>NA</v>
      </c>
      <c r="AC261" s="495" t="str">
        <f>IF(S261=0,"NA",SUMIFS(AN_TME23[[#All],[TOTAL Non-Truncated Unadjusted Claims Expenses]],AN_TME23[[#All],[Insurance Category Code]],7,AN_TME23[[#All],[Advanced Network/Insurance Carrier Org ID]],B261)/S261)</f>
        <v>NA</v>
      </c>
      <c r="AD261" s="495" t="str">
        <f>IF(S261=0,"NA",SUMIFS(AN_TME23[[#All],[TOTAL Truncated Unadjusted Claims Expenses (A21 -A19)]],AN_TME23[[#All],[Insurance Category Code]],7,AN_TME23[[#All],[Advanced Network/Insurance Carrier Org ID]],B261)/S261)</f>
        <v>NA</v>
      </c>
      <c r="AE261" s="495" t="str">
        <f>IF(S261=0,"NA",SUMIFS(AN_TME23[[#All],[TOTAL Non-Claims Expenses]],AN_TME23[[#All],[Insurance Category Code]],7,AN_TME23[[#All],[Advanced Network/Insurance Carrier Org ID]],B261)/S261)</f>
        <v>NA</v>
      </c>
      <c r="AF261" s="495" t="str">
        <f>IF(S261=0,"NA",SUMIFS(AN_TME23[[#All],[TOTAL Non-Truncated Unadjusted Expenses (A21 + A23)]],AN_TME23[[#All],[Insurance Category Code]],7,AN_TME23[[#All],[Advanced Network/Insurance Carrier Org ID]],B261)/S261)</f>
        <v>NA</v>
      </c>
      <c r="AG261" s="496" t="str">
        <f>IF(S261=0,"NA",SUMIFS(AN_TME23[[#All],[TOTAL Truncated Unadjusted Expenses (A22 + A23)]],AN_TME23[[#All],[Insurance Category Code]],7,AN_TME23[[#All],[Advanced Network/Insurance Carrier Org ID]],B261)/S261)</f>
        <v>NA</v>
      </c>
      <c r="AH261" s="478" t="str">
        <f t="shared" si="323"/>
        <v>NA</v>
      </c>
      <c r="AI261" s="479" t="str">
        <f t="shared" si="324"/>
        <v>NA</v>
      </c>
      <c r="AJ261" s="480" t="str">
        <f t="shared" si="325"/>
        <v>NA</v>
      </c>
      <c r="AK261" s="480" t="str">
        <f t="shared" si="326"/>
        <v>NA</v>
      </c>
      <c r="AL261" s="480" t="str">
        <f t="shared" si="327"/>
        <v>NA</v>
      </c>
      <c r="AM261" s="480" t="str">
        <f t="shared" si="328"/>
        <v>NA</v>
      </c>
      <c r="AN261" s="480" t="str">
        <f t="shared" si="329"/>
        <v>NA</v>
      </c>
      <c r="AO261" s="480" t="str">
        <f t="shared" si="330"/>
        <v>NA</v>
      </c>
      <c r="AP261" s="480" t="str">
        <f t="shared" si="331"/>
        <v>NA</v>
      </c>
      <c r="AQ261" s="480" t="str">
        <f t="shared" si="332"/>
        <v>NA</v>
      </c>
      <c r="AR261" s="481" t="str">
        <f t="shared" si="333"/>
        <v>NA</v>
      </c>
      <c r="AS261" s="481" t="str">
        <f t="shared" si="334"/>
        <v>NA</v>
      </c>
      <c r="AT261" s="481" t="str">
        <f t="shared" si="335"/>
        <v>NA</v>
      </c>
      <c r="AU261" s="481" t="str">
        <f t="shared" si="336"/>
        <v>NA</v>
      </c>
      <c r="AV261" s="482" t="str">
        <f t="shared" si="337"/>
        <v>NA</v>
      </c>
    </row>
    <row r="262" spans="1:48" ht="15" customHeight="1" x14ac:dyDescent="0.25">
      <c r="A262" s="164"/>
      <c r="B262" s="166">
        <v>127</v>
      </c>
      <c r="C262" s="169" t="str">
        <f>_xlfn.XLOOKUP(B262, LgProvEntOrgIDs[Advanced Network/Insurer Carrier Org ID], LgProvEntOrgIDs[Advanced Network/Insurance Carrier Overall])</f>
        <v>UConn Medical Group</v>
      </c>
      <c r="D262" s="507">
        <f>SUMIFS(AN_TME22[[#All],[Member Months]],AN_TME22[[#All],[Insurance Category Code]],7,AN_TME22[[#All],[Advanced Network/Insurance Carrier Org ID]],B262)</f>
        <v>0</v>
      </c>
      <c r="E262" s="155" t="str">
        <f>IF(D262=0,"NA",SUMIFS(AN_TME22[[#All],[Claims: Hospital Inpatient]],AN_TME22[[#All],[Insurance Category Code]],7,AN_TME22[[#All],[Advanced Network/Insurance Carrier Org ID]],B262)/D262)</f>
        <v>NA</v>
      </c>
      <c r="F262" s="109" t="str">
        <f>IF(D262=0,"NA",SUMIFS(AN_TME22[[#All],[Claims: Hospital Outpatient]],AN_TME22[[#All],[Insurance Category Code]],7,AN_TME22[[#All],[Advanced Network/Insurance Carrier Org ID]],B262)/D262)</f>
        <v>NA</v>
      </c>
      <c r="G262" s="109" t="str">
        <f>IF(D262=0,"NA",SUMIFS(AN_TME22[[#All],[Claims: Professional, Primary Care]],AN_TME22[[#All],[Insurance Category Code]],7,AN_TME22[[#All],[Advanced Network/Insurance Carrier Org ID]],B262)/D262)</f>
        <v>NA</v>
      </c>
      <c r="H262" s="109" t="str">
        <f>IF(D262=0,"NA",SUMIFS(AN_TME22[[#All],[Claims: Professional, Primary Care (for Monitoring Purposes)]],AN_TME22[[#All],[Insurance Category Code]],7,AN_TME22[[#All],[Advanced Network/Insurance Carrier Org ID]],B262)/D262)</f>
        <v>NA</v>
      </c>
      <c r="I262" s="109" t="str">
        <f>IF(D262=0,"NA",SUMIFS(AN_TME22[[#All],[Claims: Professional, Specialty]],AN_TME22[[#All],[Insurance Category Code]],7,AN_TME22[[#All],[Advanced Network/Insurance Carrier Org ID]],B262)/D262)</f>
        <v>NA</v>
      </c>
      <c r="J262" s="109" t="str">
        <f>IF(D262=0,"NA",SUMIFS(AN_TME22[[#All],[Claims: Professional Other]],AN_TME22[[#All],[Insurance Category Code]],7,AN_TME22[[#All],[Advanced Network/Insurance Carrier Org ID]],B262)/D262)</f>
        <v>NA</v>
      </c>
      <c r="K262" s="109" t="str">
        <f>IF(D262=0,"NA",SUMIFS(AN_TME22[[#All],[Claims: Pharmacy]],AN_TME22[[#All],[Insurance Category Code]],7,AN_TME22[[#All],[Advanced Network/Insurance Carrier Org ID]],B262)/D262)</f>
        <v>NA</v>
      </c>
      <c r="L262" s="109" t="str">
        <f>IF(D262=0,"NA",SUMIFS(AN_TME22[[#All],[Claims: Long-Term Care]],AN_TME22[[#All],[Insurance Category Code]],7,AN_TME22[[#All],[Advanced Network/Insurance Carrier Org ID]],B262)/D262)</f>
        <v>NA</v>
      </c>
      <c r="M262" s="109" t="str">
        <f>IF(D262=0,"NA",SUMIFS(AN_TME22[[#All],[Claims: Other]],AN_TME22[[#All],[Insurance Category Code]],7,AN_TME22[[#All],[Advanced Network/Insurance Carrier Org ID]],B262)/D262)</f>
        <v>NA</v>
      </c>
      <c r="N262" s="165" t="str">
        <f>IF(D262=0,"NA",SUMIFS(AN_TME22[[#All],[TOTAL Non-Truncated Unadjusted Claims Expenses]],AN_TME22[[#All],[Insurance Category Code]],7,AN_TME22[[#All],[Advanced Network/Insurance Carrier Org ID]],B262)/D262)</f>
        <v>NA</v>
      </c>
      <c r="O262" s="165" t="str">
        <f>IF(D262=0,"NA",SUMIFS(AN_TME22[[#All],[TOTAL Truncated Unadjusted Claims Expenses (A21 -A19)]],AN_TME22[[#All],[Insurance Category Code]],7,AN_TME22[[#All],[Advanced Network/Insurance Carrier Org ID]],B262)/D262)</f>
        <v>NA</v>
      </c>
      <c r="P262" s="165" t="str">
        <f>IF(D262=0,"NA",SUMIFS(AN_TME22[[#All],[TOTAL Non-Claims Expenses]],AN_TME22[[#All],[Insurance Category Code]],7,AN_TME22[[#All],[Advanced Network/Insurance Carrier Org ID]],B262)/D262)</f>
        <v>NA</v>
      </c>
      <c r="Q262" s="165" t="str">
        <f>IF(D262=0,"NA",SUMIFS(AN_TME22[[#All],[TOTAL Non-Truncated Unadjusted Expenses (A21 + A23)]],AN_TME22[[#All],[Insurance Category Code]],7,AN_TME22[[#All],[Advanced Network/Insurance Carrier Org ID]],B262)/D262)</f>
        <v>NA</v>
      </c>
      <c r="R262" s="165" t="str">
        <f>IF(D262=0,"NA",SUMIFS(AN_TME22[[#All],[TOTAL Truncated Unadjusted Expenses (A22 + A23)]],AN_TME22[[#All],[Insurance Category Code]],7,AN_TME22[[#All],[Advanced Network/Insurance Carrier Org ID]],B262)/D262)</f>
        <v>NA</v>
      </c>
      <c r="S262" s="504">
        <f>SUMIFS(AN_TME23[[#All],[Member Months]],AN_TME23[[#All],[Insurance Category Code]],7,AN_TME23[[#All],[Advanced Network/Insurance Carrier Org ID]],B262)</f>
        <v>0</v>
      </c>
      <c r="T262" s="493" t="str">
        <f>IF(S262=0,"NA",SUMIFS(AN_TME23[[#All],[Claims: Hospital Inpatient]],AN_TME23[[#All],[Insurance Category Code]],7,AN_TME23[[#All],[Advanced Network/Insurance Carrier Org ID]],B262)/S262)</f>
        <v>NA</v>
      </c>
      <c r="U262" s="494" t="str">
        <f>IF(S262=0,"NA",SUMIFS(AN_TME23[[#All],[Claims: Hospital Outpatient]],AN_TME23[[#All],[Insurance Category Code]],7,AN_TME23[[#All],[Advanced Network/Insurance Carrier Org ID]],B262)/S262)</f>
        <v>NA</v>
      </c>
      <c r="V262" s="494" t="str">
        <f>IF(S262=0,"NA",SUMIFS(AN_TME23[[#All],[Claims: Professional, Primary Care]],AN_TME23[[#All],[Insurance Category Code]],7,AN_TME23[[#All],[Advanced Network/Insurance Carrier Org ID]],B262)/S262)</f>
        <v>NA</v>
      </c>
      <c r="W262" s="494" t="str">
        <f>IF(S262=0,"NA",SUMIFS(AN_TME23[[#All],[Claims: Professional, Primary Care (for Monitoring Purposes)]],AN_TME23[[#All],[Insurance Category Code]],7,AN_TME23[[#All],[Advanced Network/Insurance Carrier Org ID]],B262)/S262)</f>
        <v>NA</v>
      </c>
      <c r="X262" s="494" t="str">
        <f>IF(S262=0,"NA",SUMIFS(AN_TME23[[#All],[Claims: Professional, Specialty]],AN_TME23[[#All],[Insurance Category Code]],7,AN_TME23[[#All],[Advanced Network/Insurance Carrier Org ID]],B262)/S262)</f>
        <v>NA</v>
      </c>
      <c r="Y262" s="494" t="str">
        <f>IF(S262=0,"NA",SUMIFS(AN_TME23[[#All],[Claims: Professional Other]],AN_TME23[[#All],[Insurance Category Code]],7,AN_TME23[[#All],[Advanced Network/Insurance Carrier Org ID]],B262)/S262)</f>
        <v>NA</v>
      </c>
      <c r="Z262" s="494" t="str">
        <f>IF(S262=0,"NA",SUMIFS(AN_TME23[[#All],[Claims: Pharmacy]],AN_TME23[[#All],[Insurance Category Code]],7,AN_TME23[[#All],[Advanced Network/Insurance Carrier Org ID]],B262)/S262)</f>
        <v>NA</v>
      </c>
      <c r="AA262" s="494" t="str">
        <f>IF(S262=0,"NA",SUMIFS(AN_TME23[[#All],[Claims: Long-Term Care]],AN_TME23[[#All],[Insurance Category Code]],7,AN_TME23[[#All],[Advanced Network/Insurance Carrier Org ID]],B262)/S262)</f>
        <v>NA</v>
      </c>
      <c r="AB262" s="494" t="str">
        <f>IF(S262=0,"NA",SUMIFS(AN_TME23[[#All],[Claims: Other]],AN_TME23[[#All],[Insurance Category Code]],7,AN_TME23[[#All],[Advanced Network/Insurance Carrier Org ID]],B262)/S262)</f>
        <v>NA</v>
      </c>
      <c r="AC262" s="495" t="str">
        <f>IF(S262=0,"NA",SUMIFS(AN_TME23[[#All],[TOTAL Non-Truncated Unadjusted Claims Expenses]],AN_TME23[[#All],[Insurance Category Code]],7,AN_TME23[[#All],[Advanced Network/Insurance Carrier Org ID]],B262)/S262)</f>
        <v>NA</v>
      </c>
      <c r="AD262" s="495" t="str">
        <f>IF(S262=0,"NA",SUMIFS(AN_TME23[[#All],[TOTAL Truncated Unadjusted Claims Expenses (A21 -A19)]],AN_TME23[[#All],[Insurance Category Code]],7,AN_TME23[[#All],[Advanced Network/Insurance Carrier Org ID]],B262)/S262)</f>
        <v>NA</v>
      </c>
      <c r="AE262" s="495" t="str">
        <f>IF(S262=0,"NA",SUMIFS(AN_TME23[[#All],[TOTAL Non-Claims Expenses]],AN_TME23[[#All],[Insurance Category Code]],7,AN_TME23[[#All],[Advanced Network/Insurance Carrier Org ID]],B262)/S262)</f>
        <v>NA</v>
      </c>
      <c r="AF262" s="495" t="str">
        <f>IF(S262=0,"NA",SUMIFS(AN_TME23[[#All],[TOTAL Non-Truncated Unadjusted Expenses (A21 + A23)]],AN_TME23[[#All],[Insurance Category Code]],7,AN_TME23[[#All],[Advanced Network/Insurance Carrier Org ID]],B262)/S262)</f>
        <v>NA</v>
      </c>
      <c r="AG262" s="496" t="str">
        <f>IF(S262=0,"NA",SUMIFS(AN_TME23[[#All],[TOTAL Truncated Unadjusted Expenses (A22 + A23)]],AN_TME23[[#All],[Insurance Category Code]],7,AN_TME23[[#All],[Advanced Network/Insurance Carrier Org ID]],B262)/S262)</f>
        <v>NA</v>
      </c>
      <c r="AH262" s="478" t="str">
        <f t="shared" si="323"/>
        <v>NA</v>
      </c>
      <c r="AI262" s="479" t="str">
        <f t="shared" si="324"/>
        <v>NA</v>
      </c>
      <c r="AJ262" s="480" t="str">
        <f t="shared" si="325"/>
        <v>NA</v>
      </c>
      <c r="AK262" s="480" t="str">
        <f t="shared" si="326"/>
        <v>NA</v>
      </c>
      <c r="AL262" s="480" t="str">
        <f t="shared" si="327"/>
        <v>NA</v>
      </c>
      <c r="AM262" s="480" t="str">
        <f t="shared" si="328"/>
        <v>NA</v>
      </c>
      <c r="AN262" s="480" t="str">
        <f t="shared" si="329"/>
        <v>NA</v>
      </c>
      <c r="AO262" s="480" t="str">
        <f t="shared" si="330"/>
        <v>NA</v>
      </c>
      <c r="AP262" s="480" t="str">
        <f t="shared" si="331"/>
        <v>NA</v>
      </c>
      <c r="AQ262" s="480" t="str">
        <f t="shared" si="332"/>
        <v>NA</v>
      </c>
      <c r="AR262" s="481" t="str">
        <f t="shared" si="333"/>
        <v>NA</v>
      </c>
      <c r="AS262" s="481" t="str">
        <f t="shared" si="334"/>
        <v>NA</v>
      </c>
      <c r="AT262" s="481" t="str">
        <f t="shared" si="335"/>
        <v>NA</v>
      </c>
      <c r="AU262" s="481" t="str">
        <f t="shared" si="336"/>
        <v>NA</v>
      </c>
      <c r="AV262" s="482" t="str">
        <f t="shared" si="337"/>
        <v>NA</v>
      </c>
    </row>
    <row r="263" spans="1:48" ht="15" customHeight="1" x14ac:dyDescent="0.25">
      <c r="A263" s="164"/>
      <c r="B263" s="166">
        <v>128</v>
      </c>
      <c r="C263" s="169" t="str">
        <f>_xlfn.XLOOKUP(B263, LgProvEntOrgIDs[Advanced Network/Insurer Carrier Org ID], LgProvEntOrgIDs[Advanced Network/Insurance Carrier Overall])</f>
        <v>United Community and Family Services</v>
      </c>
      <c r="D263" s="507">
        <f>SUMIFS(AN_TME22[[#All],[Member Months]],AN_TME22[[#All],[Insurance Category Code]],7,AN_TME22[[#All],[Advanced Network/Insurance Carrier Org ID]],B263)</f>
        <v>0</v>
      </c>
      <c r="E263" s="155" t="str">
        <f>IF(D263=0,"NA",SUMIFS(AN_TME22[[#All],[Claims: Hospital Inpatient]],AN_TME22[[#All],[Insurance Category Code]],7,AN_TME22[[#All],[Advanced Network/Insurance Carrier Org ID]],B263)/D263)</f>
        <v>NA</v>
      </c>
      <c r="F263" s="109" t="str">
        <f>IF(D263=0,"NA",SUMIFS(AN_TME22[[#All],[Claims: Hospital Outpatient]],AN_TME22[[#All],[Insurance Category Code]],7,AN_TME22[[#All],[Advanced Network/Insurance Carrier Org ID]],B263)/D263)</f>
        <v>NA</v>
      </c>
      <c r="G263" s="109" t="str">
        <f>IF(D263=0,"NA",SUMIFS(AN_TME22[[#All],[Claims: Professional, Primary Care]],AN_TME22[[#All],[Insurance Category Code]],7,AN_TME22[[#All],[Advanced Network/Insurance Carrier Org ID]],B263)/D263)</f>
        <v>NA</v>
      </c>
      <c r="H263" s="109" t="str">
        <f>IF(D263=0,"NA",SUMIFS(AN_TME22[[#All],[Claims: Professional, Primary Care (for Monitoring Purposes)]],AN_TME22[[#All],[Insurance Category Code]],7,AN_TME22[[#All],[Advanced Network/Insurance Carrier Org ID]],B263)/D263)</f>
        <v>NA</v>
      </c>
      <c r="I263" s="109" t="str">
        <f>IF(D263=0,"NA",SUMIFS(AN_TME22[[#All],[Claims: Professional, Specialty]],AN_TME22[[#All],[Insurance Category Code]],7,AN_TME22[[#All],[Advanced Network/Insurance Carrier Org ID]],B263)/D263)</f>
        <v>NA</v>
      </c>
      <c r="J263" s="109" t="str">
        <f>IF(D263=0,"NA",SUMIFS(AN_TME22[[#All],[Claims: Professional Other]],AN_TME22[[#All],[Insurance Category Code]],7,AN_TME22[[#All],[Advanced Network/Insurance Carrier Org ID]],B263)/D263)</f>
        <v>NA</v>
      </c>
      <c r="K263" s="109" t="str">
        <f>IF(D263=0,"NA",SUMIFS(AN_TME22[[#All],[Claims: Pharmacy]],AN_TME22[[#All],[Insurance Category Code]],7,AN_TME22[[#All],[Advanced Network/Insurance Carrier Org ID]],B263)/D263)</f>
        <v>NA</v>
      </c>
      <c r="L263" s="109" t="str">
        <f>IF(D263=0,"NA",SUMIFS(AN_TME22[[#All],[Claims: Long-Term Care]],AN_TME22[[#All],[Insurance Category Code]],7,AN_TME22[[#All],[Advanced Network/Insurance Carrier Org ID]],B263)/D263)</f>
        <v>NA</v>
      </c>
      <c r="M263" s="109" t="str">
        <f>IF(D263=0,"NA",SUMIFS(AN_TME22[[#All],[Claims: Other]],AN_TME22[[#All],[Insurance Category Code]],7,AN_TME22[[#All],[Advanced Network/Insurance Carrier Org ID]],B263)/D263)</f>
        <v>NA</v>
      </c>
      <c r="N263" s="165" t="str">
        <f>IF(D263=0,"NA",SUMIFS(AN_TME22[[#All],[TOTAL Non-Truncated Unadjusted Claims Expenses]],AN_TME22[[#All],[Insurance Category Code]],7,AN_TME22[[#All],[Advanced Network/Insurance Carrier Org ID]],B263)/D263)</f>
        <v>NA</v>
      </c>
      <c r="O263" s="165" t="str">
        <f>IF(D263=0,"NA",SUMIFS(AN_TME22[[#All],[TOTAL Truncated Unadjusted Claims Expenses (A21 -A19)]],AN_TME22[[#All],[Insurance Category Code]],7,AN_TME22[[#All],[Advanced Network/Insurance Carrier Org ID]],B263)/D263)</f>
        <v>NA</v>
      </c>
      <c r="P263" s="165" t="str">
        <f>IF(D263=0,"NA",SUMIFS(AN_TME22[[#All],[TOTAL Non-Claims Expenses]],AN_TME22[[#All],[Insurance Category Code]],7,AN_TME22[[#All],[Advanced Network/Insurance Carrier Org ID]],B263)/D263)</f>
        <v>NA</v>
      </c>
      <c r="Q263" s="165" t="str">
        <f>IF(D263=0,"NA",SUMIFS(AN_TME22[[#All],[TOTAL Non-Truncated Unadjusted Expenses (A21 + A23)]],AN_TME22[[#All],[Insurance Category Code]],7,AN_TME22[[#All],[Advanced Network/Insurance Carrier Org ID]],B263)/D263)</f>
        <v>NA</v>
      </c>
      <c r="R263" s="165" t="str">
        <f>IF(D263=0,"NA",SUMIFS(AN_TME22[[#All],[TOTAL Truncated Unadjusted Expenses (A22 + A23)]],AN_TME22[[#All],[Insurance Category Code]],7,AN_TME22[[#All],[Advanced Network/Insurance Carrier Org ID]],B263)/D263)</f>
        <v>NA</v>
      </c>
      <c r="S263" s="504">
        <f>SUMIFS(AN_TME23[[#All],[Member Months]],AN_TME23[[#All],[Insurance Category Code]],7,AN_TME23[[#All],[Advanced Network/Insurance Carrier Org ID]],B263)</f>
        <v>0</v>
      </c>
      <c r="T263" s="493" t="str">
        <f>IF(S263=0,"NA",SUMIFS(AN_TME23[[#All],[Claims: Hospital Inpatient]],AN_TME23[[#All],[Insurance Category Code]],7,AN_TME23[[#All],[Advanced Network/Insurance Carrier Org ID]],B263)/S263)</f>
        <v>NA</v>
      </c>
      <c r="U263" s="494" t="str">
        <f>IF(S263=0,"NA",SUMIFS(AN_TME23[[#All],[Claims: Hospital Outpatient]],AN_TME23[[#All],[Insurance Category Code]],7,AN_TME23[[#All],[Advanced Network/Insurance Carrier Org ID]],B263)/S263)</f>
        <v>NA</v>
      </c>
      <c r="V263" s="494" t="str">
        <f>IF(S263=0,"NA",SUMIFS(AN_TME23[[#All],[Claims: Professional, Primary Care]],AN_TME23[[#All],[Insurance Category Code]],7,AN_TME23[[#All],[Advanced Network/Insurance Carrier Org ID]],B263)/S263)</f>
        <v>NA</v>
      </c>
      <c r="W263" s="494" t="str">
        <f>IF(S263=0,"NA",SUMIFS(AN_TME23[[#All],[Claims: Professional, Primary Care (for Monitoring Purposes)]],AN_TME23[[#All],[Insurance Category Code]],7,AN_TME23[[#All],[Advanced Network/Insurance Carrier Org ID]],B263)/S263)</f>
        <v>NA</v>
      </c>
      <c r="X263" s="494" t="str">
        <f>IF(S263=0,"NA",SUMIFS(AN_TME23[[#All],[Claims: Professional, Specialty]],AN_TME23[[#All],[Insurance Category Code]],7,AN_TME23[[#All],[Advanced Network/Insurance Carrier Org ID]],B263)/S263)</f>
        <v>NA</v>
      </c>
      <c r="Y263" s="494" t="str">
        <f>IF(S263=0,"NA",SUMIFS(AN_TME23[[#All],[Claims: Professional Other]],AN_TME23[[#All],[Insurance Category Code]],7,AN_TME23[[#All],[Advanced Network/Insurance Carrier Org ID]],B263)/S263)</f>
        <v>NA</v>
      </c>
      <c r="Z263" s="494" t="str">
        <f>IF(S263=0,"NA",SUMIFS(AN_TME23[[#All],[Claims: Pharmacy]],AN_TME23[[#All],[Insurance Category Code]],7,AN_TME23[[#All],[Advanced Network/Insurance Carrier Org ID]],B263)/S263)</f>
        <v>NA</v>
      </c>
      <c r="AA263" s="494" t="str">
        <f>IF(S263=0,"NA",SUMIFS(AN_TME23[[#All],[Claims: Long-Term Care]],AN_TME23[[#All],[Insurance Category Code]],7,AN_TME23[[#All],[Advanced Network/Insurance Carrier Org ID]],B263)/S263)</f>
        <v>NA</v>
      </c>
      <c r="AB263" s="494" t="str">
        <f>IF(S263=0,"NA",SUMIFS(AN_TME23[[#All],[Claims: Other]],AN_TME23[[#All],[Insurance Category Code]],7,AN_TME23[[#All],[Advanced Network/Insurance Carrier Org ID]],B263)/S263)</f>
        <v>NA</v>
      </c>
      <c r="AC263" s="495" t="str">
        <f>IF(S263=0,"NA",SUMIFS(AN_TME23[[#All],[TOTAL Non-Truncated Unadjusted Claims Expenses]],AN_TME23[[#All],[Insurance Category Code]],7,AN_TME23[[#All],[Advanced Network/Insurance Carrier Org ID]],B263)/S263)</f>
        <v>NA</v>
      </c>
      <c r="AD263" s="495" t="str">
        <f>IF(S263=0,"NA",SUMIFS(AN_TME23[[#All],[TOTAL Truncated Unadjusted Claims Expenses (A21 -A19)]],AN_TME23[[#All],[Insurance Category Code]],7,AN_TME23[[#All],[Advanced Network/Insurance Carrier Org ID]],B263)/S263)</f>
        <v>NA</v>
      </c>
      <c r="AE263" s="495" t="str">
        <f>IF(S263=0,"NA",SUMIFS(AN_TME23[[#All],[TOTAL Non-Claims Expenses]],AN_TME23[[#All],[Insurance Category Code]],7,AN_TME23[[#All],[Advanced Network/Insurance Carrier Org ID]],B263)/S263)</f>
        <v>NA</v>
      </c>
      <c r="AF263" s="495" t="str">
        <f>IF(S263=0,"NA",SUMIFS(AN_TME23[[#All],[TOTAL Non-Truncated Unadjusted Expenses (A21 + A23)]],AN_TME23[[#All],[Insurance Category Code]],7,AN_TME23[[#All],[Advanced Network/Insurance Carrier Org ID]],B263)/S263)</f>
        <v>NA</v>
      </c>
      <c r="AG263" s="496" t="str">
        <f>IF(S263=0,"NA",SUMIFS(AN_TME23[[#All],[TOTAL Truncated Unadjusted Expenses (A22 + A23)]],AN_TME23[[#All],[Insurance Category Code]],7,AN_TME23[[#All],[Advanced Network/Insurance Carrier Org ID]],B263)/S263)</f>
        <v>NA</v>
      </c>
      <c r="AH263" s="478" t="str">
        <f t="shared" si="323"/>
        <v>NA</v>
      </c>
      <c r="AI263" s="479" t="str">
        <f t="shared" si="324"/>
        <v>NA</v>
      </c>
      <c r="AJ263" s="480" t="str">
        <f t="shared" si="325"/>
        <v>NA</v>
      </c>
      <c r="AK263" s="480" t="str">
        <f t="shared" si="326"/>
        <v>NA</v>
      </c>
      <c r="AL263" s="480" t="str">
        <f t="shared" si="327"/>
        <v>NA</v>
      </c>
      <c r="AM263" s="480" t="str">
        <f t="shared" si="328"/>
        <v>NA</v>
      </c>
      <c r="AN263" s="480" t="str">
        <f t="shared" si="329"/>
        <v>NA</v>
      </c>
      <c r="AO263" s="480" t="str">
        <f t="shared" si="330"/>
        <v>NA</v>
      </c>
      <c r="AP263" s="480" t="str">
        <f t="shared" si="331"/>
        <v>NA</v>
      </c>
      <c r="AQ263" s="480" t="str">
        <f t="shared" si="332"/>
        <v>NA</v>
      </c>
      <c r="AR263" s="481" t="str">
        <f t="shared" si="333"/>
        <v>NA</v>
      </c>
      <c r="AS263" s="481" t="str">
        <f t="shared" si="334"/>
        <v>NA</v>
      </c>
      <c r="AT263" s="481" t="str">
        <f t="shared" si="335"/>
        <v>NA</v>
      </c>
      <c r="AU263" s="481" t="str">
        <f t="shared" si="336"/>
        <v>NA</v>
      </c>
      <c r="AV263" s="482" t="str">
        <f t="shared" si="337"/>
        <v>NA</v>
      </c>
    </row>
    <row r="264" spans="1:48" ht="15" customHeight="1" x14ac:dyDescent="0.25">
      <c r="A264" s="164"/>
      <c r="B264" s="166">
        <v>129</v>
      </c>
      <c r="C264" s="169" t="str">
        <f>_xlfn.XLOOKUP(B264, LgProvEntOrgIDs[Advanced Network/Insurer Carrier Org ID], LgProvEntOrgIDs[Advanced Network/Insurance Carrier Overall])</f>
        <v>Summit Health (formerly WestMed Medical Group)</v>
      </c>
      <c r="D264" s="507">
        <f>SUMIFS(AN_TME22[[#All],[Member Months]],AN_TME22[[#All],[Insurance Category Code]],7,AN_TME22[[#All],[Advanced Network/Insurance Carrier Org ID]],B264)</f>
        <v>0</v>
      </c>
      <c r="E264" s="155" t="str">
        <f>IF(D264=0,"NA",SUMIFS(AN_TME22[[#All],[Claims: Hospital Inpatient]],AN_TME22[[#All],[Insurance Category Code]],7,AN_TME22[[#All],[Advanced Network/Insurance Carrier Org ID]],B264)/D264)</f>
        <v>NA</v>
      </c>
      <c r="F264" s="109" t="str">
        <f>IF(D264=0,"NA",SUMIFS(AN_TME22[[#All],[Claims: Hospital Outpatient]],AN_TME22[[#All],[Insurance Category Code]],7,AN_TME22[[#All],[Advanced Network/Insurance Carrier Org ID]],B264)/D264)</f>
        <v>NA</v>
      </c>
      <c r="G264" s="109" t="str">
        <f>IF(D264=0,"NA",SUMIFS(AN_TME22[[#All],[Claims: Professional, Primary Care]],AN_TME22[[#All],[Insurance Category Code]],7,AN_TME22[[#All],[Advanced Network/Insurance Carrier Org ID]],B264)/D264)</f>
        <v>NA</v>
      </c>
      <c r="H264" s="109" t="str">
        <f>IF(D264=0,"NA",SUMIFS(AN_TME22[[#All],[Claims: Professional, Primary Care (for Monitoring Purposes)]],AN_TME22[[#All],[Insurance Category Code]],7,AN_TME22[[#All],[Advanced Network/Insurance Carrier Org ID]],B264)/D264)</f>
        <v>NA</v>
      </c>
      <c r="I264" s="109" t="str">
        <f>IF(D264=0,"NA",SUMIFS(AN_TME22[[#All],[Claims: Professional, Specialty]],AN_TME22[[#All],[Insurance Category Code]],7,AN_TME22[[#All],[Advanced Network/Insurance Carrier Org ID]],B264)/D264)</f>
        <v>NA</v>
      </c>
      <c r="J264" s="109" t="str">
        <f>IF(D264=0,"NA",SUMIFS(AN_TME22[[#All],[Claims: Professional Other]],AN_TME22[[#All],[Insurance Category Code]],7,AN_TME22[[#All],[Advanced Network/Insurance Carrier Org ID]],B264)/D264)</f>
        <v>NA</v>
      </c>
      <c r="K264" s="109" t="str">
        <f>IF(D264=0,"NA",SUMIFS(AN_TME22[[#All],[Claims: Pharmacy]],AN_TME22[[#All],[Insurance Category Code]],7,AN_TME22[[#All],[Advanced Network/Insurance Carrier Org ID]],B264)/D264)</f>
        <v>NA</v>
      </c>
      <c r="L264" s="109" t="str">
        <f>IF(D264=0,"NA",SUMIFS(AN_TME22[[#All],[Claims: Long-Term Care]],AN_TME22[[#All],[Insurance Category Code]],7,AN_TME22[[#All],[Advanced Network/Insurance Carrier Org ID]],B264)/D264)</f>
        <v>NA</v>
      </c>
      <c r="M264" s="109" t="str">
        <f>IF(D264=0,"NA",SUMIFS(AN_TME22[[#All],[Claims: Other]],AN_TME22[[#All],[Insurance Category Code]],7,AN_TME22[[#All],[Advanced Network/Insurance Carrier Org ID]],B264)/D264)</f>
        <v>NA</v>
      </c>
      <c r="N264" s="165" t="str">
        <f>IF(D264=0,"NA",SUMIFS(AN_TME22[[#All],[TOTAL Non-Truncated Unadjusted Claims Expenses]],AN_TME22[[#All],[Insurance Category Code]],7,AN_TME22[[#All],[Advanced Network/Insurance Carrier Org ID]],B264)/D264)</f>
        <v>NA</v>
      </c>
      <c r="O264" s="165" t="str">
        <f>IF(D264=0,"NA",SUMIFS(AN_TME22[[#All],[TOTAL Truncated Unadjusted Claims Expenses (A21 -A19)]],AN_TME22[[#All],[Insurance Category Code]],7,AN_TME22[[#All],[Advanced Network/Insurance Carrier Org ID]],B264)/D264)</f>
        <v>NA</v>
      </c>
      <c r="P264" s="165" t="str">
        <f>IF(D264=0,"NA",SUMIFS(AN_TME22[[#All],[TOTAL Non-Claims Expenses]],AN_TME22[[#All],[Insurance Category Code]],7,AN_TME22[[#All],[Advanced Network/Insurance Carrier Org ID]],B264)/D264)</f>
        <v>NA</v>
      </c>
      <c r="Q264" s="165" t="str">
        <f>IF(D264=0,"NA",SUMIFS(AN_TME22[[#All],[TOTAL Non-Truncated Unadjusted Expenses (A21 + A23)]],AN_TME22[[#All],[Insurance Category Code]],7,AN_TME22[[#All],[Advanced Network/Insurance Carrier Org ID]],B264)/D264)</f>
        <v>NA</v>
      </c>
      <c r="R264" s="165" t="str">
        <f>IF(D264=0,"NA",SUMIFS(AN_TME22[[#All],[TOTAL Truncated Unadjusted Expenses (A22 + A23)]],AN_TME22[[#All],[Insurance Category Code]],7,AN_TME22[[#All],[Advanced Network/Insurance Carrier Org ID]],B264)/D264)</f>
        <v>NA</v>
      </c>
      <c r="S264" s="504">
        <f>SUMIFS(AN_TME23[[#All],[Member Months]],AN_TME23[[#All],[Insurance Category Code]],7,AN_TME23[[#All],[Advanced Network/Insurance Carrier Org ID]],B264)</f>
        <v>0</v>
      </c>
      <c r="T264" s="493" t="str">
        <f>IF(S264=0,"NA",SUMIFS(AN_TME23[[#All],[Claims: Hospital Inpatient]],AN_TME23[[#All],[Insurance Category Code]],7,AN_TME23[[#All],[Advanced Network/Insurance Carrier Org ID]],B264)/S264)</f>
        <v>NA</v>
      </c>
      <c r="U264" s="494" t="str">
        <f>IF(S264=0,"NA",SUMIFS(AN_TME23[[#All],[Claims: Hospital Outpatient]],AN_TME23[[#All],[Insurance Category Code]],7,AN_TME23[[#All],[Advanced Network/Insurance Carrier Org ID]],B264)/S264)</f>
        <v>NA</v>
      </c>
      <c r="V264" s="494" t="str">
        <f>IF(S264=0,"NA",SUMIFS(AN_TME23[[#All],[Claims: Professional, Primary Care]],AN_TME23[[#All],[Insurance Category Code]],7,AN_TME23[[#All],[Advanced Network/Insurance Carrier Org ID]],B264)/S264)</f>
        <v>NA</v>
      </c>
      <c r="W264" s="494" t="str">
        <f>IF(S264=0,"NA",SUMIFS(AN_TME23[[#All],[Claims: Professional, Primary Care (for Monitoring Purposes)]],AN_TME23[[#All],[Insurance Category Code]],7,AN_TME23[[#All],[Advanced Network/Insurance Carrier Org ID]],B264)/S264)</f>
        <v>NA</v>
      </c>
      <c r="X264" s="494" t="str">
        <f>IF(S264=0,"NA",SUMIFS(AN_TME23[[#All],[Claims: Professional, Specialty]],AN_TME23[[#All],[Insurance Category Code]],7,AN_TME23[[#All],[Advanced Network/Insurance Carrier Org ID]],B264)/S264)</f>
        <v>NA</v>
      </c>
      <c r="Y264" s="494" t="str">
        <f>IF(S264=0,"NA",SUMIFS(AN_TME23[[#All],[Claims: Professional Other]],AN_TME23[[#All],[Insurance Category Code]],7,AN_TME23[[#All],[Advanced Network/Insurance Carrier Org ID]],B264)/S264)</f>
        <v>NA</v>
      </c>
      <c r="Z264" s="494" t="str">
        <f>IF(S264=0,"NA",SUMIFS(AN_TME23[[#All],[Claims: Pharmacy]],AN_TME23[[#All],[Insurance Category Code]],7,AN_TME23[[#All],[Advanced Network/Insurance Carrier Org ID]],B264)/S264)</f>
        <v>NA</v>
      </c>
      <c r="AA264" s="494" t="str">
        <f>IF(S264=0,"NA",SUMIFS(AN_TME23[[#All],[Claims: Long-Term Care]],AN_TME23[[#All],[Insurance Category Code]],7,AN_TME23[[#All],[Advanced Network/Insurance Carrier Org ID]],B264)/S264)</f>
        <v>NA</v>
      </c>
      <c r="AB264" s="494" t="str">
        <f>IF(S264=0,"NA",SUMIFS(AN_TME23[[#All],[Claims: Other]],AN_TME23[[#All],[Insurance Category Code]],7,AN_TME23[[#All],[Advanced Network/Insurance Carrier Org ID]],B264)/S264)</f>
        <v>NA</v>
      </c>
      <c r="AC264" s="495" t="str">
        <f>IF(S264=0,"NA",SUMIFS(AN_TME23[[#All],[TOTAL Non-Truncated Unadjusted Claims Expenses]],AN_TME23[[#All],[Insurance Category Code]],7,AN_TME23[[#All],[Advanced Network/Insurance Carrier Org ID]],B264)/S264)</f>
        <v>NA</v>
      </c>
      <c r="AD264" s="495" t="str">
        <f>IF(S264=0,"NA",SUMIFS(AN_TME23[[#All],[TOTAL Truncated Unadjusted Claims Expenses (A21 -A19)]],AN_TME23[[#All],[Insurance Category Code]],7,AN_TME23[[#All],[Advanced Network/Insurance Carrier Org ID]],B264)/S264)</f>
        <v>NA</v>
      </c>
      <c r="AE264" s="495" t="str">
        <f>IF(S264=0,"NA",SUMIFS(AN_TME23[[#All],[TOTAL Non-Claims Expenses]],AN_TME23[[#All],[Insurance Category Code]],7,AN_TME23[[#All],[Advanced Network/Insurance Carrier Org ID]],B264)/S264)</f>
        <v>NA</v>
      </c>
      <c r="AF264" s="495" t="str">
        <f>IF(S264=0,"NA",SUMIFS(AN_TME23[[#All],[TOTAL Non-Truncated Unadjusted Expenses (A21 + A23)]],AN_TME23[[#All],[Insurance Category Code]],7,AN_TME23[[#All],[Advanced Network/Insurance Carrier Org ID]],B264)/S264)</f>
        <v>NA</v>
      </c>
      <c r="AG264" s="496" t="str">
        <f>IF(S264=0,"NA",SUMIFS(AN_TME23[[#All],[TOTAL Truncated Unadjusted Expenses (A22 + A23)]],AN_TME23[[#All],[Insurance Category Code]],7,AN_TME23[[#All],[Advanced Network/Insurance Carrier Org ID]],B264)/S264)</f>
        <v>NA</v>
      </c>
      <c r="AH264" s="478" t="str">
        <f t="shared" si="323"/>
        <v>NA</v>
      </c>
      <c r="AI264" s="479" t="str">
        <f t="shared" si="324"/>
        <v>NA</v>
      </c>
      <c r="AJ264" s="480" t="str">
        <f t="shared" si="325"/>
        <v>NA</v>
      </c>
      <c r="AK264" s="480" t="str">
        <f t="shared" si="326"/>
        <v>NA</v>
      </c>
      <c r="AL264" s="480" t="str">
        <f t="shared" si="327"/>
        <v>NA</v>
      </c>
      <c r="AM264" s="480" t="str">
        <f t="shared" si="328"/>
        <v>NA</v>
      </c>
      <c r="AN264" s="480" t="str">
        <f t="shared" si="329"/>
        <v>NA</v>
      </c>
      <c r="AO264" s="480" t="str">
        <f t="shared" si="330"/>
        <v>NA</v>
      </c>
      <c r="AP264" s="480" t="str">
        <f t="shared" si="331"/>
        <v>NA</v>
      </c>
      <c r="AQ264" s="480" t="str">
        <f t="shared" si="332"/>
        <v>NA</v>
      </c>
      <c r="AR264" s="481" t="str">
        <f t="shared" si="333"/>
        <v>NA</v>
      </c>
      <c r="AS264" s="481" t="str">
        <f t="shared" si="334"/>
        <v>NA</v>
      </c>
      <c r="AT264" s="481" t="str">
        <f t="shared" si="335"/>
        <v>NA</v>
      </c>
      <c r="AU264" s="481" t="str">
        <f t="shared" si="336"/>
        <v>NA</v>
      </c>
      <c r="AV264" s="482" t="str">
        <f t="shared" si="337"/>
        <v>NA</v>
      </c>
    </row>
    <row r="265" spans="1:48" ht="15" customHeight="1" x14ac:dyDescent="0.25">
      <c r="A265" s="164"/>
      <c r="B265" s="166">
        <v>130</v>
      </c>
      <c r="C265" s="169" t="str">
        <f>_xlfn.XLOOKUP(B265, LgProvEntOrgIDs[Advanced Network/Insurer Carrier Org ID], LgProvEntOrgIDs[Advanced Network/Insurance Carrier Overall])</f>
        <v>Wheeler Clinic</v>
      </c>
      <c r="D265" s="507">
        <f>SUMIFS(AN_TME22[[#All],[Member Months]],AN_TME22[[#All],[Insurance Category Code]],7,AN_TME22[[#All],[Advanced Network/Insurance Carrier Org ID]],B265)</f>
        <v>0</v>
      </c>
      <c r="E265" s="155" t="str">
        <f>IF(D265=0,"NA",SUMIFS(AN_TME22[[#All],[Claims: Hospital Inpatient]],AN_TME22[[#All],[Insurance Category Code]],7,AN_TME22[[#All],[Advanced Network/Insurance Carrier Org ID]],B265)/D265)</f>
        <v>NA</v>
      </c>
      <c r="F265" s="109" t="str">
        <f>IF(D265=0,"NA",SUMIFS(AN_TME22[[#All],[Claims: Hospital Outpatient]],AN_TME22[[#All],[Insurance Category Code]],7,AN_TME22[[#All],[Advanced Network/Insurance Carrier Org ID]],B265)/D265)</f>
        <v>NA</v>
      </c>
      <c r="G265" s="109" t="str">
        <f>IF(D265=0,"NA",SUMIFS(AN_TME22[[#All],[Claims: Professional, Primary Care]],AN_TME22[[#All],[Insurance Category Code]],7,AN_TME22[[#All],[Advanced Network/Insurance Carrier Org ID]],B265)/D265)</f>
        <v>NA</v>
      </c>
      <c r="H265" s="109" t="str">
        <f>IF(D265=0,"NA",SUMIFS(AN_TME22[[#All],[Claims: Professional, Primary Care (for Monitoring Purposes)]],AN_TME22[[#All],[Insurance Category Code]],7,AN_TME22[[#All],[Advanced Network/Insurance Carrier Org ID]],B265)/D265)</f>
        <v>NA</v>
      </c>
      <c r="I265" s="109" t="str">
        <f>IF(D265=0,"NA",SUMIFS(AN_TME22[[#All],[Claims: Professional, Specialty]],AN_TME22[[#All],[Insurance Category Code]],7,AN_TME22[[#All],[Advanced Network/Insurance Carrier Org ID]],B265)/D265)</f>
        <v>NA</v>
      </c>
      <c r="J265" s="109" t="str">
        <f>IF(D265=0,"NA",SUMIFS(AN_TME22[[#All],[Claims: Professional Other]],AN_TME22[[#All],[Insurance Category Code]],7,AN_TME22[[#All],[Advanced Network/Insurance Carrier Org ID]],B265)/D265)</f>
        <v>NA</v>
      </c>
      <c r="K265" s="109" t="str">
        <f>IF(D265=0,"NA",SUMIFS(AN_TME22[[#All],[Claims: Pharmacy]],AN_TME22[[#All],[Insurance Category Code]],7,AN_TME22[[#All],[Advanced Network/Insurance Carrier Org ID]],B265)/D265)</f>
        <v>NA</v>
      </c>
      <c r="L265" s="109" t="str">
        <f>IF(D265=0,"NA",SUMIFS(AN_TME22[[#All],[Claims: Long-Term Care]],AN_TME22[[#All],[Insurance Category Code]],7,AN_TME22[[#All],[Advanced Network/Insurance Carrier Org ID]],B265)/D265)</f>
        <v>NA</v>
      </c>
      <c r="M265" s="109" t="str">
        <f>IF(D265=0,"NA",SUMIFS(AN_TME22[[#All],[Claims: Other]],AN_TME22[[#All],[Insurance Category Code]],7,AN_TME22[[#All],[Advanced Network/Insurance Carrier Org ID]],B265)/D265)</f>
        <v>NA</v>
      </c>
      <c r="N265" s="165" t="str">
        <f>IF(D265=0,"NA",SUMIFS(AN_TME22[[#All],[TOTAL Non-Truncated Unadjusted Claims Expenses]],AN_TME22[[#All],[Insurance Category Code]],7,AN_TME22[[#All],[Advanced Network/Insurance Carrier Org ID]],B265)/D265)</f>
        <v>NA</v>
      </c>
      <c r="O265" s="165" t="str">
        <f>IF(D265=0,"NA",SUMIFS(AN_TME22[[#All],[TOTAL Truncated Unadjusted Claims Expenses (A21 -A19)]],AN_TME22[[#All],[Insurance Category Code]],7,AN_TME22[[#All],[Advanced Network/Insurance Carrier Org ID]],B265)/D265)</f>
        <v>NA</v>
      </c>
      <c r="P265" s="165" t="str">
        <f>IF(D265=0,"NA",SUMIFS(AN_TME22[[#All],[TOTAL Non-Claims Expenses]],AN_TME22[[#All],[Insurance Category Code]],7,AN_TME22[[#All],[Advanced Network/Insurance Carrier Org ID]],B265)/D265)</f>
        <v>NA</v>
      </c>
      <c r="Q265" s="165" t="str">
        <f>IF(D265=0,"NA",SUMIFS(AN_TME22[[#All],[TOTAL Non-Truncated Unadjusted Expenses (A21 + A23)]],AN_TME22[[#All],[Insurance Category Code]],7,AN_TME22[[#All],[Advanced Network/Insurance Carrier Org ID]],B265)/D265)</f>
        <v>NA</v>
      </c>
      <c r="R265" s="165" t="str">
        <f>IF(D265=0,"NA",SUMIFS(AN_TME22[[#All],[TOTAL Truncated Unadjusted Expenses (A22 + A23)]],AN_TME22[[#All],[Insurance Category Code]],7,AN_TME22[[#All],[Advanced Network/Insurance Carrier Org ID]],B265)/D265)</f>
        <v>NA</v>
      </c>
      <c r="S265" s="504">
        <f>SUMIFS(AN_TME23[[#All],[Member Months]],AN_TME23[[#All],[Insurance Category Code]],7,AN_TME23[[#All],[Advanced Network/Insurance Carrier Org ID]],B265)</f>
        <v>0</v>
      </c>
      <c r="T265" s="493" t="str">
        <f>IF(S265=0,"NA",SUMIFS(AN_TME23[[#All],[Claims: Hospital Inpatient]],AN_TME23[[#All],[Insurance Category Code]],7,AN_TME23[[#All],[Advanced Network/Insurance Carrier Org ID]],B265)/S265)</f>
        <v>NA</v>
      </c>
      <c r="U265" s="494" t="str">
        <f>IF(S265=0,"NA",SUMIFS(AN_TME23[[#All],[Claims: Hospital Outpatient]],AN_TME23[[#All],[Insurance Category Code]],7,AN_TME23[[#All],[Advanced Network/Insurance Carrier Org ID]],B265)/S265)</f>
        <v>NA</v>
      </c>
      <c r="V265" s="494" t="str">
        <f>IF(S265=0,"NA",SUMIFS(AN_TME23[[#All],[Claims: Professional, Primary Care]],AN_TME23[[#All],[Insurance Category Code]],7,AN_TME23[[#All],[Advanced Network/Insurance Carrier Org ID]],B265)/S265)</f>
        <v>NA</v>
      </c>
      <c r="W265" s="494" t="str">
        <f>IF(S265=0,"NA",SUMIFS(AN_TME23[[#All],[Claims: Professional, Primary Care (for Monitoring Purposes)]],AN_TME23[[#All],[Insurance Category Code]],7,AN_TME23[[#All],[Advanced Network/Insurance Carrier Org ID]],B265)/S265)</f>
        <v>NA</v>
      </c>
      <c r="X265" s="494" t="str">
        <f>IF(S265=0,"NA",SUMIFS(AN_TME23[[#All],[Claims: Professional, Specialty]],AN_TME23[[#All],[Insurance Category Code]],7,AN_TME23[[#All],[Advanced Network/Insurance Carrier Org ID]],B265)/S265)</f>
        <v>NA</v>
      </c>
      <c r="Y265" s="494" t="str">
        <f>IF(S265=0,"NA",SUMIFS(AN_TME23[[#All],[Claims: Professional Other]],AN_TME23[[#All],[Insurance Category Code]],7,AN_TME23[[#All],[Advanced Network/Insurance Carrier Org ID]],B265)/S265)</f>
        <v>NA</v>
      </c>
      <c r="Z265" s="494" t="str">
        <f>IF(S265=0,"NA",SUMIFS(AN_TME23[[#All],[Claims: Pharmacy]],AN_TME23[[#All],[Insurance Category Code]],7,AN_TME23[[#All],[Advanced Network/Insurance Carrier Org ID]],B265)/S265)</f>
        <v>NA</v>
      </c>
      <c r="AA265" s="494" t="str">
        <f>IF(S265=0,"NA",SUMIFS(AN_TME23[[#All],[Claims: Long-Term Care]],AN_TME23[[#All],[Insurance Category Code]],7,AN_TME23[[#All],[Advanced Network/Insurance Carrier Org ID]],B265)/S265)</f>
        <v>NA</v>
      </c>
      <c r="AB265" s="494" t="str">
        <f>IF(S265=0,"NA",SUMIFS(AN_TME23[[#All],[Claims: Other]],AN_TME23[[#All],[Insurance Category Code]],7,AN_TME23[[#All],[Advanced Network/Insurance Carrier Org ID]],B265)/S265)</f>
        <v>NA</v>
      </c>
      <c r="AC265" s="495" t="str">
        <f>IF(S265=0,"NA",SUMIFS(AN_TME23[[#All],[TOTAL Non-Truncated Unadjusted Claims Expenses]],AN_TME23[[#All],[Insurance Category Code]],7,AN_TME23[[#All],[Advanced Network/Insurance Carrier Org ID]],B265)/S265)</f>
        <v>NA</v>
      </c>
      <c r="AD265" s="495" t="str">
        <f>IF(S265=0,"NA",SUMIFS(AN_TME23[[#All],[TOTAL Truncated Unadjusted Claims Expenses (A21 -A19)]],AN_TME23[[#All],[Insurance Category Code]],7,AN_TME23[[#All],[Advanced Network/Insurance Carrier Org ID]],B265)/S265)</f>
        <v>NA</v>
      </c>
      <c r="AE265" s="495" t="str">
        <f>IF(S265=0,"NA",SUMIFS(AN_TME23[[#All],[TOTAL Non-Claims Expenses]],AN_TME23[[#All],[Insurance Category Code]],7,AN_TME23[[#All],[Advanced Network/Insurance Carrier Org ID]],B265)/S265)</f>
        <v>NA</v>
      </c>
      <c r="AF265" s="495" t="str">
        <f>IF(S265=0,"NA",SUMIFS(AN_TME23[[#All],[TOTAL Non-Truncated Unadjusted Expenses (A21 + A23)]],AN_TME23[[#All],[Insurance Category Code]],7,AN_TME23[[#All],[Advanced Network/Insurance Carrier Org ID]],B265)/S265)</f>
        <v>NA</v>
      </c>
      <c r="AG265" s="496" t="str">
        <f>IF(S265=0,"NA",SUMIFS(AN_TME23[[#All],[TOTAL Truncated Unadjusted Expenses (A22 + A23)]],AN_TME23[[#All],[Insurance Category Code]],7,AN_TME23[[#All],[Advanced Network/Insurance Carrier Org ID]],B265)/S265)</f>
        <v>NA</v>
      </c>
      <c r="AH265" s="478" t="str">
        <f t="shared" si="323"/>
        <v>NA</v>
      </c>
      <c r="AI265" s="479" t="str">
        <f t="shared" si="324"/>
        <v>NA</v>
      </c>
      <c r="AJ265" s="480" t="str">
        <f t="shared" si="325"/>
        <v>NA</v>
      </c>
      <c r="AK265" s="480" t="str">
        <f t="shared" si="326"/>
        <v>NA</v>
      </c>
      <c r="AL265" s="480" t="str">
        <f t="shared" si="327"/>
        <v>NA</v>
      </c>
      <c r="AM265" s="480" t="str">
        <f t="shared" si="328"/>
        <v>NA</v>
      </c>
      <c r="AN265" s="480" t="str">
        <f t="shared" si="329"/>
        <v>NA</v>
      </c>
      <c r="AO265" s="480" t="str">
        <f t="shared" si="330"/>
        <v>NA</v>
      </c>
      <c r="AP265" s="480" t="str">
        <f t="shared" si="331"/>
        <v>NA</v>
      </c>
      <c r="AQ265" s="480" t="str">
        <f t="shared" si="332"/>
        <v>NA</v>
      </c>
      <c r="AR265" s="481" t="str">
        <f t="shared" si="333"/>
        <v>NA</v>
      </c>
      <c r="AS265" s="481" t="str">
        <f t="shared" si="334"/>
        <v>NA</v>
      </c>
      <c r="AT265" s="481" t="str">
        <f t="shared" si="335"/>
        <v>NA</v>
      </c>
      <c r="AU265" s="481" t="str">
        <f t="shared" si="336"/>
        <v>NA</v>
      </c>
      <c r="AV265" s="482" t="str">
        <f t="shared" si="337"/>
        <v>NA</v>
      </c>
    </row>
    <row r="266" spans="1:48" ht="15" customHeight="1" x14ac:dyDescent="0.25">
      <c r="A266" s="164"/>
      <c r="B266" s="166">
        <v>131</v>
      </c>
      <c r="C266" s="169" t="str">
        <f>_xlfn.XLOOKUP(B266, LgProvEntOrgIDs[Advanced Network/Insurer Carrier Org ID], LgProvEntOrgIDs[Advanced Network/Insurance Carrier Overall])</f>
        <v>Yale Medicine</v>
      </c>
      <c r="D266" s="507">
        <f>SUMIFS(AN_TME22[[#All],[Member Months]],AN_TME22[[#All],[Insurance Category Code]],7,AN_TME22[[#All],[Advanced Network/Insurance Carrier Org ID]],B266)</f>
        <v>0</v>
      </c>
      <c r="E266" s="155" t="str">
        <f>IF(D266=0,"NA",SUMIFS(AN_TME22[[#All],[Claims: Hospital Inpatient]],AN_TME22[[#All],[Insurance Category Code]],7,AN_TME22[[#All],[Advanced Network/Insurance Carrier Org ID]],B266)/D266)</f>
        <v>NA</v>
      </c>
      <c r="F266" s="109" t="str">
        <f>IF(D266=0,"NA",SUMIFS(AN_TME22[[#All],[Claims: Hospital Outpatient]],AN_TME22[[#All],[Insurance Category Code]],7,AN_TME22[[#All],[Advanced Network/Insurance Carrier Org ID]],B266)/D266)</f>
        <v>NA</v>
      </c>
      <c r="G266" s="109" t="str">
        <f>IF(D266=0,"NA",SUMIFS(AN_TME22[[#All],[Claims: Professional, Primary Care]],AN_TME22[[#All],[Insurance Category Code]],7,AN_TME22[[#All],[Advanced Network/Insurance Carrier Org ID]],B266)/D266)</f>
        <v>NA</v>
      </c>
      <c r="H266" s="109" t="str">
        <f>IF(D266=0,"NA",SUMIFS(AN_TME22[[#All],[Claims: Professional, Primary Care (for Monitoring Purposes)]],AN_TME22[[#All],[Insurance Category Code]],7,AN_TME22[[#All],[Advanced Network/Insurance Carrier Org ID]],B266)/D266)</f>
        <v>NA</v>
      </c>
      <c r="I266" s="109" t="str">
        <f>IF(D266=0,"NA",SUMIFS(AN_TME22[[#All],[Claims: Professional, Specialty]],AN_TME22[[#All],[Insurance Category Code]],7,AN_TME22[[#All],[Advanced Network/Insurance Carrier Org ID]],B266)/D266)</f>
        <v>NA</v>
      </c>
      <c r="J266" s="109" t="str">
        <f>IF(D266=0,"NA",SUMIFS(AN_TME22[[#All],[Claims: Professional Other]],AN_TME22[[#All],[Insurance Category Code]],7,AN_TME22[[#All],[Advanced Network/Insurance Carrier Org ID]],B266)/D266)</f>
        <v>NA</v>
      </c>
      <c r="K266" s="109" t="str">
        <f>IF(D266=0,"NA",SUMIFS(AN_TME22[[#All],[Claims: Pharmacy]],AN_TME22[[#All],[Insurance Category Code]],7,AN_TME22[[#All],[Advanced Network/Insurance Carrier Org ID]],B266)/D266)</f>
        <v>NA</v>
      </c>
      <c r="L266" s="109" t="str">
        <f>IF(D266=0,"NA",SUMIFS(AN_TME22[[#All],[Claims: Long-Term Care]],AN_TME22[[#All],[Insurance Category Code]],7,AN_TME22[[#All],[Advanced Network/Insurance Carrier Org ID]],B266)/D266)</f>
        <v>NA</v>
      </c>
      <c r="M266" s="109" t="str">
        <f>IF(D266=0,"NA",SUMIFS(AN_TME22[[#All],[Claims: Other]],AN_TME22[[#All],[Insurance Category Code]],7,AN_TME22[[#All],[Advanced Network/Insurance Carrier Org ID]],B266)/D266)</f>
        <v>NA</v>
      </c>
      <c r="N266" s="165" t="str">
        <f>IF(D266=0,"NA",SUMIFS(AN_TME22[[#All],[TOTAL Non-Truncated Unadjusted Claims Expenses]],AN_TME22[[#All],[Insurance Category Code]],7,AN_TME22[[#All],[Advanced Network/Insurance Carrier Org ID]],B266)/D266)</f>
        <v>NA</v>
      </c>
      <c r="O266" s="165" t="str">
        <f>IF(D266=0,"NA",SUMIFS(AN_TME22[[#All],[TOTAL Truncated Unadjusted Claims Expenses (A21 -A19)]],AN_TME22[[#All],[Insurance Category Code]],7,AN_TME22[[#All],[Advanced Network/Insurance Carrier Org ID]],B266)/D266)</f>
        <v>NA</v>
      </c>
      <c r="P266" s="165" t="str">
        <f>IF(D266=0,"NA",SUMIFS(AN_TME22[[#All],[TOTAL Non-Claims Expenses]],AN_TME22[[#All],[Insurance Category Code]],7,AN_TME22[[#All],[Advanced Network/Insurance Carrier Org ID]],B266)/D266)</f>
        <v>NA</v>
      </c>
      <c r="Q266" s="165" t="str">
        <f>IF(D266=0,"NA",SUMIFS(AN_TME22[[#All],[TOTAL Non-Truncated Unadjusted Expenses (A21 + A23)]],AN_TME22[[#All],[Insurance Category Code]],7,AN_TME22[[#All],[Advanced Network/Insurance Carrier Org ID]],B266)/D266)</f>
        <v>NA</v>
      </c>
      <c r="R266" s="165" t="str">
        <f>IF(D266=0,"NA",SUMIFS(AN_TME22[[#All],[TOTAL Truncated Unadjusted Expenses (A22 + A23)]],AN_TME22[[#All],[Insurance Category Code]],7,AN_TME22[[#All],[Advanced Network/Insurance Carrier Org ID]],B266)/D266)</f>
        <v>NA</v>
      </c>
      <c r="S266" s="504">
        <f>SUMIFS(AN_TME23[[#All],[Member Months]],AN_TME23[[#All],[Insurance Category Code]],7,AN_TME23[[#All],[Advanced Network/Insurance Carrier Org ID]],B266)</f>
        <v>0</v>
      </c>
      <c r="T266" s="493" t="str">
        <f>IF(S266=0,"NA",SUMIFS(AN_TME23[[#All],[Claims: Hospital Inpatient]],AN_TME23[[#All],[Insurance Category Code]],7,AN_TME23[[#All],[Advanced Network/Insurance Carrier Org ID]],B266)/S266)</f>
        <v>NA</v>
      </c>
      <c r="U266" s="494" t="str">
        <f>IF(S266=0,"NA",SUMIFS(AN_TME23[[#All],[Claims: Hospital Outpatient]],AN_TME23[[#All],[Insurance Category Code]],7,AN_TME23[[#All],[Advanced Network/Insurance Carrier Org ID]],B266)/S266)</f>
        <v>NA</v>
      </c>
      <c r="V266" s="494" t="str">
        <f>IF(S266=0,"NA",SUMIFS(AN_TME23[[#All],[Claims: Professional, Primary Care]],AN_TME23[[#All],[Insurance Category Code]],7,AN_TME23[[#All],[Advanced Network/Insurance Carrier Org ID]],B266)/S266)</f>
        <v>NA</v>
      </c>
      <c r="W266" s="494" t="str">
        <f>IF(S266=0,"NA",SUMIFS(AN_TME23[[#All],[Claims: Professional, Primary Care (for Monitoring Purposes)]],AN_TME23[[#All],[Insurance Category Code]],7,AN_TME23[[#All],[Advanced Network/Insurance Carrier Org ID]],B266)/S266)</f>
        <v>NA</v>
      </c>
      <c r="X266" s="494" t="str">
        <f>IF(S266=0,"NA",SUMIFS(AN_TME23[[#All],[Claims: Professional, Specialty]],AN_TME23[[#All],[Insurance Category Code]],7,AN_TME23[[#All],[Advanced Network/Insurance Carrier Org ID]],B266)/S266)</f>
        <v>NA</v>
      </c>
      <c r="Y266" s="494" t="str">
        <f>IF(S266=0,"NA",SUMIFS(AN_TME23[[#All],[Claims: Professional Other]],AN_TME23[[#All],[Insurance Category Code]],7,AN_TME23[[#All],[Advanced Network/Insurance Carrier Org ID]],B266)/S266)</f>
        <v>NA</v>
      </c>
      <c r="Z266" s="494" t="str">
        <f>IF(S266=0,"NA",SUMIFS(AN_TME23[[#All],[Claims: Pharmacy]],AN_TME23[[#All],[Insurance Category Code]],7,AN_TME23[[#All],[Advanced Network/Insurance Carrier Org ID]],B266)/S266)</f>
        <v>NA</v>
      </c>
      <c r="AA266" s="494" t="str">
        <f>IF(S266=0,"NA",SUMIFS(AN_TME23[[#All],[Claims: Long-Term Care]],AN_TME23[[#All],[Insurance Category Code]],7,AN_TME23[[#All],[Advanced Network/Insurance Carrier Org ID]],B266)/S266)</f>
        <v>NA</v>
      </c>
      <c r="AB266" s="494" t="str">
        <f>IF(S266=0,"NA",SUMIFS(AN_TME23[[#All],[Claims: Other]],AN_TME23[[#All],[Insurance Category Code]],7,AN_TME23[[#All],[Advanced Network/Insurance Carrier Org ID]],B266)/S266)</f>
        <v>NA</v>
      </c>
      <c r="AC266" s="495" t="str">
        <f>IF(S266=0,"NA",SUMIFS(AN_TME23[[#All],[TOTAL Non-Truncated Unadjusted Claims Expenses]],AN_TME23[[#All],[Insurance Category Code]],7,AN_TME23[[#All],[Advanced Network/Insurance Carrier Org ID]],B266)/S266)</f>
        <v>NA</v>
      </c>
      <c r="AD266" s="495" t="str">
        <f>IF(S266=0,"NA",SUMIFS(AN_TME23[[#All],[TOTAL Truncated Unadjusted Claims Expenses (A21 -A19)]],AN_TME23[[#All],[Insurance Category Code]],7,AN_TME23[[#All],[Advanced Network/Insurance Carrier Org ID]],B266)/S266)</f>
        <v>NA</v>
      </c>
      <c r="AE266" s="495" t="str">
        <f>IF(S266=0,"NA",SUMIFS(AN_TME23[[#All],[TOTAL Non-Claims Expenses]],AN_TME23[[#All],[Insurance Category Code]],7,AN_TME23[[#All],[Advanced Network/Insurance Carrier Org ID]],B266)/S266)</f>
        <v>NA</v>
      </c>
      <c r="AF266" s="495" t="str">
        <f>IF(S266=0,"NA",SUMIFS(AN_TME23[[#All],[TOTAL Non-Truncated Unadjusted Expenses (A21 + A23)]],AN_TME23[[#All],[Insurance Category Code]],7,AN_TME23[[#All],[Advanced Network/Insurance Carrier Org ID]],B266)/S266)</f>
        <v>NA</v>
      </c>
      <c r="AG266" s="496" t="str">
        <f>IF(S266=0,"NA",SUMIFS(AN_TME23[[#All],[TOTAL Truncated Unadjusted Expenses (A22 + A23)]],AN_TME23[[#All],[Insurance Category Code]],7,AN_TME23[[#All],[Advanced Network/Insurance Carrier Org ID]],B266)/S266)</f>
        <v>NA</v>
      </c>
      <c r="AH266" s="478" t="str">
        <f t="shared" si="323"/>
        <v>NA</v>
      </c>
      <c r="AI266" s="479" t="str">
        <f t="shared" si="324"/>
        <v>NA</v>
      </c>
      <c r="AJ266" s="480" t="str">
        <f t="shared" si="325"/>
        <v>NA</v>
      </c>
      <c r="AK266" s="480" t="str">
        <f t="shared" si="326"/>
        <v>NA</v>
      </c>
      <c r="AL266" s="480" t="str">
        <f t="shared" si="327"/>
        <v>NA</v>
      </c>
      <c r="AM266" s="480" t="str">
        <f t="shared" si="328"/>
        <v>NA</v>
      </c>
      <c r="AN266" s="480" t="str">
        <f t="shared" si="329"/>
        <v>NA</v>
      </c>
      <c r="AO266" s="480" t="str">
        <f t="shared" si="330"/>
        <v>NA</v>
      </c>
      <c r="AP266" s="480" t="str">
        <f t="shared" si="331"/>
        <v>NA</v>
      </c>
      <c r="AQ266" s="480" t="str">
        <f t="shared" si="332"/>
        <v>NA</v>
      </c>
      <c r="AR266" s="481" t="str">
        <f t="shared" si="333"/>
        <v>NA</v>
      </c>
      <c r="AS266" s="481" t="str">
        <f t="shared" si="334"/>
        <v>NA</v>
      </c>
      <c r="AT266" s="481" t="str">
        <f t="shared" si="335"/>
        <v>NA</v>
      </c>
      <c r="AU266" s="481" t="str">
        <f t="shared" si="336"/>
        <v>NA</v>
      </c>
      <c r="AV266" s="482" t="str">
        <f t="shared" si="337"/>
        <v>NA</v>
      </c>
    </row>
    <row r="267" spans="1:48" ht="15" customHeight="1" x14ac:dyDescent="0.25">
      <c r="A267" s="164"/>
      <c r="B267" s="166">
        <v>999</v>
      </c>
      <c r="C267" s="169" t="str">
        <f>_xlfn.XLOOKUP(B267, LgProvEntOrgIDs[Advanced Network/Insurer Carrier Org ID], LgProvEntOrgIDs[Advanced Network/Insurance Carrier Overall])</f>
        <v>Members Not Attributed to an Advanced Network</v>
      </c>
      <c r="D267" s="507">
        <f>SUMIFS(AN_TME22[[#All],[Member Months]],AN_TME22[[#All],[Insurance Category Code]],7,AN_TME22[[#All],[Advanced Network/Insurance Carrier Org ID]],B267)</f>
        <v>0</v>
      </c>
      <c r="E267" s="155" t="str">
        <f>IF(D267=0,"NA",SUMIFS(AN_TME22[[#All],[Claims: Hospital Inpatient]],AN_TME22[[#All],[Insurance Category Code]],7,AN_TME22[[#All],[Advanced Network/Insurance Carrier Org ID]],B267)/D267)</f>
        <v>NA</v>
      </c>
      <c r="F267" s="109" t="str">
        <f>IF(D267=0,"NA",SUMIFS(AN_TME22[[#All],[Claims: Hospital Outpatient]],AN_TME22[[#All],[Insurance Category Code]],7,AN_TME22[[#All],[Advanced Network/Insurance Carrier Org ID]],B267)/D267)</f>
        <v>NA</v>
      </c>
      <c r="G267" s="109" t="str">
        <f>IF(D267=0,"NA",SUMIFS(AN_TME22[[#All],[Claims: Professional, Primary Care]],AN_TME22[[#All],[Insurance Category Code]],7,AN_TME22[[#All],[Advanced Network/Insurance Carrier Org ID]],B267)/D267)</f>
        <v>NA</v>
      </c>
      <c r="H267" s="109" t="str">
        <f>IF(D267=0,"NA",SUMIFS(AN_TME22[[#All],[Claims: Professional, Primary Care (for Monitoring Purposes)]],AN_TME22[[#All],[Insurance Category Code]],7,AN_TME22[[#All],[Advanced Network/Insurance Carrier Org ID]],B267)/D267)</f>
        <v>NA</v>
      </c>
      <c r="I267" s="109" t="str">
        <f>IF(D267=0,"NA",SUMIFS(AN_TME22[[#All],[Claims: Professional, Specialty]],AN_TME22[[#All],[Insurance Category Code]],7,AN_TME22[[#All],[Advanced Network/Insurance Carrier Org ID]],B267)/D267)</f>
        <v>NA</v>
      </c>
      <c r="J267" s="109" t="str">
        <f>IF(D267=0,"NA",SUMIFS(AN_TME22[[#All],[Claims: Professional Other]],AN_TME22[[#All],[Insurance Category Code]],7,AN_TME22[[#All],[Advanced Network/Insurance Carrier Org ID]],B267)/D267)</f>
        <v>NA</v>
      </c>
      <c r="K267" s="109" t="str">
        <f>IF(D267=0,"NA",SUMIFS(AN_TME22[[#All],[Claims: Pharmacy]],AN_TME22[[#All],[Insurance Category Code]],7,AN_TME22[[#All],[Advanced Network/Insurance Carrier Org ID]],B267)/D267)</f>
        <v>NA</v>
      </c>
      <c r="L267" s="109" t="str">
        <f>IF(D267=0,"NA",SUMIFS(AN_TME22[[#All],[Claims: Long-Term Care]],AN_TME22[[#All],[Insurance Category Code]],7,AN_TME22[[#All],[Advanced Network/Insurance Carrier Org ID]],B267)/D267)</f>
        <v>NA</v>
      </c>
      <c r="M267" s="109" t="str">
        <f>IF(D267=0,"NA",SUMIFS(AN_TME22[[#All],[Claims: Other]],AN_TME22[[#All],[Insurance Category Code]],7,AN_TME22[[#All],[Advanced Network/Insurance Carrier Org ID]],B267)/D267)</f>
        <v>NA</v>
      </c>
      <c r="N267" s="165" t="str">
        <f>IF(D267=0,"NA",SUMIFS(AN_TME22[[#All],[TOTAL Non-Truncated Unadjusted Claims Expenses]],AN_TME22[[#All],[Insurance Category Code]],7,AN_TME22[[#All],[Advanced Network/Insurance Carrier Org ID]],B267)/D267)</f>
        <v>NA</v>
      </c>
      <c r="O267" s="165" t="str">
        <f>IF(D267=0,"NA",SUMIFS(AN_TME22[[#All],[TOTAL Truncated Unadjusted Claims Expenses (A21 -A19)]],AN_TME22[[#All],[Insurance Category Code]],7,AN_TME22[[#All],[Advanced Network/Insurance Carrier Org ID]],B267)/D267)</f>
        <v>NA</v>
      </c>
      <c r="P267" s="165" t="str">
        <f>IF(D267=0,"NA",SUMIFS(AN_TME22[[#All],[TOTAL Non-Claims Expenses]],AN_TME22[[#All],[Insurance Category Code]],7,AN_TME22[[#All],[Advanced Network/Insurance Carrier Org ID]],B267)/D267)</f>
        <v>NA</v>
      </c>
      <c r="Q267" s="165" t="str">
        <f>IF(D267=0,"NA",SUMIFS(AN_TME22[[#All],[TOTAL Non-Truncated Unadjusted Expenses (A21 + A23)]],AN_TME22[[#All],[Insurance Category Code]],7,AN_TME22[[#All],[Advanced Network/Insurance Carrier Org ID]],B267)/D267)</f>
        <v>NA</v>
      </c>
      <c r="R267" s="165" t="str">
        <f>IF(D267=0,"NA",SUMIFS(AN_TME22[[#All],[TOTAL Truncated Unadjusted Expenses (A22 + A23)]],AN_TME22[[#All],[Insurance Category Code]],7,AN_TME22[[#All],[Advanced Network/Insurance Carrier Org ID]],B267)/D267)</f>
        <v>NA</v>
      </c>
      <c r="S267" s="504">
        <f>SUMIFS(AN_TME23[[#All],[Member Months]],AN_TME23[[#All],[Insurance Category Code]],7,AN_TME23[[#All],[Advanced Network/Insurance Carrier Org ID]],B267)</f>
        <v>0</v>
      </c>
      <c r="T267" s="493" t="str">
        <f>IF(S267=0,"NA",SUMIFS(AN_TME23[[#All],[Claims: Hospital Inpatient]],AN_TME23[[#All],[Insurance Category Code]],7,AN_TME23[[#All],[Advanced Network/Insurance Carrier Org ID]],B267)/S267)</f>
        <v>NA</v>
      </c>
      <c r="U267" s="494" t="str">
        <f>IF(S267=0,"NA",SUMIFS(AN_TME23[[#All],[Claims: Hospital Outpatient]],AN_TME23[[#All],[Insurance Category Code]],7,AN_TME23[[#All],[Advanced Network/Insurance Carrier Org ID]],B267)/S267)</f>
        <v>NA</v>
      </c>
      <c r="V267" s="494" t="str">
        <f>IF(S267=0,"NA",SUMIFS(AN_TME23[[#All],[Claims: Professional, Primary Care]],AN_TME23[[#All],[Insurance Category Code]],7,AN_TME23[[#All],[Advanced Network/Insurance Carrier Org ID]],B267)/S267)</f>
        <v>NA</v>
      </c>
      <c r="W267" s="494" t="str">
        <f>IF(S267=0,"NA",SUMIFS(AN_TME23[[#All],[Claims: Professional, Primary Care (for Monitoring Purposes)]],AN_TME23[[#All],[Insurance Category Code]],7,AN_TME23[[#All],[Advanced Network/Insurance Carrier Org ID]],B267)/S267)</f>
        <v>NA</v>
      </c>
      <c r="X267" s="494" t="str">
        <f>IF(S267=0,"NA",SUMIFS(AN_TME23[[#All],[Claims: Professional, Specialty]],AN_TME23[[#All],[Insurance Category Code]],7,AN_TME23[[#All],[Advanced Network/Insurance Carrier Org ID]],B267)/S267)</f>
        <v>NA</v>
      </c>
      <c r="Y267" s="494" t="str">
        <f>IF(S267=0,"NA",SUMIFS(AN_TME23[[#All],[Claims: Professional Other]],AN_TME23[[#All],[Insurance Category Code]],7,AN_TME23[[#All],[Advanced Network/Insurance Carrier Org ID]],B267)/S267)</f>
        <v>NA</v>
      </c>
      <c r="Z267" s="494" t="str">
        <f>IF(S267=0,"NA",SUMIFS(AN_TME23[[#All],[Claims: Pharmacy]],AN_TME23[[#All],[Insurance Category Code]],7,AN_TME23[[#All],[Advanced Network/Insurance Carrier Org ID]],B267)/S267)</f>
        <v>NA</v>
      </c>
      <c r="AA267" s="494" t="str">
        <f>IF(S267=0,"NA",SUMIFS(AN_TME23[[#All],[Claims: Long-Term Care]],AN_TME23[[#All],[Insurance Category Code]],7,AN_TME23[[#All],[Advanced Network/Insurance Carrier Org ID]],B267)/S267)</f>
        <v>NA</v>
      </c>
      <c r="AB267" s="494" t="str">
        <f>IF(S267=0,"NA",SUMIFS(AN_TME23[[#All],[Claims: Other]],AN_TME23[[#All],[Insurance Category Code]],7,AN_TME23[[#All],[Advanced Network/Insurance Carrier Org ID]],B267)/S267)</f>
        <v>NA</v>
      </c>
      <c r="AC267" s="495" t="str">
        <f>IF(S267=0,"NA",SUMIFS(AN_TME23[[#All],[TOTAL Non-Truncated Unadjusted Claims Expenses]],AN_TME23[[#All],[Insurance Category Code]],7,AN_TME23[[#All],[Advanced Network/Insurance Carrier Org ID]],B267)/S267)</f>
        <v>NA</v>
      </c>
      <c r="AD267" s="495" t="str">
        <f>IF(S267=0,"NA",SUMIFS(AN_TME23[[#All],[TOTAL Truncated Unadjusted Claims Expenses (A21 -A19)]],AN_TME23[[#All],[Insurance Category Code]],7,AN_TME23[[#All],[Advanced Network/Insurance Carrier Org ID]],B267)/S267)</f>
        <v>NA</v>
      </c>
      <c r="AE267" s="495" t="str">
        <f>IF(S267=0,"NA",SUMIFS(AN_TME23[[#All],[TOTAL Non-Claims Expenses]],AN_TME23[[#All],[Insurance Category Code]],7,AN_TME23[[#All],[Advanced Network/Insurance Carrier Org ID]],B267)/S267)</f>
        <v>NA</v>
      </c>
      <c r="AF267" s="495" t="str">
        <f>IF(S267=0,"NA",SUMIFS(AN_TME23[[#All],[TOTAL Non-Truncated Unadjusted Expenses (A21 + A23)]],AN_TME23[[#All],[Insurance Category Code]],7,AN_TME23[[#All],[Advanced Network/Insurance Carrier Org ID]],B267)/S267)</f>
        <v>NA</v>
      </c>
      <c r="AG267" s="496" t="str">
        <f>IF(S267=0,"NA",SUMIFS(AN_TME23[[#All],[TOTAL Truncated Unadjusted Expenses (A22 + A23)]],AN_TME23[[#All],[Insurance Category Code]],7,AN_TME23[[#All],[Advanced Network/Insurance Carrier Org ID]],B267)/S267)</f>
        <v>NA</v>
      </c>
      <c r="AH267" s="478" t="str">
        <f>IF(D267=0,"NA",S267/D267-1)</f>
        <v>NA</v>
      </c>
      <c r="AI267" s="479" t="str">
        <f>IF(D267=0,"NA",T267/E267-1)</f>
        <v>NA</v>
      </c>
      <c r="AJ267" s="480" t="str">
        <f>IF(D267=0,"NA",U267/F267-1)</f>
        <v>NA</v>
      </c>
      <c r="AK267" s="480" t="str">
        <f>IF(D267=0,"NA",V267/G267-1)</f>
        <v>NA</v>
      </c>
      <c r="AL267" s="480" t="str">
        <f>IF(D267=0,"NA",W267/H267-1)</f>
        <v>NA</v>
      </c>
      <c r="AM267" s="480" t="str">
        <f>IF(D267=0,"NA",X267/I267-1)</f>
        <v>NA</v>
      </c>
      <c r="AN267" s="480" t="str">
        <f>IF(D267=0,"NA",Y267/J267-1)</f>
        <v>NA</v>
      </c>
      <c r="AO267" s="480" t="str">
        <f>IF(D267=0,"NA",Z267/K267-1)</f>
        <v>NA</v>
      </c>
      <c r="AP267" s="480" t="str">
        <f>IF(D267=0,"NA",AA267/L267-1)</f>
        <v>NA</v>
      </c>
      <c r="AQ267" s="480" t="str">
        <f>IF(D267=0,"NA",AB267/M267-1)</f>
        <v>NA</v>
      </c>
      <c r="AR267" s="481" t="str">
        <f>IF(D267=0,"NA",AC267/N267-1)</f>
        <v>NA</v>
      </c>
      <c r="AS267" s="481" t="str">
        <f>IF(D267=0,"NA",AD267/O267-1)</f>
        <v>NA</v>
      </c>
      <c r="AT267" s="481" t="str">
        <f>IF(D267=0,"NA",AE267/P267-1)</f>
        <v>NA</v>
      </c>
      <c r="AU267" s="481" t="str">
        <f>IF(D267=0,"NA",AF267/Q267-1)</f>
        <v>NA</v>
      </c>
      <c r="AV267" s="482" t="str">
        <f>IF(D267=0,"NA",AG267/R267-1)</f>
        <v>NA</v>
      </c>
    </row>
    <row r="268" spans="1:48" ht="15" customHeight="1" x14ac:dyDescent="0.25">
      <c r="B268" s="167"/>
      <c r="C268" s="170" t="s">
        <v>319</v>
      </c>
      <c r="D268" s="508">
        <f>SUM(D236:D267)</f>
        <v>0</v>
      </c>
      <c r="E268" s="157" t="str">
        <f>IF(D268=0,"NA",SUMPRODUCT(E236:E267,D236:D267)/D268)</f>
        <v>NA</v>
      </c>
      <c r="F268" s="110" t="str">
        <f>IF(D268=0,"NA",SUMPRODUCT(F236:F267,D236:D267)/D268)</f>
        <v>NA</v>
      </c>
      <c r="G268" s="110" t="str">
        <f>IF(D268=0,"NA",SUMPRODUCT(G236:G267,D236:D267)/D268)</f>
        <v>NA</v>
      </c>
      <c r="H268" s="110" t="str">
        <f>IF(D268=0,"NA",SUMPRODUCT(H236:H267,D236:D267)/D268)</f>
        <v>NA</v>
      </c>
      <c r="I268" s="110" t="str">
        <f>IF(D268=0,"NA",SUMPRODUCT(I236:I267,D236:D267)/D268)</f>
        <v>NA</v>
      </c>
      <c r="J268" s="110" t="str">
        <f>IF(D268=0,"NA",SUMPRODUCT(J236:J267,D236:D267)/D268)</f>
        <v>NA</v>
      </c>
      <c r="K268" s="110" t="str">
        <f>IF(D268=0,"NA",SUMPRODUCT(K236:K267,D236:D267)/D268)</f>
        <v>NA</v>
      </c>
      <c r="L268" s="110" t="str">
        <f>IF(D268=0,"NA",SUMPRODUCT(L236:L267,D236:D267)/D268)</f>
        <v>NA</v>
      </c>
      <c r="M268" s="110" t="str">
        <f>IF(D268=0,"NA",SUMPRODUCT(M236:M267,D236:D267)/D268)</f>
        <v>NA</v>
      </c>
      <c r="N268" s="158" t="str">
        <f>IF(D268=0,"NA",SUMPRODUCT(N236:N267,D236:D267)/D268)</f>
        <v>NA</v>
      </c>
      <c r="O268" s="158" t="str">
        <f>IF(D268=0,"NA",SUMPRODUCT(O236:O267,D236:D267)/D268)</f>
        <v>NA</v>
      </c>
      <c r="P268" s="158" t="str">
        <f>IF(D268=0,"NA",SUMPRODUCT(P236:P267,D236:D267)/D268)</f>
        <v>NA</v>
      </c>
      <c r="Q268" s="158" t="str">
        <f>IF(D268=0,"NA",SUMPRODUCT(Q236:Q267,D236:D267)/D268)</f>
        <v>NA</v>
      </c>
      <c r="R268" s="158" t="str">
        <f>IF(D268=0,"NA",SUMPRODUCT(R236:R267,D236:D267)/D268)</f>
        <v>NA</v>
      </c>
      <c r="S268" s="505">
        <f>SUM(S236:S267)</f>
        <v>0</v>
      </c>
      <c r="T268" s="497" t="str">
        <f>IF(S268=0,"NA",SUMPRODUCT(T236:T267,S236:S267)/S268)</f>
        <v>NA</v>
      </c>
      <c r="U268" s="498" t="str">
        <f>IF(S268=0,"NA",SUMPRODUCT(U236:U267,S236:S267)/S268)</f>
        <v>NA</v>
      </c>
      <c r="V268" s="498" t="str">
        <f>IF(S268=0,"NA",SUMPRODUCT(V236:V267,S236:S267)/S268)</f>
        <v>NA</v>
      </c>
      <c r="W268" s="498" t="str">
        <f>IF(S268=0,"NA",SUMPRODUCT(W236:W267,S236:S267)/S268)</f>
        <v>NA</v>
      </c>
      <c r="X268" s="498" t="str">
        <f>IF(S268=0,"NA",SUMPRODUCT(X236:X267,S236:S267)/S268)</f>
        <v>NA</v>
      </c>
      <c r="Y268" s="498" t="str">
        <f>IF(S268=0,"NA",SUMPRODUCT(Y236:Y267,S236:S267)/S268)</f>
        <v>NA</v>
      </c>
      <c r="Z268" s="498" t="str">
        <f>IF(S268=0,"NA",SUMPRODUCT(Z236:Z267,S236:S267)/S268)</f>
        <v>NA</v>
      </c>
      <c r="AA268" s="498" t="str">
        <f>IF(S268=0,"NA",SUMPRODUCT(AA236:AA267,S236:S267)/S268)</f>
        <v>NA</v>
      </c>
      <c r="AB268" s="498" t="str">
        <f>IF(S268=0,"NA",SUMPRODUCT(AB236:AB267,S236:S267)/S268)</f>
        <v>NA</v>
      </c>
      <c r="AC268" s="499" t="str">
        <f>IF(S268=0,"NA",SUMPRODUCT(AC236:AC267,S236:S267)/S268)</f>
        <v>NA</v>
      </c>
      <c r="AD268" s="499" t="str">
        <f>IF(S268=0,"NA",SUMPRODUCT(AD236:AD267,S236:S267)/S268)</f>
        <v>NA</v>
      </c>
      <c r="AE268" s="499" t="str">
        <f>IF(S268=0,"NA",SUMPRODUCT(AE236:AE267,S236:S267)/S268)</f>
        <v>NA</v>
      </c>
      <c r="AF268" s="499" t="str">
        <f>IF(S268=0,"NA",SUMPRODUCT(AF236:AF267,S236:S267)/S268)</f>
        <v>NA</v>
      </c>
      <c r="AG268" s="500" t="str">
        <f>IF(S268=0,"NA",SUMPRODUCT(AG236:AG267,S236:S267)/S268)</f>
        <v>NA</v>
      </c>
      <c r="AH268" s="483" t="str">
        <f>IF(D268=0,"NA",S268/D268-1)</f>
        <v>NA</v>
      </c>
      <c r="AI268" s="484" t="str">
        <f>IF(D268=0,"NA",T268/E268-1)</f>
        <v>NA</v>
      </c>
      <c r="AJ268" s="485" t="str">
        <f>IF(D268=0,"NA",U268/F268-1)</f>
        <v>NA</v>
      </c>
      <c r="AK268" s="485" t="str">
        <f>IF(D268=0,"NA",V268/G268-1)</f>
        <v>NA</v>
      </c>
      <c r="AL268" s="485" t="str">
        <f>IF(D268=0,"NA",W268/H268-1)</f>
        <v>NA</v>
      </c>
      <c r="AM268" s="485" t="str">
        <f>IF(D268=0,"NA",X268/I268-1)</f>
        <v>NA</v>
      </c>
      <c r="AN268" s="485" t="str">
        <f>IF(D268=0,"NA",Y268/J268-1)</f>
        <v>NA</v>
      </c>
      <c r="AO268" s="485" t="str">
        <f>IF(D268=0,"NA",Z268/K268-1)</f>
        <v>NA</v>
      </c>
      <c r="AP268" s="485" t="str">
        <f>IF(D268=0,"NA",AA268/L268-1)</f>
        <v>NA</v>
      </c>
      <c r="AQ268" s="485" t="str">
        <f>IF(D268=0,"NA",AB268/M268-1)</f>
        <v>NA</v>
      </c>
      <c r="AR268" s="486" t="str">
        <f>IF(D268=0,"NA",AC268/N268-1)</f>
        <v>NA</v>
      </c>
      <c r="AS268" s="486" t="str">
        <f>IF(D268=0,"NA",AD268/O268-1)</f>
        <v>NA</v>
      </c>
      <c r="AT268" s="486" t="str">
        <f>IF(D268=0,"NA",AE268/P268-1)</f>
        <v>NA</v>
      </c>
      <c r="AU268" s="486" t="str">
        <f>IF(D268=0,"NA",AF268/Q268-1)</f>
        <v>NA</v>
      </c>
      <c r="AV268" s="487" t="str">
        <f>IF(D268=0,"NA",AG268/R268-1)</f>
        <v>NA</v>
      </c>
    </row>
    <row r="269" spans="1:48" ht="15.75" customHeight="1" thickBot="1" x14ac:dyDescent="0.3">
      <c r="B269" s="168"/>
      <c r="C269" s="171" t="s">
        <v>320</v>
      </c>
      <c r="D269" s="509">
        <f t="shared" ref="D269:J269" si="338">D268</f>
        <v>0</v>
      </c>
      <c r="E269" s="160" t="str">
        <f t="shared" si="338"/>
        <v>NA</v>
      </c>
      <c r="F269" s="161" t="str">
        <f t="shared" si="338"/>
        <v>NA</v>
      </c>
      <c r="G269" s="161" t="str">
        <f t="shared" si="338"/>
        <v>NA</v>
      </c>
      <c r="H269" s="161" t="str">
        <f t="shared" si="338"/>
        <v>NA</v>
      </c>
      <c r="I269" s="161" t="str">
        <f t="shared" si="338"/>
        <v>NA</v>
      </c>
      <c r="J269" s="161" t="str">
        <f t="shared" si="338"/>
        <v>NA</v>
      </c>
      <c r="K269" s="161" t="str">
        <f>IF(D269=0,"NA",(SUMPRODUCT(K236:K267,D236:D267)-ABS(SUMIF(RX_REBATES22[[#All],[Insurance Category Code]],7,RX_REBATES22[[#All],[Total Pharmacy Rebates]])))/D269)</f>
        <v>NA</v>
      </c>
      <c r="L269" s="161" t="str">
        <f>L268</f>
        <v>NA</v>
      </c>
      <c r="M269" s="161" t="str">
        <f>M268</f>
        <v>NA</v>
      </c>
      <c r="N269" s="162" t="str">
        <f>IF(D269=0,"NA",(SUMPRODUCT(N236:N267,D236:D267)-ABS(SUMIF(RX_REBATES22[[#All],[Insurance Category Code]],7,RX_REBATES22[[#All],[Total Pharmacy Rebates]])))/D269)</f>
        <v>NA</v>
      </c>
      <c r="O269" s="162" t="str">
        <f>IF(D269=0,"NA",(SUMPRODUCT(O236:O267,D236:D267)-ABS(SUMIF(RX_REBATES22[[#All],[Insurance Category Code]],7,RX_REBATES22[[#All],[Total Pharmacy Rebates]])))/D269)</f>
        <v>NA</v>
      </c>
      <c r="P269" s="162" t="str">
        <f>IF(D269=0,"NA",(SUMPRODUCT(P236:P267,D236:D267)-ABS(SUMIF(RX_REBATES22[[#All],[Insurance Category Code]],7,RX_REBATES22[[#All],[Total Pharmacy Rebates]])))/D269)</f>
        <v>NA</v>
      </c>
      <c r="Q269" s="162" t="str">
        <f>IF(D269=0,"NA",(SUMPRODUCT(Q236:Q267,D236:D267)-ABS(SUMIF(RX_REBATES22[[#All],[Insurance Category Code]],7,RX_REBATES22[[#All],[Total Pharmacy Rebates]])))/D269)</f>
        <v>NA</v>
      </c>
      <c r="R269" s="162" t="str">
        <f>IF(D269=0,"NA",(SUMPRODUCT(R236:R267,D236:D267)-ABS(SUMIF(RX_REBATES22[[#All],[Insurance Category Code]],7,RX_REBATES22[[#All],[Total Pharmacy Rebates]])))/D269)</f>
        <v>NA</v>
      </c>
      <c r="S269" s="506">
        <f t="shared" ref="S269:Y269" si="339">S268</f>
        <v>0</v>
      </c>
      <c r="T269" s="501" t="str">
        <f t="shared" si="339"/>
        <v>NA</v>
      </c>
      <c r="U269" s="502" t="str">
        <f t="shared" si="339"/>
        <v>NA</v>
      </c>
      <c r="V269" s="502" t="str">
        <f t="shared" si="339"/>
        <v>NA</v>
      </c>
      <c r="W269" s="502" t="str">
        <f t="shared" si="339"/>
        <v>NA</v>
      </c>
      <c r="X269" s="502" t="str">
        <f t="shared" si="339"/>
        <v>NA</v>
      </c>
      <c r="Y269" s="502" t="str">
        <f t="shared" si="339"/>
        <v>NA</v>
      </c>
      <c r="Z269" s="502" t="str">
        <f>IF(S269=0,"NA",(SUMPRODUCT(Z236:Z267,S236:S267)-ABS(SUMIF(RX_REBATES23[[#All],[Insurance Category Code]],7,RX_REBATES23[[#All],[Total Pharmacy Rebates]])))/S269)</f>
        <v>NA</v>
      </c>
      <c r="AA269" s="502" t="str">
        <f>AA268</f>
        <v>NA</v>
      </c>
      <c r="AB269" s="502" t="str">
        <f>AB268</f>
        <v>NA</v>
      </c>
      <c r="AC269" s="503" t="str">
        <f>IF(S269=0,"NA",(SUMPRODUCT(AC236:AC267,S236:S267)-ABS(SUMIF(RX_REBATES23[[#All],[Insurance Category Code]],7,RX_REBATES23[[#All],[Total Pharmacy Rebates]])))/S269)</f>
        <v>NA</v>
      </c>
      <c r="AD269" s="503" t="str">
        <f>IF(S269=0,"NA",(SUMPRODUCT(AD236:AD267,S236:S267)-ABS(SUMIF(RX_REBATES23[[#All],[Insurance Category Code]],7,RX_REBATES23[[#All],[Total Pharmacy Rebates]])))/S269)</f>
        <v>NA</v>
      </c>
      <c r="AE269" s="503" t="str">
        <f>IF(S269=0,"NA",(SUMPRODUCT(AE236:AE267,S236:S267)-ABS(SUMIF(RX_REBATES23[[#All],[Insurance Category Code]],7,RX_REBATES23[[#All],[Total Pharmacy Rebates]])))/S269)</f>
        <v>NA</v>
      </c>
      <c r="AF269" s="503" t="str">
        <f>IF(S269=0,"NA",(SUMPRODUCT(AF236:AF267,S236:S267)-ABS(SUMIF(RX_REBATES23[[#All],[Insurance Category Code]],7,RX_REBATES23[[#All],[Total Pharmacy Rebates]])))/S269)</f>
        <v>NA</v>
      </c>
      <c r="AG269" s="503" t="str">
        <f>IF(S269=0,"NA",(SUMPRODUCT(AG236:AG267,S236:S267)-ABS(SUMIF(RX_REBATES23[[#All],[Insurance Category Code]],7,RX_REBATES23[[#All],[Total Pharmacy Rebates]])))/S269)</f>
        <v>NA</v>
      </c>
      <c r="AH269" s="488" t="str">
        <f>IF(D269=0,"NA",S269/D269-1)</f>
        <v>NA</v>
      </c>
      <c r="AI269" s="489" t="str">
        <f>IF(D269=0,"NA",T269/E269-1)</f>
        <v>NA</v>
      </c>
      <c r="AJ269" s="490" t="str">
        <f>IF(D269=0,"NA",U269/F269-1)</f>
        <v>NA</v>
      </c>
      <c r="AK269" s="490" t="str">
        <f>IF(D269=0,"NA",V269/G269-1)</f>
        <v>NA</v>
      </c>
      <c r="AL269" s="490" t="str">
        <f>IF(D269=0,"NA",W269/H269-1)</f>
        <v>NA</v>
      </c>
      <c r="AM269" s="490" t="str">
        <f>IF(D269=0,"NA",X269/I269-1)</f>
        <v>NA</v>
      </c>
      <c r="AN269" s="490" t="str">
        <f>IF(D269=0,"NA",Y269/J269-1)</f>
        <v>NA</v>
      </c>
      <c r="AO269" s="490" t="str">
        <f>IF(D269=0,"NA",Z269/K269-1)</f>
        <v>NA</v>
      </c>
      <c r="AP269" s="490" t="str">
        <f>IF(D269=0,"NA",AA269/L269-1)</f>
        <v>NA</v>
      </c>
      <c r="AQ269" s="490" t="str">
        <f>IF(D269=0,"NA",AB269/M269-1)</f>
        <v>NA</v>
      </c>
      <c r="AR269" s="491" t="str">
        <f>IF(D269=0,"NA",AC269/N269-1)</f>
        <v>NA</v>
      </c>
      <c r="AS269" s="491" t="str">
        <f>IF(D269=0,"NA",AD269/O269-1)</f>
        <v>NA</v>
      </c>
      <c r="AT269" s="491" t="str">
        <f>IF(D269=0,"NA",AE269/P269-1)</f>
        <v>NA</v>
      </c>
      <c r="AU269" s="491" t="str">
        <f>IF(D269=0,"NA",AF269/Q269-1)</f>
        <v>NA</v>
      </c>
      <c r="AV269" s="492" t="str">
        <f>IF(D269=0,"NA",AG269/R269-1)</f>
        <v>NA</v>
      </c>
    </row>
  </sheetData>
  <sheetProtection algorithmName="SHA-512" hashValue="VUzUuWOXBKiRE0HuQYTHkCPbe4K42hNZjWCQIiaIrex67CaYJ1tWbhGjtJMlydW0wRwL2VfcY1OnA/qQubjlkQ==" saltValue="gtS6eLzsMUPmkgavWmejXQ==" spinCount="100000" sheet="1" objects="1" scenarios="1"/>
  <mergeCells count="28">
    <mergeCell ref="B234:C234"/>
    <mergeCell ref="D158:R158"/>
    <mergeCell ref="D234:R234"/>
    <mergeCell ref="D196:R196"/>
    <mergeCell ref="S158:AG158"/>
    <mergeCell ref="S196:AG196"/>
    <mergeCell ref="S234:AG234"/>
    <mergeCell ref="D120:R120"/>
    <mergeCell ref="B120:C120"/>
    <mergeCell ref="B158:C158"/>
    <mergeCell ref="S120:AG120"/>
    <mergeCell ref="B196:C196"/>
    <mergeCell ref="D44:R44"/>
    <mergeCell ref="B82:C82"/>
    <mergeCell ref="D6:R6"/>
    <mergeCell ref="D82:R82"/>
    <mergeCell ref="B6:C6"/>
    <mergeCell ref="B44:C44"/>
    <mergeCell ref="AH196:AV196"/>
    <mergeCell ref="AH234:AV234"/>
    <mergeCell ref="S44:AG44"/>
    <mergeCell ref="AH6:AV6"/>
    <mergeCell ref="AH44:AV44"/>
    <mergeCell ref="AH82:AV82"/>
    <mergeCell ref="AH120:AV120"/>
    <mergeCell ref="AH158:AV158"/>
    <mergeCell ref="S6:AG6"/>
    <mergeCell ref="S82:AG82"/>
  </mergeCells>
  <pageMargins left="0.7" right="0.7" top="0.75" bottom="0.75" header="0.3" footer="0.3"/>
  <pageSetup orientation="portrait" horizontalDpi="1200" verticalDpi="1200"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B6C224-A80D-44FE-9EED-5BB50F41B4CA}">
  <sheetPr codeName="Sheet1">
    <tabColor rgb="FFF79646"/>
  </sheetPr>
  <dimension ref="B1:AF416"/>
  <sheetViews>
    <sheetView topLeftCell="A380" zoomScale="80" zoomScaleNormal="80" workbookViewId="0">
      <selection activeCell="B392" sqref="B392"/>
    </sheetView>
  </sheetViews>
  <sheetFormatPr defaultRowHeight="15" outlineLevelRow="1" x14ac:dyDescent="0.25"/>
  <cols>
    <col min="1" max="1" width="5.42578125" customWidth="1"/>
    <col min="2" max="2" width="39.85546875" customWidth="1"/>
    <col min="3" max="3" width="29.5703125" customWidth="1"/>
    <col min="4" max="4" width="26.5703125" customWidth="1"/>
    <col min="5" max="5" width="28.140625" customWidth="1"/>
    <col min="6" max="6" width="25.42578125" customWidth="1"/>
    <col min="7" max="7" width="28.5703125" customWidth="1"/>
    <col min="8" max="8" width="25.42578125" customWidth="1"/>
    <col min="9" max="9" width="24.85546875" bestFit="1" customWidth="1"/>
    <col min="10" max="10" width="33.85546875" customWidth="1"/>
    <col min="11" max="19" width="26.85546875" customWidth="1"/>
    <col min="20" max="20" width="40.140625" customWidth="1"/>
    <col min="21" max="21" width="37.42578125" customWidth="1"/>
    <col min="22" max="22" width="31.85546875" customWidth="1"/>
    <col min="23" max="24" width="22.85546875" customWidth="1"/>
    <col min="25" max="30" width="33.42578125" customWidth="1"/>
    <col min="32" max="32" width="32.42578125" customWidth="1"/>
  </cols>
  <sheetData>
    <row r="1" spans="2:14" x14ac:dyDescent="0.25">
      <c r="B1" s="1" t="s">
        <v>53</v>
      </c>
      <c r="C1" s="25" t="s">
        <v>54</v>
      </c>
    </row>
    <row r="2" spans="2:14" x14ac:dyDescent="0.25">
      <c r="C2" s="26"/>
      <c r="D2" s="26"/>
    </row>
    <row r="3" spans="2:14" ht="27" customHeight="1" thickBot="1" x14ac:dyDescent="0.45">
      <c r="B3" s="325" t="s">
        <v>328</v>
      </c>
      <c r="C3" s="26"/>
      <c r="D3" s="26"/>
    </row>
    <row r="4" spans="2:14" ht="21.75" thickBot="1" x14ac:dyDescent="0.4">
      <c r="B4" s="339" t="s">
        <v>329</v>
      </c>
      <c r="C4" s="342" t="s">
        <v>330</v>
      </c>
      <c r="D4" s="343" t="s">
        <v>432</v>
      </c>
    </row>
    <row r="5" spans="2:14" ht="60" x14ac:dyDescent="0.25">
      <c r="B5" s="348" t="s">
        <v>331</v>
      </c>
      <c r="C5" s="344">
        <f>COUNTIF(E52:E56, "&lt;&gt;Yes")+COUNTIF(G52:G56, "&lt;&gt;Yes")+COUNTIF(I52:I54, "&lt;&gt;Yes")+COUNTIF(I56, "&lt;&gt;Yes")</f>
        <v>0</v>
      </c>
      <c r="D5" s="345">
        <f>COUNTIF(E62:E66, "&lt;&gt;Yes")+COUNTIF(G62:G66, "&lt;&gt;Yes")+COUNTIF(I62:I64, "&lt;&gt;Yes")+COUNTIF(I66, "&lt;&gt;Yes")</f>
        <v>0</v>
      </c>
    </row>
    <row r="6" spans="2:14" ht="60" x14ac:dyDescent="0.25">
      <c r="B6" s="348" t="s">
        <v>332</v>
      </c>
      <c r="C6" s="346">
        <f>COUNTIF(E71:F76, "&lt;&gt;Yes")</f>
        <v>0</v>
      </c>
      <c r="D6" s="347">
        <f>COUNTIF(I71:J76, "&lt;&gt;Yes")</f>
        <v>0</v>
      </c>
    </row>
    <row r="7" spans="2:14" ht="60.6" customHeight="1" thickBot="1" x14ac:dyDescent="0.3">
      <c r="B7" s="348" t="s">
        <v>333</v>
      </c>
      <c r="C7" s="330">
        <f>COUNTIF(C359:J359, "YES")</f>
        <v>0</v>
      </c>
      <c r="D7" s="332">
        <f>COUNTIF(C372:J372, "YES")</f>
        <v>0</v>
      </c>
    </row>
    <row r="8" spans="2:14" x14ac:dyDescent="0.25">
      <c r="B8" s="327"/>
    </row>
    <row r="9" spans="2:14" ht="15.75" thickBot="1" x14ac:dyDescent="0.3">
      <c r="B9" s="327"/>
      <c r="C9" s="328"/>
      <c r="D9" s="328"/>
    </row>
    <row r="10" spans="2:14" ht="21" x14ac:dyDescent="0.35">
      <c r="B10" s="327"/>
      <c r="C10" s="629" t="s">
        <v>330</v>
      </c>
      <c r="D10" s="630"/>
      <c r="E10" s="630"/>
      <c r="F10" s="630"/>
      <c r="G10" s="630"/>
      <c r="H10" s="631"/>
      <c r="I10" s="629" t="s">
        <v>432</v>
      </c>
      <c r="J10" s="630"/>
      <c r="K10" s="630"/>
      <c r="L10" s="630"/>
      <c r="M10" s="630"/>
      <c r="N10" s="637"/>
    </row>
    <row r="11" spans="2:14" ht="21" x14ac:dyDescent="0.35">
      <c r="B11" s="339" t="s">
        <v>334</v>
      </c>
      <c r="C11" s="337" t="s">
        <v>335</v>
      </c>
      <c r="D11" s="338" t="s">
        <v>336</v>
      </c>
      <c r="E11" s="8" t="s">
        <v>337</v>
      </c>
      <c r="F11" s="8" t="s">
        <v>338</v>
      </c>
      <c r="G11" s="8" t="s">
        <v>339</v>
      </c>
      <c r="H11" s="356" t="s">
        <v>340</v>
      </c>
      <c r="I11" s="337" t="s">
        <v>335</v>
      </c>
      <c r="J11" s="338" t="s">
        <v>336</v>
      </c>
      <c r="K11" s="8" t="s">
        <v>337</v>
      </c>
      <c r="L11" s="8" t="s">
        <v>338</v>
      </c>
      <c r="M11" s="8" t="s">
        <v>339</v>
      </c>
      <c r="N11" s="336" t="s">
        <v>340</v>
      </c>
    </row>
    <row r="12" spans="2:14" ht="60.6" customHeight="1" x14ac:dyDescent="0.25">
      <c r="B12" s="348" t="s">
        <v>341</v>
      </c>
      <c r="C12" s="354">
        <f>COUNTIF(H83:M115, "&lt;&gt;*TRUE*")+COUNTIF(N83:O115, "&lt;&gt;TRUE")</f>
        <v>0</v>
      </c>
      <c r="D12" s="353">
        <f>COUNTIF(H121:M153, "&lt;&gt;*TRUE*")+COUNTIF(N121:O153, "&lt;&gt;TRUE")</f>
        <v>0</v>
      </c>
      <c r="E12" s="352">
        <f>COUNTIF(H159:M191, "&lt;&gt;*TRUE*")+COUNTIF(N159:O191, "&lt;&gt;TRUE")</f>
        <v>0</v>
      </c>
      <c r="F12" s="353">
        <f>COUNTIF(H197:M229, "&lt;&gt;*TRUE*")+COUNTIF(N197:O229, "&lt;&gt;TRUE")</f>
        <v>0</v>
      </c>
      <c r="G12" s="352">
        <f>COUNTIF(H235:M267, "&lt;&gt;*TRUE*")+COUNTIF(N235:O267, "&lt;&gt;TRUE")</f>
        <v>0</v>
      </c>
      <c r="H12" s="357">
        <f>COUNTIF(H273:M305, "&lt;&gt;*TRUE*")+COUNTIF(N273:O305, "&lt;&gt;TRUE")</f>
        <v>0</v>
      </c>
      <c r="I12" s="354">
        <f>COUNTIF(W83:AB115, "&lt;&gt;*TRUE*")+COUNTIF(AC83:AD115, "&lt;&gt;TRUE")</f>
        <v>0</v>
      </c>
      <c r="J12" s="353">
        <f>COUNTIF(W121:AB153, "&lt;&gt;*TRUE*")+COUNTIF(AC121:AD153, "&lt;&gt;TRUE")</f>
        <v>0</v>
      </c>
      <c r="K12" s="352">
        <f>COUNTIF(W159:AB191, "&lt;&gt;*TRUE*")+COUNTIF(AC159:AD191, "&lt;&gt;TRUE")</f>
        <v>0</v>
      </c>
      <c r="L12" s="353">
        <f>COUNTIF(W159:AB191, "&lt;&gt;*TRUE*")+COUNTIF(AC159:AD191, "&lt;&gt;TRUE")</f>
        <v>0</v>
      </c>
      <c r="M12" s="352">
        <f>COUNTIF(W235:AB267, "&lt;&gt;*TRUE*")+COUNTIF(AC235:AD267, "&lt;&gt;TRUE")</f>
        <v>0</v>
      </c>
      <c r="N12" s="355">
        <f>COUNTIF(W273:AB305, "&lt;&gt;*TRUE*")+COUNTIF(AC273:AD305, "&lt;&gt;TRUE")</f>
        <v>0</v>
      </c>
    </row>
    <row r="13" spans="2:14" ht="51" customHeight="1" thickBot="1" x14ac:dyDescent="0.3">
      <c r="B13" s="349" t="s">
        <v>342</v>
      </c>
      <c r="C13" s="330" t="str">
        <f>IF(G83&lt;=SUM(G84:G115),"Yes","No")</f>
        <v>Yes</v>
      </c>
      <c r="D13" s="331" t="str">
        <f>IF(G121&lt;=SUM(G122:G153),"Yes","No")</f>
        <v>Yes</v>
      </c>
      <c r="E13" s="331" t="str">
        <f>IF(G159&lt;=SUM(G160:G191),"Yes","No")</f>
        <v>Yes</v>
      </c>
      <c r="F13" s="331" t="str">
        <f>IF(G197&lt;=SUM(G198:G229),"Yes","No")</f>
        <v>Yes</v>
      </c>
      <c r="G13" s="331" t="str">
        <f>IF(G235&lt;=SUM(G236:G267),"Yes","No")</f>
        <v>Yes</v>
      </c>
      <c r="H13" s="358" t="str">
        <f>IF(G273&lt;=SUM(G274:G305),"Yes","No")</f>
        <v>Yes</v>
      </c>
      <c r="I13" s="330" t="str">
        <f>IF(V83&lt;=SUM(V84:V115),"Yes","No")</f>
        <v>Yes</v>
      </c>
      <c r="J13" s="331" t="str">
        <f>IF(V121&lt;=SUM(V122:V153),"Yes","No")</f>
        <v>Yes</v>
      </c>
      <c r="K13" s="331" t="str">
        <f>IF(V159&lt;=SUM(V160:V191),"Yes","No")</f>
        <v>Yes</v>
      </c>
      <c r="L13" s="331" t="str">
        <f>IF(V197&lt;=SUM(V198:V229),"Yes","No")</f>
        <v>Yes</v>
      </c>
      <c r="M13" s="331" t="str">
        <f>IF(V235&lt;=SUM(V236:V267),"Yes","No")</f>
        <v>Yes</v>
      </c>
      <c r="N13" s="332" t="str">
        <f>IF(V273&lt;=SUM(V274:V305),"Yes","No")</f>
        <v>Yes</v>
      </c>
    </row>
    <row r="14" spans="2:14" x14ac:dyDescent="0.25">
      <c r="B14" s="349"/>
      <c r="C14" s="333"/>
      <c r="D14" s="334"/>
      <c r="E14" s="334"/>
      <c r="F14" s="334"/>
      <c r="G14" s="334"/>
      <c r="H14" s="334"/>
      <c r="I14" s="333"/>
      <c r="J14" s="334"/>
      <c r="K14" s="334"/>
      <c r="L14" s="334"/>
      <c r="M14" s="334"/>
      <c r="N14" s="334"/>
    </row>
    <row r="15" spans="2:14" ht="15.75" x14ac:dyDescent="0.25">
      <c r="B15" s="349"/>
      <c r="C15" s="361" t="s">
        <v>335</v>
      </c>
      <c r="D15" s="361" t="s">
        <v>336</v>
      </c>
      <c r="E15" s="362" t="s">
        <v>337</v>
      </c>
      <c r="F15" s="362" t="s">
        <v>338</v>
      </c>
      <c r="G15" s="362" t="s">
        <v>339</v>
      </c>
      <c r="H15" s="362" t="s">
        <v>340</v>
      </c>
      <c r="I15" s="333"/>
      <c r="J15" s="334"/>
      <c r="K15" s="334"/>
      <c r="L15" s="334"/>
      <c r="M15" s="334"/>
      <c r="N15" s="334"/>
    </row>
    <row r="16" spans="2:14" ht="60.6" customHeight="1" x14ac:dyDescent="0.25">
      <c r="B16" s="364" t="s">
        <v>455</v>
      </c>
      <c r="C16" s="354">
        <f>COUNTIF(AF83:AF115, "&gt;10%")+COUNTIF(AF83:AF115, "&lt;-10%")</f>
        <v>0</v>
      </c>
      <c r="D16" s="353">
        <f>COUNTIF(AF121:AF153, "&gt;10%")+COUNTIF(AF121:AF153, "&lt;-10%")</f>
        <v>0</v>
      </c>
      <c r="E16" s="352">
        <f>COUNTIF(AF159:AF191, "&gt;10%")+COUNTIF(AF159:AF191, "&lt;-10%")</f>
        <v>0</v>
      </c>
      <c r="F16" s="353">
        <f>COUNTIF(AF197:AF229, "&gt;10%")+COUNTIF(AF197:AF229, "&lt;-10%")</f>
        <v>0</v>
      </c>
      <c r="G16" s="352">
        <f>COUNTIF(AF235:AF267, "&gt;10%")+COUNTIF(AF235:AF267, "&lt;-10%")</f>
        <v>0</v>
      </c>
      <c r="H16" s="357">
        <f>COUNTIF(AF273:AF305, "&gt;10%")+COUNTIF(AF273:AF305, "&lt;-10%")</f>
        <v>0</v>
      </c>
      <c r="I16" s="333"/>
      <c r="J16" s="334"/>
      <c r="K16" s="334"/>
      <c r="L16" s="334"/>
      <c r="M16" s="334"/>
      <c r="N16" s="334"/>
    </row>
    <row r="17" spans="2:14" ht="15.75" thickBot="1" x14ac:dyDescent="0.3">
      <c r="B17" s="327"/>
      <c r="C17" s="333"/>
      <c r="D17" s="334"/>
      <c r="E17" s="334"/>
      <c r="F17" s="334"/>
      <c r="G17" s="334"/>
      <c r="H17" s="334"/>
      <c r="I17" s="333"/>
      <c r="J17" s="334"/>
      <c r="K17" s="334"/>
      <c r="L17" s="334"/>
      <c r="M17" s="334"/>
      <c r="N17" s="334"/>
    </row>
    <row r="18" spans="2:14" ht="21" x14ac:dyDescent="0.35">
      <c r="B18" s="327"/>
      <c r="C18" s="632" t="s">
        <v>330</v>
      </c>
      <c r="D18" s="633"/>
      <c r="E18" s="634"/>
      <c r="F18" s="635" t="s">
        <v>432</v>
      </c>
      <c r="G18" s="635"/>
      <c r="H18" s="636"/>
      <c r="I18" s="329"/>
      <c r="J18" s="329"/>
      <c r="K18" s="329"/>
      <c r="L18" s="329"/>
      <c r="M18" s="329"/>
      <c r="N18" s="329"/>
    </row>
    <row r="19" spans="2:14" x14ac:dyDescent="0.25">
      <c r="C19" s="335" t="s">
        <v>230</v>
      </c>
      <c r="D19" s="8" t="s">
        <v>343</v>
      </c>
      <c r="E19" s="336" t="s">
        <v>344</v>
      </c>
      <c r="F19" s="359" t="s">
        <v>230</v>
      </c>
      <c r="G19" s="8" t="s">
        <v>343</v>
      </c>
      <c r="H19" s="336" t="s">
        <v>344</v>
      </c>
    </row>
    <row r="20" spans="2:14" ht="44.1" customHeight="1" thickBot="1" x14ac:dyDescent="0.3">
      <c r="B20" s="348" t="s">
        <v>345</v>
      </c>
      <c r="C20" s="330">
        <f>COUNTIF(E314:E346, "&lt;&gt;*TRUE*")</f>
        <v>0</v>
      </c>
      <c r="D20" s="331">
        <f>COUNTIF(M314:M346, "&lt;&gt;*TRUE*")</f>
        <v>0</v>
      </c>
      <c r="E20" s="332">
        <f>COUNTIF(U314:U346, "&lt;&gt;*TRUE*")</f>
        <v>0</v>
      </c>
      <c r="F20" s="360">
        <f>COUNTIF(H314:H346, "&lt;&gt;*TRUE*")</f>
        <v>0</v>
      </c>
      <c r="G20" s="331">
        <f>COUNTIF(P314:P346, "&lt;&gt;*TRUE*")</f>
        <v>0</v>
      </c>
      <c r="H20" s="332">
        <f>COUNTIF(X314:X346, "&lt;&gt;*TRUE*")</f>
        <v>0</v>
      </c>
    </row>
    <row r="21" spans="2:14" x14ac:dyDescent="0.25">
      <c r="C21" s="26"/>
      <c r="D21" s="26"/>
    </row>
    <row r="22" spans="2:14" x14ac:dyDescent="0.25">
      <c r="C22" s="26"/>
      <c r="D22" s="26"/>
    </row>
    <row r="23" spans="2:14" ht="18.75" x14ac:dyDescent="0.3">
      <c r="B23" s="279" t="s">
        <v>346</v>
      </c>
      <c r="C23" s="26"/>
      <c r="D23" s="26"/>
    </row>
    <row r="24" spans="2:14" x14ac:dyDescent="0.25">
      <c r="B24" s="5" t="s">
        <v>347</v>
      </c>
      <c r="C24" s="5">
        <v>2022</v>
      </c>
      <c r="D24" s="5">
        <v>2023</v>
      </c>
    </row>
    <row r="25" spans="2:14" x14ac:dyDescent="0.25">
      <c r="B25" s="9" t="s">
        <v>170</v>
      </c>
      <c r="C25" s="136">
        <f>'HD-TME - 2022'!B11</f>
        <v>0</v>
      </c>
      <c r="D25" s="136">
        <f>'HD-TME - 2023'!B11</f>
        <v>0</v>
      </c>
    </row>
    <row r="26" spans="2:14" x14ac:dyDescent="0.25">
      <c r="B26" s="9" t="s">
        <v>171</v>
      </c>
      <c r="C26" s="136">
        <f>'HD-TME - 2022'!C11</f>
        <v>0</v>
      </c>
      <c r="D26" s="136">
        <f>'HD-TME - 2023'!C11</f>
        <v>0</v>
      </c>
    </row>
    <row r="27" spans="2:14" x14ac:dyDescent="0.25">
      <c r="C27" s="26"/>
      <c r="D27" s="26"/>
    </row>
    <row r="28" spans="2:14" x14ac:dyDescent="0.25">
      <c r="C28" s="26"/>
      <c r="D28" s="26"/>
    </row>
    <row r="29" spans="2:14" x14ac:dyDescent="0.25">
      <c r="C29" s="26"/>
      <c r="D29" s="26"/>
    </row>
    <row r="30" spans="2:14" ht="18.75" x14ac:dyDescent="0.3">
      <c r="B30" s="279" t="s">
        <v>348</v>
      </c>
      <c r="C30" s="26"/>
      <c r="D30" s="26"/>
    </row>
    <row r="31" spans="2:14" x14ac:dyDescent="0.25">
      <c r="B31" s="5" t="s">
        <v>173</v>
      </c>
      <c r="C31" s="5">
        <v>2022</v>
      </c>
      <c r="D31" s="5">
        <v>2023</v>
      </c>
      <c r="E31" s="5" t="s">
        <v>349</v>
      </c>
    </row>
    <row r="32" spans="2:14" x14ac:dyDescent="0.25">
      <c r="B32" s="9" t="s">
        <v>311</v>
      </c>
      <c r="C32" s="210">
        <f>'HD-TME - 2023'!E11</f>
        <v>0</v>
      </c>
      <c r="D32" s="210">
        <f>'HD-TME - 2023'!E11</f>
        <v>0</v>
      </c>
      <c r="E32" s="16" t="str">
        <f>IF(AND(C32=D32),"Yes","No")</f>
        <v>Yes</v>
      </c>
    </row>
    <row r="33" spans="2:8" x14ac:dyDescent="0.25">
      <c r="B33" s="9" t="s">
        <v>350</v>
      </c>
      <c r="C33" s="210">
        <f>'HD-TME - 2023'!F11</f>
        <v>0</v>
      </c>
      <c r="D33" s="210">
        <f>'HD-TME - 2023'!F11</f>
        <v>0</v>
      </c>
      <c r="E33" s="16" t="str">
        <f>IF(AND(C33=D33),"Yes","No")</f>
        <v>Yes</v>
      </c>
    </row>
    <row r="34" spans="2:8" x14ac:dyDescent="0.25">
      <c r="C34" s="26"/>
      <c r="D34" s="26"/>
    </row>
    <row r="35" spans="2:8" x14ac:dyDescent="0.25">
      <c r="C35" s="26"/>
      <c r="D35" s="26"/>
    </row>
    <row r="36" spans="2:8" x14ac:dyDescent="0.25">
      <c r="C36" s="26"/>
      <c r="D36" s="26"/>
    </row>
    <row r="37" spans="2:8" ht="18.75" x14ac:dyDescent="0.3">
      <c r="B37" s="279" t="s">
        <v>351</v>
      </c>
      <c r="D37" s="7"/>
      <c r="H37" s="7"/>
    </row>
    <row r="38" spans="2:8" x14ac:dyDescent="0.25">
      <c r="B38" s="27" t="s">
        <v>352</v>
      </c>
      <c r="D38" s="7"/>
      <c r="H38" s="7"/>
    </row>
    <row r="39" spans="2:8" ht="30" x14ac:dyDescent="0.25">
      <c r="B39" s="5" t="s">
        <v>61</v>
      </c>
      <c r="C39" s="5" t="s">
        <v>353</v>
      </c>
      <c r="D39" s="218" t="s">
        <v>354</v>
      </c>
      <c r="E39" s="5" t="s">
        <v>434</v>
      </c>
      <c r="F39" s="218" t="s">
        <v>435</v>
      </c>
      <c r="G39" s="218" t="s">
        <v>456</v>
      </c>
    </row>
    <row r="40" spans="2:8" x14ac:dyDescent="0.25">
      <c r="B40" s="4">
        <v>1</v>
      </c>
      <c r="C40" s="29" t="str">
        <f>IF(VLOOKUP($C$1,ExpectedICC[#All],2,FALSE)=0,"No","Yes")</f>
        <v>Yes</v>
      </c>
      <c r="D40" s="4" t="str">
        <f>IF(COUNTIF(AN_TME22[[#All],[Insurance Category Code]],B40)=0,"No","Yes")</f>
        <v>No</v>
      </c>
      <c r="E40" s="29" t="str">
        <f>IF(VLOOKUP($C$1,ExpectedICC[#All],2,FALSE)=0,"No","Yes")</f>
        <v>Yes</v>
      </c>
      <c r="F40" s="4" t="str">
        <f>IF(COUNTIF(AN_TME23[[#All],[Insurance Category Code]],B40)=0,"No","Yes")</f>
        <v>No</v>
      </c>
      <c r="G40" s="4" t="str">
        <f>IF(AND(D40=F40),"Yes","No")</f>
        <v>Yes</v>
      </c>
    </row>
    <row r="41" spans="2:8" x14ac:dyDescent="0.25">
      <c r="B41" s="4">
        <v>2</v>
      </c>
      <c r="C41" s="29" t="str">
        <f>IF(VLOOKUP($C$1,ExpectedICC[#All],3,FALSE)=0,"No","Yes")</f>
        <v>No</v>
      </c>
      <c r="D41" s="4" t="str">
        <f>IF(COUNTIF(AN_TME22[[#All],[Insurance Category Code]],B41)=0,"No","Yes")</f>
        <v>No</v>
      </c>
      <c r="E41" s="29" t="str">
        <f>IF(VLOOKUP($C$1,ExpectedICC[#All],3,FALSE)=0,"No","Yes")</f>
        <v>No</v>
      </c>
      <c r="F41" s="4" t="str">
        <f>IF(COUNTIF(AN_TME23[[#All],[Insurance Category Code]],B41)=0,"No","Yes")</f>
        <v>No</v>
      </c>
      <c r="G41" s="4" t="str">
        <f t="shared" ref="G41:G45" si="0">IF(AND(D41=F41),"Yes","No")</f>
        <v>Yes</v>
      </c>
    </row>
    <row r="42" spans="2:8" x14ac:dyDescent="0.25">
      <c r="B42" s="4">
        <v>3</v>
      </c>
      <c r="C42" s="29" t="str">
        <f>IF(VLOOKUP($C$1,ExpectedICC[#All],4,FALSE)=0,"No","Yes")</f>
        <v>Yes</v>
      </c>
      <c r="D42" s="4" t="str">
        <f>IF(COUNTIF(AN_TME22[[#All],[Insurance Category Code]],B42)=0,"No","Yes")</f>
        <v>No</v>
      </c>
      <c r="E42" s="29" t="str">
        <f>IF(VLOOKUP($C$1,ExpectedICC[#All],4,FALSE)=0,"No","Yes")</f>
        <v>Yes</v>
      </c>
      <c r="F42" s="4" t="str">
        <f>IF(COUNTIF(AN_TME23[[#All],[Insurance Category Code]],B42)=0,"No","Yes")</f>
        <v>No</v>
      </c>
      <c r="G42" s="4" t="str">
        <f t="shared" si="0"/>
        <v>Yes</v>
      </c>
    </row>
    <row r="43" spans="2:8" x14ac:dyDescent="0.25">
      <c r="B43" s="4">
        <v>4</v>
      </c>
      <c r="C43" s="29" t="str">
        <f>IF(VLOOKUP($C$1,ExpectedICC[#All],5,FALSE)=0,"No","Yes")</f>
        <v>Yes</v>
      </c>
      <c r="D43" s="4" t="str">
        <f>IF(COUNTIF(AN_TME22[[#All],[Insurance Category Code]],B43)=0,"No","Yes")</f>
        <v>No</v>
      </c>
      <c r="E43" s="29" t="str">
        <f>IF(VLOOKUP($C$1,ExpectedICC[#All],5,FALSE)=0,"No","Yes")</f>
        <v>Yes</v>
      </c>
      <c r="F43" s="4" t="str">
        <f>IF(COUNTIF(AN_TME23[[#All],[Insurance Category Code]],B43)=0,"No","Yes")</f>
        <v>No</v>
      </c>
      <c r="G43" s="4" t="str">
        <f t="shared" si="0"/>
        <v>Yes</v>
      </c>
    </row>
    <row r="44" spans="2:8" x14ac:dyDescent="0.25">
      <c r="B44" s="4">
        <v>5</v>
      </c>
      <c r="C44" s="29" t="str">
        <f>IF(VLOOKUP($C$1,ExpectedICC[#All],6,FALSE)=0,"No","Yes")</f>
        <v>Yes</v>
      </c>
      <c r="D44" s="4" t="str">
        <f>IF(COUNTIF(AN_TME22[[#All],[Insurance Category Code]],B44)=0,"No","Yes")</f>
        <v>No</v>
      </c>
      <c r="E44" s="29" t="str">
        <f>IF(VLOOKUP($C$1,ExpectedICC[#All],6,FALSE)=0,"No","Yes")</f>
        <v>Yes</v>
      </c>
      <c r="F44" s="4" t="str">
        <f>IF(COUNTIF(AN_TME23[[#All],[Insurance Category Code]],B44)=0,"No","Yes")</f>
        <v>No</v>
      </c>
      <c r="G44" s="4" t="str">
        <f t="shared" si="0"/>
        <v>Yes</v>
      </c>
    </row>
    <row r="45" spans="2:8" x14ac:dyDescent="0.25">
      <c r="B45" s="4">
        <v>6</v>
      </c>
      <c r="C45" s="29" t="str">
        <f>IF(VLOOKUP($C$1,ExpectedICC[#All],7,FALSE)=0,"No","Yes")</f>
        <v>No</v>
      </c>
      <c r="D45" s="4" t="str">
        <f>IF(COUNTIF(AN_TME22[[#All],[Insurance Category Code]],B45)=0,"No","Yes")</f>
        <v>No</v>
      </c>
      <c r="E45" s="29" t="str">
        <f>IF(VLOOKUP($C$1,ExpectedICC[#All],7,FALSE)=0,"No","Yes")</f>
        <v>No</v>
      </c>
      <c r="F45" s="4" t="str">
        <f>IF(COUNTIF(AN_TME23[[#All],[Insurance Category Code]],B45)=0,"No","Yes")</f>
        <v>No</v>
      </c>
      <c r="G45" s="4" t="str">
        <f t="shared" si="0"/>
        <v>Yes</v>
      </c>
    </row>
    <row r="46" spans="2:8" x14ac:dyDescent="0.25">
      <c r="B46" s="15"/>
      <c r="E46" s="31"/>
      <c r="F46" s="3"/>
      <c r="G46" s="3"/>
    </row>
    <row r="47" spans="2:8" x14ac:dyDescent="0.25">
      <c r="B47" s="15"/>
      <c r="E47" s="31"/>
      <c r="F47" s="3"/>
      <c r="G47" s="3"/>
    </row>
    <row r="48" spans="2:8" x14ac:dyDescent="0.25">
      <c r="B48" s="15"/>
      <c r="E48" s="31"/>
      <c r="F48" s="3"/>
      <c r="G48" s="3"/>
    </row>
    <row r="49" spans="2:9" ht="18.75" x14ac:dyDescent="0.3">
      <c r="B49" s="279" t="s">
        <v>365</v>
      </c>
      <c r="E49" s="31"/>
      <c r="F49" s="3"/>
      <c r="G49" s="3"/>
    </row>
    <row r="50" spans="2:9" ht="15.75" thickBot="1" x14ac:dyDescent="0.3">
      <c r="B50" s="27" t="s">
        <v>355</v>
      </c>
      <c r="E50" s="31"/>
      <c r="F50" s="3"/>
      <c r="G50" s="3"/>
    </row>
    <row r="51" spans="2:9" ht="120" customHeight="1" x14ac:dyDescent="0.25">
      <c r="B51" s="265" t="s">
        <v>356</v>
      </c>
      <c r="C51" s="266" t="s">
        <v>309</v>
      </c>
      <c r="D51" s="266" t="s">
        <v>357</v>
      </c>
      <c r="E51" s="255" t="s">
        <v>358</v>
      </c>
      <c r="F51" s="265" t="s">
        <v>359</v>
      </c>
      <c r="G51" s="262" t="s">
        <v>360</v>
      </c>
      <c r="H51" s="265" t="s">
        <v>361</v>
      </c>
      <c r="I51" s="262" t="s">
        <v>362</v>
      </c>
    </row>
    <row r="52" spans="2:9" x14ac:dyDescent="0.25">
      <c r="B52" s="227" t="s">
        <v>283</v>
      </c>
      <c r="C52" s="256">
        <f>SUM(C71:C76)</f>
        <v>0</v>
      </c>
      <c r="D52" s="256">
        <f>SUM(LOB_ENROLL[[#All],[2022 Member Months]])</f>
        <v>0</v>
      </c>
      <c r="E52" s="16" t="str">
        <f>IF(C52=D52,"Yes",ABS(C52-D52))</f>
        <v>Yes</v>
      </c>
      <c r="F52" s="260">
        <f>SUM(D71:D76)</f>
        <v>0</v>
      </c>
      <c r="G52" s="238" t="str">
        <f>IF(C52=F52,"Yes", C52-F52)</f>
        <v>Yes</v>
      </c>
      <c r="H52" s="260">
        <f>SUMIF(StandardDeviation22[[#All],[Advanced Network/Insurance Carrier Org ID]], 100, StandardDeviation22[[#All],[Member Months]])</f>
        <v>0</v>
      </c>
      <c r="I52" s="16" t="str">
        <f>IF(C52=H52,"Yes",ABS(C52-H52))</f>
        <v>Yes</v>
      </c>
    </row>
    <row r="53" spans="2:9" x14ac:dyDescent="0.25">
      <c r="B53" s="227" t="s">
        <v>230</v>
      </c>
      <c r="C53" s="256">
        <f>C71</f>
        <v>0</v>
      </c>
      <c r="D53" s="256">
        <f>SUMIF(LOB_ENROLL[[#All],[Line of Business Enrollment Category Code]],906,LOB_ENROLL[[#All],[2022 Member Months]])</f>
        <v>0</v>
      </c>
      <c r="E53" s="16" t="str">
        <f t="shared" ref="E53:E56" si="1">IF(C53=D53,"Yes",ABS(C53-D53))</f>
        <v>Yes</v>
      </c>
      <c r="F53" s="260">
        <f>D71</f>
        <v>0</v>
      </c>
      <c r="G53" s="238" t="str">
        <f>IF(C53=F53,"Yes", C53-F53)</f>
        <v>Yes</v>
      </c>
      <c r="H53" s="260">
        <f>SUMIFS(StandardDeviation22[[#All],[Member Months]], StandardDeviation22[[#All],[Advanced Network/Insurance Carrier Org ID]], 100, StandardDeviation22[[#All],[Market ID]], 1)</f>
        <v>0</v>
      </c>
      <c r="I53" s="16" t="str">
        <f>IF((C71+C75)=H53,"Yes",ABS((C71+C75)-H53))</f>
        <v>Yes</v>
      </c>
    </row>
    <row r="54" spans="2:9" x14ac:dyDescent="0.25">
      <c r="B54" s="227" t="s">
        <v>343</v>
      </c>
      <c r="C54" s="256">
        <f>C72</f>
        <v>0</v>
      </c>
      <c r="D54" s="256">
        <f>SUMIF(LOB_ENROLL[[#All],[Line of Business Enrollment Category Code]],907,LOB_ENROLL[[#All],[2022 Member Months]])</f>
        <v>0</v>
      </c>
      <c r="E54" s="16" t="str">
        <f t="shared" si="1"/>
        <v>Yes</v>
      </c>
      <c r="F54" s="260">
        <f>D72</f>
        <v>0</v>
      </c>
      <c r="G54" s="238" t="str">
        <f>IF(C54=F54,"Yes", C54-F54)</f>
        <v>Yes</v>
      </c>
      <c r="H54" s="260">
        <f>SUMIFS(StandardDeviation22[[#All],[Member Months]], StandardDeviation22[[#All],[Advanced Network/Insurance Carrier Org ID]], 100, StandardDeviation22[[#All],[Market ID]], 2)</f>
        <v>0</v>
      </c>
      <c r="I54" s="16" t="str">
        <f t="shared" ref="I54" si="2">IF(C54=H54,"Yes",ABS(C54-H54))</f>
        <v>Yes</v>
      </c>
    </row>
    <row r="55" spans="2:9" ht="15.75" thickBot="1" x14ac:dyDescent="0.3">
      <c r="B55" s="227" t="s">
        <v>363</v>
      </c>
      <c r="C55" s="256">
        <f>C75+C76</f>
        <v>0</v>
      </c>
      <c r="D55" s="256">
        <f>SUMIF(LOB_ENROLL[[#All],[Line of Business Enrollment Category Code]],908,LOB_ENROLL[[#All],[2022 Member Months]])</f>
        <v>0</v>
      </c>
      <c r="E55" s="16" t="str">
        <f t="shared" si="1"/>
        <v>Yes</v>
      </c>
      <c r="F55" s="260">
        <f>D75+D76</f>
        <v>0</v>
      </c>
      <c r="G55" s="238" t="str">
        <f>IF(C55=F55,"Yes", C55-F55)</f>
        <v>Yes</v>
      </c>
      <c r="H55" s="260">
        <v>0</v>
      </c>
      <c r="I55" s="514" t="s">
        <v>28</v>
      </c>
    </row>
    <row r="56" spans="2:9" ht="15.75" thickBot="1" x14ac:dyDescent="0.3">
      <c r="B56" s="228" t="s">
        <v>364</v>
      </c>
      <c r="C56" s="257">
        <f>SUM(C73:C74)</f>
        <v>0</v>
      </c>
      <c r="D56" s="257">
        <f>SUMIF(LOB_ENROLL[[#All],[Line of Business Enrollment Category Code]],901,LOB_ENROLL[[#All],[2022 Member Months]])+SUMIF(LOB_ENROLL[[#All],[Line of Business Enrollment Category Code]],902,LOB_ENROLL[[#All],[2022 Member Months]])+SUMIF(LOB_ENROLL[[#All],[Line of Business Enrollment Category Code]],903,LOB_ENROLL[[#All],[2022 Member Months]])+SUMIF(LOB_ENROLL[[#All],[Line of Business Enrollment Category Code]],904,LOB_ENROLL[[#All],[2022 Member Months]])+SUMIF(LOB_ENROLL[[#All],[Line of Business Enrollment Category Code]],905,LOB_ENROLL[[#All],[2022 Member Months]])</f>
        <v>0</v>
      </c>
      <c r="E56" s="16" t="str">
        <f t="shared" si="1"/>
        <v>Yes</v>
      </c>
      <c r="F56" s="261">
        <f>SUM(D73:D74)</f>
        <v>0</v>
      </c>
      <c r="G56" s="239" t="str">
        <f>IF(C56=F56,"Yes", C56-F56)</f>
        <v>Yes</v>
      </c>
      <c r="H56" s="261">
        <f>SUMIFS(StandardDeviation22[[#All],[Member Months]], StandardDeviation22[[#All],[Advanced Network/Insurance Carrier Org ID]], 100, StandardDeviation22[[#All],[Market ID]], 3)</f>
        <v>0</v>
      </c>
      <c r="I56" s="16" t="str">
        <f>IF(C56=H56,"Yes",ABS(C56-H56))</f>
        <v>Yes</v>
      </c>
    </row>
    <row r="57" spans="2:9" x14ac:dyDescent="0.25">
      <c r="B57" s="15"/>
      <c r="E57" s="31"/>
      <c r="F57" s="3"/>
      <c r="G57" s="3"/>
    </row>
    <row r="58" spans="2:9" x14ac:dyDescent="0.25">
      <c r="B58" s="15"/>
      <c r="E58" s="31"/>
      <c r="F58" s="3"/>
      <c r="G58" s="3"/>
    </row>
    <row r="59" spans="2:9" ht="18.75" x14ac:dyDescent="0.3">
      <c r="B59" s="279" t="s">
        <v>436</v>
      </c>
      <c r="E59" s="31"/>
      <c r="F59" s="3"/>
      <c r="G59" s="3"/>
    </row>
    <row r="60" spans="2:9" ht="15.75" thickBot="1" x14ac:dyDescent="0.3">
      <c r="B60" s="27" t="s">
        <v>355</v>
      </c>
      <c r="E60" s="31"/>
      <c r="F60" s="3"/>
      <c r="G60" s="3"/>
    </row>
    <row r="61" spans="2:9" ht="60" x14ac:dyDescent="0.25">
      <c r="B61" s="265" t="s">
        <v>356</v>
      </c>
      <c r="C61" s="266" t="s">
        <v>309</v>
      </c>
      <c r="D61" s="266" t="s">
        <v>357</v>
      </c>
      <c r="E61" s="262" t="s">
        <v>358</v>
      </c>
      <c r="F61" s="265" t="s">
        <v>359</v>
      </c>
      <c r="G61" s="262" t="s">
        <v>360</v>
      </c>
      <c r="H61" s="265" t="s">
        <v>361</v>
      </c>
      <c r="I61" s="262" t="s">
        <v>362</v>
      </c>
    </row>
    <row r="62" spans="2:9" x14ac:dyDescent="0.25">
      <c r="B62" s="227" t="s">
        <v>283</v>
      </c>
      <c r="C62" s="258">
        <f>SUM(G71:G76)</f>
        <v>0</v>
      </c>
      <c r="D62" s="258">
        <f>SUM(LOB_ENROLL[[#All],[2023 Member Months]])</f>
        <v>0</v>
      </c>
      <c r="E62" s="238" t="str">
        <f>IF(C62=D62,"Yes",ABS(C62-D62))</f>
        <v>Yes</v>
      </c>
      <c r="F62" s="260">
        <f>SUM(H71:H76)</f>
        <v>0</v>
      </c>
      <c r="G62" s="238" t="str">
        <f>IF(C62=F62,"Yes", C62-F62)</f>
        <v>Yes</v>
      </c>
      <c r="H62" s="260">
        <f>SUMIF(StandardDeviation23[[#All],[Advanced Network/Insurance Carrier Org ID]], 100, StandardDeviation23[[#All],[Member Months]])</f>
        <v>0</v>
      </c>
      <c r="I62" s="238" t="str">
        <f>IF(C62=H62,"Yes",ABS(C62-H62))</f>
        <v>Yes</v>
      </c>
    </row>
    <row r="63" spans="2:9" x14ac:dyDescent="0.25">
      <c r="B63" s="227" t="s">
        <v>230</v>
      </c>
      <c r="C63" s="258">
        <f>G71</f>
        <v>0</v>
      </c>
      <c r="D63" s="258">
        <f>SUMIF(LOB_ENROLL[[#All],[Line of Business Enrollment Category Code]],906,LOB_ENROLL[[#All],[2023 Member Months]])</f>
        <v>0</v>
      </c>
      <c r="E63" s="238" t="str">
        <f t="shared" ref="E63:E66" si="3">IF(C63=D63,"Yes",ABS(C63-D63))</f>
        <v>Yes</v>
      </c>
      <c r="F63" s="260">
        <f>H71</f>
        <v>0</v>
      </c>
      <c r="G63" s="238" t="str">
        <f>IF(C63=F63,"Yes", C63-F63)</f>
        <v>Yes</v>
      </c>
      <c r="H63" s="260">
        <f>SUMIFS(StandardDeviation23[[#All],[Member Months]], StandardDeviation23[[#All],[Advanced Network/Insurance Carrier Org ID]], 100, StandardDeviation23[[#All],[Market ID]], 1)</f>
        <v>0</v>
      </c>
      <c r="I63" s="238" t="str">
        <f>IF((G71+G75)=H63,"Yes",ABS((G71+G75)-H63))</f>
        <v>Yes</v>
      </c>
    </row>
    <row r="64" spans="2:9" x14ac:dyDescent="0.25">
      <c r="B64" s="227" t="s">
        <v>343</v>
      </c>
      <c r="C64" s="258">
        <f>G72</f>
        <v>0</v>
      </c>
      <c r="D64" s="258">
        <f>SUMIF(LOB_ENROLL[[#All],[Line of Business Enrollment Category Code]],907,LOB_ENROLL[[#All],[2023 Member Months]])</f>
        <v>0</v>
      </c>
      <c r="E64" s="238" t="str">
        <f t="shared" si="3"/>
        <v>Yes</v>
      </c>
      <c r="F64" s="260">
        <f>H72</f>
        <v>0</v>
      </c>
      <c r="G64" s="238" t="str">
        <f>IF(C64=F64,"Yes", C64-F64)</f>
        <v>Yes</v>
      </c>
      <c r="H64" s="260">
        <f>SUMIFS(StandardDeviation23[[#All],[Member Months]], StandardDeviation23[[#All],[Advanced Network/Insurance Carrier Org ID]], 100, StandardDeviation23[[#All],[Market ID]], 2)</f>
        <v>0</v>
      </c>
      <c r="I64" s="238" t="str">
        <f t="shared" ref="I64" si="4">IF(C64=H64,"Yes",ABS(C64-H64))</f>
        <v>Yes</v>
      </c>
    </row>
    <row r="65" spans="2:20" ht="15.75" thickBot="1" x14ac:dyDescent="0.3">
      <c r="B65" s="227" t="s">
        <v>363</v>
      </c>
      <c r="C65" s="258">
        <f>G75+G76</f>
        <v>0</v>
      </c>
      <c r="D65" s="258">
        <f>SUMIF(LOB_ENROLL[[#All],[Line of Business Enrollment Category Code]],908,LOB_ENROLL[[#All],[2023 Member Months]])</f>
        <v>0</v>
      </c>
      <c r="E65" s="238" t="str">
        <f t="shared" si="3"/>
        <v>Yes</v>
      </c>
      <c r="F65" s="260">
        <f>H75+H76</f>
        <v>0</v>
      </c>
      <c r="G65" s="238" t="str">
        <f>IF(C65=F65,"Yes", C65-F65)</f>
        <v>Yes</v>
      </c>
      <c r="H65" s="260">
        <v>0</v>
      </c>
      <c r="I65" s="514" t="s">
        <v>28</v>
      </c>
    </row>
    <row r="66" spans="2:20" ht="15.75" thickBot="1" x14ac:dyDescent="0.3">
      <c r="B66" s="228" t="s">
        <v>364</v>
      </c>
      <c r="C66" s="259">
        <f>SUM(G73:G74)</f>
        <v>0</v>
      </c>
      <c r="D66" s="259">
        <f>SUMIF(LOB_ENROLL[[#All],[Line of Business Enrollment Category Code]],901,LOB_ENROLL[[#All],[2023 Member Months]])+SUMIF(LOB_ENROLL[[#All],[Line of Business Enrollment Category Code]],902,LOB_ENROLL[[#All],[2023 Member Months]])+SUMIF(LOB_ENROLL[[#All],[Line of Business Enrollment Category Code]],903,LOB_ENROLL[[#All],[2023 Member Months]])+SUMIF(LOB_ENROLL[[#All],[Line of Business Enrollment Category Code]],904,LOB_ENROLL[[#All],[2023 Member Months]])+SUMIF(LOB_ENROLL[[#All],[Line of Business Enrollment Category Code]],905,LOB_ENROLL[[#All],[2023 Member Months]])</f>
        <v>0</v>
      </c>
      <c r="E66" s="239" t="str">
        <f t="shared" si="3"/>
        <v>Yes</v>
      </c>
      <c r="F66" s="261">
        <f>SUM(H73:H74)</f>
        <v>0</v>
      </c>
      <c r="G66" s="239" t="str">
        <f>IF(C66=F66,"Yes", C66-F66)</f>
        <v>Yes</v>
      </c>
      <c r="H66" s="261">
        <f>SUMIFS(StandardDeviation23[[#All],[Member Months]], StandardDeviation23[[#All],[Advanced Network/Insurance Carrier Org ID]], 100, StandardDeviation23[[#All],[Market ID]], 3)</f>
        <v>0</v>
      </c>
      <c r="I66" s="238" t="str">
        <f>IF(C66=H66,"Yes",ABS(C66-H66))</f>
        <v>Yes</v>
      </c>
    </row>
    <row r="67" spans="2:20" x14ac:dyDescent="0.25">
      <c r="B67" s="15"/>
      <c r="E67" s="31"/>
      <c r="F67" s="3"/>
      <c r="G67" s="3"/>
    </row>
    <row r="68" spans="2:20" x14ac:dyDescent="0.25">
      <c r="B68" s="363" t="s">
        <v>366</v>
      </c>
      <c r="E68" s="31"/>
      <c r="F68" s="3"/>
      <c r="G68" s="3"/>
    </row>
    <row r="69" spans="2:20" ht="19.5" thickBot="1" x14ac:dyDescent="0.35">
      <c r="B69" s="279" t="s">
        <v>367</v>
      </c>
      <c r="D69" s="3"/>
    </row>
    <row r="70" spans="2:20" s="269" customFormat="1" ht="110.25" customHeight="1" x14ac:dyDescent="0.25">
      <c r="B70" s="291" t="s">
        <v>61</v>
      </c>
      <c r="C70" s="294" t="s">
        <v>368</v>
      </c>
      <c r="D70" s="286" t="s">
        <v>369</v>
      </c>
      <c r="E70" s="286" t="s">
        <v>370</v>
      </c>
      <c r="F70" s="287" t="s">
        <v>457</v>
      </c>
      <c r="G70" s="289" t="s">
        <v>437</v>
      </c>
      <c r="H70" s="290" t="s">
        <v>438</v>
      </c>
      <c r="I70" s="290" t="s">
        <v>439</v>
      </c>
      <c r="J70" s="287" t="s">
        <v>457</v>
      </c>
      <c r="O70"/>
    </row>
    <row r="71" spans="2:20" x14ac:dyDescent="0.25">
      <c r="B71" s="292">
        <v>1</v>
      </c>
      <c r="C71" s="260">
        <f>SUMIFS(AN_TME22[[#All],[Member Months]], AN_TME22[[#All],[Insurance Category Code]], B71, AN_TME22[[#All], [Advanced Network/Insurance Carrier Org ID]], 100)</f>
        <v>0</v>
      </c>
      <c r="D71" s="256">
        <f>SUMIFS(Age_Sex22[[#All],[Total Member Months by Age/Sex Band]], Age_Sex22[[#All],[Insurance Category Code]], B71, Age_Sex22[[#All],[Advanced Network ID]], 100)</f>
        <v>0</v>
      </c>
      <c r="E71" s="16" t="str">
        <f>IF(C71=D71,"Yes",ABS(C71-D71))</f>
        <v>Yes</v>
      </c>
      <c r="F71" s="16" t="str">
        <f>IF(C71=SUM(C84:C115), "Yes", "No")</f>
        <v>Yes</v>
      </c>
      <c r="G71" s="260">
        <f>SUMIFS(AN_TME23[[#All],[Member Months]], AN_TME23[[#All],[Insurance Category Code]], B71, AN_TME23[[#All], [Advanced Network/Insurance Carrier Org ID]], 100)</f>
        <v>0</v>
      </c>
      <c r="H71" s="256">
        <f>SUMIFS(Age_Sex23[[#All],[Total Member Months by Age/Sex Band]], Age_Sex23[[#All],[Insurance Category Code]], B71, Age_Sex23[[#All],[Advanced Network ID]], 100)</f>
        <v>0</v>
      </c>
      <c r="I71" s="16" t="str">
        <f t="shared" ref="I71:I76" si="5">IF(G71=H71,"Yes",ABS(G71-H71))</f>
        <v>Yes</v>
      </c>
      <c r="J71" s="16" t="str">
        <f>IF(G71=SUM(R84:R115), "Yes", "No")</f>
        <v>Yes</v>
      </c>
    </row>
    <row r="72" spans="2:20" x14ac:dyDescent="0.25">
      <c r="B72" s="292">
        <v>2</v>
      </c>
      <c r="C72" s="260">
        <f>SUMIFS(AN_TME22[[#All],[Member Months]], AN_TME22[[#All],[Insurance Category Code]], B72, AN_TME22[[#All], [Advanced Network/Insurance Carrier Org ID]], 100)</f>
        <v>0</v>
      </c>
      <c r="D72" s="256">
        <f>SUMIFS(Age_Sex22[[#All],[Total Member Months by Age/Sex Band]], Age_Sex22[[#All],[Insurance Category Code]], B72, Age_Sex22[[#All],[Advanced Network ID]], 100)</f>
        <v>0</v>
      </c>
      <c r="E72" s="16" t="str">
        <f t="shared" ref="E72:E76" si="6">IF(C72=D72,"Yes",ABS(C72-D72))</f>
        <v>Yes</v>
      </c>
      <c r="F72" s="16" t="str">
        <f>IF(C72=SUM(C122:C153), "Yes", "No")</f>
        <v>Yes</v>
      </c>
      <c r="G72" s="260">
        <f>SUMIFS(AN_TME23[[#All],[Member Months]], AN_TME23[[#All],[Insurance Category Code]], B72, AN_TME23[[#All], [Advanced Network/Insurance Carrier Org ID]], 100)</f>
        <v>0</v>
      </c>
      <c r="H72" s="256">
        <f>SUMIFS(Age_Sex23[[#All],[Total Member Months by Age/Sex Band]], Age_Sex23[[#All],[Insurance Category Code]], B72, Age_Sex23[[#All],[Advanced Network ID]], 100)</f>
        <v>0</v>
      </c>
      <c r="I72" s="16" t="str">
        <f t="shared" si="5"/>
        <v>Yes</v>
      </c>
      <c r="J72" s="16" t="str">
        <f>IF(G72=SUM(R122:HR153), "Yes")</f>
        <v>Yes</v>
      </c>
    </row>
    <row r="73" spans="2:20" x14ac:dyDescent="0.25">
      <c r="B73" s="292">
        <v>3</v>
      </c>
      <c r="C73" s="260">
        <f>SUMIFS(AN_TME22[[#All],[Member Months]], AN_TME22[[#All],[Insurance Category Code]], B73, AN_TME22[[#All], [Advanced Network/Insurance Carrier Org ID]], 100)</f>
        <v>0</v>
      </c>
      <c r="D73" s="256">
        <f>SUMIFS(Age_Sex22[[#All],[Total Member Months by Age/Sex Band]], Age_Sex22[[#All],[Insurance Category Code]], B73, Age_Sex22[[#All],[Advanced Network ID]], 100)</f>
        <v>0</v>
      </c>
      <c r="E73" s="16" t="str">
        <f t="shared" si="6"/>
        <v>Yes</v>
      </c>
      <c r="F73" s="16" t="str">
        <f>IF(C73=SUM(C160:C191), "Yes", "No")</f>
        <v>Yes</v>
      </c>
      <c r="G73" s="260">
        <f>SUMIFS(AN_TME23[[#All],[Member Months]], AN_TME23[[#All],[Insurance Category Code]], B73, AN_TME23[[#All], [Advanced Network/Insurance Carrier Org ID]], 100)</f>
        <v>0</v>
      </c>
      <c r="H73" s="256">
        <f>SUMIFS(Age_Sex23[[#All],[Total Member Months by Age/Sex Band]], Age_Sex23[[#All],[Insurance Category Code]], B73, Age_Sex23[[#All],[Advanced Network ID]], 100)</f>
        <v>0</v>
      </c>
      <c r="I73" s="16" t="str">
        <f t="shared" si="5"/>
        <v>Yes</v>
      </c>
      <c r="J73" s="16" t="str">
        <f>IF(G73=SUM(R160:R191), "Yes", "No")</f>
        <v>Yes</v>
      </c>
    </row>
    <row r="74" spans="2:20" x14ac:dyDescent="0.25">
      <c r="B74" s="292">
        <v>4</v>
      </c>
      <c r="C74" s="260">
        <f>SUMIFS(AN_TME22[[#All],[Member Months]], AN_TME22[[#All],[Insurance Category Code]], B74, AN_TME22[[#All], [Advanced Network/Insurance Carrier Org ID]], 100)</f>
        <v>0</v>
      </c>
      <c r="D74" s="256">
        <f>SUMIFS(Age_Sex22[[#All],[Total Member Months by Age/Sex Band]], Age_Sex22[[#All],[Insurance Category Code]], B74, Age_Sex22[[#All],[Advanced Network ID]], 100)</f>
        <v>0</v>
      </c>
      <c r="E74" s="16" t="str">
        <f t="shared" si="6"/>
        <v>Yes</v>
      </c>
      <c r="F74" s="16" t="str">
        <f>IF(C74=SUM(C198:C229), "Yes", "No")</f>
        <v>Yes</v>
      </c>
      <c r="G74" s="260">
        <f>SUMIFS(AN_TME23[[#All],[Member Months]], AN_TME23[[#All],[Insurance Category Code]], B74, AN_TME23[[#All], [Advanced Network/Insurance Carrier Org ID]], 100)</f>
        <v>0</v>
      </c>
      <c r="H74" s="256">
        <f>SUMIFS(Age_Sex23[[#All],[Total Member Months by Age/Sex Band]], Age_Sex23[[#All],[Insurance Category Code]], B74, Age_Sex23[[#All],[Advanced Network ID]], 100)</f>
        <v>0</v>
      </c>
      <c r="I74" s="16" t="str">
        <f t="shared" si="5"/>
        <v>Yes</v>
      </c>
      <c r="J74" s="16" t="str">
        <f>IF(G73=SUM(R160:R191), "Yes", "No")</f>
        <v>Yes</v>
      </c>
    </row>
    <row r="75" spans="2:20" x14ac:dyDescent="0.25">
      <c r="B75" s="292">
        <v>5</v>
      </c>
      <c r="C75" s="260">
        <f>SUMIFS(AN_TME22[[#All],[Member Months]], AN_TME22[[#All],[Insurance Category Code]], B75, AN_TME22[[#All], [Advanced Network/Insurance Carrier Org ID]], 100)</f>
        <v>0</v>
      </c>
      <c r="D75" s="256">
        <f>SUMIFS(Age_Sex22[[#All],[Total Member Months by Age/Sex Band]], Age_Sex22[[#All],[Insurance Category Code]], B75, Age_Sex22[[#All],[Advanced Network ID]], 100)</f>
        <v>0</v>
      </c>
      <c r="E75" s="16" t="str">
        <f t="shared" si="6"/>
        <v>Yes</v>
      </c>
      <c r="F75" s="16" t="str">
        <f>IF(C75=SUM(C236:C267), "Yes", "No")</f>
        <v>Yes</v>
      </c>
      <c r="G75" s="260">
        <f>SUMIFS(AN_TME23[[#All],[Member Months]], AN_TME23[[#All],[Insurance Category Code]], B75, AN_TME23[[#All], [Advanced Network/Insurance Carrier Org ID]], 100)</f>
        <v>0</v>
      </c>
      <c r="H75" s="256">
        <f>SUMIFS(Age_Sex23[[#All],[Total Member Months by Age/Sex Band]], Age_Sex23[[#All],[Insurance Category Code]], B75, Age_Sex23[[#All],[Advanced Network ID]], 100)</f>
        <v>0</v>
      </c>
      <c r="I75" s="16" t="str">
        <f t="shared" si="5"/>
        <v>Yes</v>
      </c>
      <c r="J75" s="16" t="str">
        <f>IF(G75=SUM(R236:R267), "Yes", "No")</f>
        <v>Yes</v>
      </c>
    </row>
    <row r="76" spans="2:20" ht="15.75" thickBot="1" x14ac:dyDescent="0.3">
      <c r="B76" s="293">
        <v>6</v>
      </c>
      <c r="C76" s="261">
        <f>SUMIFS(AN_TME22[[#All],[Member Months]], AN_TME22[[#All],[Insurance Category Code]], B76, AN_TME22[[#All], [Advanced Network/Insurance Carrier Org ID]], 100)</f>
        <v>0</v>
      </c>
      <c r="D76" s="257">
        <f>SUMIFS(Age_Sex22[[#All],[Total Member Months by Age/Sex Band]], Age_Sex22[[#All],[Insurance Category Code]], B76, Age_Sex22[[#All],[Advanced Network ID]], 100)</f>
        <v>0</v>
      </c>
      <c r="E76" s="288" t="str">
        <f t="shared" si="6"/>
        <v>Yes</v>
      </c>
      <c r="F76" s="288" t="str">
        <f>IF(C76=SUM(C274:C305), "Yes", "No")</f>
        <v>Yes</v>
      </c>
      <c r="G76" s="261">
        <f>SUMIFS(AN_TME23[[#All],[Member Months]], AN_TME23[[#All],[Insurance Category Code]], B76, AN_TME23[[#All], [Advanced Network/Insurance Carrier Org ID]], 100)</f>
        <v>0</v>
      </c>
      <c r="H76" s="257">
        <f>SUMIFS(Age_Sex23[[#All],[Total Member Months by Age/Sex Band]], Age_Sex23[[#All],[Insurance Category Code]], B76, Age_Sex23[[#All],[Advanced Network ID]], 100)</f>
        <v>0</v>
      </c>
      <c r="I76" s="288" t="str">
        <f t="shared" si="5"/>
        <v>Yes</v>
      </c>
      <c r="J76" s="288" t="str">
        <f>IF(G76=SUM(R274:R305), "Yes", "No")</f>
        <v>Yes</v>
      </c>
    </row>
    <row r="77" spans="2:20" x14ac:dyDescent="0.25">
      <c r="B77" s="31"/>
    </row>
    <row r="78" spans="2:20" x14ac:dyDescent="0.25">
      <c r="B78" s="363" t="s">
        <v>366</v>
      </c>
    </row>
    <row r="79" spans="2:20" ht="33.75" x14ac:dyDescent="0.5">
      <c r="B79" s="326" t="s">
        <v>371</v>
      </c>
      <c r="C79" s="350"/>
      <c r="D79" s="351"/>
      <c r="E79" s="267"/>
    </row>
    <row r="80" spans="2:20" ht="19.5" thickBot="1" x14ac:dyDescent="0.35">
      <c r="B80" s="279" t="s">
        <v>372</v>
      </c>
      <c r="C80" s="231"/>
      <c r="D80" s="14"/>
      <c r="E80" s="117"/>
      <c r="Q80" s="279" t="s">
        <v>440</v>
      </c>
      <c r="R80" s="231"/>
      <c r="S80" s="14"/>
      <c r="T80" s="117"/>
    </row>
    <row r="81" spans="2:32" ht="24" outlineLevel="1" thickBot="1" x14ac:dyDescent="0.4">
      <c r="B81" s="307" t="s">
        <v>373</v>
      </c>
      <c r="C81" s="617" t="s">
        <v>375</v>
      </c>
      <c r="D81" s="618"/>
      <c r="E81" s="618"/>
      <c r="F81" s="618"/>
      <c r="G81" s="619"/>
      <c r="H81" s="620" t="s">
        <v>376</v>
      </c>
      <c r="I81" s="621"/>
      <c r="J81" s="621"/>
      <c r="K81" s="621"/>
      <c r="L81" s="622"/>
      <c r="M81" s="614" t="s">
        <v>374</v>
      </c>
      <c r="N81" s="615"/>
      <c r="O81" s="616"/>
      <c r="Q81" s="307"/>
      <c r="R81" s="617" t="s">
        <v>441</v>
      </c>
      <c r="S81" s="618"/>
      <c r="T81" s="618"/>
      <c r="U81" s="618"/>
      <c r="V81" s="619"/>
      <c r="W81" s="620" t="s">
        <v>442</v>
      </c>
      <c r="X81" s="621"/>
      <c r="Y81" s="621"/>
      <c r="Z81" s="621"/>
      <c r="AA81" s="622"/>
      <c r="AB81" s="614" t="s">
        <v>374</v>
      </c>
      <c r="AC81" s="615"/>
      <c r="AD81" s="616"/>
    </row>
    <row r="82" spans="2:32" ht="90" customHeight="1" outlineLevel="1" thickBot="1" x14ac:dyDescent="0.3">
      <c r="B82" s="297" t="s">
        <v>235</v>
      </c>
      <c r="C82" s="298" t="s">
        <v>151</v>
      </c>
      <c r="D82" s="299" t="s">
        <v>236</v>
      </c>
      <c r="E82" s="299" t="s">
        <v>377</v>
      </c>
      <c r="F82" s="299" t="s">
        <v>153</v>
      </c>
      <c r="G82" s="300" t="s">
        <v>157</v>
      </c>
      <c r="H82" s="301" t="s">
        <v>211</v>
      </c>
      <c r="I82" s="302" t="s">
        <v>378</v>
      </c>
      <c r="J82" s="302" t="s">
        <v>379</v>
      </c>
      <c r="K82" s="302" t="s">
        <v>380</v>
      </c>
      <c r="L82" s="303" t="s">
        <v>381</v>
      </c>
      <c r="M82" s="304" t="s">
        <v>382</v>
      </c>
      <c r="N82" s="305" t="s">
        <v>383</v>
      </c>
      <c r="O82" s="306" t="s">
        <v>384</v>
      </c>
      <c r="Q82" s="297" t="s">
        <v>235</v>
      </c>
      <c r="R82" s="298" t="s">
        <v>151</v>
      </c>
      <c r="S82" s="299" t="s">
        <v>236</v>
      </c>
      <c r="T82" s="299" t="s">
        <v>377</v>
      </c>
      <c r="U82" s="299" t="s">
        <v>153</v>
      </c>
      <c r="V82" s="300" t="s">
        <v>157</v>
      </c>
      <c r="W82" s="301" t="s">
        <v>211</v>
      </c>
      <c r="X82" s="302" t="s">
        <v>378</v>
      </c>
      <c r="Y82" s="302" t="s">
        <v>379</v>
      </c>
      <c r="Z82" s="302" t="s">
        <v>380</v>
      </c>
      <c r="AA82" s="303" t="s">
        <v>381</v>
      </c>
      <c r="AB82" s="304" t="s">
        <v>382</v>
      </c>
      <c r="AC82" s="305" t="s">
        <v>383</v>
      </c>
      <c r="AD82" s="306" t="s">
        <v>384</v>
      </c>
      <c r="AF82" s="314" t="s">
        <v>458</v>
      </c>
    </row>
    <row r="83" spans="2:32" outlineLevel="1" x14ac:dyDescent="0.25">
      <c r="B83" s="236">
        <v>100</v>
      </c>
      <c r="C83" s="463">
        <f>ROUND(SUMIFS(Age_Sex22[[#All],[Total Member Months by Age/Sex Band]], Age_Sex22[[#All],[Advanced Network ID]], $B83, Age_Sex22[[#All],[Insurance Category Code]],1), 2)</f>
        <v>0</v>
      </c>
      <c r="D83" s="268">
        <f>ROUND(SUMIFS(Age_Sex22[[#All],[Total Dollars Excluded from Spending After Applying Truncation at the Member Level]], Age_Sex22[[#All],[Advanced Network ID]], $B83, Age_Sex22[[#All],[Insurance Category Code]],1), 2)</f>
        <v>0</v>
      </c>
      <c r="E83" s="229">
        <f>ROUND(SUMIFS(Age_Sex22[[#All],[Count of Members whose Spending was Truncated]], Age_Sex22[[#All],[Advanced Network ID]], $B83, Age_Sex22[[#All],[Insurance Category Code]],1),2)</f>
        <v>0</v>
      </c>
      <c r="F83" s="230">
        <f>ROUND(SUMIFS(Age_Sex22[[#All],[Total Spending before Truncation is Applied]], Age_Sex22[[#All],[Advanced Network ID]], $B83, Age_Sex22[[#All],[Insurance Category Code]],1), 2)</f>
        <v>0</v>
      </c>
      <c r="G83" s="232">
        <f>ROUND(SUMIFS(Age_Sex22[[#All],[Total Spending After Applying Truncation at the Member Level]], Age_Sex22[[#All],[Advanced Network ID]], $B83, Age_Sex22[[#All],[Insurance Category Code]],1), 2)</f>
        <v>0</v>
      </c>
      <c r="H83" s="416" t="str">
        <f>IF(C83=ROUND(SUMIFS(AN_TME22[[#All],[Member Months]], AN_TME22[[#All],[Insurance Category Code]],1, AN_TME22[[#All],[Advanced Network/Insurance Carrier Org ID]],B83),2), "TRUE", ROUND(C83-SUMIFS(AN_TME22[[#All],[Member Months]], AN_TME22[[#All],[Insurance Category Code]],1, AN_TME22[[#All],[Advanced Network/Insurance Carrier Org ID]],B83),2))</f>
        <v>TRUE</v>
      </c>
      <c r="I83" s="280" t="str">
        <f>IF(D83=ROUND(SUMIFS(AN_TME22[[#All],[Total Claims Excluded because of Truncation]], AN_TME22[[#All],[Insurance Category Code]],1, AN_TME22[[#All],[Advanced Network/Insurance Carrier Org ID]],B83),2), "TRUE", ROUND(D83-SUMIFS(AN_TME22[[#All],[Total Claims Excluded because of Truncation]], AN_TME22[[#All],[Insurance Category Code]],1, AN_TME22[[#All],[Advanced Network/Insurance Carrier Org ID]],B83),2))</f>
        <v>TRUE</v>
      </c>
      <c r="J83" s="281" t="str">
        <f>IF(E83=ROUND(SUMIFS(AN_TME22[[#All],[Count of Members with Claims Truncated]], AN_TME22[[#All],[Insurance Category Code]],1, AN_TME22[[#All],[Advanced Network/Insurance Carrier Org ID]],B83),2), "TRUE", ROUND(E83-SUMIFS(AN_TME22[[#All],[Count of Members with Claims Truncated]], AN_TME22[[#All],[Insurance Category Code]],1, AN_TME22[[#All],[Advanced Network/Insurance Carrier Org ID]],B83),2))</f>
        <v>TRUE</v>
      </c>
      <c r="K83" s="282" t="str">
        <f>IF(F83=ROUND(SUMIFS(AN_TME22[[#All],[TOTAL Non-Truncated Unadjusted Claims Expenses]], AN_TME22[[#All],[Insurance Category Code]],1, AN_TME22[[#All],[Advanced Network/Insurance Carrier Org ID]],B83),2), "TRUE", ROUND(F83-SUMIFS(AN_TME22[[#All],[TOTAL Non-Truncated Unadjusted Claims Expenses]], AN_TME22[[#All],[Insurance Category Code]],1, AN_TME22[[#All],[Advanced Network/Insurance Carrier Org ID]],B83),2))</f>
        <v>TRUE</v>
      </c>
      <c r="L83" s="295" t="str">
        <f>IF(G83=ROUND(SUMIFS(AN_TME22[[#All],[TOTAL Truncated Unadjusted Claims Expenses (A21 -A19)]], AN_TME22[[#All],[Insurance Category Code]],1, AN_TME22[[#All],[Advanced Network/Insurance Carrier Org ID]],B83),2), "TRUE", ROUND(G83-SUMIFS(AN_TME22[[#All],[TOTAL Truncated Unadjusted Claims Expenses (A21 -A19)]], AN_TME22[[#All],[Insurance Category Code]],1, AN_TME22[[#All],[Advanced Network/Insurance Carrier Org ID]],B83),2))</f>
        <v>TRUE</v>
      </c>
      <c r="M83" s="461" t="str">
        <f t="shared" ref="M83:M114" si="7">IF(E83=0, "TRUE",IF((C83/12)&gt;E83,"TRUE",(C83/12)-E83))</f>
        <v>TRUE</v>
      </c>
      <c r="N83" s="282" t="b">
        <f>ROUND(SUMIFS(AN_TME22[[#All],[TOTAL Non-Truncated Unadjusted Claims Expenses]], AN_TME22[[#All],[Insurance Category Code]],1, AN_TME22[[#All],[Advanced Network/Insurance Carrier Org ID]],B83), 2)&gt;=ROUND(SUMIFS(AN_TME22[[#All],[TOTAL Truncated Unadjusted Claims Expenses (A21 -A19)]], AN_TME22[[#All],[Insurance Category Code]],1, AN_TME22[[#All],[Advanced Network/Insurance Carrier Org ID]],B83),2)</f>
        <v>1</v>
      </c>
      <c r="O83" s="295" t="b">
        <f>ROUND(SUMIFS(AN_TME22[[#All],[TOTAL Truncated Unadjusted Claims Expenses (A21 -A19)]], AN_TME22[[#All],[Insurance Category Code]],1, AN_TME22[[#All],[Advanced Network/Insurance Carrier Org ID]],B83)+SUMIFS(AN_TME22[[#All],[Total Claims Excluded because of Truncation]], AN_TME22[[#All],[Insurance Category Code]],1, AN_TME22[[#All],[Advanced Network/Insurance Carrier Org ID]],B83),2)=ROUND(SUMIFS(AN_TME22[[#All],[TOTAL Non-Truncated Unadjusted Claims Expenses]], AN_TME22[[#All],[Insurance Category Code]],1, AN_TME22[[#All],[Advanced Network/Insurance Carrier Org ID]],B83), 2)</f>
        <v>1</v>
      </c>
      <c r="Q83" s="236">
        <v>100</v>
      </c>
      <c r="R83" s="463">
        <f>ROUND(SUMIFS(Age_Sex23[[#All],[Total Member Months by Age/Sex Band]], Age_Sex23[[#All],[Advanced Network ID]], $Q83, Age_Sex23[[#All],[Insurance Category Code]],1), 2)</f>
        <v>0</v>
      </c>
      <c r="S83" s="268">
        <f>ROUND(SUMIFS(Age_Sex23[[#All],[Total Dollars Excluded from Spending After Applying Truncation at the Member Level]], Age_Sex23[[#All],[Advanced Network ID]], $B83, Age_Sex23[[#All],[Insurance Category Code]],1),2)</f>
        <v>0</v>
      </c>
      <c r="T83" s="229">
        <f>ROUND(SUMIFS(Age_Sex23[[#All],[Count of Members whose Spending was Truncated]], Age_Sex23[[#All],[Advanced Network ID]], $B83, Age_Sex23[[#All],[Insurance Category Code]],1), 2)</f>
        <v>0</v>
      </c>
      <c r="U83" s="230">
        <f>ROUND(SUMIFS(Age_Sex23[[#All],[Total Spending before Truncation is Applied]], Age_Sex23[[#All],[Advanced Network ID]], $B83, Age_Sex23[[#All],[Insurance Category Code]],1), 2)</f>
        <v>0</v>
      </c>
      <c r="V83" s="232">
        <f>ROUND(SUMIFS(Age_Sex23[[#All],[Total Spending After Applying Truncation at the Member Level]], Age_Sex23[[#All],[Advanced Network ID]], $B83, Age_Sex23[[#All],[Insurance Category Code]],1),2)</f>
        <v>0</v>
      </c>
      <c r="W83" s="416" t="str">
        <f>IF(R83=ROUND(SUMIFS(AN_TME23[[#All],[Member Months]], AN_TME23[[#All],[Insurance Category Code]],1, AN_TME23[[#All],[Advanced Network/Insurance Carrier Org ID]],Q83),2), "TRUE", ROUND(R83-SUMIFS(AN_TME23[[#All],[Member Months]], AN_TME23[[#All],[Insurance Category Code]],1, AN_TME23[[#All],[Advanced Network/Insurance Carrier Org ID]],Q83),2))</f>
        <v>TRUE</v>
      </c>
      <c r="X83" s="280" t="str">
        <f>IF(S83=ROUND(SUMIFS(AN_TME23[[#All],[Total Claims Excluded because of Truncation]], AN_TME23[[#All],[Insurance Category Code]],1, AN_TME23[[#All],[Advanced Network/Insurance Carrier Org ID]],Q83),2), "TRUE", ROUND(S83-SUMIFS(AN_TME23[[#All],[Total Claims Excluded because of Truncation]], AN_TME23[[#All],[Insurance Category Code]],1, AN_TME23[[#All],[Advanced Network/Insurance Carrier Org ID]],Q83),2))</f>
        <v>TRUE</v>
      </c>
      <c r="Y83" s="281" t="str">
        <f>IF(T83=ROUND(SUMIFS(AN_TME23[[#All],[Count of Members with Claims Truncated]], AN_TME23[[#All],[Insurance Category Code]],1, AN_TME23[[#All],[Advanced Network/Insurance Carrier Org ID]],Q83),2), "TRUE", ROUND(T83-SUMIFS(AN_TME23[[#All],[Count of Members with Claims Truncated]], AN_TME23[[#All],[Insurance Category Code]],1, AN_TME23[[#All],[Advanced Network/Insurance Carrier Org ID]],Q83),2))</f>
        <v>TRUE</v>
      </c>
      <c r="Z83" s="282" t="str">
        <f>IF(U83=ROUND(SUMIFS(AN_TME23[[#All],[TOTAL Non-Truncated Unadjusted Claims Expenses]], AN_TME23[[#All],[Insurance Category Code]],1, AN_TME23[[#All],[Advanced Network/Insurance Carrier Org ID]],Q83),2), "TRUE", ROUND(U83-SUMIFS(AN_TME23[[#All],[TOTAL Non-Truncated Unadjusted Claims Expenses]], AN_TME23[[#All],[Insurance Category Code]],1, AN_TME23[[#All],[Advanced Network/Insurance Carrier Org ID]],Q83),2))</f>
        <v>TRUE</v>
      </c>
      <c r="AA83" s="295" t="str">
        <f>IF(V83=ROUND(SUMIFS(AN_TME23[[#All],[TOTAL Truncated Unadjusted Claims Expenses (A21 -A19)]], AN_TME23[[#All],[Insurance Category Code]],1, AN_TME23[[#All],[Advanced Network/Insurance Carrier Org ID]],Q83),2), "TRUE", ROUND(V83-SUMIFS(AN_TME23[[#All],[TOTAL Truncated Unadjusted Claims Expenses (A21 -A19)]], AN_TME23[[#All],[Insurance Category Code]],1, AN_TME23[[#All],[Advanced Network/Insurance Carrier Org ID]],Q83),2))</f>
        <v>TRUE</v>
      </c>
      <c r="AB83" s="461" t="str">
        <f>IF(T83=0,"TRUE",IF((R83/12)&gt;T83,"TRUE",ROUND(((R83/12)-T83),2)))</f>
        <v>TRUE</v>
      </c>
      <c r="AC83" s="282" t="b">
        <f>ROUND(SUMIFS(AN_TME23[[#All],[TOTAL Non-Truncated Unadjusted Claims Expenses]], AN_TME23[[#All],[Insurance Category Code]],1, AN_TME23[[#All],[Advanced Network/Insurance Carrier Org ID]],Q83),2)&gt;=ROUND(SUMIFS(AN_TME23[[#All],[TOTAL Truncated Unadjusted Claims Expenses (A21 -A19)]], AN_TME23[[#All],[Insurance Category Code]],1, AN_TME23[[#All],[Advanced Network/Insurance Carrier Org ID]],Q83), 2)</f>
        <v>1</v>
      </c>
      <c r="AD83" s="295" t="b">
        <f>ROUND(SUMIFS(AN_TME23[[#All],[TOTAL Truncated Unadjusted Claims Expenses (A21 -A19)]], AN_TME23[[#All],[Insurance Category Code]],1, AN_TME23[[#All],[Advanced Network/Insurance Carrier Org ID]],Q83)+SUMIFS(AN_TME23[[#All],[Total Claims Excluded because of Truncation]], AN_TME23[[#All],[Insurance Category Code]],1, AN_TME23[[#All],[Advanced Network/Insurance Carrier Org ID]],Q83), 2)=ROUND(SUMIFS(AN_TME23[[#All],[TOTAL Non-Truncated Unadjusted Claims Expenses]], AN_TME23[[#All],[Insurance Category Code]],1, AN_TME23[[#All],[Advanced Network/Insurance Carrier Org ID]],Q83), 2)</f>
        <v>1</v>
      </c>
      <c r="AF83" s="322" t="str">
        <f t="shared" ref="AF83:AF115" si="8">IFERROR(R83/C83-1, "NA")</f>
        <v>NA</v>
      </c>
    </row>
    <row r="84" spans="2:32" outlineLevel="1" x14ac:dyDescent="0.25">
      <c r="B84" s="236">
        <v>101</v>
      </c>
      <c r="C84" s="463">
        <f>ROUND(SUMIFS(Age_Sex22[[#All],[Total Member Months by Age/Sex Band]], Age_Sex22[[#All],[Advanced Network ID]], $B84, Age_Sex22[[#All],[Insurance Category Code]],1), 2)</f>
        <v>0</v>
      </c>
      <c r="D84" s="268">
        <f>ROUND(SUMIFS(Age_Sex22[[#All],[Total Dollars Excluded from Spending After Applying Truncation at the Member Level]], Age_Sex22[[#All],[Advanced Network ID]], $B84, Age_Sex22[[#All],[Insurance Category Code]],1), 2)</f>
        <v>0</v>
      </c>
      <c r="E84" s="229">
        <f>ROUND(SUMIFS(Age_Sex22[[#All],[Count of Members whose Spending was Truncated]], Age_Sex22[[#All],[Advanced Network ID]], $B84, Age_Sex22[[#All],[Insurance Category Code]],1),2)</f>
        <v>0</v>
      </c>
      <c r="F84" s="230">
        <f>ROUND(SUMIFS(Age_Sex22[[#All],[Total Spending before Truncation is Applied]], Age_Sex22[[#All],[Advanced Network ID]], $B84, Age_Sex22[[#All],[Insurance Category Code]],1), 2)</f>
        <v>0</v>
      </c>
      <c r="G84" s="232">
        <f>ROUND(SUMIFS(Age_Sex22[[#All],[Total Spending After Applying Truncation at the Member Level]], Age_Sex22[[#All],[Advanced Network ID]], $B84, Age_Sex22[[#All],[Insurance Category Code]],1), 2)</f>
        <v>0</v>
      </c>
      <c r="H84" s="416" t="str">
        <f>IF(C84=ROUND(SUMIFS(AN_TME22[[#All],[Member Months]], AN_TME22[[#All],[Insurance Category Code]],1, AN_TME22[[#All],[Advanced Network/Insurance Carrier Org ID]],B84),2), "TRUE", ROUND(C84-SUMIFS(AN_TME22[[#All],[Member Months]], AN_TME22[[#All],[Insurance Category Code]],1, AN_TME22[[#All],[Advanced Network/Insurance Carrier Org ID]],B84),2))</f>
        <v>TRUE</v>
      </c>
      <c r="I84" s="280" t="str">
        <f>IF(D84=ROUND(SUMIFS(AN_TME22[[#All],[Total Claims Excluded because of Truncation]], AN_TME22[[#All],[Insurance Category Code]],1, AN_TME22[[#All],[Advanced Network/Insurance Carrier Org ID]],B84),2), "TRUE", ROUND(D84-SUMIFS(AN_TME22[[#All],[Total Claims Excluded because of Truncation]], AN_TME22[[#All],[Insurance Category Code]],1, AN_TME22[[#All],[Advanced Network/Insurance Carrier Org ID]],B84),2))</f>
        <v>TRUE</v>
      </c>
      <c r="J84" s="281" t="str">
        <f>IF(E84=ROUND(SUMIFS(AN_TME22[[#All],[Count of Members with Claims Truncated]], AN_TME22[[#All],[Insurance Category Code]],1, AN_TME22[[#All],[Advanced Network/Insurance Carrier Org ID]],B84),2), "TRUE", ROUND(E84-SUMIFS(AN_TME22[[#All],[Count of Members with Claims Truncated]], AN_TME22[[#All],[Insurance Category Code]],1, AN_TME22[[#All],[Advanced Network/Insurance Carrier Org ID]],B84),2))</f>
        <v>TRUE</v>
      </c>
      <c r="K84" s="282" t="str">
        <f>IF(F84=ROUND(SUMIFS(AN_TME22[[#All],[TOTAL Non-Truncated Unadjusted Claims Expenses]], AN_TME22[[#All],[Insurance Category Code]],1, AN_TME22[[#All],[Advanced Network/Insurance Carrier Org ID]],B84),2), "TRUE", ROUND(F84-SUMIFS(AN_TME22[[#All],[TOTAL Non-Truncated Unadjusted Claims Expenses]], AN_TME22[[#All],[Insurance Category Code]],1, AN_TME22[[#All],[Advanced Network/Insurance Carrier Org ID]],B84),2))</f>
        <v>TRUE</v>
      </c>
      <c r="L84" s="295" t="str">
        <f>IF(G84=ROUND(SUMIFS(AN_TME22[[#All],[TOTAL Truncated Unadjusted Claims Expenses (A21 -A19)]], AN_TME22[[#All],[Insurance Category Code]],1, AN_TME22[[#All],[Advanced Network/Insurance Carrier Org ID]],B84),2), "TRUE", ROUND(G84-SUMIFS(AN_TME22[[#All],[TOTAL Truncated Unadjusted Claims Expenses (A21 -A19)]], AN_TME22[[#All],[Insurance Category Code]],1, AN_TME22[[#All],[Advanced Network/Insurance Carrier Org ID]],B84),2))</f>
        <v>TRUE</v>
      </c>
      <c r="M84" s="461" t="str">
        <f t="shared" si="7"/>
        <v>TRUE</v>
      </c>
      <c r="N84" s="282" t="b">
        <f>ROUND(SUMIFS(AN_TME22[[#All],[TOTAL Non-Truncated Unadjusted Claims Expenses]], AN_TME22[[#All],[Insurance Category Code]],1, AN_TME22[[#All],[Advanced Network/Insurance Carrier Org ID]],B84), 2)&gt;=ROUND(SUMIFS(AN_TME22[[#All],[TOTAL Truncated Unadjusted Claims Expenses (A21 -A19)]], AN_TME22[[#All],[Insurance Category Code]],1, AN_TME22[[#All],[Advanced Network/Insurance Carrier Org ID]],B84),2)</f>
        <v>1</v>
      </c>
      <c r="O84" s="295" t="b">
        <f>ROUND(SUMIFS(AN_TME22[[#All],[TOTAL Truncated Unadjusted Claims Expenses (A21 -A19)]], AN_TME22[[#All],[Insurance Category Code]],1, AN_TME22[[#All],[Advanced Network/Insurance Carrier Org ID]],B84)+SUMIFS(AN_TME22[[#All],[Total Claims Excluded because of Truncation]], AN_TME22[[#All],[Insurance Category Code]],1, AN_TME22[[#All],[Advanced Network/Insurance Carrier Org ID]],B84),2)=ROUND(SUMIFS(AN_TME22[[#All],[TOTAL Non-Truncated Unadjusted Claims Expenses]], AN_TME22[[#All],[Insurance Category Code]],1, AN_TME22[[#All],[Advanced Network/Insurance Carrier Org ID]],B84), 2)</f>
        <v>1</v>
      </c>
      <c r="Q84" s="236">
        <v>101</v>
      </c>
      <c r="R84" s="463">
        <f>ROUND(SUMIFS(Age_Sex23[[#All],[Total Member Months by Age/Sex Band]], Age_Sex23[[#All],[Advanced Network ID]], $Q84, Age_Sex23[[#All],[Insurance Category Code]],1), 2)</f>
        <v>0</v>
      </c>
      <c r="S84" s="268">
        <f>ROUND(SUMIFS(Age_Sex23[[#All],[Total Dollars Excluded from Spending After Applying Truncation at the Member Level]], Age_Sex23[[#All],[Advanced Network ID]], $B84, Age_Sex23[[#All],[Insurance Category Code]],1),2)</f>
        <v>0</v>
      </c>
      <c r="T84" s="229">
        <f>ROUND(SUMIFS(Age_Sex23[[#All],[Count of Members whose Spending was Truncated]], Age_Sex23[[#All],[Advanced Network ID]], $B84, Age_Sex23[[#All],[Insurance Category Code]],1), 2)</f>
        <v>0</v>
      </c>
      <c r="U84" s="230">
        <f>ROUND(SUMIFS(Age_Sex23[[#All],[Total Spending before Truncation is Applied]], Age_Sex23[[#All],[Advanced Network ID]], $B84, Age_Sex23[[#All],[Insurance Category Code]],1), 2)</f>
        <v>0</v>
      </c>
      <c r="V84" s="232">
        <f>ROUND(SUMIFS(Age_Sex23[[#All],[Total Spending After Applying Truncation at the Member Level]], Age_Sex23[[#All],[Advanced Network ID]], $B84, Age_Sex23[[#All],[Insurance Category Code]],1),2)</f>
        <v>0</v>
      </c>
      <c r="W84" s="416" t="str">
        <f>IF(R84=ROUND(SUMIFS(AN_TME23[[#All],[Member Months]], AN_TME23[[#All],[Insurance Category Code]],1, AN_TME23[[#All],[Advanced Network/Insurance Carrier Org ID]],Q84),2), "TRUE", ROUND(R84-SUMIFS(AN_TME23[[#All],[Member Months]], AN_TME23[[#All],[Insurance Category Code]],1, AN_TME23[[#All],[Advanced Network/Insurance Carrier Org ID]],Q84),2))</f>
        <v>TRUE</v>
      </c>
      <c r="X84" s="280" t="str">
        <f>IF(S84=ROUND(SUMIFS(AN_TME23[[#All],[Total Claims Excluded because of Truncation]], AN_TME23[[#All],[Insurance Category Code]],1, AN_TME23[[#All],[Advanced Network/Insurance Carrier Org ID]],Q84),2), "TRUE", ROUND(S84-SUMIFS(AN_TME23[[#All],[Total Claims Excluded because of Truncation]], AN_TME23[[#All],[Insurance Category Code]],1, AN_TME23[[#All],[Advanced Network/Insurance Carrier Org ID]],Q84),2))</f>
        <v>TRUE</v>
      </c>
      <c r="Y84" s="281" t="str">
        <f>IF(T84=ROUND(SUMIFS(AN_TME23[[#All],[Count of Members with Claims Truncated]], AN_TME23[[#All],[Insurance Category Code]],1, AN_TME23[[#All],[Advanced Network/Insurance Carrier Org ID]],Q84),2), "TRUE", ROUND(T84-SUMIFS(AN_TME23[[#All],[Count of Members with Claims Truncated]], AN_TME23[[#All],[Insurance Category Code]],1, AN_TME23[[#All],[Advanced Network/Insurance Carrier Org ID]],Q84),2))</f>
        <v>TRUE</v>
      </c>
      <c r="Z84" s="282" t="str">
        <f>IF(U84=ROUND(SUMIFS(AN_TME23[[#All],[TOTAL Non-Truncated Unadjusted Claims Expenses]], AN_TME23[[#All],[Insurance Category Code]],1, AN_TME23[[#All],[Advanced Network/Insurance Carrier Org ID]],Q84),2), "TRUE", ROUND(U84-SUMIFS(AN_TME23[[#All],[TOTAL Non-Truncated Unadjusted Claims Expenses]], AN_TME23[[#All],[Insurance Category Code]],1, AN_TME23[[#All],[Advanced Network/Insurance Carrier Org ID]],Q84),2))</f>
        <v>TRUE</v>
      </c>
      <c r="AA84" s="295" t="str">
        <f>IF(V84=ROUND(SUMIFS(AN_TME23[[#All],[TOTAL Truncated Unadjusted Claims Expenses (A21 -A19)]], AN_TME23[[#All],[Insurance Category Code]],1, AN_TME23[[#All],[Advanced Network/Insurance Carrier Org ID]],Q84),2), "TRUE", ROUND(V84-SUMIFS(AN_TME23[[#All],[TOTAL Truncated Unadjusted Claims Expenses (A21 -A19)]], AN_TME23[[#All],[Insurance Category Code]],1, AN_TME23[[#All],[Advanced Network/Insurance Carrier Org ID]],Q84),2))</f>
        <v>TRUE</v>
      </c>
      <c r="AB84" s="461" t="str">
        <f t="shared" ref="AB84:AB115" si="9">IF(T84=0,"TRUE",IF((R84/12)&gt;T84,"TRUE",ROUND(((R84/12)-T84),2)))</f>
        <v>TRUE</v>
      </c>
      <c r="AC84" s="282" t="b">
        <f>ROUND(SUMIFS(AN_TME23[[#All],[TOTAL Non-Truncated Unadjusted Claims Expenses]], AN_TME23[[#All],[Insurance Category Code]],1, AN_TME23[[#All],[Advanced Network/Insurance Carrier Org ID]],Q84),2)&gt;=ROUND(SUMIFS(AN_TME23[[#All],[TOTAL Truncated Unadjusted Claims Expenses (A21 -A19)]], AN_TME23[[#All],[Insurance Category Code]],1, AN_TME23[[#All],[Advanced Network/Insurance Carrier Org ID]],Q84), 2)</f>
        <v>1</v>
      </c>
      <c r="AD84" s="295" t="b">
        <f>ROUND(SUMIFS(AN_TME23[[#All],[TOTAL Truncated Unadjusted Claims Expenses (A21 -A19)]], AN_TME23[[#All],[Insurance Category Code]],1, AN_TME23[[#All],[Advanced Network/Insurance Carrier Org ID]],Q84)+SUMIFS(AN_TME23[[#All],[Total Claims Excluded because of Truncation]], AN_TME23[[#All],[Insurance Category Code]],1, AN_TME23[[#All],[Advanced Network/Insurance Carrier Org ID]],Q84), 2)=ROUND(SUMIFS(AN_TME23[[#All],[TOTAL Non-Truncated Unadjusted Claims Expenses]], AN_TME23[[#All],[Insurance Category Code]],1, AN_TME23[[#All],[Advanced Network/Insurance Carrier Org ID]],Q84), 2)</f>
        <v>1</v>
      </c>
      <c r="AF84" s="323" t="str">
        <f t="shared" si="8"/>
        <v>NA</v>
      </c>
    </row>
    <row r="85" spans="2:32" outlineLevel="1" x14ac:dyDescent="0.25">
      <c r="B85" s="236">
        <v>102</v>
      </c>
      <c r="C85" s="463">
        <f>ROUND(SUMIFS(Age_Sex22[[#All],[Total Member Months by Age/Sex Band]], Age_Sex22[[#All],[Advanced Network ID]], $B85, Age_Sex22[[#All],[Insurance Category Code]],1), 2)</f>
        <v>0</v>
      </c>
      <c r="D85" s="268">
        <f>ROUND(SUMIFS(Age_Sex22[[#All],[Total Dollars Excluded from Spending After Applying Truncation at the Member Level]], Age_Sex22[[#All],[Advanced Network ID]], $B85, Age_Sex22[[#All],[Insurance Category Code]],1), 2)</f>
        <v>0</v>
      </c>
      <c r="E85" s="229">
        <f>ROUND(SUMIFS(Age_Sex22[[#All],[Count of Members whose Spending was Truncated]], Age_Sex22[[#All],[Advanced Network ID]], $B85, Age_Sex22[[#All],[Insurance Category Code]],1),2)</f>
        <v>0</v>
      </c>
      <c r="F85" s="230">
        <f>ROUND(SUMIFS(Age_Sex22[[#All],[Total Spending before Truncation is Applied]], Age_Sex22[[#All],[Advanced Network ID]], $B85, Age_Sex22[[#All],[Insurance Category Code]],1), 2)</f>
        <v>0</v>
      </c>
      <c r="G85" s="232">
        <f>ROUND(SUMIFS(Age_Sex22[[#All],[Total Spending After Applying Truncation at the Member Level]], Age_Sex22[[#All],[Advanced Network ID]], $B85, Age_Sex22[[#All],[Insurance Category Code]],1), 2)</f>
        <v>0</v>
      </c>
      <c r="H85" s="416" t="str">
        <f>IF(C85=ROUND(SUMIFS(AN_TME22[[#All],[Member Months]], AN_TME22[[#All],[Insurance Category Code]],1, AN_TME22[[#All],[Advanced Network/Insurance Carrier Org ID]],B85),2), "TRUE", ROUND(C85-SUMIFS(AN_TME22[[#All],[Member Months]], AN_TME22[[#All],[Insurance Category Code]],1, AN_TME22[[#All],[Advanced Network/Insurance Carrier Org ID]],B85),2))</f>
        <v>TRUE</v>
      </c>
      <c r="I85" s="280" t="str">
        <f>IF(D85=ROUND(SUMIFS(AN_TME22[[#All],[Total Claims Excluded because of Truncation]], AN_TME22[[#All],[Insurance Category Code]],1, AN_TME22[[#All],[Advanced Network/Insurance Carrier Org ID]],B85),2), "TRUE", ROUND(D85-SUMIFS(AN_TME22[[#All],[Total Claims Excluded because of Truncation]], AN_TME22[[#All],[Insurance Category Code]],1, AN_TME22[[#All],[Advanced Network/Insurance Carrier Org ID]],B85),2))</f>
        <v>TRUE</v>
      </c>
      <c r="J85" s="281" t="str">
        <f>IF(E85=ROUND(SUMIFS(AN_TME22[[#All],[Count of Members with Claims Truncated]], AN_TME22[[#All],[Insurance Category Code]],1, AN_TME22[[#All],[Advanced Network/Insurance Carrier Org ID]],B85),2), "TRUE", ROUND(E85-SUMIFS(AN_TME22[[#All],[Count of Members with Claims Truncated]], AN_TME22[[#All],[Insurance Category Code]],1, AN_TME22[[#All],[Advanced Network/Insurance Carrier Org ID]],B85),2))</f>
        <v>TRUE</v>
      </c>
      <c r="K85" s="282" t="str">
        <f>IF(F85=ROUND(SUMIFS(AN_TME22[[#All],[TOTAL Non-Truncated Unadjusted Claims Expenses]], AN_TME22[[#All],[Insurance Category Code]],1, AN_TME22[[#All],[Advanced Network/Insurance Carrier Org ID]],B85),2), "TRUE", ROUND(F85-SUMIFS(AN_TME22[[#All],[TOTAL Non-Truncated Unadjusted Claims Expenses]], AN_TME22[[#All],[Insurance Category Code]],1, AN_TME22[[#All],[Advanced Network/Insurance Carrier Org ID]],B85),2))</f>
        <v>TRUE</v>
      </c>
      <c r="L85" s="295" t="str">
        <f>IF(G85=ROUND(SUMIFS(AN_TME22[[#All],[TOTAL Truncated Unadjusted Claims Expenses (A21 -A19)]], AN_TME22[[#All],[Insurance Category Code]],1, AN_TME22[[#All],[Advanced Network/Insurance Carrier Org ID]],B85),2), "TRUE", ROUND(G85-SUMIFS(AN_TME22[[#All],[TOTAL Truncated Unadjusted Claims Expenses (A21 -A19)]], AN_TME22[[#All],[Insurance Category Code]],1, AN_TME22[[#All],[Advanced Network/Insurance Carrier Org ID]],B85),2))</f>
        <v>TRUE</v>
      </c>
      <c r="M85" s="461" t="str">
        <f t="shared" si="7"/>
        <v>TRUE</v>
      </c>
      <c r="N85" s="282" t="b">
        <f>ROUND(SUMIFS(AN_TME22[[#All],[TOTAL Non-Truncated Unadjusted Claims Expenses]], AN_TME22[[#All],[Insurance Category Code]],1, AN_TME22[[#All],[Advanced Network/Insurance Carrier Org ID]],B85), 2)&gt;=ROUND(SUMIFS(AN_TME22[[#All],[TOTAL Truncated Unadjusted Claims Expenses (A21 -A19)]], AN_TME22[[#All],[Insurance Category Code]],1, AN_TME22[[#All],[Advanced Network/Insurance Carrier Org ID]],B85),2)</f>
        <v>1</v>
      </c>
      <c r="O85" s="295" t="b">
        <f>ROUND(SUMIFS(AN_TME22[[#All],[TOTAL Truncated Unadjusted Claims Expenses (A21 -A19)]], AN_TME22[[#All],[Insurance Category Code]],1, AN_TME22[[#All],[Advanced Network/Insurance Carrier Org ID]],B85)+SUMIFS(AN_TME22[[#All],[Total Claims Excluded because of Truncation]], AN_TME22[[#All],[Insurance Category Code]],1, AN_TME22[[#All],[Advanced Network/Insurance Carrier Org ID]],B85),2)=ROUND(SUMIFS(AN_TME22[[#All],[TOTAL Non-Truncated Unadjusted Claims Expenses]], AN_TME22[[#All],[Insurance Category Code]],1, AN_TME22[[#All],[Advanced Network/Insurance Carrier Org ID]],B85), 2)</f>
        <v>1</v>
      </c>
      <c r="Q85" s="236">
        <v>102</v>
      </c>
      <c r="R85" s="463">
        <f>ROUND(SUMIFS(Age_Sex23[[#All],[Total Member Months by Age/Sex Band]], Age_Sex23[[#All],[Advanced Network ID]], $Q85, Age_Sex23[[#All],[Insurance Category Code]],1), 2)</f>
        <v>0</v>
      </c>
      <c r="S85" s="268">
        <f>ROUND(SUMIFS(Age_Sex23[[#All],[Total Dollars Excluded from Spending After Applying Truncation at the Member Level]], Age_Sex23[[#All],[Advanced Network ID]], $B85, Age_Sex23[[#All],[Insurance Category Code]],1),2)</f>
        <v>0</v>
      </c>
      <c r="T85" s="229">
        <f>ROUND(SUMIFS(Age_Sex23[[#All],[Count of Members whose Spending was Truncated]], Age_Sex23[[#All],[Advanced Network ID]], $B85, Age_Sex23[[#All],[Insurance Category Code]],1), 2)</f>
        <v>0</v>
      </c>
      <c r="U85" s="230">
        <f>ROUND(SUMIFS(Age_Sex23[[#All],[Total Spending before Truncation is Applied]], Age_Sex23[[#All],[Advanced Network ID]], $B85, Age_Sex23[[#All],[Insurance Category Code]],1), 2)</f>
        <v>0</v>
      </c>
      <c r="V85" s="232">
        <f>ROUND(SUMIFS(Age_Sex23[[#All],[Total Spending After Applying Truncation at the Member Level]], Age_Sex23[[#All],[Advanced Network ID]], $B85, Age_Sex23[[#All],[Insurance Category Code]],1),2)</f>
        <v>0</v>
      </c>
      <c r="W85" s="416" t="str">
        <f>IF(R85=ROUND(SUMIFS(AN_TME23[[#All],[Member Months]], AN_TME23[[#All],[Insurance Category Code]],1, AN_TME23[[#All],[Advanced Network/Insurance Carrier Org ID]],Q85),2), "TRUE", ROUND(R85-SUMIFS(AN_TME23[[#All],[Member Months]], AN_TME23[[#All],[Insurance Category Code]],1, AN_TME23[[#All],[Advanced Network/Insurance Carrier Org ID]],Q85),2))</f>
        <v>TRUE</v>
      </c>
      <c r="X85" s="280" t="str">
        <f>IF(S85=ROUND(SUMIFS(AN_TME23[[#All],[Total Claims Excluded because of Truncation]], AN_TME23[[#All],[Insurance Category Code]],1, AN_TME23[[#All],[Advanced Network/Insurance Carrier Org ID]],Q85),2), "TRUE", ROUND(S85-SUMIFS(AN_TME23[[#All],[Total Claims Excluded because of Truncation]], AN_TME23[[#All],[Insurance Category Code]],1, AN_TME23[[#All],[Advanced Network/Insurance Carrier Org ID]],Q85),2))</f>
        <v>TRUE</v>
      </c>
      <c r="Y85" s="281" t="str">
        <f>IF(T85=ROUND(SUMIFS(AN_TME23[[#All],[Count of Members with Claims Truncated]], AN_TME23[[#All],[Insurance Category Code]],1, AN_TME23[[#All],[Advanced Network/Insurance Carrier Org ID]],Q85),2), "TRUE", ROUND(T85-SUMIFS(AN_TME23[[#All],[Count of Members with Claims Truncated]], AN_TME23[[#All],[Insurance Category Code]],1, AN_TME23[[#All],[Advanced Network/Insurance Carrier Org ID]],Q85),2))</f>
        <v>TRUE</v>
      </c>
      <c r="Z85" s="282" t="str">
        <f>IF(U85=ROUND(SUMIFS(AN_TME23[[#All],[TOTAL Non-Truncated Unadjusted Claims Expenses]], AN_TME23[[#All],[Insurance Category Code]],1, AN_TME23[[#All],[Advanced Network/Insurance Carrier Org ID]],Q85),2), "TRUE", ROUND(U85-SUMIFS(AN_TME23[[#All],[TOTAL Non-Truncated Unadjusted Claims Expenses]], AN_TME23[[#All],[Insurance Category Code]],1, AN_TME23[[#All],[Advanced Network/Insurance Carrier Org ID]],Q85),2))</f>
        <v>TRUE</v>
      </c>
      <c r="AA85" s="295" t="str">
        <f>IF(V85=ROUND(SUMIFS(AN_TME23[[#All],[TOTAL Truncated Unadjusted Claims Expenses (A21 -A19)]], AN_TME23[[#All],[Insurance Category Code]],1, AN_TME23[[#All],[Advanced Network/Insurance Carrier Org ID]],Q85),2), "TRUE", ROUND(V85-SUMIFS(AN_TME23[[#All],[TOTAL Truncated Unadjusted Claims Expenses (A21 -A19)]], AN_TME23[[#All],[Insurance Category Code]],1, AN_TME23[[#All],[Advanced Network/Insurance Carrier Org ID]],Q85),2))</f>
        <v>TRUE</v>
      </c>
      <c r="AB85" s="461" t="str">
        <f t="shared" si="9"/>
        <v>TRUE</v>
      </c>
      <c r="AC85" s="282" t="b">
        <f>ROUND(SUMIFS(AN_TME23[[#All],[TOTAL Non-Truncated Unadjusted Claims Expenses]], AN_TME23[[#All],[Insurance Category Code]],1, AN_TME23[[#All],[Advanced Network/Insurance Carrier Org ID]],Q85),2)&gt;=ROUND(SUMIFS(AN_TME23[[#All],[TOTAL Truncated Unadjusted Claims Expenses (A21 -A19)]], AN_TME23[[#All],[Insurance Category Code]],1, AN_TME23[[#All],[Advanced Network/Insurance Carrier Org ID]],Q85), 2)</f>
        <v>1</v>
      </c>
      <c r="AD85" s="295" t="b">
        <f>ROUND(SUMIFS(AN_TME23[[#All],[TOTAL Truncated Unadjusted Claims Expenses (A21 -A19)]], AN_TME23[[#All],[Insurance Category Code]],1, AN_TME23[[#All],[Advanced Network/Insurance Carrier Org ID]],Q85)+SUMIFS(AN_TME23[[#All],[Total Claims Excluded because of Truncation]], AN_TME23[[#All],[Insurance Category Code]],1, AN_TME23[[#All],[Advanced Network/Insurance Carrier Org ID]],Q85), 2)=ROUND(SUMIFS(AN_TME23[[#All],[TOTAL Non-Truncated Unadjusted Claims Expenses]], AN_TME23[[#All],[Insurance Category Code]],1, AN_TME23[[#All],[Advanced Network/Insurance Carrier Org ID]],Q85), 2)</f>
        <v>1</v>
      </c>
      <c r="AF85" s="323" t="str">
        <f t="shared" si="8"/>
        <v>NA</v>
      </c>
    </row>
    <row r="86" spans="2:32" outlineLevel="1" x14ac:dyDescent="0.25">
      <c r="B86" s="236">
        <v>103</v>
      </c>
      <c r="C86" s="463">
        <f>ROUND(SUMIFS(Age_Sex22[[#All],[Total Member Months by Age/Sex Band]], Age_Sex22[[#All],[Advanced Network ID]], $B86, Age_Sex22[[#All],[Insurance Category Code]],1), 2)</f>
        <v>0</v>
      </c>
      <c r="D86" s="268">
        <f>ROUND(SUMIFS(Age_Sex22[[#All],[Total Dollars Excluded from Spending After Applying Truncation at the Member Level]], Age_Sex22[[#All],[Advanced Network ID]], $B86, Age_Sex22[[#All],[Insurance Category Code]],1), 2)</f>
        <v>0</v>
      </c>
      <c r="E86" s="229">
        <f>ROUND(SUMIFS(Age_Sex22[[#All],[Count of Members whose Spending was Truncated]], Age_Sex22[[#All],[Advanced Network ID]], $B86, Age_Sex22[[#All],[Insurance Category Code]],1),2)</f>
        <v>0</v>
      </c>
      <c r="F86" s="230">
        <f>ROUND(SUMIFS(Age_Sex22[[#All],[Total Spending before Truncation is Applied]], Age_Sex22[[#All],[Advanced Network ID]], $B86, Age_Sex22[[#All],[Insurance Category Code]],1), 2)</f>
        <v>0</v>
      </c>
      <c r="G86" s="232">
        <f>ROUND(SUMIFS(Age_Sex22[[#All],[Total Spending After Applying Truncation at the Member Level]], Age_Sex22[[#All],[Advanced Network ID]], $B86, Age_Sex22[[#All],[Insurance Category Code]],1), 2)</f>
        <v>0</v>
      </c>
      <c r="H86" s="416" t="str">
        <f>IF(C86=ROUND(SUMIFS(AN_TME22[[#All],[Member Months]], AN_TME22[[#All],[Insurance Category Code]],1, AN_TME22[[#All],[Advanced Network/Insurance Carrier Org ID]],B86),2), "TRUE", ROUND(C86-SUMIFS(AN_TME22[[#All],[Member Months]], AN_TME22[[#All],[Insurance Category Code]],1, AN_TME22[[#All],[Advanced Network/Insurance Carrier Org ID]],B86),2))</f>
        <v>TRUE</v>
      </c>
      <c r="I86" s="280" t="str">
        <f>IF(D86=ROUND(SUMIFS(AN_TME22[[#All],[Total Claims Excluded because of Truncation]], AN_TME22[[#All],[Insurance Category Code]],1, AN_TME22[[#All],[Advanced Network/Insurance Carrier Org ID]],B86),2), "TRUE", ROUND(D86-SUMIFS(AN_TME22[[#All],[Total Claims Excluded because of Truncation]], AN_TME22[[#All],[Insurance Category Code]],1, AN_TME22[[#All],[Advanced Network/Insurance Carrier Org ID]],B86),2))</f>
        <v>TRUE</v>
      </c>
      <c r="J86" s="281" t="str">
        <f>IF(E86=ROUND(SUMIFS(AN_TME22[[#All],[Count of Members with Claims Truncated]], AN_TME22[[#All],[Insurance Category Code]],1, AN_TME22[[#All],[Advanced Network/Insurance Carrier Org ID]],B86),2), "TRUE", ROUND(E86-SUMIFS(AN_TME22[[#All],[Count of Members with Claims Truncated]], AN_TME22[[#All],[Insurance Category Code]],1, AN_TME22[[#All],[Advanced Network/Insurance Carrier Org ID]],B86),2))</f>
        <v>TRUE</v>
      </c>
      <c r="K86" s="282" t="str">
        <f>IF(F86=ROUND(SUMIFS(AN_TME22[[#All],[TOTAL Non-Truncated Unadjusted Claims Expenses]], AN_TME22[[#All],[Insurance Category Code]],1, AN_TME22[[#All],[Advanced Network/Insurance Carrier Org ID]],B86),2), "TRUE", ROUND(F86-SUMIFS(AN_TME22[[#All],[TOTAL Non-Truncated Unadjusted Claims Expenses]], AN_TME22[[#All],[Insurance Category Code]],1, AN_TME22[[#All],[Advanced Network/Insurance Carrier Org ID]],B86),2))</f>
        <v>TRUE</v>
      </c>
      <c r="L86" s="295" t="str">
        <f>IF(G86=ROUND(SUMIFS(AN_TME22[[#All],[TOTAL Truncated Unadjusted Claims Expenses (A21 -A19)]], AN_TME22[[#All],[Insurance Category Code]],1, AN_TME22[[#All],[Advanced Network/Insurance Carrier Org ID]],B86),2), "TRUE", ROUND(G86-SUMIFS(AN_TME22[[#All],[TOTAL Truncated Unadjusted Claims Expenses (A21 -A19)]], AN_TME22[[#All],[Insurance Category Code]],1, AN_TME22[[#All],[Advanced Network/Insurance Carrier Org ID]],B86),2))</f>
        <v>TRUE</v>
      </c>
      <c r="M86" s="461" t="str">
        <f t="shared" si="7"/>
        <v>TRUE</v>
      </c>
      <c r="N86" s="282" t="b">
        <f>ROUND(SUMIFS(AN_TME22[[#All],[TOTAL Non-Truncated Unadjusted Claims Expenses]], AN_TME22[[#All],[Insurance Category Code]],1, AN_TME22[[#All],[Advanced Network/Insurance Carrier Org ID]],B86), 2)&gt;=ROUND(SUMIFS(AN_TME22[[#All],[TOTAL Truncated Unadjusted Claims Expenses (A21 -A19)]], AN_TME22[[#All],[Insurance Category Code]],1, AN_TME22[[#All],[Advanced Network/Insurance Carrier Org ID]],B86),2)</f>
        <v>1</v>
      </c>
      <c r="O86" s="295" t="b">
        <f>ROUND(SUMIFS(AN_TME22[[#All],[TOTAL Truncated Unadjusted Claims Expenses (A21 -A19)]], AN_TME22[[#All],[Insurance Category Code]],1, AN_TME22[[#All],[Advanced Network/Insurance Carrier Org ID]],B86)+SUMIFS(AN_TME22[[#All],[Total Claims Excluded because of Truncation]], AN_TME22[[#All],[Insurance Category Code]],1, AN_TME22[[#All],[Advanced Network/Insurance Carrier Org ID]],B86),2)=ROUND(SUMIFS(AN_TME22[[#All],[TOTAL Non-Truncated Unadjusted Claims Expenses]], AN_TME22[[#All],[Insurance Category Code]],1, AN_TME22[[#All],[Advanced Network/Insurance Carrier Org ID]],B86), 2)</f>
        <v>1</v>
      </c>
      <c r="Q86" s="236">
        <v>103</v>
      </c>
      <c r="R86" s="463">
        <f>ROUND(SUMIFS(Age_Sex23[[#All],[Total Member Months by Age/Sex Band]], Age_Sex23[[#All],[Advanced Network ID]], $Q86, Age_Sex23[[#All],[Insurance Category Code]],1), 2)</f>
        <v>0</v>
      </c>
      <c r="S86" s="268">
        <f>ROUND(SUMIFS(Age_Sex23[[#All],[Total Dollars Excluded from Spending After Applying Truncation at the Member Level]], Age_Sex23[[#All],[Advanced Network ID]], $B86, Age_Sex23[[#All],[Insurance Category Code]],1),2)</f>
        <v>0</v>
      </c>
      <c r="T86" s="229">
        <f>ROUND(SUMIFS(Age_Sex23[[#All],[Count of Members whose Spending was Truncated]], Age_Sex23[[#All],[Advanced Network ID]], $B86, Age_Sex23[[#All],[Insurance Category Code]],1), 2)</f>
        <v>0</v>
      </c>
      <c r="U86" s="230">
        <f>ROUND(SUMIFS(Age_Sex23[[#All],[Total Spending before Truncation is Applied]], Age_Sex23[[#All],[Advanced Network ID]], $B86, Age_Sex23[[#All],[Insurance Category Code]],1), 2)</f>
        <v>0</v>
      </c>
      <c r="V86" s="232">
        <f>ROUND(SUMIFS(Age_Sex23[[#All],[Total Spending After Applying Truncation at the Member Level]], Age_Sex23[[#All],[Advanced Network ID]], $B86, Age_Sex23[[#All],[Insurance Category Code]],1),2)</f>
        <v>0</v>
      </c>
      <c r="W86" s="416" t="str">
        <f>IF(R86=ROUND(SUMIFS(AN_TME23[[#All],[Member Months]], AN_TME23[[#All],[Insurance Category Code]],1, AN_TME23[[#All],[Advanced Network/Insurance Carrier Org ID]],Q86),2), "TRUE", ROUND(R86-SUMIFS(AN_TME23[[#All],[Member Months]], AN_TME23[[#All],[Insurance Category Code]],1, AN_TME23[[#All],[Advanced Network/Insurance Carrier Org ID]],Q86),2))</f>
        <v>TRUE</v>
      </c>
      <c r="X86" s="280" t="str">
        <f>IF(S86=ROUND(SUMIFS(AN_TME23[[#All],[Total Claims Excluded because of Truncation]], AN_TME23[[#All],[Insurance Category Code]],1, AN_TME23[[#All],[Advanced Network/Insurance Carrier Org ID]],Q86),2), "TRUE", ROUND(S86-SUMIFS(AN_TME23[[#All],[Total Claims Excluded because of Truncation]], AN_TME23[[#All],[Insurance Category Code]],1, AN_TME23[[#All],[Advanced Network/Insurance Carrier Org ID]],Q86),2))</f>
        <v>TRUE</v>
      </c>
      <c r="Y86" s="281" t="str">
        <f>IF(T86=ROUND(SUMIFS(AN_TME23[[#All],[Count of Members with Claims Truncated]], AN_TME23[[#All],[Insurance Category Code]],1, AN_TME23[[#All],[Advanced Network/Insurance Carrier Org ID]],Q86),2), "TRUE", ROUND(T86-SUMIFS(AN_TME23[[#All],[Count of Members with Claims Truncated]], AN_TME23[[#All],[Insurance Category Code]],1, AN_TME23[[#All],[Advanced Network/Insurance Carrier Org ID]],Q86),2))</f>
        <v>TRUE</v>
      </c>
      <c r="Z86" s="282" t="str">
        <f>IF(U86=ROUND(SUMIFS(AN_TME23[[#All],[TOTAL Non-Truncated Unadjusted Claims Expenses]], AN_TME23[[#All],[Insurance Category Code]],1, AN_TME23[[#All],[Advanced Network/Insurance Carrier Org ID]],Q86),2), "TRUE", ROUND(U86-SUMIFS(AN_TME23[[#All],[TOTAL Non-Truncated Unadjusted Claims Expenses]], AN_TME23[[#All],[Insurance Category Code]],1, AN_TME23[[#All],[Advanced Network/Insurance Carrier Org ID]],Q86),2))</f>
        <v>TRUE</v>
      </c>
      <c r="AA86" s="295" t="str">
        <f>IF(V86=ROUND(SUMIFS(AN_TME23[[#All],[TOTAL Truncated Unadjusted Claims Expenses (A21 -A19)]], AN_TME23[[#All],[Insurance Category Code]],1, AN_TME23[[#All],[Advanced Network/Insurance Carrier Org ID]],Q86),2), "TRUE", ROUND(V86-SUMIFS(AN_TME23[[#All],[TOTAL Truncated Unadjusted Claims Expenses (A21 -A19)]], AN_TME23[[#All],[Insurance Category Code]],1, AN_TME23[[#All],[Advanced Network/Insurance Carrier Org ID]],Q86),2))</f>
        <v>TRUE</v>
      </c>
      <c r="AB86" s="461" t="str">
        <f t="shared" si="9"/>
        <v>TRUE</v>
      </c>
      <c r="AC86" s="282" t="b">
        <f>ROUND(SUMIFS(AN_TME23[[#All],[TOTAL Non-Truncated Unadjusted Claims Expenses]], AN_TME23[[#All],[Insurance Category Code]],1, AN_TME23[[#All],[Advanced Network/Insurance Carrier Org ID]],Q86),2)&gt;=ROUND(SUMIFS(AN_TME23[[#All],[TOTAL Truncated Unadjusted Claims Expenses (A21 -A19)]], AN_TME23[[#All],[Insurance Category Code]],1, AN_TME23[[#All],[Advanced Network/Insurance Carrier Org ID]],Q86), 2)</f>
        <v>1</v>
      </c>
      <c r="AD86" s="295" t="b">
        <f>ROUND(SUMIFS(AN_TME23[[#All],[TOTAL Truncated Unadjusted Claims Expenses (A21 -A19)]], AN_TME23[[#All],[Insurance Category Code]],1, AN_TME23[[#All],[Advanced Network/Insurance Carrier Org ID]],Q86)+SUMIFS(AN_TME23[[#All],[Total Claims Excluded because of Truncation]], AN_TME23[[#All],[Insurance Category Code]],1, AN_TME23[[#All],[Advanced Network/Insurance Carrier Org ID]],Q86), 2)=ROUND(SUMIFS(AN_TME23[[#All],[TOTAL Non-Truncated Unadjusted Claims Expenses]], AN_TME23[[#All],[Insurance Category Code]],1, AN_TME23[[#All],[Advanced Network/Insurance Carrier Org ID]],Q86), 2)</f>
        <v>1</v>
      </c>
      <c r="AF86" s="323" t="str">
        <f t="shared" si="8"/>
        <v>NA</v>
      </c>
    </row>
    <row r="87" spans="2:32" outlineLevel="1" x14ac:dyDescent="0.25">
      <c r="B87" s="236">
        <v>104</v>
      </c>
      <c r="C87" s="463">
        <f>ROUND(SUMIFS(Age_Sex22[[#All],[Total Member Months by Age/Sex Band]], Age_Sex22[[#All],[Advanced Network ID]], $B87, Age_Sex22[[#All],[Insurance Category Code]],1), 2)</f>
        <v>0</v>
      </c>
      <c r="D87" s="268">
        <f>ROUND(SUMIFS(Age_Sex22[[#All],[Total Dollars Excluded from Spending After Applying Truncation at the Member Level]], Age_Sex22[[#All],[Advanced Network ID]], $B87, Age_Sex22[[#All],[Insurance Category Code]],1), 2)</f>
        <v>0</v>
      </c>
      <c r="E87" s="229">
        <f>ROUND(SUMIFS(Age_Sex22[[#All],[Count of Members whose Spending was Truncated]], Age_Sex22[[#All],[Advanced Network ID]], $B87, Age_Sex22[[#All],[Insurance Category Code]],1),2)</f>
        <v>0</v>
      </c>
      <c r="F87" s="230">
        <f>ROUND(SUMIFS(Age_Sex22[[#All],[Total Spending before Truncation is Applied]], Age_Sex22[[#All],[Advanced Network ID]], $B87, Age_Sex22[[#All],[Insurance Category Code]],1), 2)</f>
        <v>0</v>
      </c>
      <c r="G87" s="232">
        <f>ROUND(SUMIFS(Age_Sex22[[#All],[Total Spending After Applying Truncation at the Member Level]], Age_Sex22[[#All],[Advanced Network ID]], $B87, Age_Sex22[[#All],[Insurance Category Code]],1), 2)</f>
        <v>0</v>
      </c>
      <c r="H87" s="416" t="str">
        <f>IF(C87=ROUND(SUMIFS(AN_TME22[[#All],[Member Months]], AN_TME22[[#All],[Insurance Category Code]],1, AN_TME22[[#All],[Advanced Network/Insurance Carrier Org ID]],B87),2), "TRUE", ROUND(C87-SUMIFS(AN_TME22[[#All],[Member Months]], AN_TME22[[#All],[Insurance Category Code]],1, AN_TME22[[#All],[Advanced Network/Insurance Carrier Org ID]],B87),2))</f>
        <v>TRUE</v>
      </c>
      <c r="I87" s="280" t="str">
        <f>IF(D87=ROUND(SUMIFS(AN_TME22[[#All],[Total Claims Excluded because of Truncation]], AN_TME22[[#All],[Insurance Category Code]],1, AN_TME22[[#All],[Advanced Network/Insurance Carrier Org ID]],B87),2), "TRUE", ROUND(D87-SUMIFS(AN_TME22[[#All],[Total Claims Excluded because of Truncation]], AN_TME22[[#All],[Insurance Category Code]],1, AN_TME22[[#All],[Advanced Network/Insurance Carrier Org ID]],B87),2))</f>
        <v>TRUE</v>
      </c>
      <c r="J87" s="281" t="str">
        <f>IF(E87=ROUND(SUMIFS(AN_TME22[[#All],[Count of Members with Claims Truncated]], AN_TME22[[#All],[Insurance Category Code]],1, AN_TME22[[#All],[Advanced Network/Insurance Carrier Org ID]],B87),2), "TRUE", ROUND(E87-SUMIFS(AN_TME22[[#All],[Count of Members with Claims Truncated]], AN_TME22[[#All],[Insurance Category Code]],1, AN_TME22[[#All],[Advanced Network/Insurance Carrier Org ID]],B87),2))</f>
        <v>TRUE</v>
      </c>
      <c r="K87" s="282" t="str">
        <f>IF(F87=ROUND(SUMIFS(AN_TME22[[#All],[TOTAL Non-Truncated Unadjusted Claims Expenses]], AN_TME22[[#All],[Insurance Category Code]],1, AN_TME22[[#All],[Advanced Network/Insurance Carrier Org ID]],B87),2), "TRUE", ROUND(F87-SUMIFS(AN_TME22[[#All],[TOTAL Non-Truncated Unadjusted Claims Expenses]], AN_TME22[[#All],[Insurance Category Code]],1, AN_TME22[[#All],[Advanced Network/Insurance Carrier Org ID]],B87),2))</f>
        <v>TRUE</v>
      </c>
      <c r="L87" s="295" t="str">
        <f>IF(G87=ROUND(SUMIFS(AN_TME22[[#All],[TOTAL Truncated Unadjusted Claims Expenses (A21 -A19)]], AN_TME22[[#All],[Insurance Category Code]],1, AN_TME22[[#All],[Advanced Network/Insurance Carrier Org ID]],B87),2), "TRUE", ROUND(G87-SUMIFS(AN_TME22[[#All],[TOTAL Truncated Unadjusted Claims Expenses (A21 -A19)]], AN_TME22[[#All],[Insurance Category Code]],1, AN_TME22[[#All],[Advanced Network/Insurance Carrier Org ID]],B87),2))</f>
        <v>TRUE</v>
      </c>
      <c r="M87" s="461" t="str">
        <f t="shared" si="7"/>
        <v>TRUE</v>
      </c>
      <c r="N87" s="282" t="b">
        <f>ROUND(SUMIFS(AN_TME22[[#All],[TOTAL Non-Truncated Unadjusted Claims Expenses]], AN_TME22[[#All],[Insurance Category Code]],1, AN_TME22[[#All],[Advanced Network/Insurance Carrier Org ID]],B87), 2)&gt;=ROUND(SUMIFS(AN_TME22[[#All],[TOTAL Truncated Unadjusted Claims Expenses (A21 -A19)]], AN_TME22[[#All],[Insurance Category Code]],1, AN_TME22[[#All],[Advanced Network/Insurance Carrier Org ID]],B87),2)</f>
        <v>1</v>
      </c>
      <c r="O87" s="295" t="b">
        <f>ROUND(SUMIFS(AN_TME22[[#All],[TOTAL Truncated Unadjusted Claims Expenses (A21 -A19)]], AN_TME22[[#All],[Insurance Category Code]],1, AN_TME22[[#All],[Advanced Network/Insurance Carrier Org ID]],B87)+SUMIFS(AN_TME22[[#All],[Total Claims Excluded because of Truncation]], AN_TME22[[#All],[Insurance Category Code]],1, AN_TME22[[#All],[Advanced Network/Insurance Carrier Org ID]],B87),2)=ROUND(SUMIFS(AN_TME22[[#All],[TOTAL Non-Truncated Unadjusted Claims Expenses]], AN_TME22[[#All],[Insurance Category Code]],1, AN_TME22[[#All],[Advanced Network/Insurance Carrier Org ID]],B87), 2)</f>
        <v>1</v>
      </c>
      <c r="Q87" s="236">
        <v>104</v>
      </c>
      <c r="R87" s="463">
        <f>ROUND(SUMIFS(Age_Sex23[[#All],[Total Member Months by Age/Sex Band]], Age_Sex23[[#All],[Advanced Network ID]], $Q87, Age_Sex23[[#All],[Insurance Category Code]],1), 2)</f>
        <v>0</v>
      </c>
      <c r="S87" s="268">
        <f>ROUND(SUMIFS(Age_Sex23[[#All],[Total Dollars Excluded from Spending After Applying Truncation at the Member Level]], Age_Sex23[[#All],[Advanced Network ID]], $B87, Age_Sex23[[#All],[Insurance Category Code]],1),2)</f>
        <v>0</v>
      </c>
      <c r="T87" s="229">
        <f>ROUND(SUMIFS(Age_Sex23[[#All],[Count of Members whose Spending was Truncated]], Age_Sex23[[#All],[Advanced Network ID]], $B87, Age_Sex23[[#All],[Insurance Category Code]],1), 2)</f>
        <v>0</v>
      </c>
      <c r="U87" s="230">
        <f>ROUND(SUMIFS(Age_Sex23[[#All],[Total Spending before Truncation is Applied]], Age_Sex23[[#All],[Advanced Network ID]], $B87, Age_Sex23[[#All],[Insurance Category Code]],1), 2)</f>
        <v>0</v>
      </c>
      <c r="V87" s="232">
        <f>ROUND(SUMIFS(Age_Sex23[[#All],[Total Spending After Applying Truncation at the Member Level]], Age_Sex23[[#All],[Advanced Network ID]], $B87, Age_Sex23[[#All],[Insurance Category Code]],1),2)</f>
        <v>0</v>
      </c>
      <c r="W87" s="416" t="str">
        <f>IF(R87=ROUND(SUMIFS(AN_TME23[[#All],[Member Months]], AN_TME23[[#All],[Insurance Category Code]],1, AN_TME23[[#All],[Advanced Network/Insurance Carrier Org ID]],Q87),2), "TRUE", ROUND(R87-SUMIFS(AN_TME23[[#All],[Member Months]], AN_TME23[[#All],[Insurance Category Code]],1, AN_TME23[[#All],[Advanced Network/Insurance Carrier Org ID]],Q87),2))</f>
        <v>TRUE</v>
      </c>
      <c r="X87" s="280" t="str">
        <f>IF(S87=ROUND(SUMIFS(AN_TME23[[#All],[Total Claims Excluded because of Truncation]], AN_TME23[[#All],[Insurance Category Code]],1, AN_TME23[[#All],[Advanced Network/Insurance Carrier Org ID]],Q87),2), "TRUE", ROUND(S87-SUMIFS(AN_TME23[[#All],[Total Claims Excluded because of Truncation]], AN_TME23[[#All],[Insurance Category Code]],1, AN_TME23[[#All],[Advanced Network/Insurance Carrier Org ID]],Q87),2))</f>
        <v>TRUE</v>
      </c>
      <c r="Y87" s="281" t="str">
        <f>IF(T87=ROUND(SUMIFS(AN_TME23[[#All],[Count of Members with Claims Truncated]], AN_TME23[[#All],[Insurance Category Code]],1, AN_TME23[[#All],[Advanced Network/Insurance Carrier Org ID]],Q87),2), "TRUE", ROUND(T87-SUMIFS(AN_TME23[[#All],[Count of Members with Claims Truncated]], AN_TME23[[#All],[Insurance Category Code]],1, AN_TME23[[#All],[Advanced Network/Insurance Carrier Org ID]],Q87),2))</f>
        <v>TRUE</v>
      </c>
      <c r="Z87" s="282" t="str">
        <f>IF(U87=ROUND(SUMIFS(AN_TME23[[#All],[TOTAL Non-Truncated Unadjusted Claims Expenses]], AN_TME23[[#All],[Insurance Category Code]],1, AN_TME23[[#All],[Advanced Network/Insurance Carrier Org ID]],Q87),2), "TRUE", ROUND(U87-SUMIFS(AN_TME23[[#All],[TOTAL Non-Truncated Unadjusted Claims Expenses]], AN_TME23[[#All],[Insurance Category Code]],1, AN_TME23[[#All],[Advanced Network/Insurance Carrier Org ID]],Q87),2))</f>
        <v>TRUE</v>
      </c>
      <c r="AA87" s="295" t="str">
        <f>IF(V87=ROUND(SUMIFS(AN_TME23[[#All],[TOTAL Truncated Unadjusted Claims Expenses (A21 -A19)]], AN_TME23[[#All],[Insurance Category Code]],1, AN_TME23[[#All],[Advanced Network/Insurance Carrier Org ID]],Q87),2), "TRUE", ROUND(V87-SUMIFS(AN_TME23[[#All],[TOTAL Truncated Unadjusted Claims Expenses (A21 -A19)]], AN_TME23[[#All],[Insurance Category Code]],1, AN_TME23[[#All],[Advanced Network/Insurance Carrier Org ID]],Q87),2))</f>
        <v>TRUE</v>
      </c>
      <c r="AB87" s="461" t="str">
        <f t="shared" si="9"/>
        <v>TRUE</v>
      </c>
      <c r="AC87" s="282" t="b">
        <f>ROUND(SUMIFS(AN_TME23[[#All],[TOTAL Non-Truncated Unadjusted Claims Expenses]], AN_TME23[[#All],[Insurance Category Code]],1, AN_TME23[[#All],[Advanced Network/Insurance Carrier Org ID]],Q87),2)&gt;=ROUND(SUMIFS(AN_TME23[[#All],[TOTAL Truncated Unadjusted Claims Expenses (A21 -A19)]], AN_TME23[[#All],[Insurance Category Code]],1, AN_TME23[[#All],[Advanced Network/Insurance Carrier Org ID]],Q87), 2)</f>
        <v>1</v>
      </c>
      <c r="AD87" s="295" t="b">
        <f>ROUND(SUMIFS(AN_TME23[[#All],[TOTAL Truncated Unadjusted Claims Expenses (A21 -A19)]], AN_TME23[[#All],[Insurance Category Code]],1, AN_TME23[[#All],[Advanced Network/Insurance Carrier Org ID]],Q87)+SUMIFS(AN_TME23[[#All],[Total Claims Excluded because of Truncation]], AN_TME23[[#All],[Insurance Category Code]],1, AN_TME23[[#All],[Advanced Network/Insurance Carrier Org ID]],Q87), 2)=ROUND(SUMIFS(AN_TME23[[#All],[TOTAL Non-Truncated Unadjusted Claims Expenses]], AN_TME23[[#All],[Insurance Category Code]],1, AN_TME23[[#All],[Advanced Network/Insurance Carrier Org ID]],Q87), 2)</f>
        <v>1</v>
      </c>
      <c r="AF87" s="323" t="str">
        <f t="shared" si="8"/>
        <v>NA</v>
      </c>
    </row>
    <row r="88" spans="2:32" outlineLevel="1" x14ac:dyDescent="0.25">
      <c r="B88" s="236">
        <v>105</v>
      </c>
      <c r="C88" s="463">
        <f>ROUND(SUMIFS(Age_Sex22[[#All],[Total Member Months by Age/Sex Band]], Age_Sex22[[#All],[Advanced Network ID]], $B88, Age_Sex22[[#All],[Insurance Category Code]],1), 2)</f>
        <v>0</v>
      </c>
      <c r="D88" s="268">
        <f>ROUND(SUMIFS(Age_Sex22[[#All],[Total Dollars Excluded from Spending After Applying Truncation at the Member Level]], Age_Sex22[[#All],[Advanced Network ID]], $B88, Age_Sex22[[#All],[Insurance Category Code]],1), 2)</f>
        <v>0</v>
      </c>
      <c r="E88" s="229">
        <f>ROUND(SUMIFS(Age_Sex22[[#All],[Count of Members whose Spending was Truncated]], Age_Sex22[[#All],[Advanced Network ID]], $B88, Age_Sex22[[#All],[Insurance Category Code]],1),2)</f>
        <v>0</v>
      </c>
      <c r="F88" s="230">
        <f>ROUND(SUMIFS(Age_Sex22[[#All],[Total Spending before Truncation is Applied]], Age_Sex22[[#All],[Advanced Network ID]], $B88, Age_Sex22[[#All],[Insurance Category Code]],1), 2)</f>
        <v>0</v>
      </c>
      <c r="G88" s="232">
        <f>ROUND(SUMIFS(Age_Sex22[[#All],[Total Spending After Applying Truncation at the Member Level]], Age_Sex22[[#All],[Advanced Network ID]], $B88, Age_Sex22[[#All],[Insurance Category Code]],1), 2)</f>
        <v>0</v>
      </c>
      <c r="H88" s="416" t="str">
        <f>IF(C88=ROUND(SUMIFS(AN_TME22[[#All],[Member Months]], AN_TME22[[#All],[Insurance Category Code]],1, AN_TME22[[#All],[Advanced Network/Insurance Carrier Org ID]],B88),2), "TRUE", ROUND(C88-SUMIFS(AN_TME22[[#All],[Member Months]], AN_TME22[[#All],[Insurance Category Code]],1, AN_TME22[[#All],[Advanced Network/Insurance Carrier Org ID]],B88),2))</f>
        <v>TRUE</v>
      </c>
      <c r="I88" s="280" t="str">
        <f>IF(D88=ROUND(SUMIFS(AN_TME22[[#All],[Total Claims Excluded because of Truncation]], AN_TME22[[#All],[Insurance Category Code]],1, AN_TME22[[#All],[Advanced Network/Insurance Carrier Org ID]],B88),2), "TRUE", ROUND(D88-SUMIFS(AN_TME22[[#All],[Total Claims Excluded because of Truncation]], AN_TME22[[#All],[Insurance Category Code]],1, AN_TME22[[#All],[Advanced Network/Insurance Carrier Org ID]],B88),2))</f>
        <v>TRUE</v>
      </c>
      <c r="J88" s="281" t="str">
        <f>IF(E88=ROUND(SUMIFS(AN_TME22[[#All],[Count of Members with Claims Truncated]], AN_TME22[[#All],[Insurance Category Code]],1, AN_TME22[[#All],[Advanced Network/Insurance Carrier Org ID]],B88),2), "TRUE", ROUND(E88-SUMIFS(AN_TME22[[#All],[Count of Members with Claims Truncated]], AN_TME22[[#All],[Insurance Category Code]],1, AN_TME22[[#All],[Advanced Network/Insurance Carrier Org ID]],B88),2))</f>
        <v>TRUE</v>
      </c>
      <c r="K88" s="282" t="str">
        <f>IF(F88=ROUND(SUMIFS(AN_TME22[[#All],[TOTAL Non-Truncated Unadjusted Claims Expenses]], AN_TME22[[#All],[Insurance Category Code]],1, AN_TME22[[#All],[Advanced Network/Insurance Carrier Org ID]],B88),2), "TRUE", ROUND(F88-SUMIFS(AN_TME22[[#All],[TOTAL Non-Truncated Unadjusted Claims Expenses]], AN_TME22[[#All],[Insurance Category Code]],1, AN_TME22[[#All],[Advanced Network/Insurance Carrier Org ID]],B88),2))</f>
        <v>TRUE</v>
      </c>
      <c r="L88" s="295" t="str">
        <f>IF(G88=ROUND(SUMIFS(AN_TME22[[#All],[TOTAL Truncated Unadjusted Claims Expenses (A21 -A19)]], AN_TME22[[#All],[Insurance Category Code]],1, AN_TME22[[#All],[Advanced Network/Insurance Carrier Org ID]],B88),2), "TRUE", ROUND(G88-SUMIFS(AN_TME22[[#All],[TOTAL Truncated Unadjusted Claims Expenses (A21 -A19)]], AN_TME22[[#All],[Insurance Category Code]],1, AN_TME22[[#All],[Advanced Network/Insurance Carrier Org ID]],B88),2))</f>
        <v>TRUE</v>
      </c>
      <c r="M88" s="461" t="str">
        <f t="shared" si="7"/>
        <v>TRUE</v>
      </c>
      <c r="N88" s="282" t="b">
        <f>ROUND(SUMIFS(AN_TME22[[#All],[TOTAL Non-Truncated Unadjusted Claims Expenses]], AN_TME22[[#All],[Insurance Category Code]],1, AN_TME22[[#All],[Advanced Network/Insurance Carrier Org ID]],B88), 2)&gt;=ROUND(SUMIFS(AN_TME22[[#All],[TOTAL Truncated Unadjusted Claims Expenses (A21 -A19)]], AN_TME22[[#All],[Insurance Category Code]],1, AN_TME22[[#All],[Advanced Network/Insurance Carrier Org ID]],B88),2)</f>
        <v>1</v>
      </c>
      <c r="O88" s="295" t="b">
        <f>ROUND(SUMIFS(AN_TME22[[#All],[TOTAL Truncated Unadjusted Claims Expenses (A21 -A19)]], AN_TME22[[#All],[Insurance Category Code]],1, AN_TME22[[#All],[Advanced Network/Insurance Carrier Org ID]],B88)+SUMIFS(AN_TME22[[#All],[Total Claims Excluded because of Truncation]], AN_TME22[[#All],[Insurance Category Code]],1, AN_TME22[[#All],[Advanced Network/Insurance Carrier Org ID]],B88),2)=ROUND(SUMIFS(AN_TME22[[#All],[TOTAL Non-Truncated Unadjusted Claims Expenses]], AN_TME22[[#All],[Insurance Category Code]],1, AN_TME22[[#All],[Advanced Network/Insurance Carrier Org ID]],B88), 2)</f>
        <v>1</v>
      </c>
      <c r="Q88" s="236">
        <v>105</v>
      </c>
      <c r="R88" s="463">
        <f>ROUND(SUMIFS(Age_Sex23[[#All],[Total Member Months by Age/Sex Band]], Age_Sex23[[#All],[Advanced Network ID]], $Q88, Age_Sex23[[#All],[Insurance Category Code]],1), 2)</f>
        <v>0</v>
      </c>
      <c r="S88" s="268">
        <f>ROUND(SUMIFS(Age_Sex23[[#All],[Total Dollars Excluded from Spending After Applying Truncation at the Member Level]], Age_Sex23[[#All],[Advanced Network ID]], $B88, Age_Sex23[[#All],[Insurance Category Code]],1),2)</f>
        <v>0</v>
      </c>
      <c r="T88" s="229">
        <f>ROUND(SUMIFS(Age_Sex23[[#All],[Count of Members whose Spending was Truncated]], Age_Sex23[[#All],[Advanced Network ID]], $B88, Age_Sex23[[#All],[Insurance Category Code]],1), 2)</f>
        <v>0</v>
      </c>
      <c r="U88" s="230">
        <f>ROUND(SUMIFS(Age_Sex23[[#All],[Total Spending before Truncation is Applied]], Age_Sex23[[#All],[Advanced Network ID]], $B88, Age_Sex23[[#All],[Insurance Category Code]],1), 2)</f>
        <v>0</v>
      </c>
      <c r="V88" s="232">
        <f>ROUND(SUMIFS(Age_Sex23[[#All],[Total Spending After Applying Truncation at the Member Level]], Age_Sex23[[#All],[Advanced Network ID]], $B88, Age_Sex23[[#All],[Insurance Category Code]],1),2)</f>
        <v>0</v>
      </c>
      <c r="W88" s="416" t="str">
        <f>IF(R88=ROUND(SUMIFS(AN_TME23[[#All],[Member Months]], AN_TME23[[#All],[Insurance Category Code]],1, AN_TME23[[#All],[Advanced Network/Insurance Carrier Org ID]],Q88),2), "TRUE", ROUND(R88-SUMIFS(AN_TME23[[#All],[Member Months]], AN_TME23[[#All],[Insurance Category Code]],1, AN_TME23[[#All],[Advanced Network/Insurance Carrier Org ID]],Q88),2))</f>
        <v>TRUE</v>
      </c>
      <c r="X88" s="280" t="str">
        <f>IF(S88=ROUND(SUMIFS(AN_TME23[[#All],[Total Claims Excluded because of Truncation]], AN_TME23[[#All],[Insurance Category Code]],1, AN_TME23[[#All],[Advanced Network/Insurance Carrier Org ID]],Q88),2), "TRUE", ROUND(S88-SUMIFS(AN_TME23[[#All],[Total Claims Excluded because of Truncation]], AN_TME23[[#All],[Insurance Category Code]],1, AN_TME23[[#All],[Advanced Network/Insurance Carrier Org ID]],Q88),2))</f>
        <v>TRUE</v>
      </c>
      <c r="Y88" s="281" t="str">
        <f>IF(T88=ROUND(SUMIFS(AN_TME23[[#All],[Count of Members with Claims Truncated]], AN_TME23[[#All],[Insurance Category Code]],1, AN_TME23[[#All],[Advanced Network/Insurance Carrier Org ID]],Q88),2), "TRUE", ROUND(T88-SUMIFS(AN_TME23[[#All],[Count of Members with Claims Truncated]], AN_TME23[[#All],[Insurance Category Code]],1, AN_TME23[[#All],[Advanced Network/Insurance Carrier Org ID]],Q88),2))</f>
        <v>TRUE</v>
      </c>
      <c r="Z88" s="282" t="str">
        <f>IF(U88=ROUND(SUMIFS(AN_TME23[[#All],[TOTAL Non-Truncated Unadjusted Claims Expenses]], AN_TME23[[#All],[Insurance Category Code]],1, AN_TME23[[#All],[Advanced Network/Insurance Carrier Org ID]],Q88),2), "TRUE", ROUND(U88-SUMIFS(AN_TME23[[#All],[TOTAL Non-Truncated Unadjusted Claims Expenses]], AN_TME23[[#All],[Insurance Category Code]],1, AN_TME23[[#All],[Advanced Network/Insurance Carrier Org ID]],Q88),2))</f>
        <v>TRUE</v>
      </c>
      <c r="AA88" s="295" t="str">
        <f>IF(V88=ROUND(SUMIFS(AN_TME23[[#All],[TOTAL Truncated Unadjusted Claims Expenses (A21 -A19)]], AN_TME23[[#All],[Insurance Category Code]],1, AN_TME23[[#All],[Advanced Network/Insurance Carrier Org ID]],Q88),2), "TRUE", ROUND(V88-SUMIFS(AN_TME23[[#All],[TOTAL Truncated Unadjusted Claims Expenses (A21 -A19)]], AN_TME23[[#All],[Insurance Category Code]],1, AN_TME23[[#All],[Advanced Network/Insurance Carrier Org ID]],Q88),2))</f>
        <v>TRUE</v>
      </c>
      <c r="AB88" s="461" t="str">
        <f t="shared" si="9"/>
        <v>TRUE</v>
      </c>
      <c r="AC88" s="282" t="b">
        <f>ROUND(SUMIFS(AN_TME23[[#All],[TOTAL Non-Truncated Unadjusted Claims Expenses]], AN_TME23[[#All],[Insurance Category Code]],1, AN_TME23[[#All],[Advanced Network/Insurance Carrier Org ID]],Q88),2)&gt;=ROUND(SUMIFS(AN_TME23[[#All],[TOTAL Truncated Unadjusted Claims Expenses (A21 -A19)]], AN_TME23[[#All],[Insurance Category Code]],1, AN_TME23[[#All],[Advanced Network/Insurance Carrier Org ID]],Q88), 2)</f>
        <v>1</v>
      </c>
      <c r="AD88" s="295" t="b">
        <f>ROUND(SUMIFS(AN_TME23[[#All],[TOTAL Truncated Unadjusted Claims Expenses (A21 -A19)]], AN_TME23[[#All],[Insurance Category Code]],1, AN_TME23[[#All],[Advanced Network/Insurance Carrier Org ID]],Q88)+SUMIFS(AN_TME23[[#All],[Total Claims Excluded because of Truncation]], AN_TME23[[#All],[Insurance Category Code]],1, AN_TME23[[#All],[Advanced Network/Insurance Carrier Org ID]],Q88), 2)=ROUND(SUMIFS(AN_TME23[[#All],[TOTAL Non-Truncated Unadjusted Claims Expenses]], AN_TME23[[#All],[Insurance Category Code]],1, AN_TME23[[#All],[Advanced Network/Insurance Carrier Org ID]],Q88), 2)</f>
        <v>1</v>
      </c>
      <c r="AF88" s="323" t="str">
        <f t="shared" si="8"/>
        <v>NA</v>
      </c>
    </row>
    <row r="89" spans="2:32" outlineLevel="1" x14ac:dyDescent="0.25">
      <c r="B89" s="236">
        <v>106</v>
      </c>
      <c r="C89" s="463">
        <f>ROUND(SUMIFS(Age_Sex22[[#All],[Total Member Months by Age/Sex Band]], Age_Sex22[[#All],[Advanced Network ID]], $B89, Age_Sex22[[#All],[Insurance Category Code]],1), 2)</f>
        <v>0</v>
      </c>
      <c r="D89" s="268">
        <f>ROUND(SUMIFS(Age_Sex22[[#All],[Total Dollars Excluded from Spending After Applying Truncation at the Member Level]], Age_Sex22[[#All],[Advanced Network ID]], $B89, Age_Sex22[[#All],[Insurance Category Code]],1), 2)</f>
        <v>0</v>
      </c>
      <c r="E89" s="229">
        <f>ROUND(SUMIFS(Age_Sex22[[#All],[Count of Members whose Spending was Truncated]], Age_Sex22[[#All],[Advanced Network ID]], $B89, Age_Sex22[[#All],[Insurance Category Code]],1),2)</f>
        <v>0</v>
      </c>
      <c r="F89" s="230">
        <f>ROUND(SUMIFS(Age_Sex22[[#All],[Total Spending before Truncation is Applied]], Age_Sex22[[#All],[Advanced Network ID]], $B89, Age_Sex22[[#All],[Insurance Category Code]],1), 2)</f>
        <v>0</v>
      </c>
      <c r="G89" s="232">
        <f>ROUND(SUMIFS(Age_Sex22[[#All],[Total Spending After Applying Truncation at the Member Level]], Age_Sex22[[#All],[Advanced Network ID]], $B89, Age_Sex22[[#All],[Insurance Category Code]],1), 2)</f>
        <v>0</v>
      </c>
      <c r="H89" s="416" t="str">
        <f>IF(C89=ROUND(SUMIFS(AN_TME22[[#All],[Member Months]], AN_TME22[[#All],[Insurance Category Code]],1, AN_TME22[[#All],[Advanced Network/Insurance Carrier Org ID]],B89),2), "TRUE", ROUND(C89-SUMIFS(AN_TME22[[#All],[Member Months]], AN_TME22[[#All],[Insurance Category Code]],1, AN_TME22[[#All],[Advanced Network/Insurance Carrier Org ID]],B89),2))</f>
        <v>TRUE</v>
      </c>
      <c r="I89" s="280" t="str">
        <f>IF(D89=ROUND(SUMIFS(AN_TME22[[#All],[Total Claims Excluded because of Truncation]], AN_TME22[[#All],[Insurance Category Code]],1, AN_TME22[[#All],[Advanced Network/Insurance Carrier Org ID]],B89),2), "TRUE", ROUND(D89-SUMIFS(AN_TME22[[#All],[Total Claims Excluded because of Truncation]], AN_TME22[[#All],[Insurance Category Code]],1, AN_TME22[[#All],[Advanced Network/Insurance Carrier Org ID]],B89),2))</f>
        <v>TRUE</v>
      </c>
      <c r="J89" s="281" t="str">
        <f>IF(E89=ROUND(SUMIFS(AN_TME22[[#All],[Count of Members with Claims Truncated]], AN_TME22[[#All],[Insurance Category Code]],1, AN_TME22[[#All],[Advanced Network/Insurance Carrier Org ID]],B89),2), "TRUE", ROUND(E89-SUMIFS(AN_TME22[[#All],[Count of Members with Claims Truncated]], AN_TME22[[#All],[Insurance Category Code]],1, AN_TME22[[#All],[Advanced Network/Insurance Carrier Org ID]],B89),2))</f>
        <v>TRUE</v>
      </c>
      <c r="K89" s="282" t="str">
        <f>IF(F89=ROUND(SUMIFS(AN_TME22[[#All],[TOTAL Non-Truncated Unadjusted Claims Expenses]], AN_TME22[[#All],[Insurance Category Code]],1, AN_TME22[[#All],[Advanced Network/Insurance Carrier Org ID]],B89),2), "TRUE", ROUND(F89-SUMIFS(AN_TME22[[#All],[TOTAL Non-Truncated Unadjusted Claims Expenses]], AN_TME22[[#All],[Insurance Category Code]],1, AN_TME22[[#All],[Advanced Network/Insurance Carrier Org ID]],B89),2))</f>
        <v>TRUE</v>
      </c>
      <c r="L89" s="295" t="str">
        <f>IF(G89=ROUND(SUMIFS(AN_TME22[[#All],[TOTAL Truncated Unadjusted Claims Expenses (A21 -A19)]], AN_TME22[[#All],[Insurance Category Code]],1, AN_TME22[[#All],[Advanced Network/Insurance Carrier Org ID]],B89),2), "TRUE", ROUND(G89-SUMIFS(AN_TME22[[#All],[TOTAL Truncated Unadjusted Claims Expenses (A21 -A19)]], AN_TME22[[#All],[Insurance Category Code]],1, AN_TME22[[#All],[Advanced Network/Insurance Carrier Org ID]],B89),2))</f>
        <v>TRUE</v>
      </c>
      <c r="M89" s="461" t="str">
        <f t="shared" si="7"/>
        <v>TRUE</v>
      </c>
      <c r="N89" s="282" t="b">
        <f>ROUND(SUMIFS(AN_TME22[[#All],[TOTAL Non-Truncated Unadjusted Claims Expenses]], AN_TME22[[#All],[Insurance Category Code]],1, AN_TME22[[#All],[Advanced Network/Insurance Carrier Org ID]],B89), 2)&gt;=ROUND(SUMIFS(AN_TME22[[#All],[TOTAL Truncated Unadjusted Claims Expenses (A21 -A19)]], AN_TME22[[#All],[Insurance Category Code]],1, AN_TME22[[#All],[Advanced Network/Insurance Carrier Org ID]],B89),2)</f>
        <v>1</v>
      </c>
      <c r="O89" s="295" t="b">
        <f>ROUND(SUMIFS(AN_TME22[[#All],[TOTAL Truncated Unadjusted Claims Expenses (A21 -A19)]], AN_TME22[[#All],[Insurance Category Code]],1, AN_TME22[[#All],[Advanced Network/Insurance Carrier Org ID]],B89)+SUMIFS(AN_TME22[[#All],[Total Claims Excluded because of Truncation]], AN_TME22[[#All],[Insurance Category Code]],1, AN_TME22[[#All],[Advanced Network/Insurance Carrier Org ID]],B89),2)=ROUND(SUMIFS(AN_TME22[[#All],[TOTAL Non-Truncated Unadjusted Claims Expenses]], AN_TME22[[#All],[Insurance Category Code]],1, AN_TME22[[#All],[Advanced Network/Insurance Carrier Org ID]],B89), 2)</f>
        <v>1</v>
      </c>
      <c r="Q89" s="236">
        <v>106</v>
      </c>
      <c r="R89" s="463">
        <f>ROUND(SUMIFS(Age_Sex23[[#All],[Total Member Months by Age/Sex Band]], Age_Sex23[[#All],[Advanced Network ID]], $Q89, Age_Sex23[[#All],[Insurance Category Code]],1), 2)</f>
        <v>0</v>
      </c>
      <c r="S89" s="268">
        <f>ROUND(SUMIFS(Age_Sex23[[#All],[Total Dollars Excluded from Spending After Applying Truncation at the Member Level]], Age_Sex23[[#All],[Advanced Network ID]], $B89, Age_Sex23[[#All],[Insurance Category Code]],1),2)</f>
        <v>0</v>
      </c>
      <c r="T89" s="229">
        <f>ROUND(SUMIFS(Age_Sex23[[#All],[Count of Members whose Spending was Truncated]], Age_Sex23[[#All],[Advanced Network ID]], $B89, Age_Sex23[[#All],[Insurance Category Code]],1), 2)</f>
        <v>0</v>
      </c>
      <c r="U89" s="230">
        <f>ROUND(SUMIFS(Age_Sex23[[#All],[Total Spending before Truncation is Applied]], Age_Sex23[[#All],[Advanced Network ID]], $B89, Age_Sex23[[#All],[Insurance Category Code]],1), 2)</f>
        <v>0</v>
      </c>
      <c r="V89" s="232">
        <f>ROUND(SUMIFS(Age_Sex23[[#All],[Total Spending After Applying Truncation at the Member Level]], Age_Sex23[[#All],[Advanced Network ID]], $B89, Age_Sex23[[#All],[Insurance Category Code]],1),2)</f>
        <v>0</v>
      </c>
      <c r="W89" s="416" t="str">
        <f>IF(R89=ROUND(SUMIFS(AN_TME23[[#All],[Member Months]], AN_TME23[[#All],[Insurance Category Code]],1, AN_TME23[[#All],[Advanced Network/Insurance Carrier Org ID]],Q89),2), "TRUE", ROUND(R89-SUMIFS(AN_TME23[[#All],[Member Months]], AN_TME23[[#All],[Insurance Category Code]],1, AN_TME23[[#All],[Advanced Network/Insurance Carrier Org ID]],Q89),2))</f>
        <v>TRUE</v>
      </c>
      <c r="X89" s="280" t="str">
        <f>IF(S89=ROUND(SUMIFS(AN_TME23[[#All],[Total Claims Excluded because of Truncation]], AN_TME23[[#All],[Insurance Category Code]],1, AN_TME23[[#All],[Advanced Network/Insurance Carrier Org ID]],Q89),2), "TRUE", ROUND(S89-SUMIFS(AN_TME23[[#All],[Total Claims Excluded because of Truncation]], AN_TME23[[#All],[Insurance Category Code]],1, AN_TME23[[#All],[Advanced Network/Insurance Carrier Org ID]],Q89),2))</f>
        <v>TRUE</v>
      </c>
      <c r="Y89" s="281" t="str">
        <f>IF(T89=ROUND(SUMIFS(AN_TME23[[#All],[Count of Members with Claims Truncated]], AN_TME23[[#All],[Insurance Category Code]],1, AN_TME23[[#All],[Advanced Network/Insurance Carrier Org ID]],Q89),2), "TRUE", ROUND(T89-SUMIFS(AN_TME23[[#All],[Count of Members with Claims Truncated]], AN_TME23[[#All],[Insurance Category Code]],1, AN_TME23[[#All],[Advanced Network/Insurance Carrier Org ID]],Q89),2))</f>
        <v>TRUE</v>
      </c>
      <c r="Z89" s="282" t="str">
        <f>IF(U89=ROUND(SUMIFS(AN_TME23[[#All],[TOTAL Non-Truncated Unadjusted Claims Expenses]], AN_TME23[[#All],[Insurance Category Code]],1, AN_TME23[[#All],[Advanced Network/Insurance Carrier Org ID]],Q89),2), "TRUE", ROUND(U89-SUMIFS(AN_TME23[[#All],[TOTAL Non-Truncated Unadjusted Claims Expenses]], AN_TME23[[#All],[Insurance Category Code]],1, AN_TME23[[#All],[Advanced Network/Insurance Carrier Org ID]],Q89),2))</f>
        <v>TRUE</v>
      </c>
      <c r="AA89" s="295" t="str">
        <f>IF(V89=ROUND(SUMIFS(AN_TME23[[#All],[TOTAL Truncated Unadjusted Claims Expenses (A21 -A19)]], AN_TME23[[#All],[Insurance Category Code]],1, AN_TME23[[#All],[Advanced Network/Insurance Carrier Org ID]],Q89),2), "TRUE", ROUND(V89-SUMIFS(AN_TME23[[#All],[TOTAL Truncated Unadjusted Claims Expenses (A21 -A19)]], AN_TME23[[#All],[Insurance Category Code]],1, AN_TME23[[#All],[Advanced Network/Insurance Carrier Org ID]],Q89),2))</f>
        <v>TRUE</v>
      </c>
      <c r="AB89" s="461" t="str">
        <f t="shared" si="9"/>
        <v>TRUE</v>
      </c>
      <c r="AC89" s="282" t="b">
        <f>ROUND(SUMIFS(AN_TME23[[#All],[TOTAL Non-Truncated Unadjusted Claims Expenses]], AN_TME23[[#All],[Insurance Category Code]],1, AN_TME23[[#All],[Advanced Network/Insurance Carrier Org ID]],Q89),2)&gt;=ROUND(SUMIFS(AN_TME23[[#All],[TOTAL Truncated Unadjusted Claims Expenses (A21 -A19)]], AN_TME23[[#All],[Insurance Category Code]],1, AN_TME23[[#All],[Advanced Network/Insurance Carrier Org ID]],Q89), 2)</f>
        <v>1</v>
      </c>
      <c r="AD89" s="295" t="b">
        <f>ROUND(SUMIFS(AN_TME23[[#All],[TOTAL Truncated Unadjusted Claims Expenses (A21 -A19)]], AN_TME23[[#All],[Insurance Category Code]],1, AN_TME23[[#All],[Advanced Network/Insurance Carrier Org ID]],Q89)+SUMIFS(AN_TME23[[#All],[Total Claims Excluded because of Truncation]], AN_TME23[[#All],[Insurance Category Code]],1, AN_TME23[[#All],[Advanced Network/Insurance Carrier Org ID]],Q89), 2)=ROUND(SUMIFS(AN_TME23[[#All],[TOTAL Non-Truncated Unadjusted Claims Expenses]], AN_TME23[[#All],[Insurance Category Code]],1, AN_TME23[[#All],[Advanced Network/Insurance Carrier Org ID]],Q89), 2)</f>
        <v>1</v>
      </c>
      <c r="AF89" s="323" t="str">
        <f t="shared" si="8"/>
        <v>NA</v>
      </c>
    </row>
    <row r="90" spans="2:32" outlineLevel="1" x14ac:dyDescent="0.25">
      <c r="B90" s="236">
        <v>107</v>
      </c>
      <c r="C90" s="463">
        <f>ROUND(SUMIFS(Age_Sex22[[#All],[Total Member Months by Age/Sex Band]], Age_Sex22[[#All],[Advanced Network ID]], $B90, Age_Sex22[[#All],[Insurance Category Code]],1), 2)</f>
        <v>0</v>
      </c>
      <c r="D90" s="268">
        <f>ROUND(SUMIFS(Age_Sex22[[#All],[Total Dollars Excluded from Spending After Applying Truncation at the Member Level]], Age_Sex22[[#All],[Advanced Network ID]], $B90, Age_Sex22[[#All],[Insurance Category Code]],1), 2)</f>
        <v>0</v>
      </c>
      <c r="E90" s="229">
        <f>ROUND(SUMIFS(Age_Sex22[[#All],[Count of Members whose Spending was Truncated]], Age_Sex22[[#All],[Advanced Network ID]], $B90, Age_Sex22[[#All],[Insurance Category Code]],1),2)</f>
        <v>0</v>
      </c>
      <c r="F90" s="230">
        <f>ROUND(SUMIFS(Age_Sex22[[#All],[Total Spending before Truncation is Applied]], Age_Sex22[[#All],[Advanced Network ID]], $B90, Age_Sex22[[#All],[Insurance Category Code]],1), 2)</f>
        <v>0</v>
      </c>
      <c r="G90" s="232">
        <f>ROUND(SUMIFS(Age_Sex22[[#All],[Total Spending After Applying Truncation at the Member Level]], Age_Sex22[[#All],[Advanced Network ID]], $B90, Age_Sex22[[#All],[Insurance Category Code]],1), 2)</f>
        <v>0</v>
      </c>
      <c r="H90" s="416" t="str">
        <f>IF(C90=ROUND(SUMIFS(AN_TME22[[#All],[Member Months]], AN_TME22[[#All],[Insurance Category Code]],1, AN_TME22[[#All],[Advanced Network/Insurance Carrier Org ID]],B90),2), "TRUE", ROUND(C90-SUMIFS(AN_TME22[[#All],[Member Months]], AN_TME22[[#All],[Insurance Category Code]],1, AN_TME22[[#All],[Advanced Network/Insurance Carrier Org ID]],B90),2))</f>
        <v>TRUE</v>
      </c>
      <c r="I90" s="280" t="str">
        <f>IF(D90=ROUND(SUMIFS(AN_TME22[[#All],[Total Claims Excluded because of Truncation]], AN_TME22[[#All],[Insurance Category Code]],1, AN_TME22[[#All],[Advanced Network/Insurance Carrier Org ID]],B90),2), "TRUE", ROUND(D90-SUMIFS(AN_TME22[[#All],[Total Claims Excluded because of Truncation]], AN_TME22[[#All],[Insurance Category Code]],1, AN_TME22[[#All],[Advanced Network/Insurance Carrier Org ID]],B90),2))</f>
        <v>TRUE</v>
      </c>
      <c r="J90" s="281" t="str">
        <f>IF(E90=ROUND(SUMIFS(AN_TME22[[#All],[Count of Members with Claims Truncated]], AN_TME22[[#All],[Insurance Category Code]],1, AN_TME22[[#All],[Advanced Network/Insurance Carrier Org ID]],B90),2), "TRUE", ROUND(E90-SUMIFS(AN_TME22[[#All],[Count of Members with Claims Truncated]], AN_TME22[[#All],[Insurance Category Code]],1, AN_TME22[[#All],[Advanced Network/Insurance Carrier Org ID]],B90),2))</f>
        <v>TRUE</v>
      </c>
      <c r="K90" s="282" t="str">
        <f>IF(F90=ROUND(SUMIFS(AN_TME22[[#All],[TOTAL Non-Truncated Unadjusted Claims Expenses]], AN_TME22[[#All],[Insurance Category Code]],1, AN_TME22[[#All],[Advanced Network/Insurance Carrier Org ID]],B90),2), "TRUE", ROUND(F90-SUMIFS(AN_TME22[[#All],[TOTAL Non-Truncated Unadjusted Claims Expenses]], AN_TME22[[#All],[Insurance Category Code]],1, AN_TME22[[#All],[Advanced Network/Insurance Carrier Org ID]],B90),2))</f>
        <v>TRUE</v>
      </c>
      <c r="L90" s="295" t="str">
        <f>IF(G90=ROUND(SUMIFS(AN_TME22[[#All],[TOTAL Truncated Unadjusted Claims Expenses (A21 -A19)]], AN_TME22[[#All],[Insurance Category Code]],1, AN_TME22[[#All],[Advanced Network/Insurance Carrier Org ID]],B90),2), "TRUE", ROUND(G90-SUMIFS(AN_TME22[[#All],[TOTAL Truncated Unadjusted Claims Expenses (A21 -A19)]], AN_TME22[[#All],[Insurance Category Code]],1, AN_TME22[[#All],[Advanced Network/Insurance Carrier Org ID]],B90),2))</f>
        <v>TRUE</v>
      </c>
      <c r="M90" s="461" t="str">
        <f t="shared" si="7"/>
        <v>TRUE</v>
      </c>
      <c r="N90" s="282" t="b">
        <f>ROUND(SUMIFS(AN_TME22[[#All],[TOTAL Non-Truncated Unadjusted Claims Expenses]], AN_TME22[[#All],[Insurance Category Code]],1, AN_TME22[[#All],[Advanced Network/Insurance Carrier Org ID]],B90), 2)&gt;=ROUND(SUMIFS(AN_TME22[[#All],[TOTAL Truncated Unadjusted Claims Expenses (A21 -A19)]], AN_TME22[[#All],[Insurance Category Code]],1, AN_TME22[[#All],[Advanced Network/Insurance Carrier Org ID]],B90),2)</f>
        <v>1</v>
      </c>
      <c r="O90" s="295" t="b">
        <f>ROUND(SUMIFS(AN_TME22[[#All],[TOTAL Truncated Unadjusted Claims Expenses (A21 -A19)]], AN_TME22[[#All],[Insurance Category Code]],1, AN_TME22[[#All],[Advanced Network/Insurance Carrier Org ID]],B90)+SUMIFS(AN_TME22[[#All],[Total Claims Excluded because of Truncation]], AN_TME22[[#All],[Insurance Category Code]],1, AN_TME22[[#All],[Advanced Network/Insurance Carrier Org ID]],B90),2)=ROUND(SUMIFS(AN_TME22[[#All],[TOTAL Non-Truncated Unadjusted Claims Expenses]], AN_TME22[[#All],[Insurance Category Code]],1, AN_TME22[[#All],[Advanced Network/Insurance Carrier Org ID]],B90), 2)</f>
        <v>1</v>
      </c>
      <c r="Q90" s="236">
        <v>107</v>
      </c>
      <c r="R90" s="463">
        <f>ROUND(SUMIFS(Age_Sex23[[#All],[Total Member Months by Age/Sex Band]], Age_Sex23[[#All],[Advanced Network ID]], $Q90, Age_Sex23[[#All],[Insurance Category Code]],1), 2)</f>
        <v>0</v>
      </c>
      <c r="S90" s="268">
        <f>ROUND(SUMIFS(Age_Sex23[[#All],[Total Dollars Excluded from Spending After Applying Truncation at the Member Level]], Age_Sex23[[#All],[Advanced Network ID]], $B90, Age_Sex23[[#All],[Insurance Category Code]],1),2)</f>
        <v>0</v>
      </c>
      <c r="T90" s="229">
        <f>ROUND(SUMIFS(Age_Sex23[[#All],[Count of Members whose Spending was Truncated]], Age_Sex23[[#All],[Advanced Network ID]], $B90, Age_Sex23[[#All],[Insurance Category Code]],1), 2)</f>
        <v>0</v>
      </c>
      <c r="U90" s="230">
        <f>ROUND(SUMIFS(Age_Sex23[[#All],[Total Spending before Truncation is Applied]], Age_Sex23[[#All],[Advanced Network ID]], $B90, Age_Sex23[[#All],[Insurance Category Code]],1), 2)</f>
        <v>0</v>
      </c>
      <c r="V90" s="232">
        <f>ROUND(SUMIFS(Age_Sex23[[#All],[Total Spending After Applying Truncation at the Member Level]], Age_Sex23[[#All],[Advanced Network ID]], $B90, Age_Sex23[[#All],[Insurance Category Code]],1),2)</f>
        <v>0</v>
      </c>
      <c r="W90" s="416" t="str">
        <f>IF(R90=ROUND(SUMIFS(AN_TME23[[#All],[Member Months]], AN_TME23[[#All],[Insurance Category Code]],1, AN_TME23[[#All],[Advanced Network/Insurance Carrier Org ID]],Q90),2), "TRUE", ROUND(R90-SUMIFS(AN_TME23[[#All],[Member Months]], AN_TME23[[#All],[Insurance Category Code]],1, AN_TME23[[#All],[Advanced Network/Insurance Carrier Org ID]],Q90),2))</f>
        <v>TRUE</v>
      </c>
      <c r="X90" s="280" t="str">
        <f>IF(S90=ROUND(SUMIFS(AN_TME23[[#All],[Total Claims Excluded because of Truncation]], AN_TME23[[#All],[Insurance Category Code]],1, AN_TME23[[#All],[Advanced Network/Insurance Carrier Org ID]],Q90),2), "TRUE", ROUND(S90-SUMIFS(AN_TME23[[#All],[Total Claims Excluded because of Truncation]], AN_TME23[[#All],[Insurance Category Code]],1, AN_TME23[[#All],[Advanced Network/Insurance Carrier Org ID]],Q90),2))</f>
        <v>TRUE</v>
      </c>
      <c r="Y90" s="281" t="str">
        <f>IF(T90=ROUND(SUMIFS(AN_TME23[[#All],[Count of Members with Claims Truncated]], AN_TME23[[#All],[Insurance Category Code]],1, AN_TME23[[#All],[Advanced Network/Insurance Carrier Org ID]],Q90),2), "TRUE", ROUND(T90-SUMIFS(AN_TME23[[#All],[Count of Members with Claims Truncated]], AN_TME23[[#All],[Insurance Category Code]],1, AN_TME23[[#All],[Advanced Network/Insurance Carrier Org ID]],Q90),2))</f>
        <v>TRUE</v>
      </c>
      <c r="Z90" s="282" t="str">
        <f>IF(U90=ROUND(SUMIFS(AN_TME23[[#All],[TOTAL Non-Truncated Unadjusted Claims Expenses]], AN_TME23[[#All],[Insurance Category Code]],1, AN_TME23[[#All],[Advanced Network/Insurance Carrier Org ID]],Q90),2), "TRUE", ROUND(U90-SUMIFS(AN_TME23[[#All],[TOTAL Non-Truncated Unadjusted Claims Expenses]], AN_TME23[[#All],[Insurance Category Code]],1, AN_TME23[[#All],[Advanced Network/Insurance Carrier Org ID]],Q90),2))</f>
        <v>TRUE</v>
      </c>
      <c r="AA90" s="295" t="str">
        <f>IF(V90=ROUND(SUMIFS(AN_TME23[[#All],[TOTAL Truncated Unadjusted Claims Expenses (A21 -A19)]], AN_TME23[[#All],[Insurance Category Code]],1, AN_TME23[[#All],[Advanced Network/Insurance Carrier Org ID]],Q90),2), "TRUE", ROUND(V90-SUMIFS(AN_TME23[[#All],[TOTAL Truncated Unadjusted Claims Expenses (A21 -A19)]], AN_TME23[[#All],[Insurance Category Code]],1, AN_TME23[[#All],[Advanced Network/Insurance Carrier Org ID]],Q90),2))</f>
        <v>TRUE</v>
      </c>
      <c r="AB90" s="461" t="str">
        <f t="shared" si="9"/>
        <v>TRUE</v>
      </c>
      <c r="AC90" s="282" t="b">
        <f>ROUND(SUMIFS(AN_TME23[[#All],[TOTAL Non-Truncated Unadjusted Claims Expenses]], AN_TME23[[#All],[Insurance Category Code]],1, AN_TME23[[#All],[Advanced Network/Insurance Carrier Org ID]],Q90),2)&gt;=ROUND(SUMIFS(AN_TME23[[#All],[TOTAL Truncated Unadjusted Claims Expenses (A21 -A19)]], AN_TME23[[#All],[Insurance Category Code]],1, AN_TME23[[#All],[Advanced Network/Insurance Carrier Org ID]],Q90), 2)</f>
        <v>1</v>
      </c>
      <c r="AD90" s="295" t="b">
        <f>ROUND(SUMIFS(AN_TME23[[#All],[TOTAL Truncated Unadjusted Claims Expenses (A21 -A19)]], AN_TME23[[#All],[Insurance Category Code]],1, AN_TME23[[#All],[Advanced Network/Insurance Carrier Org ID]],Q90)+SUMIFS(AN_TME23[[#All],[Total Claims Excluded because of Truncation]], AN_TME23[[#All],[Insurance Category Code]],1, AN_TME23[[#All],[Advanced Network/Insurance Carrier Org ID]],Q90), 2)=ROUND(SUMIFS(AN_TME23[[#All],[TOTAL Non-Truncated Unadjusted Claims Expenses]], AN_TME23[[#All],[Insurance Category Code]],1, AN_TME23[[#All],[Advanced Network/Insurance Carrier Org ID]],Q90), 2)</f>
        <v>1</v>
      </c>
      <c r="AF90" s="323" t="str">
        <f t="shared" si="8"/>
        <v>NA</v>
      </c>
    </row>
    <row r="91" spans="2:32" outlineLevel="1" x14ac:dyDescent="0.25">
      <c r="B91" s="236">
        <v>108</v>
      </c>
      <c r="C91" s="463">
        <f>ROUND(SUMIFS(Age_Sex22[[#All],[Total Member Months by Age/Sex Band]], Age_Sex22[[#All],[Advanced Network ID]], $B91, Age_Sex22[[#All],[Insurance Category Code]],1), 2)</f>
        <v>0</v>
      </c>
      <c r="D91" s="268">
        <f>ROUND(SUMIFS(Age_Sex22[[#All],[Total Dollars Excluded from Spending After Applying Truncation at the Member Level]], Age_Sex22[[#All],[Advanced Network ID]], $B91, Age_Sex22[[#All],[Insurance Category Code]],1), 2)</f>
        <v>0</v>
      </c>
      <c r="E91" s="229">
        <f>ROUND(SUMIFS(Age_Sex22[[#All],[Count of Members whose Spending was Truncated]], Age_Sex22[[#All],[Advanced Network ID]], $B91, Age_Sex22[[#All],[Insurance Category Code]],1),2)</f>
        <v>0</v>
      </c>
      <c r="F91" s="230">
        <f>ROUND(SUMIFS(Age_Sex22[[#All],[Total Spending before Truncation is Applied]], Age_Sex22[[#All],[Advanced Network ID]], $B91, Age_Sex22[[#All],[Insurance Category Code]],1), 2)</f>
        <v>0</v>
      </c>
      <c r="G91" s="232">
        <f>ROUND(SUMIFS(Age_Sex22[[#All],[Total Spending After Applying Truncation at the Member Level]], Age_Sex22[[#All],[Advanced Network ID]], $B91, Age_Sex22[[#All],[Insurance Category Code]],1), 2)</f>
        <v>0</v>
      </c>
      <c r="H91" s="416" t="str">
        <f>IF(C91=ROUND(SUMIFS(AN_TME22[[#All],[Member Months]], AN_TME22[[#All],[Insurance Category Code]],1, AN_TME22[[#All],[Advanced Network/Insurance Carrier Org ID]],B91),2), "TRUE", ROUND(C91-SUMIFS(AN_TME22[[#All],[Member Months]], AN_TME22[[#All],[Insurance Category Code]],1, AN_TME22[[#All],[Advanced Network/Insurance Carrier Org ID]],B91),2))</f>
        <v>TRUE</v>
      </c>
      <c r="I91" s="280" t="str">
        <f>IF(D91=ROUND(SUMIFS(AN_TME22[[#All],[Total Claims Excluded because of Truncation]], AN_TME22[[#All],[Insurance Category Code]],1, AN_TME22[[#All],[Advanced Network/Insurance Carrier Org ID]],B91),2), "TRUE", ROUND(D91-SUMIFS(AN_TME22[[#All],[Total Claims Excluded because of Truncation]], AN_TME22[[#All],[Insurance Category Code]],1, AN_TME22[[#All],[Advanced Network/Insurance Carrier Org ID]],B91),2))</f>
        <v>TRUE</v>
      </c>
      <c r="J91" s="281" t="str">
        <f>IF(E91=ROUND(SUMIFS(AN_TME22[[#All],[Count of Members with Claims Truncated]], AN_TME22[[#All],[Insurance Category Code]],1, AN_TME22[[#All],[Advanced Network/Insurance Carrier Org ID]],B91),2), "TRUE", ROUND(E91-SUMIFS(AN_TME22[[#All],[Count of Members with Claims Truncated]], AN_TME22[[#All],[Insurance Category Code]],1, AN_TME22[[#All],[Advanced Network/Insurance Carrier Org ID]],B91),2))</f>
        <v>TRUE</v>
      </c>
      <c r="K91" s="282" t="str">
        <f>IF(F91=ROUND(SUMIFS(AN_TME22[[#All],[TOTAL Non-Truncated Unadjusted Claims Expenses]], AN_TME22[[#All],[Insurance Category Code]],1, AN_TME22[[#All],[Advanced Network/Insurance Carrier Org ID]],B91),2), "TRUE", ROUND(F91-SUMIFS(AN_TME22[[#All],[TOTAL Non-Truncated Unadjusted Claims Expenses]], AN_TME22[[#All],[Insurance Category Code]],1, AN_TME22[[#All],[Advanced Network/Insurance Carrier Org ID]],B91),2))</f>
        <v>TRUE</v>
      </c>
      <c r="L91" s="295" t="str">
        <f>IF(G91=ROUND(SUMIFS(AN_TME22[[#All],[TOTAL Truncated Unadjusted Claims Expenses (A21 -A19)]], AN_TME22[[#All],[Insurance Category Code]],1, AN_TME22[[#All],[Advanced Network/Insurance Carrier Org ID]],B91),2), "TRUE", ROUND(G91-SUMIFS(AN_TME22[[#All],[TOTAL Truncated Unadjusted Claims Expenses (A21 -A19)]], AN_TME22[[#All],[Insurance Category Code]],1, AN_TME22[[#All],[Advanced Network/Insurance Carrier Org ID]],B91),2))</f>
        <v>TRUE</v>
      </c>
      <c r="M91" s="461" t="str">
        <f t="shared" si="7"/>
        <v>TRUE</v>
      </c>
      <c r="N91" s="282" t="b">
        <f>ROUND(SUMIFS(AN_TME22[[#All],[TOTAL Non-Truncated Unadjusted Claims Expenses]], AN_TME22[[#All],[Insurance Category Code]],1, AN_TME22[[#All],[Advanced Network/Insurance Carrier Org ID]],B91), 2)&gt;=ROUND(SUMIFS(AN_TME22[[#All],[TOTAL Truncated Unadjusted Claims Expenses (A21 -A19)]], AN_TME22[[#All],[Insurance Category Code]],1, AN_TME22[[#All],[Advanced Network/Insurance Carrier Org ID]],B91),2)</f>
        <v>1</v>
      </c>
      <c r="O91" s="295" t="b">
        <f>ROUND(SUMIFS(AN_TME22[[#All],[TOTAL Truncated Unadjusted Claims Expenses (A21 -A19)]], AN_TME22[[#All],[Insurance Category Code]],1, AN_TME22[[#All],[Advanced Network/Insurance Carrier Org ID]],B91)+SUMIFS(AN_TME22[[#All],[Total Claims Excluded because of Truncation]], AN_TME22[[#All],[Insurance Category Code]],1, AN_TME22[[#All],[Advanced Network/Insurance Carrier Org ID]],B91),2)=ROUND(SUMIFS(AN_TME22[[#All],[TOTAL Non-Truncated Unadjusted Claims Expenses]], AN_TME22[[#All],[Insurance Category Code]],1, AN_TME22[[#All],[Advanced Network/Insurance Carrier Org ID]],B91), 2)</f>
        <v>1</v>
      </c>
      <c r="Q91" s="236">
        <v>108</v>
      </c>
      <c r="R91" s="463">
        <f>ROUND(SUMIFS(Age_Sex23[[#All],[Total Member Months by Age/Sex Band]], Age_Sex23[[#All],[Advanced Network ID]], $Q91, Age_Sex23[[#All],[Insurance Category Code]],1), 2)</f>
        <v>0</v>
      </c>
      <c r="S91" s="268">
        <f>ROUND(SUMIFS(Age_Sex23[[#All],[Total Dollars Excluded from Spending After Applying Truncation at the Member Level]], Age_Sex23[[#All],[Advanced Network ID]], $B91, Age_Sex23[[#All],[Insurance Category Code]],1),2)</f>
        <v>0</v>
      </c>
      <c r="T91" s="229">
        <f>ROUND(SUMIFS(Age_Sex23[[#All],[Count of Members whose Spending was Truncated]], Age_Sex23[[#All],[Advanced Network ID]], $B91, Age_Sex23[[#All],[Insurance Category Code]],1), 2)</f>
        <v>0</v>
      </c>
      <c r="U91" s="230">
        <f>ROUND(SUMIFS(Age_Sex23[[#All],[Total Spending before Truncation is Applied]], Age_Sex23[[#All],[Advanced Network ID]], $B91, Age_Sex23[[#All],[Insurance Category Code]],1), 2)</f>
        <v>0</v>
      </c>
      <c r="V91" s="232">
        <f>ROUND(SUMIFS(Age_Sex23[[#All],[Total Spending After Applying Truncation at the Member Level]], Age_Sex23[[#All],[Advanced Network ID]], $B91, Age_Sex23[[#All],[Insurance Category Code]],1),2)</f>
        <v>0</v>
      </c>
      <c r="W91" s="416" t="str">
        <f>IF(R91=ROUND(SUMIFS(AN_TME23[[#All],[Member Months]], AN_TME23[[#All],[Insurance Category Code]],1, AN_TME23[[#All],[Advanced Network/Insurance Carrier Org ID]],Q91),2), "TRUE", ROUND(R91-SUMIFS(AN_TME23[[#All],[Member Months]], AN_TME23[[#All],[Insurance Category Code]],1, AN_TME23[[#All],[Advanced Network/Insurance Carrier Org ID]],Q91),2))</f>
        <v>TRUE</v>
      </c>
      <c r="X91" s="280" t="str">
        <f>IF(S91=ROUND(SUMIFS(AN_TME23[[#All],[Total Claims Excluded because of Truncation]], AN_TME23[[#All],[Insurance Category Code]],1, AN_TME23[[#All],[Advanced Network/Insurance Carrier Org ID]],Q91),2), "TRUE", ROUND(S91-SUMIFS(AN_TME23[[#All],[Total Claims Excluded because of Truncation]], AN_TME23[[#All],[Insurance Category Code]],1, AN_TME23[[#All],[Advanced Network/Insurance Carrier Org ID]],Q91),2))</f>
        <v>TRUE</v>
      </c>
      <c r="Y91" s="281" t="str">
        <f>IF(T91=ROUND(SUMIFS(AN_TME23[[#All],[Count of Members with Claims Truncated]], AN_TME23[[#All],[Insurance Category Code]],1, AN_TME23[[#All],[Advanced Network/Insurance Carrier Org ID]],Q91),2), "TRUE", ROUND(T91-SUMIFS(AN_TME23[[#All],[Count of Members with Claims Truncated]], AN_TME23[[#All],[Insurance Category Code]],1, AN_TME23[[#All],[Advanced Network/Insurance Carrier Org ID]],Q91),2))</f>
        <v>TRUE</v>
      </c>
      <c r="Z91" s="282" t="str">
        <f>IF(U91=ROUND(SUMIFS(AN_TME23[[#All],[TOTAL Non-Truncated Unadjusted Claims Expenses]], AN_TME23[[#All],[Insurance Category Code]],1, AN_TME23[[#All],[Advanced Network/Insurance Carrier Org ID]],Q91),2), "TRUE", ROUND(U91-SUMIFS(AN_TME23[[#All],[TOTAL Non-Truncated Unadjusted Claims Expenses]], AN_TME23[[#All],[Insurance Category Code]],1, AN_TME23[[#All],[Advanced Network/Insurance Carrier Org ID]],Q91),2))</f>
        <v>TRUE</v>
      </c>
      <c r="AA91" s="295" t="str">
        <f>IF(V91=ROUND(SUMIFS(AN_TME23[[#All],[TOTAL Truncated Unadjusted Claims Expenses (A21 -A19)]], AN_TME23[[#All],[Insurance Category Code]],1, AN_TME23[[#All],[Advanced Network/Insurance Carrier Org ID]],Q91),2), "TRUE", ROUND(V91-SUMIFS(AN_TME23[[#All],[TOTAL Truncated Unadjusted Claims Expenses (A21 -A19)]], AN_TME23[[#All],[Insurance Category Code]],1, AN_TME23[[#All],[Advanced Network/Insurance Carrier Org ID]],Q91),2))</f>
        <v>TRUE</v>
      </c>
      <c r="AB91" s="461" t="str">
        <f t="shared" si="9"/>
        <v>TRUE</v>
      </c>
      <c r="AC91" s="282" t="b">
        <f>ROUND(SUMIFS(AN_TME23[[#All],[TOTAL Non-Truncated Unadjusted Claims Expenses]], AN_TME23[[#All],[Insurance Category Code]],1, AN_TME23[[#All],[Advanced Network/Insurance Carrier Org ID]],Q91),2)&gt;=ROUND(SUMIFS(AN_TME23[[#All],[TOTAL Truncated Unadjusted Claims Expenses (A21 -A19)]], AN_TME23[[#All],[Insurance Category Code]],1, AN_TME23[[#All],[Advanced Network/Insurance Carrier Org ID]],Q91), 2)</f>
        <v>1</v>
      </c>
      <c r="AD91" s="295" t="b">
        <f>ROUND(SUMIFS(AN_TME23[[#All],[TOTAL Truncated Unadjusted Claims Expenses (A21 -A19)]], AN_TME23[[#All],[Insurance Category Code]],1, AN_TME23[[#All],[Advanced Network/Insurance Carrier Org ID]],Q91)+SUMIFS(AN_TME23[[#All],[Total Claims Excluded because of Truncation]], AN_TME23[[#All],[Insurance Category Code]],1, AN_TME23[[#All],[Advanced Network/Insurance Carrier Org ID]],Q91), 2)=ROUND(SUMIFS(AN_TME23[[#All],[TOTAL Non-Truncated Unadjusted Claims Expenses]], AN_TME23[[#All],[Insurance Category Code]],1, AN_TME23[[#All],[Advanced Network/Insurance Carrier Org ID]],Q91), 2)</f>
        <v>1</v>
      </c>
      <c r="AF91" s="323" t="str">
        <f t="shared" si="8"/>
        <v>NA</v>
      </c>
    </row>
    <row r="92" spans="2:32" outlineLevel="1" x14ac:dyDescent="0.25">
      <c r="B92" s="236">
        <v>109</v>
      </c>
      <c r="C92" s="463">
        <f>ROUND(SUMIFS(Age_Sex22[[#All],[Total Member Months by Age/Sex Band]], Age_Sex22[[#All],[Advanced Network ID]], $B92, Age_Sex22[[#All],[Insurance Category Code]],1), 2)</f>
        <v>0</v>
      </c>
      <c r="D92" s="268">
        <f>ROUND(SUMIFS(Age_Sex22[[#All],[Total Dollars Excluded from Spending After Applying Truncation at the Member Level]], Age_Sex22[[#All],[Advanced Network ID]], $B92, Age_Sex22[[#All],[Insurance Category Code]],1), 2)</f>
        <v>0</v>
      </c>
      <c r="E92" s="229">
        <f>ROUND(SUMIFS(Age_Sex22[[#All],[Count of Members whose Spending was Truncated]], Age_Sex22[[#All],[Advanced Network ID]], $B92, Age_Sex22[[#All],[Insurance Category Code]],1),2)</f>
        <v>0</v>
      </c>
      <c r="F92" s="230">
        <f>ROUND(SUMIFS(Age_Sex22[[#All],[Total Spending before Truncation is Applied]], Age_Sex22[[#All],[Advanced Network ID]], $B92, Age_Sex22[[#All],[Insurance Category Code]],1), 2)</f>
        <v>0</v>
      </c>
      <c r="G92" s="232">
        <f>ROUND(SUMIFS(Age_Sex22[[#All],[Total Spending After Applying Truncation at the Member Level]], Age_Sex22[[#All],[Advanced Network ID]], $B92, Age_Sex22[[#All],[Insurance Category Code]],1), 2)</f>
        <v>0</v>
      </c>
      <c r="H92" s="416" t="str">
        <f>IF(C92=ROUND(SUMIFS(AN_TME22[[#All],[Member Months]], AN_TME22[[#All],[Insurance Category Code]],1, AN_TME22[[#All],[Advanced Network/Insurance Carrier Org ID]],B92),2), "TRUE", ROUND(C92-SUMIFS(AN_TME22[[#All],[Member Months]], AN_TME22[[#All],[Insurance Category Code]],1, AN_TME22[[#All],[Advanced Network/Insurance Carrier Org ID]],B92),2))</f>
        <v>TRUE</v>
      </c>
      <c r="I92" s="280" t="str">
        <f>IF(D92=ROUND(SUMIFS(AN_TME22[[#All],[Total Claims Excluded because of Truncation]], AN_TME22[[#All],[Insurance Category Code]],1, AN_TME22[[#All],[Advanced Network/Insurance Carrier Org ID]],B92),2), "TRUE", ROUND(D92-SUMIFS(AN_TME22[[#All],[Total Claims Excluded because of Truncation]], AN_TME22[[#All],[Insurance Category Code]],1, AN_TME22[[#All],[Advanced Network/Insurance Carrier Org ID]],B92),2))</f>
        <v>TRUE</v>
      </c>
      <c r="J92" s="281" t="str">
        <f>IF(E92=ROUND(SUMIFS(AN_TME22[[#All],[Count of Members with Claims Truncated]], AN_TME22[[#All],[Insurance Category Code]],1, AN_TME22[[#All],[Advanced Network/Insurance Carrier Org ID]],B92),2), "TRUE", ROUND(E92-SUMIFS(AN_TME22[[#All],[Count of Members with Claims Truncated]], AN_TME22[[#All],[Insurance Category Code]],1, AN_TME22[[#All],[Advanced Network/Insurance Carrier Org ID]],B92),2))</f>
        <v>TRUE</v>
      </c>
      <c r="K92" s="282" t="str">
        <f>IF(F92=ROUND(SUMIFS(AN_TME22[[#All],[TOTAL Non-Truncated Unadjusted Claims Expenses]], AN_TME22[[#All],[Insurance Category Code]],1, AN_TME22[[#All],[Advanced Network/Insurance Carrier Org ID]],B92),2), "TRUE", ROUND(F92-SUMIFS(AN_TME22[[#All],[TOTAL Non-Truncated Unadjusted Claims Expenses]], AN_TME22[[#All],[Insurance Category Code]],1, AN_TME22[[#All],[Advanced Network/Insurance Carrier Org ID]],B92),2))</f>
        <v>TRUE</v>
      </c>
      <c r="L92" s="295" t="str">
        <f>IF(G92=ROUND(SUMIFS(AN_TME22[[#All],[TOTAL Truncated Unadjusted Claims Expenses (A21 -A19)]], AN_TME22[[#All],[Insurance Category Code]],1, AN_TME22[[#All],[Advanced Network/Insurance Carrier Org ID]],B92),2), "TRUE", ROUND(G92-SUMIFS(AN_TME22[[#All],[TOTAL Truncated Unadjusted Claims Expenses (A21 -A19)]], AN_TME22[[#All],[Insurance Category Code]],1, AN_TME22[[#All],[Advanced Network/Insurance Carrier Org ID]],B92),2))</f>
        <v>TRUE</v>
      </c>
      <c r="M92" s="461" t="str">
        <f t="shared" si="7"/>
        <v>TRUE</v>
      </c>
      <c r="N92" s="282" t="b">
        <f>ROUND(SUMIFS(AN_TME22[[#All],[TOTAL Non-Truncated Unadjusted Claims Expenses]], AN_TME22[[#All],[Insurance Category Code]],1, AN_TME22[[#All],[Advanced Network/Insurance Carrier Org ID]],B92), 2)&gt;=ROUND(SUMIFS(AN_TME22[[#All],[TOTAL Truncated Unadjusted Claims Expenses (A21 -A19)]], AN_TME22[[#All],[Insurance Category Code]],1, AN_TME22[[#All],[Advanced Network/Insurance Carrier Org ID]],B92),2)</f>
        <v>1</v>
      </c>
      <c r="O92" s="295" t="b">
        <f>ROUND(SUMIFS(AN_TME22[[#All],[TOTAL Truncated Unadjusted Claims Expenses (A21 -A19)]], AN_TME22[[#All],[Insurance Category Code]],1, AN_TME22[[#All],[Advanced Network/Insurance Carrier Org ID]],B92)+SUMIFS(AN_TME22[[#All],[Total Claims Excluded because of Truncation]], AN_TME22[[#All],[Insurance Category Code]],1, AN_TME22[[#All],[Advanced Network/Insurance Carrier Org ID]],B92),2)=ROUND(SUMIFS(AN_TME22[[#All],[TOTAL Non-Truncated Unadjusted Claims Expenses]], AN_TME22[[#All],[Insurance Category Code]],1, AN_TME22[[#All],[Advanced Network/Insurance Carrier Org ID]],B92), 2)</f>
        <v>1</v>
      </c>
      <c r="Q92" s="236">
        <v>109</v>
      </c>
      <c r="R92" s="463">
        <f>ROUND(SUMIFS(Age_Sex23[[#All],[Total Member Months by Age/Sex Band]], Age_Sex23[[#All],[Advanced Network ID]], $Q92, Age_Sex23[[#All],[Insurance Category Code]],1), 2)</f>
        <v>0</v>
      </c>
      <c r="S92" s="268">
        <f>ROUND(SUMIFS(Age_Sex23[[#All],[Total Dollars Excluded from Spending After Applying Truncation at the Member Level]], Age_Sex23[[#All],[Advanced Network ID]], $B92, Age_Sex23[[#All],[Insurance Category Code]],1),2)</f>
        <v>0</v>
      </c>
      <c r="T92" s="229">
        <f>ROUND(SUMIFS(Age_Sex23[[#All],[Count of Members whose Spending was Truncated]], Age_Sex23[[#All],[Advanced Network ID]], $B92, Age_Sex23[[#All],[Insurance Category Code]],1), 2)</f>
        <v>0</v>
      </c>
      <c r="U92" s="230">
        <f>ROUND(SUMIFS(Age_Sex23[[#All],[Total Spending before Truncation is Applied]], Age_Sex23[[#All],[Advanced Network ID]], $B92, Age_Sex23[[#All],[Insurance Category Code]],1), 2)</f>
        <v>0</v>
      </c>
      <c r="V92" s="232">
        <f>ROUND(SUMIFS(Age_Sex23[[#All],[Total Spending After Applying Truncation at the Member Level]], Age_Sex23[[#All],[Advanced Network ID]], $B92, Age_Sex23[[#All],[Insurance Category Code]],1),2)</f>
        <v>0</v>
      </c>
      <c r="W92" s="416" t="str">
        <f>IF(R92=ROUND(SUMIFS(AN_TME23[[#All],[Member Months]], AN_TME23[[#All],[Insurance Category Code]],1, AN_TME23[[#All],[Advanced Network/Insurance Carrier Org ID]],Q92),2), "TRUE", ROUND(R92-SUMIFS(AN_TME23[[#All],[Member Months]], AN_TME23[[#All],[Insurance Category Code]],1, AN_TME23[[#All],[Advanced Network/Insurance Carrier Org ID]],Q92),2))</f>
        <v>TRUE</v>
      </c>
      <c r="X92" s="280" t="str">
        <f>IF(S92=ROUND(SUMIFS(AN_TME23[[#All],[Total Claims Excluded because of Truncation]], AN_TME23[[#All],[Insurance Category Code]],1, AN_TME23[[#All],[Advanced Network/Insurance Carrier Org ID]],Q92),2), "TRUE", ROUND(S92-SUMIFS(AN_TME23[[#All],[Total Claims Excluded because of Truncation]], AN_TME23[[#All],[Insurance Category Code]],1, AN_TME23[[#All],[Advanced Network/Insurance Carrier Org ID]],Q92),2))</f>
        <v>TRUE</v>
      </c>
      <c r="Y92" s="281" t="str">
        <f>IF(T92=ROUND(SUMIFS(AN_TME23[[#All],[Count of Members with Claims Truncated]], AN_TME23[[#All],[Insurance Category Code]],1, AN_TME23[[#All],[Advanced Network/Insurance Carrier Org ID]],Q92),2), "TRUE", ROUND(T92-SUMIFS(AN_TME23[[#All],[Count of Members with Claims Truncated]], AN_TME23[[#All],[Insurance Category Code]],1, AN_TME23[[#All],[Advanced Network/Insurance Carrier Org ID]],Q92),2))</f>
        <v>TRUE</v>
      </c>
      <c r="Z92" s="282" t="str">
        <f>IF(U92=ROUND(SUMIFS(AN_TME23[[#All],[TOTAL Non-Truncated Unadjusted Claims Expenses]], AN_TME23[[#All],[Insurance Category Code]],1, AN_TME23[[#All],[Advanced Network/Insurance Carrier Org ID]],Q92),2), "TRUE", ROUND(U92-SUMIFS(AN_TME23[[#All],[TOTAL Non-Truncated Unadjusted Claims Expenses]], AN_TME23[[#All],[Insurance Category Code]],1, AN_TME23[[#All],[Advanced Network/Insurance Carrier Org ID]],Q92),2))</f>
        <v>TRUE</v>
      </c>
      <c r="AA92" s="295" t="str">
        <f>IF(V92=ROUND(SUMIFS(AN_TME23[[#All],[TOTAL Truncated Unadjusted Claims Expenses (A21 -A19)]], AN_TME23[[#All],[Insurance Category Code]],1, AN_TME23[[#All],[Advanced Network/Insurance Carrier Org ID]],Q92),2), "TRUE", ROUND(V92-SUMIFS(AN_TME23[[#All],[TOTAL Truncated Unadjusted Claims Expenses (A21 -A19)]], AN_TME23[[#All],[Insurance Category Code]],1, AN_TME23[[#All],[Advanced Network/Insurance Carrier Org ID]],Q92),2))</f>
        <v>TRUE</v>
      </c>
      <c r="AB92" s="461" t="str">
        <f t="shared" si="9"/>
        <v>TRUE</v>
      </c>
      <c r="AC92" s="282" t="b">
        <f>ROUND(SUMIFS(AN_TME23[[#All],[TOTAL Non-Truncated Unadjusted Claims Expenses]], AN_TME23[[#All],[Insurance Category Code]],1, AN_TME23[[#All],[Advanced Network/Insurance Carrier Org ID]],Q92),2)&gt;=ROUND(SUMIFS(AN_TME23[[#All],[TOTAL Truncated Unadjusted Claims Expenses (A21 -A19)]], AN_TME23[[#All],[Insurance Category Code]],1, AN_TME23[[#All],[Advanced Network/Insurance Carrier Org ID]],Q92), 2)</f>
        <v>1</v>
      </c>
      <c r="AD92" s="295" t="b">
        <f>ROUND(SUMIFS(AN_TME23[[#All],[TOTAL Truncated Unadjusted Claims Expenses (A21 -A19)]], AN_TME23[[#All],[Insurance Category Code]],1, AN_TME23[[#All],[Advanced Network/Insurance Carrier Org ID]],Q92)+SUMIFS(AN_TME23[[#All],[Total Claims Excluded because of Truncation]], AN_TME23[[#All],[Insurance Category Code]],1, AN_TME23[[#All],[Advanced Network/Insurance Carrier Org ID]],Q92), 2)=ROUND(SUMIFS(AN_TME23[[#All],[TOTAL Non-Truncated Unadjusted Claims Expenses]], AN_TME23[[#All],[Insurance Category Code]],1, AN_TME23[[#All],[Advanced Network/Insurance Carrier Org ID]],Q92), 2)</f>
        <v>1</v>
      </c>
      <c r="AF92" s="323" t="str">
        <f t="shared" si="8"/>
        <v>NA</v>
      </c>
    </row>
    <row r="93" spans="2:32" outlineLevel="1" x14ac:dyDescent="0.25">
      <c r="B93" s="236">
        <v>110</v>
      </c>
      <c r="C93" s="463">
        <f>ROUND(SUMIFS(Age_Sex22[[#All],[Total Member Months by Age/Sex Band]], Age_Sex22[[#All],[Advanced Network ID]], $B93, Age_Sex22[[#All],[Insurance Category Code]],1), 2)</f>
        <v>0</v>
      </c>
      <c r="D93" s="268">
        <f>ROUND(SUMIFS(Age_Sex22[[#All],[Total Dollars Excluded from Spending After Applying Truncation at the Member Level]], Age_Sex22[[#All],[Advanced Network ID]], $B93, Age_Sex22[[#All],[Insurance Category Code]],1), 2)</f>
        <v>0</v>
      </c>
      <c r="E93" s="229">
        <f>ROUND(SUMIFS(Age_Sex22[[#All],[Count of Members whose Spending was Truncated]], Age_Sex22[[#All],[Advanced Network ID]], $B93, Age_Sex22[[#All],[Insurance Category Code]],1),2)</f>
        <v>0</v>
      </c>
      <c r="F93" s="230">
        <f>ROUND(SUMIFS(Age_Sex22[[#All],[Total Spending before Truncation is Applied]], Age_Sex22[[#All],[Advanced Network ID]], $B93, Age_Sex22[[#All],[Insurance Category Code]],1), 2)</f>
        <v>0</v>
      </c>
      <c r="G93" s="232">
        <f>ROUND(SUMIFS(Age_Sex22[[#All],[Total Spending After Applying Truncation at the Member Level]], Age_Sex22[[#All],[Advanced Network ID]], $B93, Age_Sex22[[#All],[Insurance Category Code]],1), 2)</f>
        <v>0</v>
      </c>
      <c r="H93" s="416" t="str">
        <f>IF(C93=ROUND(SUMIFS(AN_TME22[[#All],[Member Months]], AN_TME22[[#All],[Insurance Category Code]],1, AN_TME22[[#All],[Advanced Network/Insurance Carrier Org ID]],B93),2), "TRUE", ROUND(C93-SUMIFS(AN_TME22[[#All],[Member Months]], AN_TME22[[#All],[Insurance Category Code]],1, AN_TME22[[#All],[Advanced Network/Insurance Carrier Org ID]],B93),2))</f>
        <v>TRUE</v>
      </c>
      <c r="I93" s="280" t="str">
        <f>IF(D93=ROUND(SUMIFS(AN_TME22[[#All],[Total Claims Excluded because of Truncation]], AN_TME22[[#All],[Insurance Category Code]],1, AN_TME22[[#All],[Advanced Network/Insurance Carrier Org ID]],B93),2), "TRUE", ROUND(D93-SUMIFS(AN_TME22[[#All],[Total Claims Excluded because of Truncation]], AN_TME22[[#All],[Insurance Category Code]],1, AN_TME22[[#All],[Advanced Network/Insurance Carrier Org ID]],B93),2))</f>
        <v>TRUE</v>
      </c>
      <c r="J93" s="281" t="str">
        <f>IF(E93=ROUND(SUMIFS(AN_TME22[[#All],[Count of Members with Claims Truncated]], AN_TME22[[#All],[Insurance Category Code]],1, AN_TME22[[#All],[Advanced Network/Insurance Carrier Org ID]],B93),2), "TRUE", ROUND(E93-SUMIFS(AN_TME22[[#All],[Count of Members with Claims Truncated]], AN_TME22[[#All],[Insurance Category Code]],1, AN_TME22[[#All],[Advanced Network/Insurance Carrier Org ID]],B93),2))</f>
        <v>TRUE</v>
      </c>
      <c r="K93" s="282" t="str">
        <f>IF(F93=ROUND(SUMIFS(AN_TME22[[#All],[TOTAL Non-Truncated Unadjusted Claims Expenses]], AN_TME22[[#All],[Insurance Category Code]],1, AN_TME22[[#All],[Advanced Network/Insurance Carrier Org ID]],B93),2), "TRUE", ROUND(F93-SUMIFS(AN_TME22[[#All],[TOTAL Non-Truncated Unadjusted Claims Expenses]], AN_TME22[[#All],[Insurance Category Code]],1, AN_TME22[[#All],[Advanced Network/Insurance Carrier Org ID]],B93),2))</f>
        <v>TRUE</v>
      </c>
      <c r="L93" s="295" t="str">
        <f>IF(G93=ROUND(SUMIFS(AN_TME22[[#All],[TOTAL Truncated Unadjusted Claims Expenses (A21 -A19)]], AN_TME22[[#All],[Insurance Category Code]],1, AN_TME22[[#All],[Advanced Network/Insurance Carrier Org ID]],B93),2), "TRUE", ROUND(G93-SUMIFS(AN_TME22[[#All],[TOTAL Truncated Unadjusted Claims Expenses (A21 -A19)]], AN_TME22[[#All],[Insurance Category Code]],1, AN_TME22[[#All],[Advanced Network/Insurance Carrier Org ID]],B93),2))</f>
        <v>TRUE</v>
      </c>
      <c r="M93" s="461" t="str">
        <f t="shared" si="7"/>
        <v>TRUE</v>
      </c>
      <c r="N93" s="282" t="b">
        <f>ROUND(SUMIFS(AN_TME22[[#All],[TOTAL Non-Truncated Unadjusted Claims Expenses]], AN_TME22[[#All],[Insurance Category Code]],1, AN_TME22[[#All],[Advanced Network/Insurance Carrier Org ID]],B93), 2)&gt;=ROUND(SUMIFS(AN_TME22[[#All],[TOTAL Truncated Unadjusted Claims Expenses (A21 -A19)]], AN_TME22[[#All],[Insurance Category Code]],1, AN_TME22[[#All],[Advanced Network/Insurance Carrier Org ID]],B93),2)</f>
        <v>1</v>
      </c>
      <c r="O93" s="295" t="b">
        <f>ROUND(SUMIFS(AN_TME22[[#All],[TOTAL Truncated Unadjusted Claims Expenses (A21 -A19)]], AN_TME22[[#All],[Insurance Category Code]],1, AN_TME22[[#All],[Advanced Network/Insurance Carrier Org ID]],B93)+SUMIFS(AN_TME22[[#All],[Total Claims Excluded because of Truncation]], AN_TME22[[#All],[Insurance Category Code]],1, AN_TME22[[#All],[Advanced Network/Insurance Carrier Org ID]],B93),2)=ROUND(SUMIFS(AN_TME22[[#All],[TOTAL Non-Truncated Unadjusted Claims Expenses]], AN_TME22[[#All],[Insurance Category Code]],1, AN_TME22[[#All],[Advanced Network/Insurance Carrier Org ID]],B93), 2)</f>
        <v>1</v>
      </c>
      <c r="Q93" s="236">
        <v>110</v>
      </c>
      <c r="R93" s="463">
        <f>ROUND(SUMIFS(Age_Sex23[[#All],[Total Member Months by Age/Sex Band]], Age_Sex23[[#All],[Advanced Network ID]], $Q93, Age_Sex23[[#All],[Insurance Category Code]],1), 2)</f>
        <v>0</v>
      </c>
      <c r="S93" s="268">
        <f>ROUND(SUMIFS(Age_Sex23[[#All],[Total Dollars Excluded from Spending After Applying Truncation at the Member Level]], Age_Sex23[[#All],[Advanced Network ID]], $B93, Age_Sex23[[#All],[Insurance Category Code]],1),2)</f>
        <v>0</v>
      </c>
      <c r="T93" s="229">
        <f>ROUND(SUMIFS(Age_Sex23[[#All],[Count of Members whose Spending was Truncated]], Age_Sex23[[#All],[Advanced Network ID]], $B93, Age_Sex23[[#All],[Insurance Category Code]],1), 2)</f>
        <v>0</v>
      </c>
      <c r="U93" s="230">
        <f>ROUND(SUMIFS(Age_Sex23[[#All],[Total Spending before Truncation is Applied]], Age_Sex23[[#All],[Advanced Network ID]], $B93, Age_Sex23[[#All],[Insurance Category Code]],1), 2)</f>
        <v>0</v>
      </c>
      <c r="V93" s="232">
        <f>ROUND(SUMIFS(Age_Sex23[[#All],[Total Spending After Applying Truncation at the Member Level]], Age_Sex23[[#All],[Advanced Network ID]], $B93, Age_Sex23[[#All],[Insurance Category Code]],1),2)</f>
        <v>0</v>
      </c>
      <c r="W93" s="416" t="str">
        <f>IF(R93=ROUND(SUMIFS(AN_TME23[[#All],[Member Months]], AN_TME23[[#All],[Insurance Category Code]],1, AN_TME23[[#All],[Advanced Network/Insurance Carrier Org ID]],Q93),2), "TRUE", ROUND(R93-SUMIFS(AN_TME23[[#All],[Member Months]], AN_TME23[[#All],[Insurance Category Code]],1, AN_TME23[[#All],[Advanced Network/Insurance Carrier Org ID]],Q93),2))</f>
        <v>TRUE</v>
      </c>
      <c r="X93" s="280" t="str">
        <f>IF(S93=ROUND(SUMIFS(AN_TME23[[#All],[Total Claims Excluded because of Truncation]], AN_TME23[[#All],[Insurance Category Code]],1, AN_TME23[[#All],[Advanced Network/Insurance Carrier Org ID]],Q93),2), "TRUE", ROUND(S93-SUMIFS(AN_TME23[[#All],[Total Claims Excluded because of Truncation]], AN_TME23[[#All],[Insurance Category Code]],1, AN_TME23[[#All],[Advanced Network/Insurance Carrier Org ID]],Q93),2))</f>
        <v>TRUE</v>
      </c>
      <c r="Y93" s="281" t="str">
        <f>IF(T93=ROUND(SUMIFS(AN_TME23[[#All],[Count of Members with Claims Truncated]], AN_TME23[[#All],[Insurance Category Code]],1, AN_TME23[[#All],[Advanced Network/Insurance Carrier Org ID]],Q93),2), "TRUE", ROUND(T93-SUMIFS(AN_TME23[[#All],[Count of Members with Claims Truncated]], AN_TME23[[#All],[Insurance Category Code]],1, AN_TME23[[#All],[Advanced Network/Insurance Carrier Org ID]],Q93),2))</f>
        <v>TRUE</v>
      </c>
      <c r="Z93" s="282" t="str">
        <f>IF(U93=ROUND(SUMIFS(AN_TME23[[#All],[TOTAL Non-Truncated Unadjusted Claims Expenses]], AN_TME23[[#All],[Insurance Category Code]],1, AN_TME23[[#All],[Advanced Network/Insurance Carrier Org ID]],Q93),2), "TRUE", ROUND(U93-SUMIFS(AN_TME23[[#All],[TOTAL Non-Truncated Unadjusted Claims Expenses]], AN_TME23[[#All],[Insurance Category Code]],1, AN_TME23[[#All],[Advanced Network/Insurance Carrier Org ID]],Q93),2))</f>
        <v>TRUE</v>
      </c>
      <c r="AA93" s="295" t="str">
        <f>IF(V93=ROUND(SUMIFS(AN_TME23[[#All],[TOTAL Truncated Unadjusted Claims Expenses (A21 -A19)]], AN_TME23[[#All],[Insurance Category Code]],1, AN_TME23[[#All],[Advanced Network/Insurance Carrier Org ID]],Q93),2), "TRUE", ROUND(V93-SUMIFS(AN_TME23[[#All],[TOTAL Truncated Unadjusted Claims Expenses (A21 -A19)]], AN_TME23[[#All],[Insurance Category Code]],1, AN_TME23[[#All],[Advanced Network/Insurance Carrier Org ID]],Q93),2))</f>
        <v>TRUE</v>
      </c>
      <c r="AB93" s="461" t="str">
        <f t="shared" si="9"/>
        <v>TRUE</v>
      </c>
      <c r="AC93" s="282" t="b">
        <f>ROUND(SUMIFS(AN_TME23[[#All],[TOTAL Non-Truncated Unadjusted Claims Expenses]], AN_TME23[[#All],[Insurance Category Code]],1, AN_TME23[[#All],[Advanced Network/Insurance Carrier Org ID]],Q93),2)&gt;=ROUND(SUMIFS(AN_TME23[[#All],[TOTAL Truncated Unadjusted Claims Expenses (A21 -A19)]], AN_TME23[[#All],[Insurance Category Code]],1, AN_TME23[[#All],[Advanced Network/Insurance Carrier Org ID]],Q93), 2)</f>
        <v>1</v>
      </c>
      <c r="AD93" s="295" t="b">
        <f>ROUND(SUMIFS(AN_TME23[[#All],[TOTAL Truncated Unadjusted Claims Expenses (A21 -A19)]], AN_TME23[[#All],[Insurance Category Code]],1, AN_TME23[[#All],[Advanced Network/Insurance Carrier Org ID]],Q93)+SUMIFS(AN_TME23[[#All],[Total Claims Excluded because of Truncation]], AN_TME23[[#All],[Insurance Category Code]],1, AN_TME23[[#All],[Advanced Network/Insurance Carrier Org ID]],Q93), 2)=ROUND(SUMIFS(AN_TME23[[#All],[TOTAL Non-Truncated Unadjusted Claims Expenses]], AN_TME23[[#All],[Insurance Category Code]],1, AN_TME23[[#All],[Advanced Network/Insurance Carrier Org ID]],Q93), 2)</f>
        <v>1</v>
      </c>
      <c r="AF93" s="323" t="str">
        <f t="shared" si="8"/>
        <v>NA</v>
      </c>
    </row>
    <row r="94" spans="2:32" outlineLevel="1" x14ac:dyDescent="0.25">
      <c r="B94" s="236">
        <v>111</v>
      </c>
      <c r="C94" s="463">
        <f>ROUND(SUMIFS(Age_Sex22[[#All],[Total Member Months by Age/Sex Band]], Age_Sex22[[#All],[Advanced Network ID]], $B94, Age_Sex22[[#All],[Insurance Category Code]],1), 2)</f>
        <v>0</v>
      </c>
      <c r="D94" s="268">
        <f>ROUND(SUMIFS(Age_Sex22[[#All],[Total Dollars Excluded from Spending After Applying Truncation at the Member Level]], Age_Sex22[[#All],[Advanced Network ID]], $B94, Age_Sex22[[#All],[Insurance Category Code]],1), 2)</f>
        <v>0</v>
      </c>
      <c r="E94" s="229">
        <f>ROUND(SUMIFS(Age_Sex22[[#All],[Count of Members whose Spending was Truncated]], Age_Sex22[[#All],[Advanced Network ID]], $B94, Age_Sex22[[#All],[Insurance Category Code]],1),2)</f>
        <v>0</v>
      </c>
      <c r="F94" s="230">
        <f>ROUND(SUMIFS(Age_Sex22[[#All],[Total Spending before Truncation is Applied]], Age_Sex22[[#All],[Advanced Network ID]], $B94, Age_Sex22[[#All],[Insurance Category Code]],1), 2)</f>
        <v>0</v>
      </c>
      <c r="G94" s="232">
        <f>ROUND(SUMIFS(Age_Sex22[[#All],[Total Spending After Applying Truncation at the Member Level]], Age_Sex22[[#All],[Advanced Network ID]], $B94, Age_Sex22[[#All],[Insurance Category Code]],1), 2)</f>
        <v>0</v>
      </c>
      <c r="H94" s="416" t="str">
        <f>IF(C94=ROUND(SUMIFS(AN_TME22[[#All],[Member Months]], AN_TME22[[#All],[Insurance Category Code]],1, AN_TME22[[#All],[Advanced Network/Insurance Carrier Org ID]],B94),2), "TRUE", ROUND(C94-SUMIFS(AN_TME22[[#All],[Member Months]], AN_TME22[[#All],[Insurance Category Code]],1, AN_TME22[[#All],[Advanced Network/Insurance Carrier Org ID]],B94),2))</f>
        <v>TRUE</v>
      </c>
      <c r="I94" s="280" t="str">
        <f>IF(D94=ROUND(SUMIFS(AN_TME22[[#All],[Total Claims Excluded because of Truncation]], AN_TME22[[#All],[Insurance Category Code]],1, AN_TME22[[#All],[Advanced Network/Insurance Carrier Org ID]],B94),2), "TRUE", ROUND(D94-SUMIFS(AN_TME22[[#All],[Total Claims Excluded because of Truncation]], AN_TME22[[#All],[Insurance Category Code]],1, AN_TME22[[#All],[Advanced Network/Insurance Carrier Org ID]],B94),2))</f>
        <v>TRUE</v>
      </c>
      <c r="J94" s="281" t="str">
        <f>IF(E94=ROUND(SUMIFS(AN_TME22[[#All],[Count of Members with Claims Truncated]], AN_TME22[[#All],[Insurance Category Code]],1, AN_TME22[[#All],[Advanced Network/Insurance Carrier Org ID]],B94),2), "TRUE", ROUND(E94-SUMIFS(AN_TME22[[#All],[Count of Members with Claims Truncated]], AN_TME22[[#All],[Insurance Category Code]],1, AN_TME22[[#All],[Advanced Network/Insurance Carrier Org ID]],B94),2))</f>
        <v>TRUE</v>
      </c>
      <c r="K94" s="282" t="str">
        <f>IF(F94=ROUND(SUMIFS(AN_TME22[[#All],[TOTAL Non-Truncated Unadjusted Claims Expenses]], AN_TME22[[#All],[Insurance Category Code]],1, AN_TME22[[#All],[Advanced Network/Insurance Carrier Org ID]],B94),2), "TRUE", ROUND(F94-SUMIFS(AN_TME22[[#All],[TOTAL Non-Truncated Unadjusted Claims Expenses]], AN_TME22[[#All],[Insurance Category Code]],1, AN_TME22[[#All],[Advanced Network/Insurance Carrier Org ID]],B94),2))</f>
        <v>TRUE</v>
      </c>
      <c r="L94" s="295" t="str">
        <f>IF(G94=ROUND(SUMIFS(AN_TME22[[#All],[TOTAL Truncated Unadjusted Claims Expenses (A21 -A19)]], AN_TME22[[#All],[Insurance Category Code]],1, AN_TME22[[#All],[Advanced Network/Insurance Carrier Org ID]],B94),2), "TRUE", ROUND(G94-SUMIFS(AN_TME22[[#All],[TOTAL Truncated Unadjusted Claims Expenses (A21 -A19)]], AN_TME22[[#All],[Insurance Category Code]],1, AN_TME22[[#All],[Advanced Network/Insurance Carrier Org ID]],B94),2))</f>
        <v>TRUE</v>
      </c>
      <c r="M94" s="461" t="str">
        <f t="shared" si="7"/>
        <v>TRUE</v>
      </c>
      <c r="N94" s="282" t="b">
        <f>ROUND(SUMIFS(AN_TME22[[#All],[TOTAL Non-Truncated Unadjusted Claims Expenses]], AN_TME22[[#All],[Insurance Category Code]],1, AN_TME22[[#All],[Advanced Network/Insurance Carrier Org ID]],B94), 2)&gt;=ROUND(SUMIFS(AN_TME22[[#All],[TOTAL Truncated Unadjusted Claims Expenses (A21 -A19)]], AN_TME22[[#All],[Insurance Category Code]],1, AN_TME22[[#All],[Advanced Network/Insurance Carrier Org ID]],B94),2)</f>
        <v>1</v>
      </c>
      <c r="O94" s="295" t="b">
        <f>ROUND(SUMIFS(AN_TME22[[#All],[TOTAL Truncated Unadjusted Claims Expenses (A21 -A19)]], AN_TME22[[#All],[Insurance Category Code]],1, AN_TME22[[#All],[Advanced Network/Insurance Carrier Org ID]],B94)+SUMIFS(AN_TME22[[#All],[Total Claims Excluded because of Truncation]], AN_TME22[[#All],[Insurance Category Code]],1, AN_TME22[[#All],[Advanced Network/Insurance Carrier Org ID]],B94),2)=ROUND(SUMIFS(AN_TME22[[#All],[TOTAL Non-Truncated Unadjusted Claims Expenses]], AN_TME22[[#All],[Insurance Category Code]],1, AN_TME22[[#All],[Advanced Network/Insurance Carrier Org ID]],B94), 2)</f>
        <v>1</v>
      </c>
      <c r="Q94" s="236">
        <v>111</v>
      </c>
      <c r="R94" s="463">
        <f>ROUND(SUMIFS(Age_Sex23[[#All],[Total Member Months by Age/Sex Band]], Age_Sex23[[#All],[Advanced Network ID]], $Q94, Age_Sex23[[#All],[Insurance Category Code]],1), 2)</f>
        <v>0</v>
      </c>
      <c r="S94" s="268">
        <f>ROUND(SUMIFS(Age_Sex23[[#All],[Total Dollars Excluded from Spending After Applying Truncation at the Member Level]], Age_Sex23[[#All],[Advanced Network ID]], $B94, Age_Sex23[[#All],[Insurance Category Code]],1),2)</f>
        <v>0</v>
      </c>
      <c r="T94" s="229">
        <f>ROUND(SUMIFS(Age_Sex23[[#All],[Count of Members whose Spending was Truncated]], Age_Sex23[[#All],[Advanced Network ID]], $B94, Age_Sex23[[#All],[Insurance Category Code]],1), 2)</f>
        <v>0</v>
      </c>
      <c r="U94" s="230">
        <f>ROUND(SUMIFS(Age_Sex23[[#All],[Total Spending before Truncation is Applied]], Age_Sex23[[#All],[Advanced Network ID]], $B94, Age_Sex23[[#All],[Insurance Category Code]],1), 2)</f>
        <v>0</v>
      </c>
      <c r="V94" s="232">
        <f>ROUND(SUMIFS(Age_Sex23[[#All],[Total Spending After Applying Truncation at the Member Level]], Age_Sex23[[#All],[Advanced Network ID]], $B94, Age_Sex23[[#All],[Insurance Category Code]],1),2)</f>
        <v>0</v>
      </c>
      <c r="W94" s="416" t="str">
        <f>IF(R94=ROUND(SUMIFS(AN_TME23[[#All],[Member Months]], AN_TME23[[#All],[Insurance Category Code]],1, AN_TME23[[#All],[Advanced Network/Insurance Carrier Org ID]],Q94),2), "TRUE", ROUND(R94-SUMIFS(AN_TME23[[#All],[Member Months]], AN_TME23[[#All],[Insurance Category Code]],1, AN_TME23[[#All],[Advanced Network/Insurance Carrier Org ID]],Q94),2))</f>
        <v>TRUE</v>
      </c>
      <c r="X94" s="280" t="str">
        <f>IF(S94=ROUND(SUMIFS(AN_TME23[[#All],[Total Claims Excluded because of Truncation]], AN_TME23[[#All],[Insurance Category Code]],1, AN_TME23[[#All],[Advanced Network/Insurance Carrier Org ID]],Q94),2), "TRUE", ROUND(S94-SUMIFS(AN_TME23[[#All],[Total Claims Excluded because of Truncation]], AN_TME23[[#All],[Insurance Category Code]],1, AN_TME23[[#All],[Advanced Network/Insurance Carrier Org ID]],Q94),2))</f>
        <v>TRUE</v>
      </c>
      <c r="Y94" s="281" t="str">
        <f>IF(T94=ROUND(SUMIFS(AN_TME23[[#All],[Count of Members with Claims Truncated]], AN_TME23[[#All],[Insurance Category Code]],1, AN_TME23[[#All],[Advanced Network/Insurance Carrier Org ID]],Q94),2), "TRUE", ROUND(T94-SUMIFS(AN_TME23[[#All],[Count of Members with Claims Truncated]], AN_TME23[[#All],[Insurance Category Code]],1, AN_TME23[[#All],[Advanced Network/Insurance Carrier Org ID]],Q94),2))</f>
        <v>TRUE</v>
      </c>
      <c r="Z94" s="282" t="str">
        <f>IF(U94=ROUND(SUMIFS(AN_TME23[[#All],[TOTAL Non-Truncated Unadjusted Claims Expenses]], AN_TME23[[#All],[Insurance Category Code]],1, AN_TME23[[#All],[Advanced Network/Insurance Carrier Org ID]],Q94),2), "TRUE", ROUND(U94-SUMIFS(AN_TME23[[#All],[TOTAL Non-Truncated Unadjusted Claims Expenses]], AN_TME23[[#All],[Insurance Category Code]],1, AN_TME23[[#All],[Advanced Network/Insurance Carrier Org ID]],Q94),2))</f>
        <v>TRUE</v>
      </c>
      <c r="AA94" s="295" t="str">
        <f>IF(V94=ROUND(SUMIFS(AN_TME23[[#All],[TOTAL Truncated Unadjusted Claims Expenses (A21 -A19)]], AN_TME23[[#All],[Insurance Category Code]],1, AN_TME23[[#All],[Advanced Network/Insurance Carrier Org ID]],Q94),2), "TRUE", ROUND(V94-SUMIFS(AN_TME23[[#All],[TOTAL Truncated Unadjusted Claims Expenses (A21 -A19)]], AN_TME23[[#All],[Insurance Category Code]],1, AN_TME23[[#All],[Advanced Network/Insurance Carrier Org ID]],Q94),2))</f>
        <v>TRUE</v>
      </c>
      <c r="AB94" s="461" t="str">
        <f t="shared" si="9"/>
        <v>TRUE</v>
      </c>
      <c r="AC94" s="282" t="b">
        <f>ROUND(SUMIFS(AN_TME23[[#All],[TOTAL Non-Truncated Unadjusted Claims Expenses]], AN_TME23[[#All],[Insurance Category Code]],1, AN_TME23[[#All],[Advanced Network/Insurance Carrier Org ID]],Q94),2)&gt;=ROUND(SUMIFS(AN_TME23[[#All],[TOTAL Truncated Unadjusted Claims Expenses (A21 -A19)]], AN_TME23[[#All],[Insurance Category Code]],1, AN_TME23[[#All],[Advanced Network/Insurance Carrier Org ID]],Q94), 2)</f>
        <v>1</v>
      </c>
      <c r="AD94" s="295" t="b">
        <f>ROUND(SUMIFS(AN_TME23[[#All],[TOTAL Truncated Unadjusted Claims Expenses (A21 -A19)]], AN_TME23[[#All],[Insurance Category Code]],1, AN_TME23[[#All],[Advanced Network/Insurance Carrier Org ID]],Q94)+SUMIFS(AN_TME23[[#All],[Total Claims Excluded because of Truncation]], AN_TME23[[#All],[Insurance Category Code]],1, AN_TME23[[#All],[Advanced Network/Insurance Carrier Org ID]],Q94), 2)=ROUND(SUMIFS(AN_TME23[[#All],[TOTAL Non-Truncated Unadjusted Claims Expenses]], AN_TME23[[#All],[Insurance Category Code]],1, AN_TME23[[#All],[Advanced Network/Insurance Carrier Org ID]],Q94), 2)</f>
        <v>1</v>
      </c>
      <c r="AF94" s="323" t="str">
        <f t="shared" si="8"/>
        <v>NA</v>
      </c>
    </row>
    <row r="95" spans="2:32" outlineLevel="1" x14ac:dyDescent="0.25">
      <c r="B95" s="236">
        <v>112</v>
      </c>
      <c r="C95" s="463">
        <f>ROUND(SUMIFS(Age_Sex22[[#All],[Total Member Months by Age/Sex Band]], Age_Sex22[[#All],[Advanced Network ID]], $B95, Age_Sex22[[#All],[Insurance Category Code]],1), 2)</f>
        <v>0</v>
      </c>
      <c r="D95" s="268">
        <f>ROUND(SUMIFS(Age_Sex22[[#All],[Total Dollars Excluded from Spending After Applying Truncation at the Member Level]], Age_Sex22[[#All],[Advanced Network ID]], $B95, Age_Sex22[[#All],[Insurance Category Code]],1), 2)</f>
        <v>0</v>
      </c>
      <c r="E95" s="229">
        <f>ROUND(SUMIFS(Age_Sex22[[#All],[Count of Members whose Spending was Truncated]], Age_Sex22[[#All],[Advanced Network ID]], $B95, Age_Sex22[[#All],[Insurance Category Code]],1),2)</f>
        <v>0</v>
      </c>
      <c r="F95" s="230">
        <f>ROUND(SUMIFS(Age_Sex22[[#All],[Total Spending before Truncation is Applied]], Age_Sex22[[#All],[Advanced Network ID]], $B95, Age_Sex22[[#All],[Insurance Category Code]],1), 2)</f>
        <v>0</v>
      </c>
      <c r="G95" s="232">
        <f>ROUND(SUMIFS(Age_Sex22[[#All],[Total Spending After Applying Truncation at the Member Level]], Age_Sex22[[#All],[Advanced Network ID]], $B95, Age_Sex22[[#All],[Insurance Category Code]],1), 2)</f>
        <v>0</v>
      </c>
      <c r="H95" s="416" t="str">
        <f>IF(C95=ROUND(SUMIFS(AN_TME22[[#All],[Member Months]], AN_TME22[[#All],[Insurance Category Code]],1, AN_TME22[[#All],[Advanced Network/Insurance Carrier Org ID]],B95),2), "TRUE", ROUND(C95-SUMIFS(AN_TME22[[#All],[Member Months]], AN_TME22[[#All],[Insurance Category Code]],1, AN_TME22[[#All],[Advanced Network/Insurance Carrier Org ID]],B95),2))</f>
        <v>TRUE</v>
      </c>
      <c r="I95" s="280" t="str">
        <f>IF(D95=ROUND(SUMIFS(AN_TME22[[#All],[Total Claims Excluded because of Truncation]], AN_TME22[[#All],[Insurance Category Code]],1, AN_TME22[[#All],[Advanced Network/Insurance Carrier Org ID]],B95),2), "TRUE", ROUND(D95-SUMIFS(AN_TME22[[#All],[Total Claims Excluded because of Truncation]], AN_TME22[[#All],[Insurance Category Code]],1, AN_TME22[[#All],[Advanced Network/Insurance Carrier Org ID]],B95),2))</f>
        <v>TRUE</v>
      </c>
      <c r="J95" s="281" t="str">
        <f>IF(E95=ROUND(SUMIFS(AN_TME22[[#All],[Count of Members with Claims Truncated]], AN_TME22[[#All],[Insurance Category Code]],1, AN_TME22[[#All],[Advanced Network/Insurance Carrier Org ID]],B95),2), "TRUE", ROUND(E95-SUMIFS(AN_TME22[[#All],[Count of Members with Claims Truncated]], AN_TME22[[#All],[Insurance Category Code]],1, AN_TME22[[#All],[Advanced Network/Insurance Carrier Org ID]],B95),2))</f>
        <v>TRUE</v>
      </c>
      <c r="K95" s="282" t="str">
        <f>IF(F95=ROUND(SUMIFS(AN_TME22[[#All],[TOTAL Non-Truncated Unadjusted Claims Expenses]], AN_TME22[[#All],[Insurance Category Code]],1, AN_TME22[[#All],[Advanced Network/Insurance Carrier Org ID]],B95),2), "TRUE", ROUND(F95-SUMIFS(AN_TME22[[#All],[TOTAL Non-Truncated Unadjusted Claims Expenses]], AN_TME22[[#All],[Insurance Category Code]],1, AN_TME22[[#All],[Advanced Network/Insurance Carrier Org ID]],B95),2))</f>
        <v>TRUE</v>
      </c>
      <c r="L95" s="295" t="str">
        <f>IF(G95=ROUND(SUMIFS(AN_TME22[[#All],[TOTAL Truncated Unadjusted Claims Expenses (A21 -A19)]], AN_TME22[[#All],[Insurance Category Code]],1, AN_TME22[[#All],[Advanced Network/Insurance Carrier Org ID]],B95),2), "TRUE", ROUND(G95-SUMIFS(AN_TME22[[#All],[TOTAL Truncated Unadjusted Claims Expenses (A21 -A19)]], AN_TME22[[#All],[Insurance Category Code]],1, AN_TME22[[#All],[Advanced Network/Insurance Carrier Org ID]],B95),2))</f>
        <v>TRUE</v>
      </c>
      <c r="M95" s="461" t="str">
        <f t="shared" si="7"/>
        <v>TRUE</v>
      </c>
      <c r="N95" s="282" t="b">
        <f>ROUND(SUMIFS(AN_TME22[[#All],[TOTAL Non-Truncated Unadjusted Claims Expenses]], AN_TME22[[#All],[Insurance Category Code]],1, AN_TME22[[#All],[Advanced Network/Insurance Carrier Org ID]],B95), 2)&gt;=ROUND(SUMIFS(AN_TME22[[#All],[TOTAL Truncated Unadjusted Claims Expenses (A21 -A19)]], AN_TME22[[#All],[Insurance Category Code]],1, AN_TME22[[#All],[Advanced Network/Insurance Carrier Org ID]],B95),2)</f>
        <v>1</v>
      </c>
      <c r="O95" s="295" t="b">
        <f>ROUND(SUMIFS(AN_TME22[[#All],[TOTAL Truncated Unadjusted Claims Expenses (A21 -A19)]], AN_TME22[[#All],[Insurance Category Code]],1, AN_TME22[[#All],[Advanced Network/Insurance Carrier Org ID]],B95)+SUMIFS(AN_TME22[[#All],[Total Claims Excluded because of Truncation]], AN_TME22[[#All],[Insurance Category Code]],1, AN_TME22[[#All],[Advanced Network/Insurance Carrier Org ID]],B95),2)=ROUND(SUMIFS(AN_TME22[[#All],[TOTAL Non-Truncated Unadjusted Claims Expenses]], AN_TME22[[#All],[Insurance Category Code]],1, AN_TME22[[#All],[Advanced Network/Insurance Carrier Org ID]],B95), 2)</f>
        <v>1</v>
      </c>
      <c r="Q95" s="236">
        <v>112</v>
      </c>
      <c r="R95" s="463">
        <f>ROUND(SUMIFS(Age_Sex23[[#All],[Total Member Months by Age/Sex Band]], Age_Sex23[[#All],[Advanced Network ID]], $Q95, Age_Sex23[[#All],[Insurance Category Code]],1), 2)</f>
        <v>0</v>
      </c>
      <c r="S95" s="268">
        <f>ROUND(SUMIFS(Age_Sex23[[#All],[Total Dollars Excluded from Spending After Applying Truncation at the Member Level]], Age_Sex23[[#All],[Advanced Network ID]], $B95, Age_Sex23[[#All],[Insurance Category Code]],1),2)</f>
        <v>0</v>
      </c>
      <c r="T95" s="229">
        <f>ROUND(SUMIFS(Age_Sex23[[#All],[Count of Members whose Spending was Truncated]], Age_Sex23[[#All],[Advanced Network ID]], $B95, Age_Sex23[[#All],[Insurance Category Code]],1), 2)</f>
        <v>0</v>
      </c>
      <c r="U95" s="230">
        <f>ROUND(SUMIFS(Age_Sex23[[#All],[Total Spending before Truncation is Applied]], Age_Sex23[[#All],[Advanced Network ID]], $B95, Age_Sex23[[#All],[Insurance Category Code]],1), 2)</f>
        <v>0</v>
      </c>
      <c r="V95" s="232">
        <f>ROUND(SUMIFS(Age_Sex23[[#All],[Total Spending After Applying Truncation at the Member Level]], Age_Sex23[[#All],[Advanced Network ID]], $B95, Age_Sex23[[#All],[Insurance Category Code]],1),2)</f>
        <v>0</v>
      </c>
      <c r="W95" s="416" t="str">
        <f>IF(R95=ROUND(SUMIFS(AN_TME23[[#All],[Member Months]], AN_TME23[[#All],[Insurance Category Code]],1, AN_TME23[[#All],[Advanced Network/Insurance Carrier Org ID]],Q95),2), "TRUE", ROUND(R95-SUMIFS(AN_TME23[[#All],[Member Months]], AN_TME23[[#All],[Insurance Category Code]],1, AN_TME23[[#All],[Advanced Network/Insurance Carrier Org ID]],Q95),2))</f>
        <v>TRUE</v>
      </c>
      <c r="X95" s="280" t="str">
        <f>IF(S95=ROUND(SUMIFS(AN_TME23[[#All],[Total Claims Excluded because of Truncation]], AN_TME23[[#All],[Insurance Category Code]],1, AN_TME23[[#All],[Advanced Network/Insurance Carrier Org ID]],Q95),2), "TRUE", ROUND(S95-SUMIFS(AN_TME23[[#All],[Total Claims Excluded because of Truncation]], AN_TME23[[#All],[Insurance Category Code]],1, AN_TME23[[#All],[Advanced Network/Insurance Carrier Org ID]],Q95),2))</f>
        <v>TRUE</v>
      </c>
      <c r="Y95" s="281" t="str">
        <f>IF(T95=ROUND(SUMIFS(AN_TME23[[#All],[Count of Members with Claims Truncated]], AN_TME23[[#All],[Insurance Category Code]],1, AN_TME23[[#All],[Advanced Network/Insurance Carrier Org ID]],Q95),2), "TRUE", ROUND(T95-SUMIFS(AN_TME23[[#All],[Count of Members with Claims Truncated]], AN_TME23[[#All],[Insurance Category Code]],1, AN_TME23[[#All],[Advanced Network/Insurance Carrier Org ID]],Q95),2))</f>
        <v>TRUE</v>
      </c>
      <c r="Z95" s="282" t="str">
        <f>IF(U95=ROUND(SUMIFS(AN_TME23[[#All],[TOTAL Non-Truncated Unadjusted Claims Expenses]], AN_TME23[[#All],[Insurance Category Code]],1, AN_TME23[[#All],[Advanced Network/Insurance Carrier Org ID]],Q95),2), "TRUE", ROUND(U95-SUMIFS(AN_TME23[[#All],[TOTAL Non-Truncated Unadjusted Claims Expenses]], AN_TME23[[#All],[Insurance Category Code]],1, AN_TME23[[#All],[Advanced Network/Insurance Carrier Org ID]],Q95),2))</f>
        <v>TRUE</v>
      </c>
      <c r="AA95" s="295" t="str">
        <f>IF(V95=ROUND(SUMIFS(AN_TME23[[#All],[TOTAL Truncated Unadjusted Claims Expenses (A21 -A19)]], AN_TME23[[#All],[Insurance Category Code]],1, AN_TME23[[#All],[Advanced Network/Insurance Carrier Org ID]],Q95),2), "TRUE", ROUND(V95-SUMIFS(AN_TME23[[#All],[TOTAL Truncated Unadjusted Claims Expenses (A21 -A19)]], AN_TME23[[#All],[Insurance Category Code]],1, AN_TME23[[#All],[Advanced Network/Insurance Carrier Org ID]],Q95),2))</f>
        <v>TRUE</v>
      </c>
      <c r="AB95" s="461" t="str">
        <f t="shared" si="9"/>
        <v>TRUE</v>
      </c>
      <c r="AC95" s="282" t="b">
        <f>ROUND(SUMIFS(AN_TME23[[#All],[TOTAL Non-Truncated Unadjusted Claims Expenses]], AN_TME23[[#All],[Insurance Category Code]],1, AN_TME23[[#All],[Advanced Network/Insurance Carrier Org ID]],Q95),2)&gt;=ROUND(SUMIFS(AN_TME23[[#All],[TOTAL Truncated Unadjusted Claims Expenses (A21 -A19)]], AN_TME23[[#All],[Insurance Category Code]],1, AN_TME23[[#All],[Advanced Network/Insurance Carrier Org ID]],Q95), 2)</f>
        <v>1</v>
      </c>
      <c r="AD95" s="295" t="b">
        <f>ROUND(SUMIFS(AN_TME23[[#All],[TOTAL Truncated Unadjusted Claims Expenses (A21 -A19)]], AN_TME23[[#All],[Insurance Category Code]],1, AN_TME23[[#All],[Advanced Network/Insurance Carrier Org ID]],Q95)+SUMIFS(AN_TME23[[#All],[Total Claims Excluded because of Truncation]], AN_TME23[[#All],[Insurance Category Code]],1, AN_TME23[[#All],[Advanced Network/Insurance Carrier Org ID]],Q95), 2)=ROUND(SUMIFS(AN_TME23[[#All],[TOTAL Non-Truncated Unadjusted Claims Expenses]], AN_TME23[[#All],[Insurance Category Code]],1, AN_TME23[[#All],[Advanced Network/Insurance Carrier Org ID]],Q95), 2)</f>
        <v>1</v>
      </c>
      <c r="AF95" s="323" t="str">
        <f t="shared" si="8"/>
        <v>NA</v>
      </c>
    </row>
    <row r="96" spans="2:32" outlineLevel="1" x14ac:dyDescent="0.25">
      <c r="B96" s="236">
        <v>113</v>
      </c>
      <c r="C96" s="463">
        <f>ROUND(SUMIFS(Age_Sex22[[#All],[Total Member Months by Age/Sex Band]], Age_Sex22[[#All],[Advanced Network ID]], $B96, Age_Sex22[[#All],[Insurance Category Code]],1), 2)</f>
        <v>0</v>
      </c>
      <c r="D96" s="268">
        <f>ROUND(SUMIFS(Age_Sex22[[#All],[Total Dollars Excluded from Spending After Applying Truncation at the Member Level]], Age_Sex22[[#All],[Advanced Network ID]], $B96, Age_Sex22[[#All],[Insurance Category Code]],1), 2)</f>
        <v>0</v>
      </c>
      <c r="E96" s="229">
        <f>ROUND(SUMIFS(Age_Sex22[[#All],[Count of Members whose Spending was Truncated]], Age_Sex22[[#All],[Advanced Network ID]], $B96, Age_Sex22[[#All],[Insurance Category Code]],1),2)</f>
        <v>0</v>
      </c>
      <c r="F96" s="230">
        <f>ROUND(SUMIFS(Age_Sex22[[#All],[Total Spending before Truncation is Applied]], Age_Sex22[[#All],[Advanced Network ID]], $B96, Age_Sex22[[#All],[Insurance Category Code]],1), 2)</f>
        <v>0</v>
      </c>
      <c r="G96" s="232">
        <f>ROUND(SUMIFS(Age_Sex22[[#All],[Total Spending After Applying Truncation at the Member Level]], Age_Sex22[[#All],[Advanced Network ID]], $B96, Age_Sex22[[#All],[Insurance Category Code]],1), 2)</f>
        <v>0</v>
      </c>
      <c r="H96" s="416" t="str">
        <f>IF(C96=ROUND(SUMIFS(AN_TME22[[#All],[Member Months]], AN_TME22[[#All],[Insurance Category Code]],1, AN_TME22[[#All],[Advanced Network/Insurance Carrier Org ID]],B96),2), "TRUE", ROUND(C96-SUMIFS(AN_TME22[[#All],[Member Months]], AN_TME22[[#All],[Insurance Category Code]],1, AN_TME22[[#All],[Advanced Network/Insurance Carrier Org ID]],B96),2))</f>
        <v>TRUE</v>
      </c>
      <c r="I96" s="280" t="str">
        <f>IF(D96=ROUND(SUMIFS(AN_TME22[[#All],[Total Claims Excluded because of Truncation]], AN_TME22[[#All],[Insurance Category Code]],1, AN_TME22[[#All],[Advanced Network/Insurance Carrier Org ID]],B96),2), "TRUE", ROUND(D96-SUMIFS(AN_TME22[[#All],[Total Claims Excluded because of Truncation]], AN_TME22[[#All],[Insurance Category Code]],1, AN_TME22[[#All],[Advanced Network/Insurance Carrier Org ID]],B96),2))</f>
        <v>TRUE</v>
      </c>
      <c r="J96" s="281" t="str">
        <f>IF(E96=ROUND(SUMIFS(AN_TME22[[#All],[Count of Members with Claims Truncated]], AN_TME22[[#All],[Insurance Category Code]],1, AN_TME22[[#All],[Advanced Network/Insurance Carrier Org ID]],B96),2), "TRUE", ROUND(E96-SUMIFS(AN_TME22[[#All],[Count of Members with Claims Truncated]], AN_TME22[[#All],[Insurance Category Code]],1, AN_TME22[[#All],[Advanced Network/Insurance Carrier Org ID]],B96),2))</f>
        <v>TRUE</v>
      </c>
      <c r="K96" s="282" t="str">
        <f>IF(F96=ROUND(SUMIFS(AN_TME22[[#All],[TOTAL Non-Truncated Unadjusted Claims Expenses]], AN_TME22[[#All],[Insurance Category Code]],1, AN_TME22[[#All],[Advanced Network/Insurance Carrier Org ID]],B96),2), "TRUE", ROUND(F96-SUMIFS(AN_TME22[[#All],[TOTAL Non-Truncated Unadjusted Claims Expenses]], AN_TME22[[#All],[Insurance Category Code]],1, AN_TME22[[#All],[Advanced Network/Insurance Carrier Org ID]],B96),2))</f>
        <v>TRUE</v>
      </c>
      <c r="L96" s="295" t="str">
        <f>IF(G96=ROUND(SUMIFS(AN_TME22[[#All],[TOTAL Truncated Unadjusted Claims Expenses (A21 -A19)]], AN_TME22[[#All],[Insurance Category Code]],1, AN_TME22[[#All],[Advanced Network/Insurance Carrier Org ID]],B96),2), "TRUE", ROUND(G96-SUMIFS(AN_TME22[[#All],[TOTAL Truncated Unadjusted Claims Expenses (A21 -A19)]], AN_TME22[[#All],[Insurance Category Code]],1, AN_TME22[[#All],[Advanced Network/Insurance Carrier Org ID]],B96),2))</f>
        <v>TRUE</v>
      </c>
      <c r="M96" s="461" t="str">
        <f t="shared" si="7"/>
        <v>TRUE</v>
      </c>
      <c r="N96" s="282" t="b">
        <f>ROUND(SUMIFS(AN_TME22[[#All],[TOTAL Non-Truncated Unadjusted Claims Expenses]], AN_TME22[[#All],[Insurance Category Code]],1, AN_TME22[[#All],[Advanced Network/Insurance Carrier Org ID]],B96), 2)&gt;=ROUND(SUMIFS(AN_TME22[[#All],[TOTAL Truncated Unadjusted Claims Expenses (A21 -A19)]], AN_TME22[[#All],[Insurance Category Code]],1, AN_TME22[[#All],[Advanced Network/Insurance Carrier Org ID]],B96),2)</f>
        <v>1</v>
      </c>
      <c r="O96" s="295" t="b">
        <f>ROUND(SUMIFS(AN_TME22[[#All],[TOTAL Truncated Unadjusted Claims Expenses (A21 -A19)]], AN_TME22[[#All],[Insurance Category Code]],1, AN_TME22[[#All],[Advanced Network/Insurance Carrier Org ID]],B96)+SUMIFS(AN_TME22[[#All],[Total Claims Excluded because of Truncation]], AN_TME22[[#All],[Insurance Category Code]],1, AN_TME22[[#All],[Advanced Network/Insurance Carrier Org ID]],B96),2)=ROUND(SUMIFS(AN_TME22[[#All],[TOTAL Non-Truncated Unadjusted Claims Expenses]], AN_TME22[[#All],[Insurance Category Code]],1, AN_TME22[[#All],[Advanced Network/Insurance Carrier Org ID]],B96), 2)</f>
        <v>1</v>
      </c>
      <c r="Q96" s="236">
        <v>113</v>
      </c>
      <c r="R96" s="463">
        <f>ROUND(SUMIFS(Age_Sex23[[#All],[Total Member Months by Age/Sex Band]], Age_Sex23[[#All],[Advanced Network ID]], $Q96, Age_Sex23[[#All],[Insurance Category Code]],1), 2)</f>
        <v>0</v>
      </c>
      <c r="S96" s="268">
        <f>ROUND(SUMIFS(Age_Sex23[[#All],[Total Dollars Excluded from Spending After Applying Truncation at the Member Level]], Age_Sex23[[#All],[Advanced Network ID]], $B96, Age_Sex23[[#All],[Insurance Category Code]],1),2)</f>
        <v>0</v>
      </c>
      <c r="T96" s="229">
        <f>ROUND(SUMIFS(Age_Sex23[[#All],[Count of Members whose Spending was Truncated]], Age_Sex23[[#All],[Advanced Network ID]], $B96, Age_Sex23[[#All],[Insurance Category Code]],1), 2)</f>
        <v>0</v>
      </c>
      <c r="U96" s="230">
        <f>ROUND(SUMIFS(Age_Sex23[[#All],[Total Spending before Truncation is Applied]], Age_Sex23[[#All],[Advanced Network ID]], $B96, Age_Sex23[[#All],[Insurance Category Code]],1), 2)</f>
        <v>0</v>
      </c>
      <c r="V96" s="232">
        <f>ROUND(SUMIFS(Age_Sex23[[#All],[Total Spending After Applying Truncation at the Member Level]], Age_Sex23[[#All],[Advanced Network ID]], $B96, Age_Sex23[[#All],[Insurance Category Code]],1),2)</f>
        <v>0</v>
      </c>
      <c r="W96" s="416" t="str">
        <f>IF(R96=ROUND(SUMIFS(AN_TME23[[#All],[Member Months]], AN_TME23[[#All],[Insurance Category Code]],1, AN_TME23[[#All],[Advanced Network/Insurance Carrier Org ID]],Q96),2), "TRUE", ROUND(R96-SUMIFS(AN_TME23[[#All],[Member Months]], AN_TME23[[#All],[Insurance Category Code]],1, AN_TME23[[#All],[Advanced Network/Insurance Carrier Org ID]],Q96),2))</f>
        <v>TRUE</v>
      </c>
      <c r="X96" s="280" t="str">
        <f>IF(S96=ROUND(SUMIFS(AN_TME23[[#All],[Total Claims Excluded because of Truncation]], AN_TME23[[#All],[Insurance Category Code]],1, AN_TME23[[#All],[Advanced Network/Insurance Carrier Org ID]],Q96),2), "TRUE", ROUND(S96-SUMIFS(AN_TME23[[#All],[Total Claims Excluded because of Truncation]], AN_TME23[[#All],[Insurance Category Code]],1, AN_TME23[[#All],[Advanced Network/Insurance Carrier Org ID]],Q96),2))</f>
        <v>TRUE</v>
      </c>
      <c r="Y96" s="281" t="str">
        <f>IF(T96=ROUND(SUMIFS(AN_TME23[[#All],[Count of Members with Claims Truncated]], AN_TME23[[#All],[Insurance Category Code]],1, AN_TME23[[#All],[Advanced Network/Insurance Carrier Org ID]],Q96),2), "TRUE", ROUND(T96-SUMIFS(AN_TME23[[#All],[Count of Members with Claims Truncated]], AN_TME23[[#All],[Insurance Category Code]],1, AN_TME23[[#All],[Advanced Network/Insurance Carrier Org ID]],Q96),2))</f>
        <v>TRUE</v>
      </c>
      <c r="Z96" s="282" t="str">
        <f>IF(U96=ROUND(SUMIFS(AN_TME23[[#All],[TOTAL Non-Truncated Unadjusted Claims Expenses]], AN_TME23[[#All],[Insurance Category Code]],1, AN_TME23[[#All],[Advanced Network/Insurance Carrier Org ID]],Q96),2), "TRUE", ROUND(U96-SUMIFS(AN_TME23[[#All],[TOTAL Non-Truncated Unadjusted Claims Expenses]], AN_TME23[[#All],[Insurance Category Code]],1, AN_TME23[[#All],[Advanced Network/Insurance Carrier Org ID]],Q96),2))</f>
        <v>TRUE</v>
      </c>
      <c r="AA96" s="295" t="str">
        <f>IF(V96=ROUND(SUMIFS(AN_TME23[[#All],[TOTAL Truncated Unadjusted Claims Expenses (A21 -A19)]], AN_TME23[[#All],[Insurance Category Code]],1, AN_TME23[[#All],[Advanced Network/Insurance Carrier Org ID]],Q96),2), "TRUE", ROUND(V96-SUMIFS(AN_TME23[[#All],[TOTAL Truncated Unadjusted Claims Expenses (A21 -A19)]], AN_TME23[[#All],[Insurance Category Code]],1, AN_TME23[[#All],[Advanced Network/Insurance Carrier Org ID]],Q96),2))</f>
        <v>TRUE</v>
      </c>
      <c r="AB96" s="461" t="str">
        <f t="shared" si="9"/>
        <v>TRUE</v>
      </c>
      <c r="AC96" s="282" t="b">
        <f>ROUND(SUMIFS(AN_TME23[[#All],[TOTAL Non-Truncated Unadjusted Claims Expenses]], AN_TME23[[#All],[Insurance Category Code]],1, AN_TME23[[#All],[Advanced Network/Insurance Carrier Org ID]],Q96),2)&gt;=ROUND(SUMIFS(AN_TME23[[#All],[TOTAL Truncated Unadjusted Claims Expenses (A21 -A19)]], AN_TME23[[#All],[Insurance Category Code]],1, AN_TME23[[#All],[Advanced Network/Insurance Carrier Org ID]],Q96), 2)</f>
        <v>1</v>
      </c>
      <c r="AD96" s="295" t="b">
        <f>ROUND(SUMIFS(AN_TME23[[#All],[TOTAL Truncated Unadjusted Claims Expenses (A21 -A19)]], AN_TME23[[#All],[Insurance Category Code]],1, AN_TME23[[#All],[Advanced Network/Insurance Carrier Org ID]],Q96)+SUMIFS(AN_TME23[[#All],[Total Claims Excluded because of Truncation]], AN_TME23[[#All],[Insurance Category Code]],1, AN_TME23[[#All],[Advanced Network/Insurance Carrier Org ID]],Q96), 2)=ROUND(SUMIFS(AN_TME23[[#All],[TOTAL Non-Truncated Unadjusted Claims Expenses]], AN_TME23[[#All],[Insurance Category Code]],1, AN_TME23[[#All],[Advanced Network/Insurance Carrier Org ID]],Q96), 2)</f>
        <v>1</v>
      </c>
      <c r="AF96" s="323" t="str">
        <f t="shared" si="8"/>
        <v>NA</v>
      </c>
    </row>
    <row r="97" spans="2:32" outlineLevel="1" x14ac:dyDescent="0.25">
      <c r="B97" s="236">
        <v>114</v>
      </c>
      <c r="C97" s="463">
        <f>ROUND(SUMIFS(Age_Sex22[[#All],[Total Member Months by Age/Sex Band]], Age_Sex22[[#All],[Advanced Network ID]], $B97, Age_Sex22[[#All],[Insurance Category Code]],1), 2)</f>
        <v>0</v>
      </c>
      <c r="D97" s="268">
        <f>ROUND(SUMIFS(Age_Sex22[[#All],[Total Dollars Excluded from Spending After Applying Truncation at the Member Level]], Age_Sex22[[#All],[Advanced Network ID]], $B97, Age_Sex22[[#All],[Insurance Category Code]],1), 2)</f>
        <v>0</v>
      </c>
      <c r="E97" s="229">
        <f>ROUND(SUMIFS(Age_Sex22[[#All],[Count of Members whose Spending was Truncated]], Age_Sex22[[#All],[Advanced Network ID]], $B97, Age_Sex22[[#All],[Insurance Category Code]],1),2)</f>
        <v>0</v>
      </c>
      <c r="F97" s="230">
        <f>ROUND(SUMIFS(Age_Sex22[[#All],[Total Spending before Truncation is Applied]], Age_Sex22[[#All],[Advanced Network ID]], $B97, Age_Sex22[[#All],[Insurance Category Code]],1), 2)</f>
        <v>0</v>
      </c>
      <c r="G97" s="232">
        <f>ROUND(SUMIFS(Age_Sex22[[#All],[Total Spending After Applying Truncation at the Member Level]], Age_Sex22[[#All],[Advanced Network ID]], $B97, Age_Sex22[[#All],[Insurance Category Code]],1), 2)</f>
        <v>0</v>
      </c>
      <c r="H97" s="416" t="str">
        <f>IF(C97=ROUND(SUMIFS(AN_TME22[[#All],[Member Months]], AN_TME22[[#All],[Insurance Category Code]],1, AN_TME22[[#All],[Advanced Network/Insurance Carrier Org ID]],B97),2), "TRUE", ROUND(C97-SUMIFS(AN_TME22[[#All],[Member Months]], AN_TME22[[#All],[Insurance Category Code]],1, AN_TME22[[#All],[Advanced Network/Insurance Carrier Org ID]],B97),2))</f>
        <v>TRUE</v>
      </c>
      <c r="I97" s="280" t="str">
        <f>IF(D97=ROUND(SUMIFS(AN_TME22[[#All],[Total Claims Excluded because of Truncation]], AN_TME22[[#All],[Insurance Category Code]],1, AN_TME22[[#All],[Advanced Network/Insurance Carrier Org ID]],B97),2), "TRUE", ROUND(D97-SUMIFS(AN_TME22[[#All],[Total Claims Excluded because of Truncation]], AN_TME22[[#All],[Insurance Category Code]],1, AN_TME22[[#All],[Advanced Network/Insurance Carrier Org ID]],B97),2))</f>
        <v>TRUE</v>
      </c>
      <c r="J97" s="281" t="str">
        <f>IF(E97=ROUND(SUMIFS(AN_TME22[[#All],[Count of Members with Claims Truncated]], AN_TME22[[#All],[Insurance Category Code]],1, AN_TME22[[#All],[Advanced Network/Insurance Carrier Org ID]],B97),2), "TRUE", ROUND(E97-SUMIFS(AN_TME22[[#All],[Count of Members with Claims Truncated]], AN_TME22[[#All],[Insurance Category Code]],1, AN_TME22[[#All],[Advanced Network/Insurance Carrier Org ID]],B97),2))</f>
        <v>TRUE</v>
      </c>
      <c r="K97" s="282" t="str">
        <f>IF(F97=ROUND(SUMIFS(AN_TME22[[#All],[TOTAL Non-Truncated Unadjusted Claims Expenses]], AN_TME22[[#All],[Insurance Category Code]],1, AN_TME22[[#All],[Advanced Network/Insurance Carrier Org ID]],B97),2), "TRUE", ROUND(F97-SUMIFS(AN_TME22[[#All],[TOTAL Non-Truncated Unadjusted Claims Expenses]], AN_TME22[[#All],[Insurance Category Code]],1, AN_TME22[[#All],[Advanced Network/Insurance Carrier Org ID]],B97),2))</f>
        <v>TRUE</v>
      </c>
      <c r="L97" s="295" t="str">
        <f>IF(G97=ROUND(SUMIFS(AN_TME22[[#All],[TOTAL Truncated Unadjusted Claims Expenses (A21 -A19)]], AN_TME22[[#All],[Insurance Category Code]],1, AN_TME22[[#All],[Advanced Network/Insurance Carrier Org ID]],B97),2), "TRUE", ROUND(G97-SUMIFS(AN_TME22[[#All],[TOTAL Truncated Unadjusted Claims Expenses (A21 -A19)]], AN_TME22[[#All],[Insurance Category Code]],1, AN_TME22[[#All],[Advanced Network/Insurance Carrier Org ID]],B97),2))</f>
        <v>TRUE</v>
      </c>
      <c r="M97" s="461" t="str">
        <f t="shared" si="7"/>
        <v>TRUE</v>
      </c>
      <c r="N97" s="282" t="b">
        <f>ROUND(SUMIFS(AN_TME22[[#All],[TOTAL Non-Truncated Unadjusted Claims Expenses]], AN_TME22[[#All],[Insurance Category Code]],1, AN_TME22[[#All],[Advanced Network/Insurance Carrier Org ID]],B97), 2)&gt;=ROUND(SUMIFS(AN_TME22[[#All],[TOTAL Truncated Unadjusted Claims Expenses (A21 -A19)]], AN_TME22[[#All],[Insurance Category Code]],1, AN_TME22[[#All],[Advanced Network/Insurance Carrier Org ID]],B97),2)</f>
        <v>1</v>
      </c>
      <c r="O97" s="295" t="b">
        <f>ROUND(SUMIFS(AN_TME22[[#All],[TOTAL Truncated Unadjusted Claims Expenses (A21 -A19)]], AN_TME22[[#All],[Insurance Category Code]],1, AN_TME22[[#All],[Advanced Network/Insurance Carrier Org ID]],B97)+SUMIFS(AN_TME22[[#All],[Total Claims Excluded because of Truncation]], AN_TME22[[#All],[Insurance Category Code]],1, AN_TME22[[#All],[Advanced Network/Insurance Carrier Org ID]],B97),2)=ROUND(SUMIFS(AN_TME22[[#All],[TOTAL Non-Truncated Unadjusted Claims Expenses]], AN_TME22[[#All],[Insurance Category Code]],1, AN_TME22[[#All],[Advanced Network/Insurance Carrier Org ID]],B97), 2)</f>
        <v>1</v>
      </c>
      <c r="Q97" s="236">
        <v>114</v>
      </c>
      <c r="R97" s="463">
        <f>ROUND(SUMIFS(Age_Sex23[[#All],[Total Member Months by Age/Sex Band]], Age_Sex23[[#All],[Advanced Network ID]], $Q97, Age_Sex23[[#All],[Insurance Category Code]],1), 2)</f>
        <v>0</v>
      </c>
      <c r="S97" s="268">
        <f>ROUND(SUMIFS(Age_Sex23[[#All],[Total Dollars Excluded from Spending After Applying Truncation at the Member Level]], Age_Sex23[[#All],[Advanced Network ID]], $B97, Age_Sex23[[#All],[Insurance Category Code]],1),2)</f>
        <v>0</v>
      </c>
      <c r="T97" s="229">
        <f>ROUND(SUMIFS(Age_Sex23[[#All],[Count of Members whose Spending was Truncated]], Age_Sex23[[#All],[Advanced Network ID]], $B97, Age_Sex23[[#All],[Insurance Category Code]],1), 2)</f>
        <v>0</v>
      </c>
      <c r="U97" s="230">
        <f>ROUND(SUMIFS(Age_Sex23[[#All],[Total Spending before Truncation is Applied]], Age_Sex23[[#All],[Advanced Network ID]], $B97, Age_Sex23[[#All],[Insurance Category Code]],1), 2)</f>
        <v>0</v>
      </c>
      <c r="V97" s="232">
        <f>ROUND(SUMIFS(Age_Sex23[[#All],[Total Spending After Applying Truncation at the Member Level]], Age_Sex23[[#All],[Advanced Network ID]], $B97, Age_Sex23[[#All],[Insurance Category Code]],1),2)</f>
        <v>0</v>
      </c>
      <c r="W97" s="416" t="str">
        <f>IF(R97=ROUND(SUMIFS(AN_TME23[[#All],[Member Months]], AN_TME23[[#All],[Insurance Category Code]],1, AN_TME23[[#All],[Advanced Network/Insurance Carrier Org ID]],Q97),2), "TRUE", ROUND(R97-SUMIFS(AN_TME23[[#All],[Member Months]], AN_TME23[[#All],[Insurance Category Code]],1, AN_TME23[[#All],[Advanced Network/Insurance Carrier Org ID]],Q97),2))</f>
        <v>TRUE</v>
      </c>
      <c r="X97" s="280" t="str">
        <f>IF(S97=ROUND(SUMIFS(AN_TME23[[#All],[Total Claims Excluded because of Truncation]], AN_TME23[[#All],[Insurance Category Code]],1, AN_TME23[[#All],[Advanced Network/Insurance Carrier Org ID]],Q97),2), "TRUE", ROUND(S97-SUMIFS(AN_TME23[[#All],[Total Claims Excluded because of Truncation]], AN_TME23[[#All],[Insurance Category Code]],1, AN_TME23[[#All],[Advanced Network/Insurance Carrier Org ID]],Q97),2))</f>
        <v>TRUE</v>
      </c>
      <c r="Y97" s="281" t="str">
        <f>IF(T97=ROUND(SUMIFS(AN_TME23[[#All],[Count of Members with Claims Truncated]], AN_TME23[[#All],[Insurance Category Code]],1, AN_TME23[[#All],[Advanced Network/Insurance Carrier Org ID]],Q97),2), "TRUE", ROUND(T97-SUMIFS(AN_TME23[[#All],[Count of Members with Claims Truncated]], AN_TME23[[#All],[Insurance Category Code]],1, AN_TME23[[#All],[Advanced Network/Insurance Carrier Org ID]],Q97),2))</f>
        <v>TRUE</v>
      </c>
      <c r="Z97" s="282" t="str">
        <f>IF(U97=ROUND(SUMIFS(AN_TME23[[#All],[TOTAL Non-Truncated Unadjusted Claims Expenses]], AN_TME23[[#All],[Insurance Category Code]],1, AN_TME23[[#All],[Advanced Network/Insurance Carrier Org ID]],Q97),2), "TRUE", ROUND(U97-SUMIFS(AN_TME23[[#All],[TOTAL Non-Truncated Unadjusted Claims Expenses]], AN_TME23[[#All],[Insurance Category Code]],1, AN_TME23[[#All],[Advanced Network/Insurance Carrier Org ID]],Q97),2))</f>
        <v>TRUE</v>
      </c>
      <c r="AA97" s="295" t="str">
        <f>IF(V97=ROUND(SUMIFS(AN_TME23[[#All],[TOTAL Truncated Unadjusted Claims Expenses (A21 -A19)]], AN_TME23[[#All],[Insurance Category Code]],1, AN_TME23[[#All],[Advanced Network/Insurance Carrier Org ID]],Q97),2), "TRUE", ROUND(V97-SUMIFS(AN_TME23[[#All],[TOTAL Truncated Unadjusted Claims Expenses (A21 -A19)]], AN_TME23[[#All],[Insurance Category Code]],1, AN_TME23[[#All],[Advanced Network/Insurance Carrier Org ID]],Q97),2))</f>
        <v>TRUE</v>
      </c>
      <c r="AB97" s="461" t="str">
        <f t="shared" si="9"/>
        <v>TRUE</v>
      </c>
      <c r="AC97" s="282" t="b">
        <f>ROUND(SUMIFS(AN_TME23[[#All],[TOTAL Non-Truncated Unadjusted Claims Expenses]], AN_TME23[[#All],[Insurance Category Code]],1, AN_TME23[[#All],[Advanced Network/Insurance Carrier Org ID]],Q97),2)&gt;=ROUND(SUMIFS(AN_TME23[[#All],[TOTAL Truncated Unadjusted Claims Expenses (A21 -A19)]], AN_TME23[[#All],[Insurance Category Code]],1, AN_TME23[[#All],[Advanced Network/Insurance Carrier Org ID]],Q97), 2)</f>
        <v>1</v>
      </c>
      <c r="AD97" s="295" t="b">
        <f>ROUND(SUMIFS(AN_TME23[[#All],[TOTAL Truncated Unadjusted Claims Expenses (A21 -A19)]], AN_TME23[[#All],[Insurance Category Code]],1, AN_TME23[[#All],[Advanced Network/Insurance Carrier Org ID]],Q97)+SUMIFS(AN_TME23[[#All],[Total Claims Excluded because of Truncation]], AN_TME23[[#All],[Insurance Category Code]],1, AN_TME23[[#All],[Advanced Network/Insurance Carrier Org ID]],Q97), 2)=ROUND(SUMIFS(AN_TME23[[#All],[TOTAL Non-Truncated Unadjusted Claims Expenses]], AN_TME23[[#All],[Insurance Category Code]],1, AN_TME23[[#All],[Advanced Network/Insurance Carrier Org ID]],Q97), 2)</f>
        <v>1</v>
      </c>
      <c r="AF97" s="323" t="str">
        <f t="shared" si="8"/>
        <v>NA</v>
      </c>
    </row>
    <row r="98" spans="2:32" outlineLevel="1" x14ac:dyDescent="0.25">
      <c r="B98" s="236">
        <v>115</v>
      </c>
      <c r="C98" s="463">
        <f>ROUND(SUMIFS(Age_Sex22[[#All],[Total Member Months by Age/Sex Band]], Age_Sex22[[#All],[Advanced Network ID]], $B98, Age_Sex22[[#All],[Insurance Category Code]],1), 2)</f>
        <v>0</v>
      </c>
      <c r="D98" s="268">
        <f>ROUND(SUMIFS(Age_Sex22[[#All],[Total Dollars Excluded from Spending After Applying Truncation at the Member Level]], Age_Sex22[[#All],[Advanced Network ID]], $B98, Age_Sex22[[#All],[Insurance Category Code]],1), 2)</f>
        <v>0</v>
      </c>
      <c r="E98" s="229">
        <f>ROUND(SUMIFS(Age_Sex22[[#All],[Count of Members whose Spending was Truncated]], Age_Sex22[[#All],[Advanced Network ID]], $B98, Age_Sex22[[#All],[Insurance Category Code]],1),2)</f>
        <v>0</v>
      </c>
      <c r="F98" s="230">
        <f>ROUND(SUMIFS(Age_Sex22[[#All],[Total Spending before Truncation is Applied]], Age_Sex22[[#All],[Advanced Network ID]], $B98, Age_Sex22[[#All],[Insurance Category Code]],1), 2)</f>
        <v>0</v>
      </c>
      <c r="G98" s="232">
        <f>ROUND(SUMIFS(Age_Sex22[[#All],[Total Spending After Applying Truncation at the Member Level]], Age_Sex22[[#All],[Advanced Network ID]], $B98, Age_Sex22[[#All],[Insurance Category Code]],1), 2)</f>
        <v>0</v>
      </c>
      <c r="H98" s="416" t="str">
        <f>IF(C98=ROUND(SUMIFS(AN_TME22[[#All],[Member Months]], AN_TME22[[#All],[Insurance Category Code]],1, AN_TME22[[#All],[Advanced Network/Insurance Carrier Org ID]],B98),2), "TRUE", ROUND(C98-SUMIFS(AN_TME22[[#All],[Member Months]], AN_TME22[[#All],[Insurance Category Code]],1, AN_TME22[[#All],[Advanced Network/Insurance Carrier Org ID]],B98),2))</f>
        <v>TRUE</v>
      </c>
      <c r="I98" s="280" t="str">
        <f>IF(D98=ROUND(SUMIFS(AN_TME22[[#All],[Total Claims Excluded because of Truncation]], AN_TME22[[#All],[Insurance Category Code]],1, AN_TME22[[#All],[Advanced Network/Insurance Carrier Org ID]],B98),2), "TRUE", ROUND(D98-SUMIFS(AN_TME22[[#All],[Total Claims Excluded because of Truncation]], AN_TME22[[#All],[Insurance Category Code]],1, AN_TME22[[#All],[Advanced Network/Insurance Carrier Org ID]],B98),2))</f>
        <v>TRUE</v>
      </c>
      <c r="J98" s="281" t="str">
        <f>IF(E98=ROUND(SUMIFS(AN_TME22[[#All],[Count of Members with Claims Truncated]], AN_TME22[[#All],[Insurance Category Code]],1, AN_TME22[[#All],[Advanced Network/Insurance Carrier Org ID]],B98),2), "TRUE", ROUND(E98-SUMIFS(AN_TME22[[#All],[Count of Members with Claims Truncated]], AN_TME22[[#All],[Insurance Category Code]],1, AN_TME22[[#All],[Advanced Network/Insurance Carrier Org ID]],B98),2))</f>
        <v>TRUE</v>
      </c>
      <c r="K98" s="282" t="str">
        <f>IF(F98=ROUND(SUMIFS(AN_TME22[[#All],[TOTAL Non-Truncated Unadjusted Claims Expenses]], AN_TME22[[#All],[Insurance Category Code]],1, AN_TME22[[#All],[Advanced Network/Insurance Carrier Org ID]],B98),2), "TRUE", ROUND(F98-SUMIFS(AN_TME22[[#All],[TOTAL Non-Truncated Unadjusted Claims Expenses]], AN_TME22[[#All],[Insurance Category Code]],1, AN_TME22[[#All],[Advanced Network/Insurance Carrier Org ID]],B98),2))</f>
        <v>TRUE</v>
      </c>
      <c r="L98" s="295" t="str">
        <f>IF(G98=ROUND(SUMIFS(AN_TME22[[#All],[TOTAL Truncated Unadjusted Claims Expenses (A21 -A19)]], AN_TME22[[#All],[Insurance Category Code]],1, AN_TME22[[#All],[Advanced Network/Insurance Carrier Org ID]],B98),2), "TRUE", ROUND(G98-SUMIFS(AN_TME22[[#All],[TOTAL Truncated Unadjusted Claims Expenses (A21 -A19)]], AN_TME22[[#All],[Insurance Category Code]],1, AN_TME22[[#All],[Advanced Network/Insurance Carrier Org ID]],B98),2))</f>
        <v>TRUE</v>
      </c>
      <c r="M98" s="461" t="str">
        <f t="shared" si="7"/>
        <v>TRUE</v>
      </c>
      <c r="N98" s="282" t="b">
        <f>ROUND(SUMIFS(AN_TME22[[#All],[TOTAL Non-Truncated Unadjusted Claims Expenses]], AN_TME22[[#All],[Insurance Category Code]],1, AN_TME22[[#All],[Advanced Network/Insurance Carrier Org ID]],B98), 2)&gt;=ROUND(SUMIFS(AN_TME22[[#All],[TOTAL Truncated Unadjusted Claims Expenses (A21 -A19)]], AN_TME22[[#All],[Insurance Category Code]],1, AN_TME22[[#All],[Advanced Network/Insurance Carrier Org ID]],B98),2)</f>
        <v>1</v>
      </c>
      <c r="O98" s="295" t="b">
        <f>ROUND(SUMIFS(AN_TME22[[#All],[TOTAL Truncated Unadjusted Claims Expenses (A21 -A19)]], AN_TME22[[#All],[Insurance Category Code]],1, AN_TME22[[#All],[Advanced Network/Insurance Carrier Org ID]],B98)+SUMIFS(AN_TME22[[#All],[Total Claims Excluded because of Truncation]], AN_TME22[[#All],[Insurance Category Code]],1, AN_TME22[[#All],[Advanced Network/Insurance Carrier Org ID]],B98),2)=ROUND(SUMIFS(AN_TME22[[#All],[TOTAL Non-Truncated Unadjusted Claims Expenses]], AN_TME22[[#All],[Insurance Category Code]],1, AN_TME22[[#All],[Advanced Network/Insurance Carrier Org ID]],B98), 2)</f>
        <v>1</v>
      </c>
      <c r="Q98" s="236">
        <v>115</v>
      </c>
      <c r="R98" s="463">
        <f>ROUND(SUMIFS(Age_Sex23[[#All],[Total Member Months by Age/Sex Band]], Age_Sex23[[#All],[Advanced Network ID]], $Q98, Age_Sex23[[#All],[Insurance Category Code]],1), 2)</f>
        <v>0</v>
      </c>
      <c r="S98" s="268">
        <f>ROUND(SUMIFS(Age_Sex23[[#All],[Total Dollars Excluded from Spending After Applying Truncation at the Member Level]], Age_Sex23[[#All],[Advanced Network ID]], $B98, Age_Sex23[[#All],[Insurance Category Code]],1),2)</f>
        <v>0</v>
      </c>
      <c r="T98" s="229">
        <f>ROUND(SUMIFS(Age_Sex23[[#All],[Count of Members whose Spending was Truncated]], Age_Sex23[[#All],[Advanced Network ID]], $B98, Age_Sex23[[#All],[Insurance Category Code]],1), 2)</f>
        <v>0</v>
      </c>
      <c r="U98" s="230">
        <f>ROUND(SUMIFS(Age_Sex23[[#All],[Total Spending before Truncation is Applied]], Age_Sex23[[#All],[Advanced Network ID]], $B98, Age_Sex23[[#All],[Insurance Category Code]],1), 2)</f>
        <v>0</v>
      </c>
      <c r="V98" s="232">
        <f>ROUND(SUMIFS(Age_Sex23[[#All],[Total Spending After Applying Truncation at the Member Level]], Age_Sex23[[#All],[Advanced Network ID]], $B98, Age_Sex23[[#All],[Insurance Category Code]],1),2)</f>
        <v>0</v>
      </c>
      <c r="W98" s="416" t="str">
        <f>IF(R98=ROUND(SUMIFS(AN_TME23[[#All],[Member Months]], AN_TME23[[#All],[Insurance Category Code]],1, AN_TME23[[#All],[Advanced Network/Insurance Carrier Org ID]],Q98),2), "TRUE", ROUND(R98-SUMIFS(AN_TME23[[#All],[Member Months]], AN_TME23[[#All],[Insurance Category Code]],1, AN_TME23[[#All],[Advanced Network/Insurance Carrier Org ID]],Q98),2))</f>
        <v>TRUE</v>
      </c>
      <c r="X98" s="280" t="str">
        <f>IF(S98=ROUND(SUMIFS(AN_TME23[[#All],[Total Claims Excluded because of Truncation]], AN_TME23[[#All],[Insurance Category Code]],1, AN_TME23[[#All],[Advanced Network/Insurance Carrier Org ID]],Q98),2), "TRUE", ROUND(S98-SUMIFS(AN_TME23[[#All],[Total Claims Excluded because of Truncation]], AN_TME23[[#All],[Insurance Category Code]],1, AN_TME23[[#All],[Advanced Network/Insurance Carrier Org ID]],Q98),2))</f>
        <v>TRUE</v>
      </c>
      <c r="Y98" s="281" t="str">
        <f>IF(T98=ROUND(SUMIFS(AN_TME23[[#All],[Count of Members with Claims Truncated]], AN_TME23[[#All],[Insurance Category Code]],1, AN_TME23[[#All],[Advanced Network/Insurance Carrier Org ID]],Q98),2), "TRUE", ROUND(T98-SUMIFS(AN_TME23[[#All],[Count of Members with Claims Truncated]], AN_TME23[[#All],[Insurance Category Code]],1, AN_TME23[[#All],[Advanced Network/Insurance Carrier Org ID]],Q98),2))</f>
        <v>TRUE</v>
      </c>
      <c r="Z98" s="282" t="str">
        <f>IF(U98=ROUND(SUMIFS(AN_TME23[[#All],[TOTAL Non-Truncated Unadjusted Claims Expenses]], AN_TME23[[#All],[Insurance Category Code]],1, AN_TME23[[#All],[Advanced Network/Insurance Carrier Org ID]],Q98),2), "TRUE", ROUND(U98-SUMIFS(AN_TME23[[#All],[TOTAL Non-Truncated Unadjusted Claims Expenses]], AN_TME23[[#All],[Insurance Category Code]],1, AN_TME23[[#All],[Advanced Network/Insurance Carrier Org ID]],Q98),2))</f>
        <v>TRUE</v>
      </c>
      <c r="AA98" s="295" t="str">
        <f>IF(V98=ROUND(SUMIFS(AN_TME23[[#All],[TOTAL Truncated Unadjusted Claims Expenses (A21 -A19)]], AN_TME23[[#All],[Insurance Category Code]],1, AN_TME23[[#All],[Advanced Network/Insurance Carrier Org ID]],Q98),2), "TRUE", ROUND(V98-SUMIFS(AN_TME23[[#All],[TOTAL Truncated Unadjusted Claims Expenses (A21 -A19)]], AN_TME23[[#All],[Insurance Category Code]],1, AN_TME23[[#All],[Advanced Network/Insurance Carrier Org ID]],Q98),2))</f>
        <v>TRUE</v>
      </c>
      <c r="AB98" s="461" t="str">
        <f t="shared" si="9"/>
        <v>TRUE</v>
      </c>
      <c r="AC98" s="282" t="b">
        <f>ROUND(SUMIFS(AN_TME23[[#All],[TOTAL Non-Truncated Unadjusted Claims Expenses]], AN_TME23[[#All],[Insurance Category Code]],1, AN_TME23[[#All],[Advanced Network/Insurance Carrier Org ID]],Q98),2)&gt;=ROUND(SUMIFS(AN_TME23[[#All],[TOTAL Truncated Unadjusted Claims Expenses (A21 -A19)]], AN_TME23[[#All],[Insurance Category Code]],1, AN_TME23[[#All],[Advanced Network/Insurance Carrier Org ID]],Q98), 2)</f>
        <v>1</v>
      </c>
      <c r="AD98" s="295" t="b">
        <f>ROUND(SUMIFS(AN_TME23[[#All],[TOTAL Truncated Unadjusted Claims Expenses (A21 -A19)]], AN_TME23[[#All],[Insurance Category Code]],1, AN_TME23[[#All],[Advanced Network/Insurance Carrier Org ID]],Q98)+SUMIFS(AN_TME23[[#All],[Total Claims Excluded because of Truncation]], AN_TME23[[#All],[Insurance Category Code]],1, AN_TME23[[#All],[Advanced Network/Insurance Carrier Org ID]],Q98), 2)=ROUND(SUMIFS(AN_TME23[[#All],[TOTAL Non-Truncated Unadjusted Claims Expenses]], AN_TME23[[#All],[Insurance Category Code]],1, AN_TME23[[#All],[Advanced Network/Insurance Carrier Org ID]],Q98), 2)</f>
        <v>1</v>
      </c>
      <c r="AF98" s="323" t="str">
        <f t="shared" si="8"/>
        <v>NA</v>
      </c>
    </row>
    <row r="99" spans="2:32" outlineLevel="1" x14ac:dyDescent="0.25">
      <c r="B99" s="236">
        <v>116</v>
      </c>
      <c r="C99" s="463">
        <f>ROUND(SUMIFS(Age_Sex22[[#All],[Total Member Months by Age/Sex Band]], Age_Sex22[[#All],[Advanced Network ID]], $B99, Age_Sex22[[#All],[Insurance Category Code]],1), 2)</f>
        <v>0</v>
      </c>
      <c r="D99" s="268">
        <f>ROUND(SUMIFS(Age_Sex22[[#All],[Total Dollars Excluded from Spending After Applying Truncation at the Member Level]], Age_Sex22[[#All],[Advanced Network ID]], $B99, Age_Sex22[[#All],[Insurance Category Code]],1), 2)</f>
        <v>0</v>
      </c>
      <c r="E99" s="229">
        <f>ROUND(SUMIFS(Age_Sex22[[#All],[Count of Members whose Spending was Truncated]], Age_Sex22[[#All],[Advanced Network ID]], $B99, Age_Sex22[[#All],[Insurance Category Code]],1),2)</f>
        <v>0</v>
      </c>
      <c r="F99" s="230">
        <f>ROUND(SUMIFS(Age_Sex22[[#All],[Total Spending before Truncation is Applied]], Age_Sex22[[#All],[Advanced Network ID]], $B99, Age_Sex22[[#All],[Insurance Category Code]],1), 2)</f>
        <v>0</v>
      </c>
      <c r="G99" s="232">
        <f>ROUND(SUMIFS(Age_Sex22[[#All],[Total Spending After Applying Truncation at the Member Level]], Age_Sex22[[#All],[Advanced Network ID]], $B99, Age_Sex22[[#All],[Insurance Category Code]],1), 2)</f>
        <v>0</v>
      </c>
      <c r="H99" s="416" t="str">
        <f>IF(C99=ROUND(SUMIFS(AN_TME22[[#All],[Member Months]], AN_TME22[[#All],[Insurance Category Code]],1, AN_TME22[[#All],[Advanced Network/Insurance Carrier Org ID]],B99),2), "TRUE", ROUND(C99-SUMIFS(AN_TME22[[#All],[Member Months]], AN_TME22[[#All],[Insurance Category Code]],1, AN_TME22[[#All],[Advanced Network/Insurance Carrier Org ID]],B99),2))</f>
        <v>TRUE</v>
      </c>
      <c r="I99" s="280" t="str">
        <f>IF(D99=ROUND(SUMIFS(AN_TME22[[#All],[Total Claims Excluded because of Truncation]], AN_TME22[[#All],[Insurance Category Code]],1, AN_TME22[[#All],[Advanced Network/Insurance Carrier Org ID]],B99),2), "TRUE", ROUND(D99-SUMIFS(AN_TME22[[#All],[Total Claims Excluded because of Truncation]], AN_TME22[[#All],[Insurance Category Code]],1, AN_TME22[[#All],[Advanced Network/Insurance Carrier Org ID]],B99),2))</f>
        <v>TRUE</v>
      </c>
      <c r="J99" s="281" t="str">
        <f>IF(E99=ROUND(SUMIFS(AN_TME22[[#All],[Count of Members with Claims Truncated]], AN_TME22[[#All],[Insurance Category Code]],1, AN_TME22[[#All],[Advanced Network/Insurance Carrier Org ID]],B99),2), "TRUE", ROUND(E99-SUMIFS(AN_TME22[[#All],[Count of Members with Claims Truncated]], AN_TME22[[#All],[Insurance Category Code]],1, AN_TME22[[#All],[Advanced Network/Insurance Carrier Org ID]],B99),2))</f>
        <v>TRUE</v>
      </c>
      <c r="K99" s="282" t="str">
        <f>IF(F99=ROUND(SUMIFS(AN_TME22[[#All],[TOTAL Non-Truncated Unadjusted Claims Expenses]], AN_TME22[[#All],[Insurance Category Code]],1, AN_TME22[[#All],[Advanced Network/Insurance Carrier Org ID]],B99),2), "TRUE", ROUND(F99-SUMIFS(AN_TME22[[#All],[TOTAL Non-Truncated Unadjusted Claims Expenses]], AN_TME22[[#All],[Insurance Category Code]],1, AN_TME22[[#All],[Advanced Network/Insurance Carrier Org ID]],B99),2))</f>
        <v>TRUE</v>
      </c>
      <c r="L99" s="295" t="str">
        <f>IF(G99=ROUND(SUMIFS(AN_TME22[[#All],[TOTAL Truncated Unadjusted Claims Expenses (A21 -A19)]], AN_TME22[[#All],[Insurance Category Code]],1, AN_TME22[[#All],[Advanced Network/Insurance Carrier Org ID]],B99),2), "TRUE", ROUND(G99-SUMIFS(AN_TME22[[#All],[TOTAL Truncated Unadjusted Claims Expenses (A21 -A19)]], AN_TME22[[#All],[Insurance Category Code]],1, AN_TME22[[#All],[Advanced Network/Insurance Carrier Org ID]],B99),2))</f>
        <v>TRUE</v>
      </c>
      <c r="M99" s="461" t="str">
        <f t="shared" si="7"/>
        <v>TRUE</v>
      </c>
      <c r="N99" s="282" t="b">
        <f>ROUND(SUMIFS(AN_TME22[[#All],[TOTAL Non-Truncated Unadjusted Claims Expenses]], AN_TME22[[#All],[Insurance Category Code]],1, AN_TME22[[#All],[Advanced Network/Insurance Carrier Org ID]],B99), 2)&gt;=ROUND(SUMIFS(AN_TME22[[#All],[TOTAL Truncated Unadjusted Claims Expenses (A21 -A19)]], AN_TME22[[#All],[Insurance Category Code]],1, AN_TME22[[#All],[Advanced Network/Insurance Carrier Org ID]],B99),2)</f>
        <v>1</v>
      </c>
      <c r="O99" s="295" t="b">
        <f>ROUND(SUMIFS(AN_TME22[[#All],[TOTAL Truncated Unadjusted Claims Expenses (A21 -A19)]], AN_TME22[[#All],[Insurance Category Code]],1, AN_TME22[[#All],[Advanced Network/Insurance Carrier Org ID]],B99)+SUMIFS(AN_TME22[[#All],[Total Claims Excluded because of Truncation]], AN_TME22[[#All],[Insurance Category Code]],1, AN_TME22[[#All],[Advanced Network/Insurance Carrier Org ID]],B99),2)=ROUND(SUMIFS(AN_TME22[[#All],[TOTAL Non-Truncated Unadjusted Claims Expenses]], AN_TME22[[#All],[Insurance Category Code]],1, AN_TME22[[#All],[Advanced Network/Insurance Carrier Org ID]],B99), 2)</f>
        <v>1</v>
      </c>
      <c r="Q99" s="236">
        <v>116</v>
      </c>
      <c r="R99" s="463">
        <f>ROUND(SUMIFS(Age_Sex23[[#All],[Total Member Months by Age/Sex Band]], Age_Sex23[[#All],[Advanced Network ID]], $Q99, Age_Sex23[[#All],[Insurance Category Code]],1), 2)</f>
        <v>0</v>
      </c>
      <c r="S99" s="268">
        <f>ROUND(SUMIFS(Age_Sex23[[#All],[Total Dollars Excluded from Spending After Applying Truncation at the Member Level]], Age_Sex23[[#All],[Advanced Network ID]], $B99, Age_Sex23[[#All],[Insurance Category Code]],1),2)</f>
        <v>0</v>
      </c>
      <c r="T99" s="229">
        <f>ROUND(SUMIFS(Age_Sex23[[#All],[Count of Members whose Spending was Truncated]], Age_Sex23[[#All],[Advanced Network ID]], $B99, Age_Sex23[[#All],[Insurance Category Code]],1), 2)</f>
        <v>0</v>
      </c>
      <c r="U99" s="230">
        <f>ROUND(SUMIFS(Age_Sex23[[#All],[Total Spending before Truncation is Applied]], Age_Sex23[[#All],[Advanced Network ID]], $B99, Age_Sex23[[#All],[Insurance Category Code]],1), 2)</f>
        <v>0</v>
      </c>
      <c r="V99" s="232">
        <f>ROUND(SUMIFS(Age_Sex23[[#All],[Total Spending After Applying Truncation at the Member Level]], Age_Sex23[[#All],[Advanced Network ID]], $B99, Age_Sex23[[#All],[Insurance Category Code]],1),2)</f>
        <v>0</v>
      </c>
      <c r="W99" s="416" t="str">
        <f>IF(R99=ROUND(SUMIFS(AN_TME23[[#All],[Member Months]], AN_TME23[[#All],[Insurance Category Code]],1, AN_TME23[[#All],[Advanced Network/Insurance Carrier Org ID]],Q99),2), "TRUE", ROUND(R99-SUMIFS(AN_TME23[[#All],[Member Months]], AN_TME23[[#All],[Insurance Category Code]],1, AN_TME23[[#All],[Advanced Network/Insurance Carrier Org ID]],Q99),2))</f>
        <v>TRUE</v>
      </c>
      <c r="X99" s="280" t="str">
        <f>IF(S99=ROUND(SUMIFS(AN_TME23[[#All],[Total Claims Excluded because of Truncation]], AN_TME23[[#All],[Insurance Category Code]],1, AN_TME23[[#All],[Advanced Network/Insurance Carrier Org ID]],Q99),2), "TRUE", ROUND(S99-SUMIFS(AN_TME23[[#All],[Total Claims Excluded because of Truncation]], AN_TME23[[#All],[Insurance Category Code]],1, AN_TME23[[#All],[Advanced Network/Insurance Carrier Org ID]],Q99),2))</f>
        <v>TRUE</v>
      </c>
      <c r="Y99" s="281" t="str">
        <f>IF(T99=ROUND(SUMIFS(AN_TME23[[#All],[Count of Members with Claims Truncated]], AN_TME23[[#All],[Insurance Category Code]],1, AN_TME23[[#All],[Advanced Network/Insurance Carrier Org ID]],Q99),2), "TRUE", ROUND(T99-SUMIFS(AN_TME23[[#All],[Count of Members with Claims Truncated]], AN_TME23[[#All],[Insurance Category Code]],1, AN_TME23[[#All],[Advanced Network/Insurance Carrier Org ID]],Q99),2))</f>
        <v>TRUE</v>
      </c>
      <c r="Z99" s="282" t="str">
        <f>IF(U99=ROUND(SUMIFS(AN_TME23[[#All],[TOTAL Non-Truncated Unadjusted Claims Expenses]], AN_TME23[[#All],[Insurance Category Code]],1, AN_TME23[[#All],[Advanced Network/Insurance Carrier Org ID]],Q99),2), "TRUE", ROUND(U99-SUMIFS(AN_TME23[[#All],[TOTAL Non-Truncated Unadjusted Claims Expenses]], AN_TME23[[#All],[Insurance Category Code]],1, AN_TME23[[#All],[Advanced Network/Insurance Carrier Org ID]],Q99),2))</f>
        <v>TRUE</v>
      </c>
      <c r="AA99" s="295" t="str">
        <f>IF(V99=ROUND(SUMIFS(AN_TME23[[#All],[TOTAL Truncated Unadjusted Claims Expenses (A21 -A19)]], AN_TME23[[#All],[Insurance Category Code]],1, AN_TME23[[#All],[Advanced Network/Insurance Carrier Org ID]],Q99),2), "TRUE", ROUND(V99-SUMIFS(AN_TME23[[#All],[TOTAL Truncated Unadjusted Claims Expenses (A21 -A19)]], AN_TME23[[#All],[Insurance Category Code]],1, AN_TME23[[#All],[Advanced Network/Insurance Carrier Org ID]],Q99),2))</f>
        <v>TRUE</v>
      </c>
      <c r="AB99" s="461" t="str">
        <f t="shared" si="9"/>
        <v>TRUE</v>
      </c>
      <c r="AC99" s="282" t="b">
        <f>ROUND(SUMIFS(AN_TME23[[#All],[TOTAL Non-Truncated Unadjusted Claims Expenses]], AN_TME23[[#All],[Insurance Category Code]],1, AN_TME23[[#All],[Advanced Network/Insurance Carrier Org ID]],Q99),2)&gt;=ROUND(SUMIFS(AN_TME23[[#All],[TOTAL Truncated Unadjusted Claims Expenses (A21 -A19)]], AN_TME23[[#All],[Insurance Category Code]],1, AN_TME23[[#All],[Advanced Network/Insurance Carrier Org ID]],Q99), 2)</f>
        <v>1</v>
      </c>
      <c r="AD99" s="295" t="b">
        <f>ROUND(SUMIFS(AN_TME23[[#All],[TOTAL Truncated Unadjusted Claims Expenses (A21 -A19)]], AN_TME23[[#All],[Insurance Category Code]],1, AN_TME23[[#All],[Advanced Network/Insurance Carrier Org ID]],Q99)+SUMIFS(AN_TME23[[#All],[Total Claims Excluded because of Truncation]], AN_TME23[[#All],[Insurance Category Code]],1, AN_TME23[[#All],[Advanced Network/Insurance Carrier Org ID]],Q99), 2)=ROUND(SUMIFS(AN_TME23[[#All],[TOTAL Non-Truncated Unadjusted Claims Expenses]], AN_TME23[[#All],[Insurance Category Code]],1, AN_TME23[[#All],[Advanced Network/Insurance Carrier Org ID]],Q99), 2)</f>
        <v>1</v>
      </c>
      <c r="AF99" s="323" t="str">
        <f t="shared" si="8"/>
        <v>NA</v>
      </c>
    </row>
    <row r="100" spans="2:32" outlineLevel="1" x14ac:dyDescent="0.25">
      <c r="B100" s="236">
        <v>117</v>
      </c>
      <c r="C100" s="463">
        <f>ROUND(SUMIFS(Age_Sex22[[#All],[Total Member Months by Age/Sex Band]], Age_Sex22[[#All],[Advanced Network ID]], $B100, Age_Sex22[[#All],[Insurance Category Code]],1), 2)</f>
        <v>0</v>
      </c>
      <c r="D100" s="268">
        <f>ROUND(SUMIFS(Age_Sex22[[#All],[Total Dollars Excluded from Spending After Applying Truncation at the Member Level]], Age_Sex22[[#All],[Advanced Network ID]], $B100, Age_Sex22[[#All],[Insurance Category Code]],1), 2)</f>
        <v>0</v>
      </c>
      <c r="E100" s="229">
        <f>ROUND(SUMIFS(Age_Sex22[[#All],[Count of Members whose Spending was Truncated]], Age_Sex22[[#All],[Advanced Network ID]], $B100, Age_Sex22[[#All],[Insurance Category Code]],1),2)</f>
        <v>0</v>
      </c>
      <c r="F100" s="230">
        <f>ROUND(SUMIFS(Age_Sex22[[#All],[Total Spending before Truncation is Applied]], Age_Sex22[[#All],[Advanced Network ID]], $B100, Age_Sex22[[#All],[Insurance Category Code]],1), 2)</f>
        <v>0</v>
      </c>
      <c r="G100" s="232">
        <f>ROUND(SUMIFS(Age_Sex22[[#All],[Total Spending After Applying Truncation at the Member Level]], Age_Sex22[[#All],[Advanced Network ID]], $B100, Age_Sex22[[#All],[Insurance Category Code]],1), 2)</f>
        <v>0</v>
      </c>
      <c r="H100" s="416" t="str">
        <f>IF(C100=ROUND(SUMIFS(AN_TME22[[#All],[Member Months]], AN_TME22[[#All],[Insurance Category Code]],1, AN_TME22[[#All],[Advanced Network/Insurance Carrier Org ID]],B100),2), "TRUE", ROUND(C100-SUMIFS(AN_TME22[[#All],[Member Months]], AN_TME22[[#All],[Insurance Category Code]],1, AN_TME22[[#All],[Advanced Network/Insurance Carrier Org ID]],B100),2))</f>
        <v>TRUE</v>
      </c>
      <c r="I100" s="280" t="str">
        <f>IF(D100=ROUND(SUMIFS(AN_TME22[[#All],[Total Claims Excluded because of Truncation]], AN_TME22[[#All],[Insurance Category Code]],1, AN_TME22[[#All],[Advanced Network/Insurance Carrier Org ID]],B100),2), "TRUE", ROUND(D100-SUMIFS(AN_TME22[[#All],[Total Claims Excluded because of Truncation]], AN_TME22[[#All],[Insurance Category Code]],1, AN_TME22[[#All],[Advanced Network/Insurance Carrier Org ID]],B100),2))</f>
        <v>TRUE</v>
      </c>
      <c r="J100" s="281" t="str">
        <f>IF(E100=ROUND(SUMIFS(AN_TME22[[#All],[Count of Members with Claims Truncated]], AN_TME22[[#All],[Insurance Category Code]],1, AN_TME22[[#All],[Advanced Network/Insurance Carrier Org ID]],B100),2), "TRUE", ROUND(E100-SUMIFS(AN_TME22[[#All],[Count of Members with Claims Truncated]], AN_TME22[[#All],[Insurance Category Code]],1, AN_TME22[[#All],[Advanced Network/Insurance Carrier Org ID]],B100),2))</f>
        <v>TRUE</v>
      </c>
      <c r="K100" s="282" t="str">
        <f>IF(F100=ROUND(SUMIFS(AN_TME22[[#All],[TOTAL Non-Truncated Unadjusted Claims Expenses]], AN_TME22[[#All],[Insurance Category Code]],1, AN_TME22[[#All],[Advanced Network/Insurance Carrier Org ID]],B100),2), "TRUE", ROUND(F100-SUMIFS(AN_TME22[[#All],[TOTAL Non-Truncated Unadjusted Claims Expenses]], AN_TME22[[#All],[Insurance Category Code]],1, AN_TME22[[#All],[Advanced Network/Insurance Carrier Org ID]],B100),2))</f>
        <v>TRUE</v>
      </c>
      <c r="L100" s="295" t="str">
        <f>IF(G100=ROUND(SUMIFS(AN_TME22[[#All],[TOTAL Truncated Unadjusted Claims Expenses (A21 -A19)]], AN_TME22[[#All],[Insurance Category Code]],1, AN_TME22[[#All],[Advanced Network/Insurance Carrier Org ID]],B100),2), "TRUE", ROUND(G100-SUMIFS(AN_TME22[[#All],[TOTAL Truncated Unadjusted Claims Expenses (A21 -A19)]], AN_TME22[[#All],[Insurance Category Code]],1, AN_TME22[[#All],[Advanced Network/Insurance Carrier Org ID]],B100),2))</f>
        <v>TRUE</v>
      </c>
      <c r="M100" s="461" t="str">
        <f t="shared" si="7"/>
        <v>TRUE</v>
      </c>
      <c r="N100" s="282" t="b">
        <f>ROUND(SUMIFS(AN_TME22[[#All],[TOTAL Non-Truncated Unadjusted Claims Expenses]], AN_TME22[[#All],[Insurance Category Code]],1, AN_TME22[[#All],[Advanced Network/Insurance Carrier Org ID]],B100), 2)&gt;=ROUND(SUMIFS(AN_TME22[[#All],[TOTAL Truncated Unadjusted Claims Expenses (A21 -A19)]], AN_TME22[[#All],[Insurance Category Code]],1, AN_TME22[[#All],[Advanced Network/Insurance Carrier Org ID]],B100),2)</f>
        <v>1</v>
      </c>
      <c r="O100" s="295" t="b">
        <f>ROUND(SUMIFS(AN_TME22[[#All],[TOTAL Truncated Unadjusted Claims Expenses (A21 -A19)]], AN_TME22[[#All],[Insurance Category Code]],1, AN_TME22[[#All],[Advanced Network/Insurance Carrier Org ID]],B100)+SUMIFS(AN_TME22[[#All],[Total Claims Excluded because of Truncation]], AN_TME22[[#All],[Insurance Category Code]],1, AN_TME22[[#All],[Advanced Network/Insurance Carrier Org ID]],B100),2)=ROUND(SUMIFS(AN_TME22[[#All],[TOTAL Non-Truncated Unadjusted Claims Expenses]], AN_TME22[[#All],[Insurance Category Code]],1, AN_TME22[[#All],[Advanced Network/Insurance Carrier Org ID]],B100), 2)</f>
        <v>1</v>
      </c>
      <c r="Q100" s="236">
        <v>117</v>
      </c>
      <c r="R100" s="463">
        <f>ROUND(SUMIFS(Age_Sex23[[#All],[Total Member Months by Age/Sex Band]], Age_Sex23[[#All],[Advanced Network ID]], $Q100, Age_Sex23[[#All],[Insurance Category Code]],1), 2)</f>
        <v>0</v>
      </c>
      <c r="S100" s="268">
        <f>ROUND(SUMIFS(Age_Sex23[[#All],[Total Dollars Excluded from Spending After Applying Truncation at the Member Level]], Age_Sex23[[#All],[Advanced Network ID]], $B100, Age_Sex23[[#All],[Insurance Category Code]],1),2)</f>
        <v>0</v>
      </c>
      <c r="T100" s="229">
        <f>ROUND(SUMIFS(Age_Sex23[[#All],[Count of Members whose Spending was Truncated]], Age_Sex23[[#All],[Advanced Network ID]], $B100, Age_Sex23[[#All],[Insurance Category Code]],1), 2)</f>
        <v>0</v>
      </c>
      <c r="U100" s="230">
        <f>ROUND(SUMIFS(Age_Sex23[[#All],[Total Spending before Truncation is Applied]], Age_Sex23[[#All],[Advanced Network ID]], $B100, Age_Sex23[[#All],[Insurance Category Code]],1), 2)</f>
        <v>0</v>
      </c>
      <c r="V100" s="232">
        <f>ROUND(SUMIFS(Age_Sex23[[#All],[Total Spending After Applying Truncation at the Member Level]], Age_Sex23[[#All],[Advanced Network ID]], $B100, Age_Sex23[[#All],[Insurance Category Code]],1),2)</f>
        <v>0</v>
      </c>
      <c r="W100" s="416" t="str">
        <f>IF(R100=ROUND(SUMIFS(AN_TME23[[#All],[Member Months]], AN_TME23[[#All],[Insurance Category Code]],1, AN_TME23[[#All],[Advanced Network/Insurance Carrier Org ID]],Q100),2), "TRUE", ROUND(R100-SUMIFS(AN_TME23[[#All],[Member Months]], AN_TME23[[#All],[Insurance Category Code]],1, AN_TME23[[#All],[Advanced Network/Insurance Carrier Org ID]],Q100),2))</f>
        <v>TRUE</v>
      </c>
      <c r="X100" s="280" t="str">
        <f>IF(S100=ROUND(SUMIFS(AN_TME23[[#All],[Total Claims Excluded because of Truncation]], AN_TME23[[#All],[Insurance Category Code]],1, AN_TME23[[#All],[Advanced Network/Insurance Carrier Org ID]],Q100),2), "TRUE", ROUND(S100-SUMIFS(AN_TME23[[#All],[Total Claims Excluded because of Truncation]], AN_TME23[[#All],[Insurance Category Code]],1, AN_TME23[[#All],[Advanced Network/Insurance Carrier Org ID]],Q100),2))</f>
        <v>TRUE</v>
      </c>
      <c r="Y100" s="281" t="str">
        <f>IF(T100=ROUND(SUMIFS(AN_TME23[[#All],[Count of Members with Claims Truncated]], AN_TME23[[#All],[Insurance Category Code]],1, AN_TME23[[#All],[Advanced Network/Insurance Carrier Org ID]],Q100),2), "TRUE", ROUND(T100-SUMIFS(AN_TME23[[#All],[Count of Members with Claims Truncated]], AN_TME23[[#All],[Insurance Category Code]],1, AN_TME23[[#All],[Advanced Network/Insurance Carrier Org ID]],Q100),2))</f>
        <v>TRUE</v>
      </c>
      <c r="Z100" s="282" t="str">
        <f>IF(U100=ROUND(SUMIFS(AN_TME23[[#All],[TOTAL Non-Truncated Unadjusted Claims Expenses]], AN_TME23[[#All],[Insurance Category Code]],1, AN_TME23[[#All],[Advanced Network/Insurance Carrier Org ID]],Q100),2), "TRUE", ROUND(U100-SUMIFS(AN_TME23[[#All],[TOTAL Non-Truncated Unadjusted Claims Expenses]], AN_TME23[[#All],[Insurance Category Code]],1, AN_TME23[[#All],[Advanced Network/Insurance Carrier Org ID]],Q100),2))</f>
        <v>TRUE</v>
      </c>
      <c r="AA100" s="295" t="str">
        <f>IF(V100=ROUND(SUMIFS(AN_TME23[[#All],[TOTAL Truncated Unadjusted Claims Expenses (A21 -A19)]], AN_TME23[[#All],[Insurance Category Code]],1, AN_TME23[[#All],[Advanced Network/Insurance Carrier Org ID]],Q100),2), "TRUE", ROUND(V100-SUMIFS(AN_TME23[[#All],[TOTAL Truncated Unadjusted Claims Expenses (A21 -A19)]], AN_TME23[[#All],[Insurance Category Code]],1, AN_TME23[[#All],[Advanced Network/Insurance Carrier Org ID]],Q100),2))</f>
        <v>TRUE</v>
      </c>
      <c r="AB100" s="461" t="str">
        <f t="shared" si="9"/>
        <v>TRUE</v>
      </c>
      <c r="AC100" s="282" t="b">
        <f>ROUND(SUMIFS(AN_TME23[[#All],[TOTAL Non-Truncated Unadjusted Claims Expenses]], AN_TME23[[#All],[Insurance Category Code]],1, AN_TME23[[#All],[Advanced Network/Insurance Carrier Org ID]],Q100),2)&gt;=ROUND(SUMIFS(AN_TME23[[#All],[TOTAL Truncated Unadjusted Claims Expenses (A21 -A19)]], AN_TME23[[#All],[Insurance Category Code]],1, AN_TME23[[#All],[Advanced Network/Insurance Carrier Org ID]],Q100), 2)</f>
        <v>1</v>
      </c>
      <c r="AD100" s="295" t="b">
        <f>ROUND(SUMIFS(AN_TME23[[#All],[TOTAL Truncated Unadjusted Claims Expenses (A21 -A19)]], AN_TME23[[#All],[Insurance Category Code]],1, AN_TME23[[#All],[Advanced Network/Insurance Carrier Org ID]],Q100)+SUMIFS(AN_TME23[[#All],[Total Claims Excluded because of Truncation]], AN_TME23[[#All],[Insurance Category Code]],1, AN_TME23[[#All],[Advanced Network/Insurance Carrier Org ID]],Q100), 2)=ROUND(SUMIFS(AN_TME23[[#All],[TOTAL Non-Truncated Unadjusted Claims Expenses]], AN_TME23[[#All],[Insurance Category Code]],1, AN_TME23[[#All],[Advanced Network/Insurance Carrier Org ID]],Q100), 2)</f>
        <v>1</v>
      </c>
      <c r="AF100" s="323" t="str">
        <f t="shared" si="8"/>
        <v>NA</v>
      </c>
    </row>
    <row r="101" spans="2:32" outlineLevel="1" x14ac:dyDescent="0.25">
      <c r="B101" s="236">
        <v>118</v>
      </c>
      <c r="C101" s="463">
        <f>ROUND(SUMIFS(Age_Sex22[[#All],[Total Member Months by Age/Sex Band]], Age_Sex22[[#All],[Advanced Network ID]], $B101, Age_Sex22[[#All],[Insurance Category Code]],1), 2)</f>
        <v>0</v>
      </c>
      <c r="D101" s="268">
        <f>ROUND(SUMIFS(Age_Sex22[[#All],[Total Dollars Excluded from Spending After Applying Truncation at the Member Level]], Age_Sex22[[#All],[Advanced Network ID]], $B101, Age_Sex22[[#All],[Insurance Category Code]],1), 2)</f>
        <v>0</v>
      </c>
      <c r="E101" s="229">
        <f>ROUND(SUMIFS(Age_Sex22[[#All],[Count of Members whose Spending was Truncated]], Age_Sex22[[#All],[Advanced Network ID]], $B101, Age_Sex22[[#All],[Insurance Category Code]],1),2)</f>
        <v>0</v>
      </c>
      <c r="F101" s="230">
        <f>ROUND(SUMIFS(Age_Sex22[[#All],[Total Spending before Truncation is Applied]], Age_Sex22[[#All],[Advanced Network ID]], $B101, Age_Sex22[[#All],[Insurance Category Code]],1), 2)</f>
        <v>0</v>
      </c>
      <c r="G101" s="232">
        <f>ROUND(SUMIFS(Age_Sex22[[#All],[Total Spending After Applying Truncation at the Member Level]], Age_Sex22[[#All],[Advanced Network ID]], $B101, Age_Sex22[[#All],[Insurance Category Code]],1), 2)</f>
        <v>0</v>
      </c>
      <c r="H101" s="416" t="str">
        <f>IF(C101=ROUND(SUMIFS(AN_TME22[[#All],[Member Months]], AN_TME22[[#All],[Insurance Category Code]],1, AN_TME22[[#All],[Advanced Network/Insurance Carrier Org ID]],B101),2), "TRUE", ROUND(C101-SUMIFS(AN_TME22[[#All],[Member Months]], AN_TME22[[#All],[Insurance Category Code]],1, AN_TME22[[#All],[Advanced Network/Insurance Carrier Org ID]],B101),2))</f>
        <v>TRUE</v>
      </c>
      <c r="I101" s="280" t="str">
        <f>IF(D101=ROUND(SUMIFS(AN_TME22[[#All],[Total Claims Excluded because of Truncation]], AN_TME22[[#All],[Insurance Category Code]],1, AN_TME22[[#All],[Advanced Network/Insurance Carrier Org ID]],B101),2), "TRUE", ROUND(D101-SUMIFS(AN_TME22[[#All],[Total Claims Excluded because of Truncation]], AN_TME22[[#All],[Insurance Category Code]],1, AN_TME22[[#All],[Advanced Network/Insurance Carrier Org ID]],B101),2))</f>
        <v>TRUE</v>
      </c>
      <c r="J101" s="281" t="str">
        <f>IF(E101=ROUND(SUMIFS(AN_TME22[[#All],[Count of Members with Claims Truncated]], AN_TME22[[#All],[Insurance Category Code]],1, AN_TME22[[#All],[Advanced Network/Insurance Carrier Org ID]],B101),2), "TRUE", ROUND(E101-SUMIFS(AN_TME22[[#All],[Count of Members with Claims Truncated]], AN_TME22[[#All],[Insurance Category Code]],1, AN_TME22[[#All],[Advanced Network/Insurance Carrier Org ID]],B101),2))</f>
        <v>TRUE</v>
      </c>
      <c r="K101" s="282" t="str">
        <f>IF(F101=ROUND(SUMIFS(AN_TME22[[#All],[TOTAL Non-Truncated Unadjusted Claims Expenses]], AN_TME22[[#All],[Insurance Category Code]],1, AN_TME22[[#All],[Advanced Network/Insurance Carrier Org ID]],B101),2), "TRUE", ROUND(F101-SUMIFS(AN_TME22[[#All],[TOTAL Non-Truncated Unadjusted Claims Expenses]], AN_TME22[[#All],[Insurance Category Code]],1, AN_TME22[[#All],[Advanced Network/Insurance Carrier Org ID]],B101),2))</f>
        <v>TRUE</v>
      </c>
      <c r="L101" s="295" t="str">
        <f>IF(G101=ROUND(SUMIFS(AN_TME22[[#All],[TOTAL Truncated Unadjusted Claims Expenses (A21 -A19)]], AN_TME22[[#All],[Insurance Category Code]],1, AN_TME22[[#All],[Advanced Network/Insurance Carrier Org ID]],B101),2), "TRUE", ROUND(G101-SUMIFS(AN_TME22[[#All],[TOTAL Truncated Unadjusted Claims Expenses (A21 -A19)]], AN_TME22[[#All],[Insurance Category Code]],1, AN_TME22[[#All],[Advanced Network/Insurance Carrier Org ID]],B101),2))</f>
        <v>TRUE</v>
      </c>
      <c r="M101" s="461" t="str">
        <f t="shared" si="7"/>
        <v>TRUE</v>
      </c>
      <c r="N101" s="282" t="b">
        <f>ROUND(SUMIFS(AN_TME22[[#All],[TOTAL Non-Truncated Unadjusted Claims Expenses]], AN_TME22[[#All],[Insurance Category Code]],1, AN_TME22[[#All],[Advanced Network/Insurance Carrier Org ID]],B101), 2)&gt;=ROUND(SUMIFS(AN_TME22[[#All],[TOTAL Truncated Unadjusted Claims Expenses (A21 -A19)]], AN_TME22[[#All],[Insurance Category Code]],1, AN_TME22[[#All],[Advanced Network/Insurance Carrier Org ID]],B101),2)</f>
        <v>1</v>
      </c>
      <c r="O101" s="295" t="b">
        <f>ROUND(SUMIFS(AN_TME22[[#All],[TOTAL Truncated Unadjusted Claims Expenses (A21 -A19)]], AN_TME22[[#All],[Insurance Category Code]],1, AN_TME22[[#All],[Advanced Network/Insurance Carrier Org ID]],B101)+SUMIFS(AN_TME22[[#All],[Total Claims Excluded because of Truncation]], AN_TME22[[#All],[Insurance Category Code]],1, AN_TME22[[#All],[Advanced Network/Insurance Carrier Org ID]],B101),2)=ROUND(SUMIFS(AN_TME22[[#All],[TOTAL Non-Truncated Unadjusted Claims Expenses]], AN_TME22[[#All],[Insurance Category Code]],1, AN_TME22[[#All],[Advanced Network/Insurance Carrier Org ID]],B101), 2)</f>
        <v>1</v>
      </c>
      <c r="Q101" s="236">
        <v>118</v>
      </c>
      <c r="R101" s="463">
        <f>ROUND(SUMIFS(Age_Sex23[[#All],[Total Member Months by Age/Sex Band]], Age_Sex23[[#All],[Advanced Network ID]], $Q101, Age_Sex23[[#All],[Insurance Category Code]],1), 2)</f>
        <v>0</v>
      </c>
      <c r="S101" s="268">
        <f>ROUND(SUMIFS(Age_Sex23[[#All],[Total Dollars Excluded from Spending After Applying Truncation at the Member Level]], Age_Sex23[[#All],[Advanced Network ID]], $B101, Age_Sex23[[#All],[Insurance Category Code]],1),2)</f>
        <v>0</v>
      </c>
      <c r="T101" s="229">
        <f>ROUND(SUMIFS(Age_Sex23[[#All],[Count of Members whose Spending was Truncated]], Age_Sex23[[#All],[Advanced Network ID]], $B101, Age_Sex23[[#All],[Insurance Category Code]],1), 2)</f>
        <v>0</v>
      </c>
      <c r="U101" s="230">
        <f>ROUND(SUMIFS(Age_Sex23[[#All],[Total Spending before Truncation is Applied]], Age_Sex23[[#All],[Advanced Network ID]], $B101, Age_Sex23[[#All],[Insurance Category Code]],1), 2)</f>
        <v>0</v>
      </c>
      <c r="V101" s="232">
        <f>ROUND(SUMIFS(Age_Sex23[[#All],[Total Spending After Applying Truncation at the Member Level]], Age_Sex23[[#All],[Advanced Network ID]], $B101, Age_Sex23[[#All],[Insurance Category Code]],1),2)</f>
        <v>0</v>
      </c>
      <c r="W101" s="416" t="str">
        <f>IF(R101=ROUND(SUMIFS(AN_TME23[[#All],[Member Months]], AN_TME23[[#All],[Insurance Category Code]],1, AN_TME23[[#All],[Advanced Network/Insurance Carrier Org ID]],Q101),2), "TRUE", ROUND(R101-SUMIFS(AN_TME23[[#All],[Member Months]], AN_TME23[[#All],[Insurance Category Code]],1, AN_TME23[[#All],[Advanced Network/Insurance Carrier Org ID]],Q101),2))</f>
        <v>TRUE</v>
      </c>
      <c r="X101" s="280" t="str">
        <f>IF(S101=ROUND(SUMIFS(AN_TME23[[#All],[Total Claims Excluded because of Truncation]], AN_TME23[[#All],[Insurance Category Code]],1, AN_TME23[[#All],[Advanced Network/Insurance Carrier Org ID]],Q101),2), "TRUE", ROUND(S101-SUMIFS(AN_TME23[[#All],[Total Claims Excluded because of Truncation]], AN_TME23[[#All],[Insurance Category Code]],1, AN_TME23[[#All],[Advanced Network/Insurance Carrier Org ID]],Q101),2))</f>
        <v>TRUE</v>
      </c>
      <c r="Y101" s="281" t="str">
        <f>IF(T101=ROUND(SUMIFS(AN_TME23[[#All],[Count of Members with Claims Truncated]], AN_TME23[[#All],[Insurance Category Code]],1, AN_TME23[[#All],[Advanced Network/Insurance Carrier Org ID]],Q101),2), "TRUE", ROUND(T101-SUMIFS(AN_TME23[[#All],[Count of Members with Claims Truncated]], AN_TME23[[#All],[Insurance Category Code]],1, AN_TME23[[#All],[Advanced Network/Insurance Carrier Org ID]],Q101),2))</f>
        <v>TRUE</v>
      </c>
      <c r="Z101" s="282" t="str">
        <f>IF(U101=ROUND(SUMIFS(AN_TME23[[#All],[TOTAL Non-Truncated Unadjusted Claims Expenses]], AN_TME23[[#All],[Insurance Category Code]],1, AN_TME23[[#All],[Advanced Network/Insurance Carrier Org ID]],Q101),2), "TRUE", ROUND(U101-SUMIFS(AN_TME23[[#All],[TOTAL Non-Truncated Unadjusted Claims Expenses]], AN_TME23[[#All],[Insurance Category Code]],1, AN_TME23[[#All],[Advanced Network/Insurance Carrier Org ID]],Q101),2))</f>
        <v>TRUE</v>
      </c>
      <c r="AA101" s="295" t="str">
        <f>IF(V101=ROUND(SUMIFS(AN_TME23[[#All],[TOTAL Truncated Unadjusted Claims Expenses (A21 -A19)]], AN_TME23[[#All],[Insurance Category Code]],1, AN_TME23[[#All],[Advanced Network/Insurance Carrier Org ID]],Q101),2), "TRUE", ROUND(V101-SUMIFS(AN_TME23[[#All],[TOTAL Truncated Unadjusted Claims Expenses (A21 -A19)]], AN_TME23[[#All],[Insurance Category Code]],1, AN_TME23[[#All],[Advanced Network/Insurance Carrier Org ID]],Q101),2))</f>
        <v>TRUE</v>
      </c>
      <c r="AB101" s="461" t="str">
        <f t="shared" si="9"/>
        <v>TRUE</v>
      </c>
      <c r="AC101" s="282" t="b">
        <f>ROUND(SUMIFS(AN_TME23[[#All],[TOTAL Non-Truncated Unadjusted Claims Expenses]], AN_TME23[[#All],[Insurance Category Code]],1, AN_TME23[[#All],[Advanced Network/Insurance Carrier Org ID]],Q101),2)&gt;=ROUND(SUMIFS(AN_TME23[[#All],[TOTAL Truncated Unadjusted Claims Expenses (A21 -A19)]], AN_TME23[[#All],[Insurance Category Code]],1, AN_TME23[[#All],[Advanced Network/Insurance Carrier Org ID]],Q101), 2)</f>
        <v>1</v>
      </c>
      <c r="AD101" s="295" t="b">
        <f>ROUND(SUMIFS(AN_TME23[[#All],[TOTAL Truncated Unadjusted Claims Expenses (A21 -A19)]], AN_TME23[[#All],[Insurance Category Code]],1, AN_TME23[[#All],[Advanced Network/Insurance Carrier Org ID]],Q101)+SUMIFS(AN_TME23[[#All],[Total Claims Excluded because of Truncation]], AN_TME23[[#All],[Insurance Category Code]],1, AN_TME23[[#All],[Advanced Network/Insurance Carrier Org ID]],Q101), 2)=ROUND(SUMIFS(AN_TME23[[#All],[TOTAL Non-Truncated Unadjusted Claims Expenses]], AN_TME23[[#All],[Insurance Category Code]],1, AN_TME23[[#All],[Advanced Network/Insurance Carrier Org ID]],Q101), 2)</f>
        <v>1</v>
      </c>
      <c r="AF101" s="323" t="str">
        <f t="shared" si="8"/>
        <v>NA</v>
      </c>
    </row>
    <row r="102" spans="2:32" outlineLevel="1" x14ac:dyDescent="0.25">
      <c r="B102" s="236">
        <v>119</v>
      </c>
      <c r="C102" s="463">
        <f>ROUND(SUMIFS(Age_Sex22[[#All],[Total Member Months by Age/Sex Band]], Age_Sex22[[#All],[Advanced Network ID]], $B102, Age_Sex22[[#All],[Insurance Category Code]],1), 2)</f>
        <v>0</v>
      </c>
      <c r="D102" s="268">
        <f>ROUND(SUMIFS(Age_Sex22[[#All],[Total Dollars Excluded from Spending After Applying Truncation at the Member Level]], Age_Sex22[[#All],[Advanced Network ID]], $B102, Age_Sex22[[#All],[Insurance Category Code]],1), 2)</f>
        <v>0</v>
      </c>
      <c r="E102" s="229">
        <f>ROUND(SUMIFS(Age_Sex22[[#All],[Count of Members whose Spending was Truncated]], Age_Sex22[[#All],[Advanced Network ID]], $B102, Age_Sex22[[#All],[Insurance Category Code]],1),2)</f>
        <v>0</v>
      </c>
      <c r="F102" s="230">
        <f>ROUND(SUMIFS(Age_Sex22[[#All],[Total Spending before Truncation is Applied]], Age_Sex22[[#All],[Advanced Network ID]], $B102, Age_Sex22[[#All],[Insurance Category Code]],1), 2)</f>
        <v>0</v>
      </c>
      <c r="G102" s="232">
        <f>ROUND(SUMIFS(Age_Sex22[[#All],[Total Spending After Applying Truncation at the Member Level]], Age_Sex22[[#All],[Advanced Network ID]], $B102, Age_Sex22[[#All],[Insurance Category Code]],1), 2)</f>
        <v>0</v>
      </c>
      <c r="H102" s="416" t="str">
        <f>IF(C102=ROUND(SUMIFS(AN_TME22[[#All],[Member Months]], AN_TME22[[#All],[Insurance Category Code]],1, AN_TME22[[#All],[Advanced Network/Insurance Carrier Org ID]],B102),2), "TRUE", ROUND(C102-SUMIFS(AN_TME22[[#All],[Member Months]], AN_TME22[[#All],[Insurance Category Code]],1, AN_TME22[[#All],[Advanced Network/Insurance Carrier Org ID]],B102),2))</f>
        <v>TRUE</v>
      </c>
      <c r="I102" s="280" t="str">
        <f>IF(D102=ROUND(SUMIFS(AN_TME22[[#All],[Total Claims Excluded because of Truncation]], AN_TME22[[#All],[Insurance Category Code]],1, AN_TME22[[#All],[Advanced Network/Insurance Carrier Org ID]],B102),2), "TRUE", ROUND(D102-SUMIFS(AN_TME22[[#All],[Total Claims Excluded because of Truncation]], AN_TME22[[#All],[Insurance Category Code]],1, AN_TME22[[#All],[Advanced Network/Insurance Carrier Org ID]],B102),2))</f>
        <v>TRUE</v>
      </c>
      <c r="J102" s="281" t="str">
        <f>IF(E102=ROUND(SUMIFS(AN_TME22[[#All],[Count of Members with Claims Truncated]], AN_TME22[[#All],[Insurance Category Code]],1, AN_TME22[[#All],[Advanced Network/Insurance Carrier Org ID]],B102),2), "TRUE", ROUND(E102-SUMIFS(AN_TME22[[#All],[Count of Members with Claims Truncated]], AN_TME22[[#All],[Insurance Category Code]],1, AN_TME22[[#All],[Advanced Network/Insurance Carrier Org ID]],B102),2))</f>
        <v>TRUE</v>
      </c>
      <c r="K102" s="282" t="str">
        <f>IF(F102=ROUND(SUMIFS(AN_TME22[[#All],[TOTAL Non-Truncated Unadjusted Claims Expenses]], AN_TME22[[#All],[Insurance Category Code]],1, AN_TME22[[#All],[Advanced Network/Insurance Carrier Org ID]],B102),2), "TRUE", ROUND(F102-SUMIFS(AN_TME22[[#All],[TOTAL Non-Truncated Unadjusted Claims Expenses]], AN_TME22[[#All],[Insurance Category Code]],1, AN_TME22[[#All],[Advanced Network/Insurance Carrier Org ID]],B102),2))</f>
        <v>TRUE</v>
      </c>
      <c r="L102" s="295" t="str">
        <f>IF(G102=ROUND(SUMIFS(AN_TME22[[#All],[TOTAL Truncated Unadjusted Claims Expenses (A21 -A19)]], AN_TME22[[#All],[Insurance Category Code]],1, AN_TME22[[#All],[Advanced Network/Insurance Carrier Org ID]],B102),2), "TRUE", ROUND(G102-SUMIFS(AN_TME22[[#All],[TOTAL Truncated Unadjusted Claims Expenses (A21 -A19)]], AN_TME22[[#All],[Insurance Category Code]],1, AN_TME22[[#All],[Advanced Network/Insurance Carrier Org ID]],B102),2))</f>
        <v>TRUE</v>
      </c>
      <c r="M102" s="461" t="str">
        <f t="shared" si="7"/>
        <v>TRUE</v>
      </c>
      <c r="N102" s="282" t="b">
        <f>ROUND(SUMIFS(AN_TME22[[#All],[TOTAL Non-Truncated Unadjusted Claims Expenses]], AN_TME22[[#All],[Insurance Category Code]],1, AN_TME22[[#All],[Advanced Network/Insurance Carrier Org ID]],B102), 2)&gt;=ROUND(SUMIFS(AN_TME22[[#All],[TOTAL Truncated Unadjusted Claims Expenses (A21 -A19)]], AN_TME22[[#All],[Insurance Category Code]],1, AN_TME22[[#All],[Advanced Network/Insurance Carrier Org ID]],B102),2)</f>
        <v>1</v>
      </c>
      <c r="O102" s="295" t="b">
        <f>ROUND(SUMIFS(AN_TME22[[#All],[TOTAL Truncated Unadjusted Claims Expenses (A21 -A19)]], AN_TME22[[#All],[Insurance Category Code]],1, AN_TME22[[#All],[Advanced Network/Insurance Carrier Org ID]],B102)+SUMIFS(AN_TME22[[#All],[Total Claims Excluded because of Truncation]], AN_TME22[[#All],[Insurance Category Code]],1, AN_TME22[[#All],[Advanced Network/Insurance Carrier Org ID]],B102),2)=ROUND(SUMIFS(AN_TME22[[#All],[TOTAL Non-Truncated Unadjusted Claims Expenses]], AN_TME22[[#All],[Insurance Category Code]],1, AN_TME22[[#All],[Advanced Network/Insurance Carrier Org ID]],B102), 2)</f>
        <v>1</v>
      </c>
      <c r="Q102" s="236">
        <v>119</v>
      </c>
      <c r="R102" s="463">
        <f>ROUND(SUMIFS(Age_Sex23[[#All],[Total Member Months by Age/Sex Band]], Age_Sex23[[#All],[Advanced Network ID]], $Q102, Age_Sex23[[#All],[Insurance Category Code]],1), 2)</f>
        <v>0</v>
      </c>
      <c r="S102" s="268">
        <f>ROUND(SUMIFS(Age_Sex23[[#All],[Total Dollars Excluded from Spending After Applying Truncation at the Member Level]], Age_Sex23[[#All],[Advanced Network ID]], $B102, Age_Sex23[[#All],[Insurance Category Code]],1),2)</f>
        <v>0</v>
      </c>
      <c r="T102" s="229">
        <f>ROUND(SUMIFS(Age_Sex23[[#All],[Count of Members whose Spending was Truncated]], Age_Sex23[[#All],[Advanced Network ID]], $B102, Age_Sex23[[#All],[Insurance Category Code]],1), 2)</f>
        <v>0</v>
      </c>
      <c r="U102" s="230">
        <f>ROUND(SUMIFS(Age_Sex23[[#All],[Total Spending before Truncation is Applied]], Age_Sex23[[#All],[Advanced Network ID]], $B102, Age_Sex23[[#All],[Insurance Category Code]],1), 2)</f>
        <v>0</v>
      </c>
      <c r="V102" s="232">
        <f>ROUND(SUMIFS(Age_Sex23[[#All],[Total Spending After Applying Truncation at the Member Level]], Age_Sex23[[#All],[Advanced Network ID]], $B102, Age_Sex23[[#All],[Insurance Category Code]],1),2)</f>
        <v>0</v>
      </c>
      <c r="W102" s="416" t="str">
        <f>IF(R102=ROUND(SUMIFS(AN_TME23[[#All],[Member Months]], AN_TME23[[#All],[Insurance Category Code]],1, AN_TME23[[#All],[Advanced Network/Insurance Carrier Org ID]],Q102),2), "TRUE", ROUND(R102-SUMIFS(AN_TME23[[#All],[Member Months]], AN_TME23[[#All],[Insurance Category Code]],1, AN_TME23[[#All],[Advanced Network/Insurance Carrier Org ID]],Q102),2))</f>
        <v>TRUE</v>
      </c>
      <c r="X102" s="280" t="str">
        <f>IF(S102=ROUND(SUMIFS(AN_TME23[[#All],[Total Claims Excluded because of Truncation]], AN_TME23[[#All],[Insurance Category Code]],1, AN_TME23[[#All],[Advanced Network/Insurance Carrier Org ID]],Q102),2), "TRUE", ROUND(S102-SUMIFS(AN_TME23[[#All],[Total Claims Excluded because of Truncation]], AN_TME23[[#All],[Insurance Category Code]],1, AN_TME23[[#All],[Advanced Network/Insurance Carrier Org ID]],Q102),2))</f>
        <v>TRUE</v>
      </c>
      <c r="Y102" s="281" t="str">
        <f>IF(T102=ROUND(SUMIFS(AN_TME23[[#All],[Count of Members with Claims Truncated]], AN_TME23[[#All],[Insurance Category Code]],1, AN_TME23[[#All],[Advanced Network/Insurance Carrier Org ID]],Q102),2), "TRUE", ROUND(T102-SUMIFS(AN_TME23[[#All],[Count of Members with Claims Truncated]], AN_TME23[[#All],[Insurance Category Code]],1, AN_TME23[[#All],[Advanced Network/Insurance Carrier Org ID]],Q102),2))</f>
        <v>TRUE</v>
      </c>
      <c r="Z102" s="282" t="str">
        <f>IF(U102=ROUND(SUMIFS(AN_TME23[[#All],[TOTAL Non-Truncated Unadjusted Claims Expenses]], AN_TME23[[#All],[Insurance Category Code]],1, AN_TME23[[#All],[Advanced Network/Insurance Carrier Org ID]],Q102),2), "TRUE", ROUND(U102-SUMIFS(AN_TME23[[#All],[TOTAL Non-Truncated Unadjusted Claims Expenses]], AN_TME23[[#All],[Insurance Category Code]],1, AN_TME23[[#All],[Advanced Network/Insurance Carrier Org ID]],Q102),2))</f>
        <v>TRUE</v>
      </c>
      <c r="AA102" s="295" t="str">
        <f>IF(V102=ROUND(SUMIFS(AN_TME23[[#All],[TOTAL Truncated Unadjusted Claims Expenses (A21 -A19)]], AN_TME23[[#All],[Insurance Category Code]],1, AN_TME23[[#All],[Advanced Network/Insurance Carrier Org ID]],Q102),2), "TRUE", ROUND(V102-SUMIFS(AN_TME23[[#All],[TOTAL Truncated Unadjusted Claims Expenses (A21 -A19)]], AN_TME23[[#All],[Insurance Category Code]],1, AN_TME23[[#All],[Advanced Network/Insurance Carrier Org ID]],Q102),2))</f>
        <v>TRUE</v>
      </c>
      <c r="AB102" s="461" t="str">
        <f t="shared" si="9"/>
        <v>TRUE</v>
      </c>
      <c r="AC102" s="282" t="b">
        <f>ROUND(SUMIFS(AN_TME23[[#All],[TOTAL Non-Truncated Unadjusted Claims Expenses]], AN_TME23[[#All],[Insurance Category Code]],1, AN_TME23[[#All],[Advanced Network/Insurance Carrier Org ID]],Q102),2)&gt;=ROUND(SUMIFS(AN_TME23[[#All],[TOTAL Truncated Unadjusted Claims Expenses (A21 -A19)]], AN_TME23[[#All],[Insurance Category Code]],1, AN_TME23[[#All],[Advanced Network/Insurance Carrier Org ID]],Q102), 2)</f>
        <v>1</v>
      </c>
      <c r="AD102" s="295" t="b">
        <f>ROUND(SUMIFS(AN_TME23[[#All],[TOTAL Truncated Unadjusted Claims Expenses (A21 -A19)]], AN_TME23[[#All],[Insurance Category Code]],1, AN_TME23[[#All],[Advanced Network/Insurance Carrier Org ID]],Q102)+SUMIFS(AN_TME23[[#All],[Total Claims Excluded because of Truncation]], AN_TME23[[#All],[Insurance Category Code]],1, AN_TME23[[#All],[Advanced Network/Insurance Carrier Org ID]],Q102), 2)=ROUND(SUMIFS(AN_TME23[[#All],[TOTAL Non-Truncated Unadjusted Claims Expenses]], AN_TME23[[#All],[Insurance Category Code]],1, AN_TME23[[#All],[Advanced Network/Insurance Carrier Org ID]],Q102), 2)</f>
        <v>1</v>
      </c>
      <c r="AF102" s="323" t="str">
        <f t="shared" si="8"/>
        <v>NA</v>
      </c>
    </row>
    <row r="103" spans="2:32" outlineLevel="1" x14ac:dyDescent="0.25">
      <c r="B103" s="236">
        <v>120</v>
      </c>
      <c r="C103" s="463">
        <f>ROUND(SUMIFS(Age_Sex22[[#All],[Total Member Months by Age/Sex Band]], Age_Sex22[[#All],[Advanced Network ID]], $B103, Age_Sex22[[#All],[Insurance Category Code]],1), 2)</f>
        <v>0</v>
      </c>
      <c r="D103" s="268">
        <f>ROUND(SUMIFS(Age_Sex22[[#All],[Total Dollars Excluded from Spending After Applying Truncation at the Member Level]], Age_Sex22[[#All],[Advanced Network ID]], $B103, Age_Sex22[[#All],[Insurance Category Code]],1), 2)</f>
        <v>0</v>
      </c>
      <c r="E103" s="229">
        <f>ROUND(SUMIFS(Age_Sex22[[#All],[Count of Members whose Spending was Truncated]], Age_Sex22[[#All],[Advanced Network ID]], $B103, Age_Sex22[[#All],[Insurance Category Code]],1),2)</f>
        <v>0</v>
      </c>
      <c r="F103" s="230">
        <f>ROUND(SUMIFS(Age_Sex22[[#All],[Total Spending before Truncation is Applied]], Age_Sex22[[#All],[Advanced Network ID]], $B103, Age_Sex22[[#All],[Insurance Category Code]],1), 2)</f>
        <v>0</v>
      </c>
      <c r="G103" s="232">
        <f>ROUND(SUMIFS(Age_Sex22[[#All],[Total Spending After Applying Truncation at the Member Level]], Age_Sex22[[#All],[Advanced Network ID]], $B103, Age_Sex22[[#All],[Insurance Category Code]],1), 2)</f>
        <v>0</v>
      </c>
      <c r="H103" s="416" t="str">
        <f>IF(C103=ROUND(SUMIFS(AN_TME22[[#All],[Member Months]], AN_TME22[[#All],[Insurance Category Code]],1, AN_TME22[[#All],[Advanced Network/Insurance Carrier Org ID]],B103),2), "TRUE", ROUND(C103-SUMIFS(AN_TME22[[#All],[Member Months]], AN_TME22[[#All],[Insurance Category Code]],1, AN_TME22[[#All],[Advanced Network/Insurance Carrier Org ID]],B103),2))</f>
        <v>TRUE</v>
      </c>
      <c r="I103" s="280" t="str">
        <f>IF(D103=ROUND(SUMIFS(AN_TME22[[#All],[Total Claims Excluded because of Truncation]], AN_TME22[[#All],[Insurance Category Code]],1, AN_TME22[[#All],[Advanced Network/Insurance Carrier Org ID]],B103),2), "TRUE", ROUND(D103-SUMIFS(AN_TME22[[#All],[Total Claims Excluded because of Truncation]], AN_TME22[[#All],[Insurance Category Code]],1, AN_TME22[[#All],[Advanced Network/Insurance Carrier Org ID]],B103),2))</f>
        <v>TRUE</v>
      </c>
      <c r="J103" s="281" t="str">
        <f>IF(E103=ROUND(SUMIFS(AN_TME22[[#All],[Count of Members with Claims Truncated]], AN_TME22[[#All],[Insurance Category Code]],1, AN_TME22[[#All],[Advanced Network/Insurance Carrier Org ID]],B103),2), "TRUE", ROUND(E103-SUMIFS(AN_TME22[[#All],[Count of Members with Claims Truncated]], AN_TME22[[#All],[Insurance Category Code]],1, AN_TME22[[#All],[Advanced Network/Insurance Carrier Org ID]],B103),2))</f>
        <v>TRUE</v>
      </c>
      <c r="K103" s="282" t="str">
        <f>IF(F103=ROUND(SUMIFS(AN_TME22[[#All],[TOTAL Non-Truncated Unadjusted Claims Expenses]], AN_TME22[[#All],[Insurance Category Code]],1, AN_TME22[[#All],[Advanced Network/Insurance Carrier Org ID]],B103),2), "TRUE", ROUND(F103-SUMIFS(AN_TME22[[#All],[TOTAL Non-Truncated Unadjusted Claims Expenses]], AN_TME22[[#All],[Insurance Category Code]],1, AN_TME22[[#All],[Advanced Network/Insurance Carrier Org ID]],B103),2))</f>
        <v>TRUE</v>
      </c>
      <c r="L103" s="295" t="str">
        <f>IF(G103=ROUND(SUMIFS(AN_TME22[[#All],[TOTAL Truncated Unadjusted Claims Expenses (A21 -A19)]], AN_TME22[[#All],[Insurance Category Code]],1, AN_TME22[[#All],[Advanced Network/Insurance Carrier Org ID]],B103),2), "TRUE", ROUND(G103-SUMIFS(AN_TME22[[#All],[TOTAL Truncated Unadjusted Claims Expenses (A21 -A19)]], AN_TME22[[#All],[Insurance Category Code]],1, AN_TME22[[#All],[Advanced Network/Insurance Carrier Org ID]],B103),2))</f>
        <v>TRUE</v>
      </c>
      <c r="M103" s="461" t="str">
        <f t="shared" si="7"/>
        <v>TRUE</v>
      </c>
      <c r="N103" s="282" t="b">
        <f>ROUND(SUMIFS(AN_TME22[[#All],[TOTAL Non-Truncated Unadjusted Claims Expenses]], AN_TME22[[#All],[Insurance Category Code]],1, AN_TME22[[#All],[Advanced Network/Insurance Carrier Org ID]],B103), 2)&gt;=ROUND(SUMIFS(AN_TME22[[#All],[TOTAL Truncated Unadjusted Claims Expenses (A21 -A19)]], AN_TME22[[#All],[Insurance Category Code]],1, AN_TME22[[#All],[Advanced Network/Insurance Carrier Org ID]],B103),2)</f>
        <v>1</v>
      </c>
      <c r="O103" s="295" t="b">
        <f>ROUND(SUMIFS(AN_TME22[[#All],[TOTAL Truncated Unadjusted Claims Expenses (A21 -A19)]], AN_TME22[[#All],[Insurance Category Code]],1, AN_TME22[[#All],[Advanced Network/Insurance Carrier Org ID]],B103)+SUMIFS(AN_TME22[[#All],[Total Claims Excluded because of Truncation]], AN_TME22[[#All],[Insurance Category Code]],1, AN_TME22[[#All],[Advanced Network/Insurance Carrier Org ID]],B103),2)=ROUND(SUMIFS(AN_TME22[[#All],[TOTAL Non-Truncated Unadjusted Claims Expenses]], AN_TME22[[#All],[Insurance Category Code]],1, AN_TME22[[#All],[Advanced Network/Insurance Carrier Org ID]],B103), 2)</f>
        <v>1</v>
      </c>
      <c r="Q103" s="236">
        <v>120</v>
      </c>
      <c r="R103" s="463">
        <f>ROUND(SUMIFS(Age_Sex23[[#All],[Total Member Months by Age/Sex Band]], Age_Sex23[[#All],[Advanced Network ID]], $Q103, Age_Sex23[[#All],[Insurance Category Code]],1), 2)</f>
        <v>0</v>
      </c>
      <c r="S103" s="268">
        <f>ROUND(SUMIFS(Age_Sex23[[#All],[Total Dollars Excluded from Spending After Applying Truncation at the Member Level]], Age_Sex23[[#All],[Advanced Network ID]], $B103, Age_Sex23[[#All],[Insurance Category Code]],1),2)</f>
        <v>0</v>
      </c>
      <c r="T103" s="229">
        <f>ROUND(SUMIFS(Age_Sex23[[#All],[Count of Members whose Spending was Truncated]], Age_Sex23[[#All],[Advanced Network ID]], $B103, Age_Sex23[[#All],[Insurance Category Code]],1), 2)</f>
        <v>0</v>
      </c>
      <c r="U103" s="230">
        <f>ROUND(SUMIFS(Age_Sex23[[#All],[Total Spending before Truncation is Applied]], Age_Sex23[[#All],[Advanced Network ID]], $B103, Age_Sex23[[#All],[Insurance Category Code]],1), 2)</f>
        <v>0</v>
      </c>
      <c r="V103" s="232">
        <f>ROUND(SUMIFS(Age_Sex23[[#All],[Total Spending After Applying Truncation at the Member Level]], Age_Sex23[[#All],[Advanced Network ID]], $B103, Age_Sex23[[#All],[Insurance Category Code]],1),2)</f>
        <v>0</v>
      </c>
      <c r="W103" s="416" t="str">
        <f>IF(R103=ROUND(SUMIFS(AN_TME23[[#All],[Member Months]], AN_TME23[[#All],[Insurance Category Code]],1, AN_TME23[[#All],[Advanced Network/Insurance Carrier Org ID]],Q103),2), "TRUE", ROUND(R103-SUMIFS(AN_TME23[[#All],[Member Months]], AN_TME23[[#All],[Insurance Category Code]],1, AN_TME23[[#All],[Advanced Network/Insurance Carrier Org ID]],Q103),2))</f>
        <v>TRUE</v>
      </c>
      <c r="X103" s="280" t="str">
        <f>IF(S103=ROUND(SUMIFS(AN_TME23[[#All],[Total Claims Excluded because of Truncation]], AN_TME23[[#All],[Insurance Category Code]],1, AN_TME23[[#All],[Advanced Network/Insurance Carrier Org ID]],Q103),2), "TRUE", ROUND(S103-SUMIFS(AN_TME23[[#All],[Total Claims Excluded because of Truncation]], AN_TME23[[#All],[Insurance Category Code]],1, AN_TME23[[#All],[Advanced Network/Insurance Carrier Org ID]],Q103),2))</f>
        <v>TRUE</v>
      </c>
      <c r="Y103" s="281" t="str">
        <f>IF(T103=ROUND(SUMIFS(AN_TME23[[#All],[Count of Members with Claims Truncated]], AN_TME23[[#All],[Insurance Category Code]],1, AN_TME23[[#All],[Advanced Network/Insurance Carrier Org ID]],Q103),2), "TRUE", ROUND(T103-SUMIFS(AN_TME23[[#All],[Count of Members with Claims Truncated]], AN_TME23[[#All],[Insurance Category Code]],1, AN_TME23[[#All],[Advanced Network/Insurance Carrier Org ID]],Q103),2))</f>
        <v>TRUE</v>
      </c>
      <c r="Z103" s="282" t="str">
        <f>IF(U103=ROUND(SUMIFS(AN_TME23[[#All],[TOTAL Non-Truncated Unadjusted Claims Expenses]], AN_TME23[[#All],[Insurance Category Code]],1, AN_TME23[[#All],[Advanced Network/Insurance Carrier Org ID]],Q103),2), "TRUE", ROUND(U103-SUMIFS(AN_TME23[[#All],[TOTAL Non-Truncated Unadjusted Claims Expenses]], AN_TME23[[#All],[Insurance Category Code]],1, AN_TME23[[#All],[Advanced Network/Insurance Carrier Org ID]],Q103),2))</f>
        <v>TRUE</v>
      </c>
      <c r="AA103" s="295" t="str">
        <f>IF(V103=ROUND(SUMIFS(AN_TME23[[#All],[TOTAL Truncated Unadjusted Claims Expenses (A21 -A19)]], AN_TME23[[#All],[Insurance Category Code]],1, AN_TME23[[#All],[Advanced Network/Insurance Carrier Org ID]],Q103),2), "TRUE", ROUND(V103-SUMIFS(AN_TME23[[#All],[TOTAL Truncated Unadjusted Claims Expenses (A21 -A19)]], AN_TME23[[#All],[Insurance Category Code]],1, AN_TME23[[#All],[Advanced Network/Insurance Carrier Org ID]],Q103),2))</f>
        <v>TRUE</v>
      </c>
      <c r="AB103" s="461" t="str">
        <f t="shared" si="9"/>
        <v>TRUE</v>
      </c>
      <c r="AC103" s="282" t="b">
        <f>ROUND(SUMIFS(AN_TME23[[#All],[TOTAL Non-Truncated Unadjusted Claims Expenses]], AN_TME23[[#All],[Insurance Category Code]],1, AN_TME23[[#All],[Advanced Network/Insurance Carrier Org ID]],Q103),2)&gt;=ROUND(SUMIFS(AN_TME23[[#All],[TOTAL Truncated Unadjusted Claims Expenses (A21 -A19)]], AN_TME23[[#All],[Insurance Category Code]],1, AN_TME23[[#All],[Advanced Network/Insurance Carrier Org ID]],Q103), 2)</f>
        <v>1</v>
      </c>
      <c r="AD103" s="295" t="b">
        <f>ROUND(SUMIFS(AN_TME23[[#All],[TOTAL Truncated Unadjusted Claims Expenses (A21 -A19)]], AN_TME23[[#All],[Insurance Category Code]],1, AN_TME23[[#All],[Advanced Network/Insurance Carrier Org ID]],Q103)+SUMIFS(AN_TME23[[#All],[Total Claims Excluded because of Truncation]], AN_TME23[[#All],[Insurance Category Code]],1, AN_TME23[[#All],[Advanced Network/Insurance Carrier Org ID]],Q103), 2)=ROUND(SUMIFS(AN_TME23[[#All],[TOTAL Non-Truncated Unadjusted Claims Expenses]], AN_TME23[[#All],[Insurance Category Code]],1, AN_TME23[[#All],[Advanced Network/Insurance Carrier Org ID]],Q103), 2)</f>
        <v>1</v>
      </c>
      <c r="AF103" s="323" t="str">
        <f t="shared" si="8"/>
        <v>NA</v>
      </c>
    </row>
    <row r="104" spans="2:32" outlineLevel="1" x14ac:dyDescent="0.25">
      <c r="B104" s="236">
        <v>121</v>
      </c>
      <c r="C104" s="463">
        <f>ROUND(SUMIFS(Age_Sex22[[#All],[Total Member Months by Age/Sex Band]], Age_Sex22[[#All],[Advanced Network ID]], $B104, Age_Sex22[[#All],[Insurance Category Code]],1), 2)</f>
        <v>0</v>
      </c>
      <c r="D104" s="268">
        <f>ROUND(SUMIFS(Age_Sex22[[#All],[Total Dollars Excluded from Spending After Applying Truncation at the Member Level]], Age_Sex22[[#All],[Advanced Network ID]], $B104, Age_Sex22[[#All],[Insurance Category Code]],1), 2)</f>
        <v>0</v>
      </c>
      <c r="E104" s="229">
        <f>ROUND(SUMIFS(Age_Sex22[[#All],[Count of Members whose Spending was Truncated]], Age_Sex22[[#All],[Advanced Network ID]], $B104, Age_Sex22[[#All],[Insurance Category Code]],1),2)</f>
        <v>0</v>
      </c>
      <c r="F104" s="230">
        <f>ROUND(SUMIFS(Age_Sex22[[#All],[Total Spending before Truncation is Applied]], Age_Sex22[[#All],[Advanced Network ID]], $B104, Age_Sex22[[#All],[Insurance Category Code]],1), 2)</f>
        <v>0</v>
      </c>
      <c r="G104" s="232">
        <f>ROUND(SUMIFS(Age_Sex22[[#All],[Total Spending After Applying Truncation at the Member Level]], Age_Sex22[[#All],[Advanced Network ID]], $B104, Age_Sex22[[#All],[Insurance Category Code]],1), 2)</f>
        <v>0</v>
      </c>
      <c r="H104" s="416" t="str">
        <f>IF(C104=ROUND(SUMIFS(AN_TME22[[#All],[Member Months]], AN_TME22[[#All],[Insurance Category Code]],1, AN_TME22[[#All],[Advanced Network/Insurance Carrier Org ID]],B104),2), "TRUE", ROUND(C104-SUMIFS(AN_TME22[[#All],[Member Months]], AN_TME22[[#All],[Insurance Category Code]],1, AN_TME22[[#All],[Advanced Network/Insurance Carrier Org ID]],B104),2))</f>
        <v>TRUE</v>
      </c>
      <c r="I104" s="280" t="str">
        <f>IF(D104=ROUND(SUMIFS(AN_TME22[[#All],[Total Claims Excluded because of Truncation]], AN_TME22[[#All],[Insurance Category Code]],1, AN_TME22[[#All],[Advanced Network/Insurance Carrier Org ID]],B104),2), "TRUE", ROUND(D104-SUMIFS(AN_TME22[[#All],[Total Claims Excluded because of Truncation]], AN_TME22[[#All],[Insurance Category Code]],1, AN_TME22[[#All],[Advanced Network/Insurance Carrier Org ID]],B104),2))</f>
        <v>TRUE</v>
      </c>
      <c r="J104" s="281" t="str">
        <f>IF(E104=ROUND(SUMIFS(AN_TME22[[#All],[Count of Members with Claims Truncated]], AN_TME22[[#All],[Insurance Category Code]],1, AN_TME22[[#All],[Advanced Network/Insurance Carrier Org ID]],B104),2), "TRUE", ROUND(E104-SUMIFS(AN_TME22[[#All],[Count of Members with Claims Truncated]], AN_TME22[[#All],[Insurance Category Code]],1, AN_TME22[[#All],[Advanced Network/Insurance Carrier Org ID]],B104),2))</f>
        <v>TRUE</v>
      </c>
      <c r="K104" s="282" t="str">
        <f>IF(F104=ROUND(SUMIFS(AN_TME22[[#All],[TOTAL Non-Truncated Unadjusted Claims Expenses]], AN_TME22[[#All],[Insurance Category Code]],1, AN_TME22[[#All],[Advanced Network/Insurance Carrier Org ID]],B104),2), "TRUE", ROUND(F104-SUMIFS(AN_TME22[[#All],[TOTAL Non-Truncated Unadjusted Claims Expenses]], AN_TME22[[#All],[Insurance Category Code]],1, AN_TME22[[#All],[Advanced Network/Insurance Carrier Org ID]],B104),2))</f>
        <v>TRUE</v>
      </c>
      <c r="L104" s="295" t="str">
        <f>IF(G104=ROUND(SUMIFS(AN_TME22[[#All],[TOTAL Truncated Unadjusted Claims Expenses (A21 -A19)]], AN_TME22[[#All],[Insurance Category Code]],1, AN_TME22[[#All],[Advanced Network/Insurance Carrier Org ID]],B104),2), "TRUE", ROUND(G104-SUMIFS(AN_TME22[[#All],[TOTAL Truncated Unadjusted Claims Expenses (A21 -A19)]], AN_TME22[[#All],[Insurance Category Code]],1, AN_TME22[[#All],[Advanced Network/Insurance Carrier Org ID]],B104),2))</f>
        <v>TRUE</v>
      </c>
      <c r="M104" s="461" t="str">
        <f t="shared" si="7"/>
        <v>TRUE</v>
      </c>
      <c r="N104" s="282" t="b">
        <f>ROUND(SUMIFS(AN_TME22[[#All],[TOTAL Non-Truncated Unadjusted Claims Expenses]], AN_TME22[[#All],[Insurance Category Code]],1, AN_TME22[[#All],[Advanced Network/Insurance Carrier Org ID]],B104), 2)&gt;=ROUND(SUMIFS(AN_TME22[[#All],[TOTAL Truncated Unadjusted Claims Expenses (A21 -A19)]], AN_TME22[[#All],[Insurance Category Code]],1, AN_TME22[[#All],[Advanced Network/Insurance Carrier Org ID]],B104),2)</f>
        <v>1</v>
      </c>
      <c r="O104" s="295" t="b">
        <f>ROUND(SUMIFS(AN_TME22[[#All],[TOTAL Truncated Unadjusted Claims Expenses (A21 -A19)]], AN_TME22[[#All],[Insurance Category Code]],1, AN_TME22[[#All],[Advanced Network/Insurance Carrier Org ID]],B104)+SUMIFS(AN_TME22[[#All],[Total Claims Excluded because of Truncation]], AN_TME22[[#All],[Insurance Category Code]],1, AN_TME22[[#All],[Advanced Network/Insurance Carrier Org ID]],B104),2)=ROUND(SUMIFS(AN_TME22[[#All],[TOTAL Non-Truncated Unadjusted Claims Expenses]], AN_TME22[[#All],[Insurance Category Code]],1, AN_TME22[[#All],[Advanced Network/Insurance Carrier Org ID]],B104), 2)</f>
        <v>1</v>
      </c>
      <c r="Q104" s="236">
        <v>121</v>
      </c>
      <c r="R104" s="463">
        <f>ROUND(SUMIFS(Age_Sex23[[#All],[Total Member Months by Age/Sex Band]], Age_Sex23[[#All],[Advanced Network ID]], $Q104, Age_Sex23[[#All],[Insurance Category Code]],1), 2)</f>
        <v>0</v>
      </c>
      <c r="S104" s="268">
        <f>ROUND(SUMIFS(Age_Sex23[[#All],[Total Dollars Excluded from Spending After Applying Truncation at the Member Level]], Age_Sex23[[#All],[Advanced Network ID]], $B104, Age_Sex23[[#All],[Insurance Category Code]],1),2)</f>
        <v>0</v>
      </c>
      <c r="T104" s="229">
        <f>ROUND(SUMIFS(Age_Sex23[[#All],[Count of Members whose Spending was Truncated]], Age_Sex23[[#All],[Advanced Network ID]], $B104, Age_Sex23[[#All],[Insurance Category Code]],1), 2)</f>
        <v>0</v>
      </c>
      <c r="U104" s="230">
        <f>ROUND(SUMIFS(Age_Sex23[[#All],[Total Spending before Truncation is Applied]], Age_Sex23[[#All],[Advanced Network ID]], $B104, Age_Sex23[[#All],[Insurance Category Code]],1), 2)</f>
        <v>0</v>
      </c>
      <c r="V104" s="232">
        <f>ROUND(SUMIFS(Age_Sex23[[#All],[Total Spending After Applying Truncation at the Member Level]], Age_Sex23[[#All],[Advanced Network ID]], $B104, Age_Sex23[[#All],[Insurance Category Code]],1),2)</f>
        <v>0</v>
      </c>
      <c r="W104" s="416" t="str">
        <f>IF(R104=ROUND(SUMIFS(AN_TME23[[#All],[Member Months]], AN_TME23[[#All],[Insurance Category Code]],1, AN_TME23[[#All],[Advanced Network/Insurance Carrier Org ID]],Q104),2), "TRUE", ROUND(R104-SUMIFS(AN_TME23[[#All],[Member Months]], AN_TME23[[#All],[Insurance Category Code]],1, AN_TME23[[#All],[Advanced Network/Insurance Carrier Org ID]],Q104),2))</f>
        <v>TRUE</v>
      </c>
      <c r="X104" s="280" t="str">
        <f>IF(S104=ROUND(SUMIFS(AN_TME23[[#All],[Total Claims Excluded because of Truncation]], AN_TME23[[#All],[Insurance Category Code]],1, AN_TME23[[#All],[Advanced Network/Insurance Carrier Org ID]],Q104),2), "TRUE", ROUND(S104-SUMIFS(AN_TME23[[#All],[Total Claims Excluded because of Truncation]], AN_TME23[[#All],[Insurance Category Code]],1, AN_TME23[[#All],[Advanced Network/Insurance Carrier Org ID]],Q104),2))</f>
        <v>TRUE</v>
      </c>
      <c r="Y104" s="281" t="str">
        <f>IF(T104=ROUND(SUMIFS(AN_TME23[[#All],[Count of Members with Claims Truncated]], AN_TME23[[#All],[Insurance Category Code]],1, AN_TME23[[#All],[Advanced Network/Insurance Carrier Org ID]],Q104),2), "TRUE", ROUND(T104-SUMIFS(AN_TME23[[#All],[Count of Members with Claims Truncated]], AN_TME23[[#All],[Insurance Category Code]],1, AN_TME23[[#All],[Advanced Network/Insurance Carrier Org ID]],Q104),2))</f>
        <v>TRUE</v>
      </c>
      <c r="Z104" s="282" t="str">
        <f>IF(U104=ROUND(SUMIFS(AN_TME23[[#All],[TOTAL Non-Truncated Unadjusted Claims Expenses]], AN_TME23[[#All],[Insurance Category Code]],1, AN_TME23[[#All],[Advanced Network/Insurance Carrier Org ID]],Q104),2), "TRUE", ROUND(U104-SUMIFS(AN_TME23[[#All],[TOTAL Non-Truncated Unadjusted Claims Expenses]], AN_TME23[[#All],[Insurance Category Code]],1, AN_TME23[[#All],[Advanced Network/Insurance Carrier Org ID]],Q104),2))</f>
        <v>TRUE</v>
      </c>
      <c r="AA104" s="295" t="str">
        <f>IF(V104=ROUND(SUMIFS(AN_TME23[[#All],[TOTAL Truncated Unadjusted Claims Expenses (A21 -A19)]], AN_TME23[[#All],[Insurance Category Code]],1, AN_TME23[[#All],[Advanced Network/Insurance Carrier Org ID]],Q104),2), "TRUE", ROUND(V104-SUMIFS(AN_TME23[[#All],[TOTAL Truncated Unadjusted Claims Expenses (A21 -A19)]], AN_TME23[[#All],[Insurance Category Code]],1, AN_TME23[[#All],[Advanced Network/Insurance Carrier Org ID]],Q104),2))</f>
        <v>TRUE</v>
      </c>
      <c r="AB104" s="461" t="str">
        <f t="shared" si="9"/>
        <v>TRUE</v>
      </c>
      <c r="AC104" s="282" t="b">
        <f>ROUND(SUMIFS(AN_TME23[[#All],[TOTAL Non-Truncated Unadjusted Claims Expenses]], AN_TME23[[#All],[Insurance Category Code]],1, AN_TME23[[#All],[Advanced Network/Insurance Carrier Org ID]],Q104),2)&gt;=ROUND(SUMIFS(AN_TME23[[#All],[TOTAL Truncated Unadjusted Claims Expenses (A21 -A19)]], AN_TME23[[#All],[Insurance Category Code]],1, AN_TME23[[#All],[Advanced Network/Insurance Carrier Org ID]],Q104), 2)</f>
        <v>1</v>
      </c>
      <c r="AD104" s="295" t="b">
        <f>ROUND(SUMIFS(AN_TME23[[#All],[TOTAL Truncated Unadjusted Claims Expenses (A21 -A19)]], AN_TME23[[#All],[Insurance Category Code]],1, AN_TME23[[#All],[Advanced Network/Insurance Carrier Org ID]],Q104)+SUMIFS(AN_TME23[[#All],[Total Claims Excluded because of Truncation]], AN_TME23[[#All],[Insurance Category Code]],1, AN_TME23[[#All],[Advanced Network/Insurance Carrier Org ID]],Q104), 2)=ROUND(SUMIFS(AN_TME23[[#All],[TOTAL Non-Truncated Unadjusted Claims Expenses]], AN_TME23[[#All],[Insurance Category Code]],1, AN_TME23[[#All],[Advanced Network/Insurance Carrier Org ID]],Q104), 2)</f>
        <v>1</v>
      </c>
      <c r="AF104" s="323" t="str">
        <f t="shared" si="8"/>
        <v>NA</v>
      </c>
    </row>
    <row r="105" spans="2:32" outlineLevel="1" x14ac:dyDescent="0.25">
      <c r="B105" s="236">
        <v>122</v>
      </c>
      <c r="C105" s="463">
        <f>ROUND(SUMIFS(Age_Sex22[[#All],[Total Member Months by Age/Sex Band]], Age_Sex22[[#All],[Advanced Network ID]], $B105, Age_Sex22[[#All],[Insurance Category Code]],1), 2)</f>
        <v>0</v>
      </c>
      <c r="D105" s="268">
        <f>ROUND(SUMIFS(Age_Sex22[[#All],[Total Dollars Excluded from Spending After Applying Truncation at the Member Level]], Age_Sex22[[#All],[Advanced Network ID]], $B105, Age_Sex22[[#All],[Insurance Category Code]],1), 2)</f>
        <v>0</v>
      </c>
      <c r="E105" s="229">
        <f>ROUND(SUMIFS(Age_Sex22[[#All],[Count of Members whose Spending was Truncated]], Age_Sex22[[#All],[Advanced Network ID]], $B105, Age_Sex22[[#All],[Insurance Category Code]],1),2)</f>
        <v>0</v>
      </c>
      <c r="F105" s="230">
        <f>ROUND(SUMIFS(Age_Sex22[[#All],[Total Spending before Truncation is Applied]], Age_Sex22[[#All],[Advanced Network ID]], $B105, Age_Sex22[[#All],[Insurance Category Code]],1), 2)</f>
        <v>0</v>
      </c>
      <c r="G105" s="232">
        <f>ROUND(SUMIFS(Age_Sex22[[#All],[Total Spending After Applying Truncation at the Member Level]], Age_Sex22[[#All],[Advanced Network ID]], $B105, Age_Sex22[[#All],[Insurance Category Code]],1), 2)</f>
        <v>0</v>
      </c>
      <c r="H105" s="416" t="str">
        <f>IF(C105=ROUND(SUMIFS(AN_TME22[[#All],[Member Months]], AN_TME22[[#All],[Insurance Category Code]],1, AN_TME22[[#All],[Advanced Network/Insurance Carrier Org ID]],B105),2), "TRUE", ROUND(C105-SUMIFS(AN_TME22[[#All],[Member Months]], AN_TME22[[#All],[Insurance Category Code]],1, AN_TME22[[#All],[Advanced Network/Insurance Carrier Org ID]],B105),2))</f>
        <v>TRUE</v>
      </c>
      <c r="I105" s="280" t="str">
        <f>IF(D105=ROUND(SUMIFS(AN_TME22[[#All],[Total Claims Excluded because of Truncation]], AN_TME22[[#All],[Insurance Category Code]],1, AN_TME22[[#All],[Advanced Network/Insurance Carrier Org ID]],B105),2), "TRUE", ROUND(D105-SUMIFS(AN_TME22[[#All],[Total Claims Excluded because of Truncation]], AN_TME22[[#All],[Insurance Category Code]],1, AN_TME22[[#All],[Advanced Network/Insurance Carrier Org ID]],B105),2))</f>
        <v>TRUE</v>
      </c>
      <c r="J105" s="281" t="str">
        <f>IF(E105=ROUND(SUMIFS(AN_TME22[[#All],[Count of Members with Claims Truncated]], AN_TME22[[#All],[Insurance Category Code]],1, AN_TME22[[#All],[Advanced Network/Insurance Carrier Org ID]],B105),2), "TRUE", ROUND(E105-SUMIFS(AN_TME22[[#All],[Count of Members with Claims Truncated]], AN_TME22[[#All],[Insurance Category Code]],1, AN_TME22[[#All],[Advanced Network/Insurance Carrier Org ID]],B105),2))</f>
        <v>TRUE</v>
      </c>
      <c r="K105" s="282" t="str">
        <f>IF(F105=ROUND(SUMIFS(AN_TME22[[#All],[TOTAL Non-Truncated Unadjusted Claims Expenses]], AN_TME22[[#All],[Insurance Category Code]],1, AN_TME22[[#All],[Advanced Network/Insurance Carrier Org ID]],B105),2), "TRUE", ROUND(F105-SUMIFS(AN_TME22[[#All],[TOTAL Non-Truncated Unadjusted Claims Expenses]], AN_TME22[[#All],[Insurance Category Code]],1, AN_TME22[[#All],[Advanced Network/Insurance Carrier Org ID]],B105),2))</f>
        <v>TRUE</v>
      </c>
      <c r="L105" s="295" t="str">
        <f>IF(G105=ROUND(SUMIFS(AN_TME22[[#All],[TOTAL Truncated Unadjusted Claims Expenses (A21 -A19)]], AN_TME22[[#All],[Insurance Category Code]],1, AN_TME22[[#All],[Advanced Network/Insurance Carrier Org ID]],B105),2), "TRUE", ROUND(G105-SUMIFS(AN_TME22[[#All],[TOTAL Truncated Unadjusted Claims Expenses (A21 -A19)]], AN_TME22[[#All],[Insurance Category Code]],1, AN_TME22[[#All],[Advanced Network/Insurance Carrier Org ID]],B105),2))</f>
        <v>TRUE</v>
      </c>
      <c r="M105" s="461" t="str">
        <f t="shared" si="7"/>
        <v>TRUE</v>
      </c>
      <c r="N105" s="282" t="b">
        <f>ROUND(SUMIFS(AN_TME22[[#All],[TOTAL Non-Truncated Unadjusted Claims Expenses]], AN_TME22[[#All],[Insurance Category Code]],1, AN_TME22[[#All],[Advanced Network/Insurance Carrier Org ID]],B105), 2)&gt;=ROUND(SUMIFS(AN_TME22[[#All],[TOTAL Truncated Unadjusted Claims Expenses (A21 -A19)]], AN_TME22[[#All],[Insurance Category Code]],1, AN_TME22[[#All],[Advanced Network/Insurance Carrier Org ID]],B105),2)</f>
        <v>1</v>
      </c>
      <c r="O105" s="295" t="b">
        <f>ROUND(SUMIFS(AN_TME22[[#All],[TOTAL Truncated Unadjusted Claims Expenses (A21 -A19)]], AN_TME22[[#All],[Insurance Category Code]],1, AN_TME22[[#All],[Advanced Network/Insurance Carrier Org ID]],B105)+SUMIFS(AN_TME22[[#All],[Total Claims Excluded because of Truncation]], AN_TME22[[#All],[Insurance Category Code]],1, AN_TME22[[#All],[Advanced Network/Insurance Carrier Org ID]],B105),2)=ROUND(SUMIFS(AN_TME22[[#All],[TOTAL Non-Truncated Unadjusted Claims Expenses]], AN_TME22[[#All],[Insurance Category Code]],1, AN_TME22[[#All],[Advanced Network/Insurance Carrier Org ID]],B105), 2)</f>
        <v>1</v>
      </c>
      <c r="Q105" s="236">
        <v>122</v>
      </c>
      <c r="R105" s="463">
        <f>ROUND(SUMIFS(Age_Sex23[[#All],[Total Member Months by Age/Sex Band]], Age_Sex23[[#All],[Advanced Network ID]], $Q105, Age_Sex23[[#All],[Insurance Category Code]],1), 2)</f>
        <v>0</v>
      </c>
      <c r="S105" s="268">
        <f>ROUND(SUMIFS(Age_Sex23[[#All],[Total Dollars Excluded from Spending After Applying Truncation at the Member Level]], Age_Sex23[[#All],[Advanced Network ID]], $B105, Age_Sex23[[#All],[Insurance Category Code]],1),2)</f>
        <v>0</v>
      </c>
      <c r="T105" s="229">
        <f>ROUND(SUMIFS(Age_Sex23[[#All],[Count of Members whose Spending was Truncated]], Age_Sex23[[#All],[Advanced Network ID]], $B105, Age_Sex23[[#All],[Insurance Category Code]],1), 2)</f>
        <v>0</v>
      </c>
      <c r="U105" s="230">
        <f>ROUND(SUMIFS(Age_Sex23[[#All],[Total Spending before Truncation is Applied]], Age_Sex23[[#All],[Advanced Network ID]], $B105, Age_Sex23[[#All],[Insurance Category Code]],1), 2)</f>
        <v>0</v>
      </c>
      <c r="V105" s="232">
        <f>ROUND(SUMIFS(Age_Sex23[[#All],[Total Spending After Applying Truncation at the Member Level]], Age_Sex23[[#All],[Advanced Network ID]], $B105, Age_Sex23[[#All],[Insurance Category Code]],1),2)</f>
        <v>0</v>
      </c>
      <c r="W105" s="416" t="str">
        <f>IF(R105=ROUND(SUMIFS(AN_TME23[[#All],[Member Months]], AN_TME23[[#All],[Insurance Category Code]],1, AN_TME23[[#All],[Advanced Network/Insurance Carrier Org ID]],Q105),2), "TRUE", ROUND(R105-SUMIFS(AN_TME23[[#All],[Member Months]], AN_TME23[[#All],[Insurance Category Code]],1, AN_TME23[[#All],[Advanced Network/Insurance Carrier Org ID]],Q105),2))</f>
        <v>TRUE</v>
      </c>
      <c r="X105" s="280" t="str">
        <f>IF(S105=ROUND(SUMIFS(AN_TME23[[#All],[Total Claims Excluded because of Truncation]], AN_TME23[[#All],[Insurance Category Code]],1, AN_TME23[[#All],[Advanced Network/Insurance Carrier Org ID]],Q105),2), "TRUE", ROUND(S105-SUMIFS(AN_TME23[[#All],[Total Claims Excluded because of Truncation]], AN_TME23[[#All],[Insurance Category Code]],1, AN_TME23[[#All],[Advanced Network/Insurance Carrier Org ID]],Q105),2))</f>
        <v>TRUE</v>
      </c>
      <c r="Y105" s="281" t="str">
        <f>IF(T105=ROUND(SUMIFS(AN_TME23[[#All],[Count of Members with Claims Truncated]], AN_TME23[[#All],[Insurance Category Code]],1, AN_TME23[[#All],[Advanced Network/Insurance Carrier Org ID]],Q105),2), "TRUE", ROUND(T105-SUMIFS(AN_TME23[[#All],[Count of Members with Claims Truncated]], AN_TME23[[#All],[Insurance Category Code]],1, AN_TME23[[#All],[Advanced Network/Insurance Carrier Org ID]],Q105),2))</f>
        <v>TRUE</v>
      </c>
      <c r="Z105" s="282" t="str">
        <f>IF(U105=ROUND(SUMIFS(AN_TME23[[#All],[TOTAL Non-Truncated Unadjusted Claims Expenses]], AN_TME23[[#All],[Insurance Category Code]],1, AN_TME23[[#All],[Advanced Network/Insurance Carrier Org ID]],Q105),2), "TRUE", ROUND(U105-SUMIFS(AN_TME23[[#All],[TOTAL Non-Truncated Unadjusted Claims Expenses]], AN_TME23[[#All],[Insurance Category Code]],1, AN_TME23[[#All],[Advanced Network/Insurance Carrier Org ID]],Q105),2))</f>
        <v>TRUE</v>
      </c>
      <c r="AA105" s="295" t="str">
        <f>IF(V105=ROUND(SUMIFS(AN_TME23[[#All],[TOTAL Truncated Unadjusted Claims Expenses (A21 -A19)]], AN_TME23[[#All],[Insurance Category Code]],1, AN_TME23[[#All],[Advanced Network/Insurance Carrier Org ID]],Q105),2), "TRUE", ROUND(V105-SUMIFS(AN_TME23[[#All],[TOTAL Truncated Unadjusted Claims Expenses (A21 -A19)]], AN_TME23[[#All],[Insurance Category Code]],1, AN_TME23[[#All],[Advanced Network/Insurance Carrier Org ID]],Q105),2))</f>
        <v>TRUE</v>
      </c>
      <c r="AB105" s="461" t="str">
        <f t="shared" si="9"/>
        <v>TRUE</v>
      </c>
      <c r="AC105" s="282" t="b">
        <f>ROUND(SUMIFS(AN_TME23[[#All],[TOTAL Non-Truncated Unadjusted Claims Expenses]], AN_TME23[[#All],[Insurance Category Code]],1, AN_TME23[[#All],[Advanced Network/Insurance Carrier Org ID]],Q105),2)&gt;=ROUND(SUMIFS(AN_TME23[[#All],[TOTAL Truncated Unadjusted Claims Expenses (A21 -A19)]], AN_TME23[[#All],[Insurance Category Code]],1, AN_TME23[[#All],[Advanced Network/Insurance Carrier Org ID]],Q105), 2)</f>
        <v>1</v>
      </c>
      <c r="AD105" s="295" t="b">
        <f>ROUND(SUMIFS(AN_TME23[[#All],[TOTAL Truncated Unadjusted Claims Expenses (A21 -A19)]], AN_TME23[[#All],[Insurance Category Code]],1, AN_TME23[[#All],[Advanced Network/Insurance Carrier Org ID]],Q105)+SUMIFS(AN_TME23[[#All],[Total Claims Excluded because of Truncation]], AN_TME23[[#All],[Insurance Category Code]],1, AN_TME23[[#All],[Advanced Network/Insurance Carrier Org ID]],Q105), 2)=ROUND(SUMIFS(AN_TME23[[#All],[TOTAL Non-Truncated Unadjusted Claims Expenses]], AN_TME23[[#All],[Insurance Category Code]],1, AN_TME23[[#All],[Advanced Network/Insurance Carrier Org ID]],Q105), 2)</f>
        <v>1</v>
      </c>
      <c r="AF105" s="323" t="str">
        <f t="shared" si="8"/>
        <v>NA</v>
      </c>
    </row>
    <row r="106" spans="2:32" outlineLevel="1" x14ac:dyDescent="0.25">
      <c r="B106" s="236">
        <v>123</v>
      </c>
      <c r="C106" s="463">
        <f>ROUND(SUMIFS(Age_Sex22[[#All],[Total Member Months by Age/Sex Band]], Age_Sex22[[#All],[Advanced Network ID]], $B106, Age_Sex22[[#All],[Insurance Category Code]],1), 2)</f>
        <v>0</v>
      </c>
      <c r="D106" s="268">
        <f>ROUND(SUMIFS(Age_Sex22[[#All],[Total Dollars Excluded from Spending After Applying Truncation at the Member Level]], Age_Sex22[[#All],[Advanced Network ID]], $B106, Age_Sex22[[#All],[Insurance Category Code]],1), 2)</f>
        <v>0</v>
      </c>
      <c r="E106" s="229">
        <f>ROUND(SUMIFS(Age_Sex22[[#All],[Count of Members whose Spending was Truncated]], Age_Sex22[[#All],[Advanced Network ID]], $B106, Age_Sex22[[#All],[Insurance Category Code]],1),2)</f>
        <v>0</v>
      </c>
      <c r="F106" s="230">
        <f>ROUND(SUMIFS(Age_Sex22[[#All],[Total Spending before Truncation is Applied]], Age_Sex22[[#All],[Advanced Network ID]], $B106, Age_Sex22[[#All],[Insurance Category Code]],1), 2)</f>
        <v>0</v>
      </c>
      <c r="G106" s="232">
        <f>ROUND(SUMIFS(Age_Sex22[[#All],[Total Spending After Applying Truncation at the Member Level]], Age_Sex22[[#All],[Advanced Network ID]], $B106, Age_Sex22[[#All],[Insurance Category Code]],1), 2)</f>
        <v>0</v>
      </c>
      <c r="H106" s="416" t="str">
        <f>IF(C106=ROUND(SUMIFS(AN_TME22[[#All],[Member Months]], AN_TME22[[#All],[Insurance Category Code]],1, AN_TME22[[#All],[Advanced Network/Insurance Carrier Org ID]],B106),2), "TRUE", ROUND(C106-SUMIFS(AN_TME22[[#All],[Member Months]], AN_TME22[[#All],[Insurance Category Code]],1, AN_TME22[[#All],[Advanced Network/Insurance Carrier Org ID]],B106),2))</f>
        <v>TRUE</v>
      </c>
      <c r="I106" s="280" t="str">
        <f>IF(D106=ROUND(SUMIFS(AN_TME22[[#All],[Total Claims Excluded because of Truncation]], AN_TME22[[#All],[Insurance Category Code]],1, AN_TME22[[#All],[Advanced Network/Insurance Carrier Org ID]],B106),2), "TRUE", ROUND(D106-SUMIFS(AN_TME22[[#All],[Total Claims Excluded because of Truncation]], AN_TME22[[#All],[Insurance Category Code]],1, AN_TME22[[#All],[Advanced Network/Insurance Carrier Org ID]],B106),2))</f>
        <v>TRUE</v>
      </c>
      <c r="J106" s="281" t="str">
        <f>IF(E106=ROUND(SUMIFS(AN_TME22[[#All],[Count of Members with Claims Truncated]], AN_TME22[[#All],[Insurance Category Code]],1, AN_TME22[[#All],[Advanced Network/Insurance Carrier Org ID]],B106),2), "TRUE", ROUND(E106-SUMIFS(AN_TME22[[#All],[Count of Members with Claims Truncated]], AN_TME22[[#All],[Insurance Category Code]],1, AN_TME22[[#All],[Advanced Network/Insurance Carrier Org ID]],B106),2))</f>
        <v>TRUE</v>
      </c>
      <c r="K106" s="282" t="str">
        <f>IF(F106=ROUND(SUMIFS(AN_TME22[[#All],[TOTAL Non-Truncated Unadjusted Claims Expenses]], AN_TME22[[#All],[Insurance Category Code]],1, AN_TME22[[#All],[Advanced Network/Insurance Carrier Org ID]],B106),2), "TRUE", ROUND(F106-SUMIFS(AN_TME22[[#All],[TOTAL Non-Truncated Unadjusted Claims Expenses]], AN_TME22[[#All],[Insurance Category Code]],1, AN_TME22[[#All],[Advanced Network/Insurance Carrier Org ID]],B106),2))</f>
        <v>TRUE</v>
      </c>
      <c r="L106" s="295" t="str">
        <f>IF(G106=ROUND(SUMIFS(AN_TME22[[#All],[TOTAL Truncated Unadjusted Claims Expenses (A21 -A19)]], AN_TME22[[#All],[Insurance Category Code]],1, AN_TME22[[#All],[Advanced Network/Insurance Carrier Org ID]],B106),2), "TRUE", ROUND(G106-SUMIFS(AN_TME22[[#All],[TOTAL Truncated Unadjusted Claims Expenses (A21 -A19)]], AN_TME22[[#All],[Insurance Category Code]],1, AN_TME22[[#All],[Advanced Network/Insurance Carrier Org ID]],B106),2))</f>
        <v>TRUE</v>
      </c>
      <c r="M106" s="461" t="str">
        <f t="shared" si="7"/>
        <v>TRUE</v>
      </c>
      <c r="N106" s="282" t="b">
        <f>ROUND(SUMIFS(AN_TME22[[#All],[TOTAL Non-Truncated Unadjusted Claims Expenses]], AN_TME22[[#All],[Insurance Category Code]],1, AN_TME22[[#All],[Advanced Network/Insurance Carrier Org ID]],B106), 2)&gt;=ROUND(SUMIFS(AN_TME22[[#All],[TOTAL Truncated Unadjusted Claims Expenses (A21 -A19)]], AN_TME22[[#All],[Insurance Category Code]],1, AN_TME22[[#All],[Advanced Network/Insurance Carrier Org ID]],B106),2)</f>
        <v>1</v>
      </c>
      <c r="O106" s="295" t="b">
        <f>ROUND(SUMIFS(AN_TME22[[#All],[TOTAL Truncated Unadjusted Claims Expenses (A21 -A19)]], AN_TME22[[#All],[Insurance Category Code]],1, AN_TME22[[#All],[Advanced Network/Insurance Carrier Org ID]],B106)+SUMIFS(AN_TME22[[#All],[Total Claims Excluded because of Truncation]], AN_TME22[[#All],[Insurance Category Code]],1, AN_TME22[[#All],[Advanced Network/Insurance Carrier Org ID]],B106),2)=ROUND(SUMIFS(AN_TME22[[#All],[TOTAL Non-Truncated Unadjusted Claims Expenses]], AN_TME22[[#All],[Insurance Category Code]],1, AN_TME22[[#All],[Advanced Network/Insurance Carrier Org ID]],B106), 2)</f>
        <v>1</v>
      </c>
      <c r="Q106" s="236">
        <v>123</v>
      </c>
      <c r="R106" s="463">
        <f>ROUND(SUMIFS(Age_Sex23[[#All],[Total Member Months by Age/Sex Band]], Age_Sex23[[#All],[Advanced Network ID]], $Q106, Age_Sex23[[#All],[Insurance Category Code]],1), 2)</f>
        <v>0</v>
      </c>
      <c r="S106" s="268">
        <f>ROUND(SUMIFS(Age_Sex23[[#All],[Total Dollars Excluded from Spending After Applying Truncation at the Member Level]], Age_Sex23[[#All],[Advanced Network ID]], $B106, Age_Sex23[[#All],[Insurance Category Code]],1),2)</f>
        <v>0</v>
      </c>
      <c r="T106" s="229">
        <f>ROUND(SUMIFS(Age_Sex23[[#All],[Count of Members whose Spending was Truncated]], Age_Sex23[[#All],[Advanced Network ID]], $B106, Age_Sex23[[#All],[Insurance Category Code]],1), 2)</f>
        <v>0</v>
      </c>
      <c r="U106" s="230">
        <f>ROUND(SUMIFS(Age_Sex23[[#All],[Total Spending before Truncation is Applied]], Age_Sex23[[#All],[Advanced Network ID]], $B106, Age_Sex23[[#All],[Insurance Category Code]],1), 2)</f>
        <v>0</v>
      </c>
      <c r="V106" s="232">
        <f>ROUND(SUMIFS(Age_Sex23[[#All],[Total Spending After Applying Truncation at the Member Level]], Age_Sex23[[#All],[Advanced Network ID]], $B106, Age_Sex23[[#All],[Insurance Category Code]],1),2)</f>
        <v>0</v>
      </c>
      <c r="W106" s="416" t="str">
        <f>IF(R106=ROUND(SUMIFS(AN_TME23[[#All],[Member Months]], AN_TME23[[#All],[Insurance Category Code]],1, AN_TME23[[#All],[Advanced Network/Insurance Carrier Org ID]],Q106),2), "TRUE", ROUND(R106-SUMIFS(AN_TME23[[#All],[Member Months]], AN_TME23[[#All],[Insurance Category Code]],1, AN_TME23[[#All],[Advanced Network/Insurance Carrier Org ID]],Q106),2))</f>
        <v>TRUE</v>
      </c>
      <c r="X106" s="280" t="str">
        <f>IF(S106=ROUND(SUMIFS(AN_TME23[[#All],[Total Claims Excluded because of Truncation]], AN_TME23[[#All],[Insurance Category Code]],1, AN_TME23[[#All],[Advanced Network/Insurance Carrier Org ID]],Q106),2), "TRUE", ROUND(S106-SUMIFS(AN_TME23[[#All],[Total Claims Excluded because of Truncation]], AN_TME23[[#All],[Insurance Category Code]],1, AN_TME23[[#All],[Advanced Network/Insurance Carrier Org ID]],Q106),2))</f>
        <v>TRUE</v>
      </c>
      <c r="Y106" s="281" t="str">
        <f>IF(T106=ROUND(SUMIFS(AN_TME23[[#All],[Count of Members with Claims Truncated]], AN_TME23[[#All],[Insurance Category Code]],1, AN_TME23[[#All],[Advanced Network/Insurance Carrier Org ID]],Q106),2), "TRUE", ROUND(T106-SUMIFS(AN_TME23[[#All],[Count of Members with Claims Truncated]], AN_TME23[[#All],[Insurance Category Code]],1, AN_TME23[[#All],[Advanced Network/Insurance Carrier Org ID]],Q106),2))</f>
        <v>TRUE</v>
      </c>
      <c r="Z106" s="282" t="str">
        <f>IF(U106=ROUND(SUMIFS(AN_TME23[[#All],[TOTAL Non-Truncated Unadjusted Claims Expenses]], AN_TME23[[#All],[Insurance Category Code]],1, AN_TME23[[#All],[Advanced Network/Insurance Carrier Org ID]],Q106),2), "TRUE", ROUND(U106-SUMIFS(AN_TME23[[#All],[TOTAL Non-Truncated Unadjusted Claims Expenses]], AN_TME23[[#All],[Insurance Category Code]],1, AN_TME23[[#All],[Advanced Network/Insurance Carrier Org ID]],Q106),2))</f>
        <v>TRUE</v>
      </c>
      <c r="AA106" s="295" t="str">
        <f>IF(V106=ROUND(SUMIFS(AN_TME23[[#All],[TOTAL Truncated Unadjusted Claims Expenses (A21 -A19)]], AN_TME23[[#All],[Insurance Category Code]],1, AN_TME23[[#All],[Advanced Network/Insurance Carrier Org ID]],Q106),2), "TRUE", ROUND(V106-SUMIFS(AN_TME23[[#All],[TOTAL Truncated Unadjusted Claims Expenses (A21 -A19)]], AN_TME23[[#All],[Insurance Category Code]],1, AN_TME23[[#All],[Advanced Network/Insurance Carrier Org ID]],Q106),2))</f>
        <v>TRUE</v>
      </c>
      <c r="AB106" s="461" t="str">
        <f t="shared" si="9"/>
        <v>TRUE</v>
      </c>
      <c r="AC106" s="282" t="b">
        <f>ROUND(SUMIFS(AN_TME23[[#All],[TOTAL Non-Truncated Unadjusted Claims Expenses]], AN_TME23[[#All],[Insurance Category Code]],1, AN_TME23[[#All],[Advanced Network/Insurance Carrier Org ID]],Q106),2)&gt;=ROUND(SUMIFS(AN_TME23[[#All],[TOTAL Truncated Unadjusted Claims Expenses (A21 -A19)]], AN_TME23[[#All],[Insurance Category Code]],1, AN_TME23[[#All],[Advanced Network/Insurance Carrier Org ID]],Q106), 2)</f>
        <v>1</v>
      </c>
      <c r="AD106" s="295" t="b">
        <f>ROUND(SUMIFS(AN_TME23[[#All],[TOTAL Truncated Unadjusted Claims Expenses (A21 -A19)]], AN_TME23[[#All],[Insurance Category Code]],1, AN_TME23[[#All],[Advanced Network/Insurance Carrier Org ID]],Q106)+SUMIFS(AN_TME23[[#All],[Total Claims Excluded because of Truncation]], AN_TME23[[#All],[Insurance Category Code]],1, AN_TME23[[#All],[Advanced Network/Insurance Carrier Org ID]],Q106), 2)=ROUND(SUMIFS(AN_TME23[[#All],[TOTAL Non-Truncated Unadjusted Claims Expenses]], AN_TME23[[#All],[Insurance Category Code]],1, AN_TME23[[#All],[Advanced Network/Insurance Carrier Org ID]],Q106), 2)</f>
        <v>1</v>
      </c>
      <c r="AF106" s="323" t="str">
        <f t="shared" si="8"/>
        <v>NA</v>
      </c>
    </row>
    <row r="107" spans="2:32" outlineLevel="1" x14ac:dyDescent="0.25">
      <c r="B107" s="236">
        <v>124</v>
      </c>
      <c r="C107" s="463">
        <f>ROUND(SUMIFS(Age_Sex22[[#All],[Total Member Months by Age/Sex Band]], Age_Sex22[[#All],[Advanced Network ID]], $B107, Age_Sex22[[#All],[Insurance Category Code]],1), 2)</f>
        <v>0</v>
      </c>
      <c r="D107" s="268">
        <f>ROUND(SUMIFS(Age_Sex22[[#All],[Total Dollars Excluded from Spending After Applying Truncation at the Member Level]], Age_Sex22[[#All],[Advanced Network ID]], $B107, Age_Sex22[[#All],[Insurance Category Code]],1), 2)</f>
        <v>0</v>
      </c>
      <c r="E107" s="229">
        <f>ROUND(SUMIFS(Age_Sex22[[#All],[Count of Members whose Spending was Truncated]], Age_Sex22[[#All],[Advanced Network ID]], $B107, Age_Sex22[[#All],[Insurance Category Code]],1),2)</f>
        <v>0</v>
      </c>
      <c r="F107" s="230">
        <f>ROUND(SUMIFS(Age_Sex22[[#All],[Total Spending before Truncation is Applied]], Age_Sex22[[#All],[Advanced Network ID]], $B107, Age_Sex22[[#All],[Insurance Category Code]],1), 2)</f>
        <v>0</v>
      </c>
      <c r="G107" s="232">
        <f>ROUND(SUMIFS(Age_Sex22[[#All],[Total Spending After Applying Truncation at the Member Level]], Age_Sex22[[#All],[Advanced Network ID]], $B107, Age_Sex22[[#All],[Insurance Category Code]],1), 2)</f>
        <v>0</v>
      </c>
      <c r="H107" s="416" t="str">
        <f>IF(C107=ROUND(SUMIFS(AN_TME22[[#All],[Member Months]], AN_TME22[[#All],[Insurance Category Code]],1, AN_TME22[[#All],[Advanced Network/Insurance Carrier Org ID]],B107),2), "TRUE", ROUND(C107-SUMIFS(AN_TME22[[#All],[Member Months]], AN_TME22[[#All],[Insurance Category Code]],1, AN_TME22[[#All],[Advanced Network/Insurance Carrier Org ID]],B107),2))</f>
        <v>TRUE</v>
      </c>
      <c r="I107" s="280" t="str">
        <f>IF(D107=ROUND(SUMIFS(AN_TME22[[#All],[Total Claims Excluded because of Truncation]], AN_TME22[[#All],[Insurance Category Code]],1, AN_TME22[[#All],[Advanced Network/Insurance Carrier Org ID]],B107),2), "TRUE", ROUND(D107-SUMIFS(AN_TME22[[#All],[Total Claims Excluded because of Truncation]], AN_TME22[[#All],[Insurance Category Code]],1, AN_TME22[[#All],[Advanced Network/Insurance Carrier Org ID]],B107),2))</f>
        <v>TRUE</v>
      </c>
      <c r="J107" s="281" t="str">
        <f>IF(E107=ROUND(SUMIFS(AN_TME22[[#All],[Count of Members with Claims Truncated]], AN_TME22[[#All],[Insurance Category Code]],1, AN_TME22[[#All],[Advanced Network/Insurance Carrier Org ID]],B107),2), "TRUE", ROUND(E107-SUMIFS(AN_TME22[[#All],[Count of Members with Claims Truncated]], AN_TME22[[#All],[Insurance Category Code]],1, AN_TME22[[#All],[Advanced Network/Insurance Carrier Org ID]],B107),2))</f>
        <v>TRUE</v>
      </c>
      <c r="K107" s="282" t="str">
        <f>IF(F107=ROUND(SUMIFS(AN_TME22[[#All],[TOTAL Non-Truncated Unadjusted Claims Expenses]], AN_TME22[[#All],[Insurance Category Code]],1, AN_TME22[[#All],[Advanced Network/Insurance Carrier Org ID]],B107),2), "TRUE", ROUND(F107-SUMIFS(AN_TME22[[#All],[TOTAL Non-Truncated Unadjusted Claims Expenses]], AN_TME22[[#All],[Insurance Category Code]],1, AN_TME22[[#All],[Advanced Network/Insurance Carrier Org ID]],B107),2))</f>
        <v>TRUE</v>
      </c>
      <c r="L107" s="295" t="str">
        <f>IF(G107=ROUND(SUMIFS(AN_TME22[[#All],[TOTAL Truncated Unadjusted Claims Expenses (A21 -A19)]], AN_TME22[[#All],[Insurance Category Code]],1, AN_TME22[[#All],[Advanced Network/Insurance Carrier Org ID]],B107),2), "TRUE", ROUND(G107-SUMIFS(AN_TME22[[#All],[TOTAL Truncated Unadjusted Claims Expenses (A21 -A19)]], AN_TME22[[#All],[Insurance Category Code]],1, AN_TME22[[#All],[Advanced Network/Insurance Carrier Org ID]],B107),2))</f>
        <v>TRUE</v>
      </c>
      <c r="M107" s="461" t="str">
        <f t="shared" si="7"/>
        <v>TRUE</v>
      </c>
      <c r="N107" s="282" t="b">
        <f>ROUND(SUMIFS(AN_TME22[[#All],[TOTAL Non-Truncated Unadjusted Claims Expenses]], AN_TME22[[#All],[Insurance Category Code]],1, AN_TME22[[#All],[Advanced Network/Insurance Carrier Org ID]],B107), 2)&gt;=ROUND(SUMIFS(AN_TME22[[#All],[TOTAL Truncated Unadjusted Claims Expenses (A21 -A19)]], AN_TME22[[#All],[Insurance Category Code]],1, AN_TME22[[#All],[Advanced Network/Insurance Carrier Org ID]],B107),2)</f>
        <v>1</v>
      </c>
      <c r="O107" s="295" t="b">
        <f>ROUND(SUMIFS(AN_TME22[[#All],[TOTAL Truncated Unadjusted Claims Expenses (A21 -A19)]], AN_TME22[[#All],[Insurance Category Code]],1, AN_TME22[[#All],[Advanced Network/Insurance Carrier Org ID]],B107)+SUMIFS(AN_TME22[[#All],[Total Claims Excluded because of Truncation]], AN_TME22[[#All],[Insurance Category Code]],1, AN_TME22[[#All],[Advanced Network/Insurance Carrier Org ID]],B107),2)=ROUND(SUMIFS(AN_TME22[[#All],[TOTAL Non-Truncated Unadjusted Claims Expenses]], AN_TME22[[#All],[Insurance Category Code]],1, AN_TME22[[#All],[Advanced Network/Insurance Carrier Org ID]],B107), 2)</f>
        <v>1</v>
      </c>
      <c r="Q107" s="236">
        <v>124</v>
      </c>
      <c r="R107" s="463">
        <f>ROUND(SUMIFS(Age_Sex23[[#All],[Total Member Months by Age/Sex Band]], Age_Sex23[[#All],[Advanced Network ID]], $Q107, Age_Sex23[[#All],[Insurance Category Code]],1), 2)</f>
        <v>0</v>
      </c>
      <c r="S107" s="268">
        <f>ROUND(SUMIFS(Age_Sex23[[#All],[Total Dollars Excluded from Spending After Applying Truncation at the Member Level]], Age_Sex23[[#All],[Advanced Network ID]], $B107, Age_Sex23[[#All],[Insurance Category Code]],1),2)</f>
        <v>0</v>
      </c>
      <c r="T107" s="229">
        <f>ROUND(SUMIFS(Age_Sex23[[#All],[Count of Members whose Spending was Truncated]], Age_Sex23[[#All],[Advanced Network ID]], $B107, Age_Sex23[[#All],[Insurance Category Code]],1), 2)</f>
        <v>0</v>
      </c>
      <c r="U107" s="230">
        <f>ROUND(SUMIFS(Age_Sex23[[#All],[Total Spending before Truncation is Applied]], Age_Sex23[[#All],[Advanced Network ID]], $B107, Age_Sex23[[#All],[Insurance Category Code]],1), 2)</f>
        <v>0</v>
      </c>
      <c r="V107" s="232">
        <f>ROUND(SUMIFS(Age_Sex23[[#All],[Total Spending After Applying Truncation at the Member Level]], Age_Sex23[[#All],[Advanced Network ID]], $B107, Age_Sex23[[#All],[Insurance Category Code]],1),2)</f>
        <v>0</v>
      </c>
      <c r="W107" s="416" t="str">
        <f>IF(R107=ROUND(SUMIFS(AN_TME23[[#All],[Member Months]], AN_TME23[[#All],[Insurance Category Code]],1, AN_TME23[[#All],[Advanced Network/Insurance Carrier Org ID]],Q107),2), "TRUE", ROUND(R107-SUMIFS(AN_TME23[[#All],[Member Months]], AN_TME23[[#All],[Insurance Category Code]],1, AN_TME23[[#All],[Advanced Network/Insurance Carrier Org ID]],Q107),2))</f>
        <v>TRUE</v>
      </c>
      <c r="X107" s="280" t="str">
        <f>IF(S107=ROUND(SUMIFS(AN_TME23[[#All],[Total Claims Excluded because of Truncation]], AN_TME23[[#All],[Insurance Category Code]],1, AN_TME23[[#All],[Advanced Network/Insurance Carrier Org ID]],Q107),2), "TRUE", ROUND(S107-SUMIFS(AN_TME23[[#All],[Total Claims Excluded because of Truncation]], AN_TME23[[#All],[Insurance Category Code]],1, AN_TME23[[#All],[Advanced Network/Insurance Carrier Org ID]],Q107),2))</f>
        <v>TRUE</v>
      </c>
      <c r="Y107" s="281" t="str">
        <f>IF(T107=ROUND(SUMIFS(AN_TME23[[#All],[Count of Members with Claims Truncated]], AN_TME23[[#All],[Insurance Category Code]],1, AN_TME23[[#All],[Advanced Network/Insurance Carrier Org ID]],Q107),2), "TRUE", ROUND(T107-SUMIFS(AN_TME23[[#All],[Count of Members with Claims Truncated]], AN_TME23[[#All],[Insurance Category Code]],1, AN_TME23[[#All],[Advanced Network/Insurance Carrier Org ID]],Q107),2))</f>
        <v>TRUE</v>
      </c>
      <c r="Z107" s="282" t="str">
        <f>IF(U107=ROUND(SUMIFS(AN_TME23[[#All],[TOTAL Non-Truncated Unadjusted Claims Expenses]], AN_TME23[[#All],[Insurance Category Code]],1, AN_TME23[[#All],[Advanced Network/Insurance Carrier Org ID]],Q107),2), "TRUE", ROUND(U107-SUMIFS(AN_TME23[[#All],[TOTAL Non-Truncated Unadjusted Claims Expenses]], AN_TME23[[#All],[Insurance Category Code]],1, AN_TME23[[#All],[Advanced Network/Insurance Carrier Org ID]],Q107),2))</f>
        <v>TRUE</v>
      </c>
      <c r="AA107" s="295" t="str">
        <f>IF(V107=ROUND(SUMIFS(AN_TME23[[#All],[TOTAL Truncated Unadjusted Claims Expenses (A21 -A19)]], AN_TME23[[#All],[Insurance Category Code]],1, AN_TME23[[#All],[Advanced Network/Insurance Carrier Org ID]],Q107),2), "TRUE", ROUND(V107-SUMIFS(AN_TME23[[#All],[TOTAL Truncated Unadjusted Claims Expenses (A21 -A19)]], AN_TME23[[#All],[Insurance Category Code]],1, AN_TME23[[#All],[Advanced Network/Insurance Carrier Org ID]],Q107),2))</f>
        <v>TRUE</v>
      </c>
      <c r="AB107" s="461" t="str">
        <f t="shared" si="9"/>
        <v>TRUE</v>
      </c>
      <c r="AC107" s="282" t="b">
        <f>ROUND(SUMIFS(AN_TME23[[#All],[TOTAL Non-Truncated Unadjusted Claims Expenses]], AN_TME23[[#All],[Insurance Category Code]],1, AN_TME23[[#All],[Advanced Network/Insurance Carrier Org ID]],Q107),2)&gt;=ROUND(SUMIFS(AN_TME23[[#All],[TOTAL Truncated Unadjusted Claims Expenses (A21 -A19)]], AN_TME23[[#All],[Insurance Category Code]],1, AN_TME23[[#All],[Advanced Network/Insurance Carrier Org ID]],Q107), 2)</f>
        <v>1</v>
      </c>
      <c r="AD107" s="295" t="b">
        <f>ROUND(SUMIFS(AN_TME23[[#All],[TOTAL Truncated Unadjusted Claims Expenses (A21 -A19)]], AN_TME23[[#All],[Insurance Category Code]],1, AN_TME23[[#All],[Advanced Network/Insurance Carrier Org ID]],Q107)+SUMIFS(AN_TME23[[#All],[Total Claims Excluded because of Truncation]], AN_TME23[[#All],[Insurance Category Code]],1, AN_TME23[[#All],[Advanced Network/Insurance Carrier Org ID]],Q107), 2)=ROUND(SUMIFS(AN_TME23[[#All],[TOTAL Non-Truncated Unadjusted Claims Expenses]], AN_TME23[[#All],[Insurance Category Code]],1, AN_TME23[[#All],[Advanced Network/Insurance Carrier Org ID]],Q107), 2)</f>
        <v>1</v>
      </c>
      <c r="AF107" s="323" t="str">
        <f t="shared" si="8"/>
        <v>NA</v>
      </c>
    </row>
    <row r="108" spans="2:32" outlineLevel="1" x14ac:dyDescent="0.25">
      <c r="B108" s="236">
        <v>125</v>
      </c>
      <c r="C108" s="463">
        <f>ROUND(SUMIFS(Age_Sex22[[#All],[Total Member Months by Age/Sex Band]], Age_Sex22[[#All],[Advanced Network ID]], $B108, Age_Sex22[[#All],[Insurance Category Code]],1), 2)</f>
        <v>0</v>
      </c>
      <c r="D108" s="268">
        <f>ROUND(SUMIFS(Age_Sex22[[#All],[Total Dollars Excluded from Spending After Applying Truncation at the Member Level]], Age_Sex22[[#All],[Advanced Network ID]], $B108, Age_Sex22[[#All],[Insurance Category Code]],1), 2)</f>
        <v>0</v>
      </c>
      <c r="E108" s="229">
        <f>ROUND(SUMIFS(Age_Sex22[[#All],[Count of Members whose Spending was Truncated]], Age_Sex22[[#All],[Advanced Network ID]], $B108, Age_Sex22[[#All],[Insurance Category Code]],1),2)</f>
        <v>0</v>
      </c>
      <c r="F108" s="230">
        <f>ROUND(SUMIFS(Age_Sex22[[#All],[Total Spending before Truncation is Applied]], Age_Sex22[[#All],[Advanced Network ID]], $B108, Age_Sex22[[#All],[Insurance Category Code]],1), 2)</f>
        <v>0</v>
      </c>
      <c r="G108" s="232">
        <f>ROUND(SUMIFS(Age_Sex22[[#All],[Total Spending After Applying Truncation at the Member Level]], Age_Sex22[[#All],[Advanced Network ID]], $B108, Age_Sex22[[#All],[Insurance Category Code]],1), 2)</f>
        <v>0</v>
      </c>
      <c r="H108" s="416" t="str">
        <f>IF(C108=ROUND(SUMIFS(AN_TME22[[#All],[Member Months]], AN_TME22[[#All],[Insurance Category Code]],1, AN_TME22[[#All],[Advanced Network/Insurance Carrier Org ID]],B108),2), "TRUE", ROUND(C108-SUMIFS(AN_TME22[[#All],[Member Months]], AN_TME22[[#All],[Insurance Category Code]],1, AN_TME22[[#All],[Advanced Network/Insurance Carrier Org ID]],B108),2))</f>
        <v>TRUE</v>
      </c>
      <c r="I108" s="280" t="str">
        <f>IF(D108=ROUND(SUMIFS(AN_TME22[[#All],[Total Claims Excluded because of Truncation]], AN_TME22[[#All],[Insurance Category Code]],1, AN_TME22[[#All],[Advanced Network/Insurance Carrier Org ID]],B108),2), "TRUE", ROUND(D108-SUMIFS(AN_TME22[[#All],[Total Claims Excluded because of Truncation]], AN_TME22[[#All],[Insurance Category Code]],1, AN_TME22[[#All],[Advanced Network/Insurance Carrier Org ID]],B108),2))</f>
        <v>TRUE</v>
      </c>
      <c r="J108" s="281" t="str">
        <f>IF(E108=ROUND(SUMIFS(AN_TME22[[#All],[Count of Members with Claims Truncated]], AN_TME22[[#All],[Insurance Category Code]],1, AN_TME22[[#All],[Advanced Network/Insurance Carrier Org ID]],B108),2), "TRUE", ROUND(E108-SUMIFS(AN_TME22[[#All],[Count of Members with Claims Truncated]], AN_TME22[[#All],[Insurance Category Code]],1, AN_TME22[[#All],[Advanced Network/Insurance Carrier Org ID]],B108),2))</f>
        <v>TRUE</v>
      </c>
      <c r="K108" s="282" t="str">
        <f>IF(F108=ROUND(SUMIFS(AN_TME22[[#All],[TOTAL Non-Truncated Unadjusted Claims Expenses]], AN_TME22[[#All],[Insurance Category Code]],1, AN_TME22[[#All],[Advanced Network/Insurance Carrier Org ID]],B108),2), "TRUE", ROUND(F108-SUMIFS(AN_TME22[[#All],[TOTAL Non-Truncated Unadjusted Claims Expenses]], AN_TME22[[#All],[Insurance Category Code]],1, AN_TME22[[#All],[Advanced Network/Insurance Carrier Org ID]],B108),2))</f>
        <v>TRUE</v>
      </c>
      <c r="L108" s="295" t="str">
        <f>IF(G108=ROUND(SUMIFS(AN_TME22[[#All],[TOTAL Truncated Unadjusted Claims Expenses (A21 -A19)]], AN_TME22[[#All],[Insurance Category Code]],1, AN_TME22[[#All],[Advanced Network/Insurance Carrier Org ID]],B108),2), "TRUE", ROUND(G108-SUMIFS(AN_TME22[[#All],[TOTAL Truncated Unadjusted Claims Expenses (A21 -A19)]], AN_TME22[[#All],[Insurance Category Code]],1, AN_TME22[[#All],[Advanced Network/Insurance Carrier Org ID]],B108),2))</f>
        <v>TRUE</v>
      </c>
      <c r="M108" s="461" t="str">
        <f t="shared" si="7"/>
        <v>TRUE</v>
      </c>
      <c r="N108" s="282" t="b">
        <f>ROUND(SUMIFS(AN_TME22[[#All],[TOTAL Non-Truncated Unadjusted Claims Expenses]], AN_TME22[[#All],[Insurance Category Code]],1, AN_TME22[[#All],[Advanced Network/Insurance Carrier Org ID]],B108), 2)&gt;=ROUND(SUMIFS(AN_TME22[[#All],[TOTAL Truncated Unadjusted Claims Expenses (A21 -A19)]], AN_TME22[[#All],[Insurance Category Code]],1, AN_TME22[[#All],[Advanced Network/Insurance Carrier Org ID]],B108),2)</f>
        <v>1</v>
      </c>
      <c r="O108" s="295" t="b">
        <f>ROUND(SUMIFS(AN_TME22[[#All],[TOTAL Truncated Unadjusted Claims Expenses (A21 -A19)]], AN_TME22[[#All],[Insurance Category Code]],1, AN_TME22[[#All],[Advanced Network/Insurance Carrier Org ID]],B108)+SUMIFS(AN_TME22[[#All],[Total Claims Excluded because of Truncation]], AN_TME22[[#All],[Insurance Category Code]],1, AN_TME22[[#All],[Advanced Network/Insurance Carrier Org ID]],B108),2)=ROUND(SUMIFS(AN_TME22[[#All],[TOTAL Non-Truncated Unadjusted Claims Expenses]], AN_TME22[[#All],[Insurance Category Code]],1, AN_TME22[[#All],[Advanced Network/Insurance Carrier Org ID]],B108), 2)</f>
        <v>1</v>
      </c>
      <c r="Q108" s="236">
        <v>125</v>
      </c>
      <c r="R108" s="463">
        <f>ROUND(SUMIFS(Age_Sex23[[#All],[Total Member Months by Age/Sex Band]], Age_Sex23[[#All],[Advanced Network ID]], $Q108, Age_Sex23[[#All],[Insurance Category Code]],1), 2)</f>
        <v>0</v>
      </c>
      <c r="S108" s="268">
        <f>ROUND(SUMIFS(Age_Sex23[[#All],[Total Dollars Excluded from Spending After Applying Truncation at the Member Level]], Age_Sex23[[#All],[Advanced Network ID]], $B108, Age_Sex23[[#All],[Insurance Category Code]],1),2)</f>
        <v>0</v>
      </c>
      <c r="T108" s="229">
        <f>ROUND(SUMIFS(Age_Sex23[[#All],[Count of Members whose Spending was Truncated]], Age_Sex23[[#All],[Advanced Network ID]], $B108, Age_Sex23[[#All],[Insurance Category Code]],1), 2)</f>
        <v>0</v>
      </c>
      <c r="U108" s="230">
        <f>ROUND(SUMIFS(Age_Sex23[[#All],[Total Spending before Truncation is Applied]], Age_Sex23[[#All],[Advanced Network ID]], $B108, Age_Sex23[[#All],[Insurance Category Code]],1), 2)</f>
        <v>0</v>
      </c>
      <c r="V108" s="232">
        <f>ROUND(SUMIFS(Age_Sex23[[#All],[Total Spending After Applying Truncation at the Member Level]], Age_Sex23[[#All],[Advanced Network ID]], $B108, Age_Sex23[[#All],[Insurance Category Code]],1),2)</f>
        <v>0</v>
      </c>
      <c r="W108" s="416" t="str">
        <f>IF(R108=ROUND(SUMIFS(AN_TME23[[#All],[Member Months]], AN_TME23[[#All],[Insurance Category Code]],1, AN_TME23[[#All],[Advanced Network/Insurance Carrier Org ID]],Q108),2), "TRUE", ROUND(R108-SUMIFS(AN_TME23[[#All],[Member Months]], AN_TME23[[#All],[Insurance Category Code]],1, AN_TME23[[#All],[Advanced Network/Insurance Carrier Org ID]],Q108),2))</f>
        <v>TRUE</v>
      </c>
      <c r="X108" s="280" t="str">
        <f>IF(S108=ROUND(SUMIFS(AN_TME23[[#All],[Total Claims Excluded because of Truncation]], AN_TME23[[#All],[Insurance Category Code]],1, AN_TME23[[#All],[Advanced Network/Insurance Carrier Org ID]],Q108),2), "TRUE", ROUND(S108-SUMIFS(AN_TME23[[#All],[Total Claims Excluded because of Truncation]], AN_TME23[[#All],[Insurance Category Code]],1, AN_TME23[[#All],[Advanced Network/Insurance Carrier Org ID]],Q108),2))</f>
        <v>TRUE</v>
      </c>
      <c r="Y108" s="281" t="str">
        <f>IF(T108=ROUND(SUMIFS(AN_TME23[[#All],[Count of Members with Claims Truncated]], AN_TME23[[#All],[Insurance Category Code]],1, AN_TME23[[#All],[Advanced Network/Insurance Carrier Org ID]],Q108),2), "TRUE", ROUND(T108-SUMIFS(AN_TME23[[#All],[Count of Members with Claims Truncated]], AN_TME23[[#All],[Insurance Category Code]],1, AN_TME23[[#All],[Advanced Network/Insurance Carrier Org ID]],Q108),2))</f>
        <v>TRUE</v>
      </c>
      <c r="Z108" s="282" t="str">
        <f>IF(U108=ROUND(SUMIFS(AN_TME23[[#All],[TOTAL Non-Truncated Unadjusted Claims Expenses]], AN_TME23[[#All],[Insurance Category Code]],1, AN_TME23[[#All],[Advanced Network/Insurance Carrier Org ID]],Q108),2), "TRUE", ROUND(U108-SUMIFS(AN_TME23[[#All],[TOTAL Non-Truncated Unadjusted Claims Expenses]], AN_TME23[[#All],[Insurance Category Code]],1, AN_TME23[[#All],[Advanced Network/Insurance Carrier Org ID]],Q108),2))</f>
        <v>TRUE</v>
      </c>
      <c r="AA108" s="295" t="str">
        <f>IF(V108=ROUND(SUMIFS(AN_TME23[[#All],[TOTAL Truncated Unadjusted Claims Expenses (A21 -A19)]], AN_TME23[[#All],[Insurance Category Code]],1, AN_TME23[[#All],[Advanced Network/Insurance Carrier Org ID]],Q108),2), "TRUE", ROUND(V108-SUMIFS(AN_TME23[[#All],[TOTAL Truncated Unadjusted Claims Expenses (A21 -A19)]], AN_TME23[[#All],[Insurance Category Code]],1, AN_TME23[[#All],[Advanced Network/Insurance Carrier Org ID]],Q108),2))</f>
        <v>TRUE</v>
      </c>
      <c r="AB108" s="461" t="str">
        <f t="shared" si="9"/>
        <v>TRUE</v>
      </c>
      <c r="AC108" s="282" t="b">
        <f>ROUND(SUMIFS(AN_TME23[[#All],[TOTAL Non-Truncated Unadjusted Claims Expenses]], AN_TME23[[#All],[Insurance Category Code]],1, AN_TME23[[#All],[Advanced Network/Insurance Carrier Org ID]],Q108),2)&gt;=ROUND(SUMIFS(AN_TME23[[#All],[TOTAL Truncated Unadjusted Claims Expenses (A21 -A19)]], AN_TME23[[#All],[Insurance Category Code]],1, AN_TME23[[#All],[Advanced Network/Insurance Carrier Org ID]],Q108), 2)</f>
        <v>1</v>
      </c>
      <c r="AD108" s="295" t="b">
        <f>ROUND(SUMIFS(AN_TME23[[#All],[TOTAL Truncated Unadjusted Claims Expenses (A21 -A19)]], AN_TME23[[#All],[Insurance Category Code]],1, AN_TME23[[#All],[Advanced Network/Insurance Carrier Org ID]],Q108)+SUMIFS(AN_TME23[[#All],[Total Claims Excluded because of Truncation]], AN_TME23[[#All],[Insurance Category Code]],1, AN_TME23[[#All],[Advanced Network/Insurance Carrier Org ID]],Q108), 2)=ROUND(SUMIFS(AN_TME23[[#All],[TOTAL Non-Truncated Unadjusted Claims Expenses]], AN_TME23[[#All],[Insurance Category Code]],1, AN_TME23[[#All],[Advanced Network/Insurance Carrier Org ID]],Q108), 2)</f>
        <v>1</v>
      </c>
      <c r="AF108" s="323" t="str">
        <f t="shared" si="8"/>
        <v>NA</v>
      </c>
    </row>
    <row r="109" spans="2:32" outlineLevel="1" x14ac:dyDescent="0.25">
      <c r="B109" s="236">
        <v>126</v>
      </c>
      <c r="C109" s="463">
        <f>ROUND(SUMIFS(Age_Sex22[[#All],[Total Member Months by Age/Sex Band]], Age_Sex22[[#All],[Advanced Network ID]], $B109, Age_Sex22[[#All],[Insurance Category Code]],1), 2)</f>
        <v>0</v>
      </c>
      <c r="D109" s="268">
        <f>ROUND(SUMIFS(Age_Sex22[[#All],[Total Dollars Excluded from Spending After Applying Truncation at the Member Level]], Age_Sex22[[#All],[Advanced Network ID]], $B109, Age_Sex22[[#All],[Insurance Category Code]],1), 2)</f>
        <v>0</v>
      </c>
      <c r="E109" s="229">
        <f>ROUND(SUMIFS(Age_Sex22[[#All],[Count of Members whose Spending was Truncated]], Age_Sex22[[#All],[Advanced Network ID]], $B109, Age_Sex22[[#All],[Insurance Category Code]],1),2)</f>
        <v>0</v>
      </c>
      <c r="F109" s="230">
        <f>ROUND(SUMIFS(Age_Sex22[[#All],[Total Spending before Truncation is Applied]], Age_Sex22[[#All],[Advanced Network ID]], $B109, Age_Sex22[[#All],[Insurance Category Code]],1), 2)</f>
        <v>0</v>
      </c>
      <c r="G109" s="232">
        <f>ROUND(SUMIFS(Age_Sex22[[#All],[Total Spending After Applying Truncation at the Member Level]], Age_Sex22[[#All],[Advanced Network ID]], $B109, Age_Sex22[[#All],[Insurance Category Code]],1), 2)</f>
        <v>0</v>
      </c>
      <c r="H109" s="416" t="str">
        <f>IF(C109=ROUND(SUMIFS(AN_TME22[[#All],[Member Months]], AN_TME22[[#All],[Insurance Category Code]],1, AN_TME22[[#All],[Advanced Network/Insurance Carrier Org ID]],B109),2), "TRUE", ROUND(C109-SUMIFS(AN_TME22[[#All],[Member Months]], AN_TME22[[#All],[Insurance Category Code]],1, AN_TME22[[#All],[Advanced Network/Insurance Carrier Org ID]],B109),2))</f>
        <v>TRUE</v>
      </c>
      <c r="I109" s="280" t="str">
        <f>IF(D109=ROUND(SUMIFS(AN_TME22[[#All],[Total Claims Excluded because of Truncation]], AN_TME22[[#All],[Insurance Category Code]],1, AN_TME22[[#All],[Advanced Network/Insurance Carrier Org ID]],B109),2), "TRUE", ROUND(D109-SUMIFS(AN_TME22[[#All],[Total Claims Excluded because of Truncation]], AN_TME22[[#All],[Insurance Category Code]],1, AN_TME22[[#All],[Advanced Network/Insurance Carrier Org ID]],B109),2))</f>
        <v>TRUE</v>
      </c>
      <c r="J109" s="281" t="str">
        <f>IF(E109=ROUND(SUMIFS(AN_TME22[[#All],[Count of Members with Claims Truncated]], AN_TME22[[#All],[Insurance Category Code]],1, AN_TME22[[#All],[Advanced Network/Insurance Carrier Org ID]],B109),2), "TRUE", ROUND(E109-SUMIFS(AN_TME22[[#All],[Count of Members with Claims Truncated]], AN_TME22[[#All],[Insurance Category Code]],1, AN_TME22[[#All],[Advanced Network/Insurance Carrier Org ID]],B109),2))</f>
        <v>TRUE</v>
      </c>
      <c r="K109" s="282" t="str">
        <f>IF(F109=ROUND(SUMIFS(AN_TME22[[#All],[TOTAL Non-Truncated Unadjusted Claims Expenses]], AN_TME22[[#All],[Insurance Category Code]],1, AN_TME22[[#All],[Advanced Network/Insurance Carrier Org ID]],B109),2), "TRUE", ROUND(F109-SUMIFS(AN_TME22[[#All],[TOTAL Non-Truncated Unadjusted Claims Expenses]], AN_TME22[[#All],[Insurance Category Code]],1, AN_TME22[[#All],[Advanced Network/Insurance Carrier Org ID]],B109),2))</f>
        <v>TRUE</v>
      </c>
      <c r="L109" s="295" t="str">
        <f>IF(G109=ROUND(SUMIFS(AN_TME22[[#All],[TOTAL Truncated Unadjusted Claims Expenses (A21 -A19)]], AN_TME22[[#All],[Insurance Category Code]],1, AN_TME22[[#All],[Advanced Network/Insurance Carrier Org ID]],B109),2), "TRUE", ROUND(G109-SUMIFS(AN_TME22[[#All],[TOTAL Truncated Unadjusted Claims Expenses (A21 -A19)]], AN_TME22[[#All],[Insurance Category Code]],1, AN_TME22[[#All],[Advanced Network/Insurance Carrier Org ID]],B109),2))</f>
        <v>TRUE</v>
      </c>
      <c r="M109" s="461" t="str">
        <f t="shared" si="7"/>
        <v>TRUE</v>
      </c>
      <c r="N109" s="282" t="b">
        <f>ROUND(SUMIFS(AN_TME22[[#All],[TOTAL Non-Truncated Unadjusted Claims Expenses]], AN_TME22[[#All],[Insurance Category Code]],1, AN_TME22[[#All],[Advanced Network/Insurance Carrier Org ID]],B109), 2)&gt;=ROUND(SUMIFS(AN_TME22[[#All],[TOTAL Truncated Unadjusted Claims Expenses (A21 -A19)]], AN_TME22[[#All],[Insurance Category Code]],1, AN_TME22[[#All],[Advanced Network/Insurance Carrier Org ID]],B109),2)</f>
        <v>1</v>
      </c>
      <c r="O109" s="295" t="b">
        <f>ROUND(SUMIFS(AN_TME22[[#All],[TOTAL Truncated Unadjusted Claims Expenses (A21 -A19)]], AN_TME22[[#All],[Insurance Category Code]],1, AN_TME22[[#All],[Advanced Network/Insurance Carrier Org ID]],B109)+SUMIFS(AN_TME22[[#All],[Total Claims Excluded because of Truncation]], AN_TME22[[#All],[Insurance Category Code]],1, AN_TME22[[#All],[Advanced Network/Insurance Carrier Org ID]],B109),2)=ROUND(SUMIFS(AN_TME22[[#All],[TOTAL Non-Truncated Unadjusted Claims Expenses]], AN_TME22[[#All],[Insurance Category Code]],1, AN_TME22[[#All],[Advanced Network/Insurance Carrier Org ID]],B109), 2)</f>
        <v>1</v>
      </c>
      <c r="Q109" s="236">
        <v>126</v>
      </c>
      <c r="R109" s="463">
        <f>ROUND(SUMIFS(Age_Sex23[[#All],[Total Member Months by Age/Sex Band]], Age_Sex23[[#All],[Advanced Network ID]], $Q109, Age_Sex23[[#All],[Insurance Category Code]],1), 2)</f>
        <v>0</v>
      </c>
      <c r="S109" s="268">
        <f>ROUND(SUMIFS(Age_Sex23[[#All],[Total Dollars Excluded from Spending After Applying Truncation at the Member Level]], Age_Sex23[[#All],[Advanced Network ID]], $B109, Age_Sex23[[#All],[Insurance Category Code]],1),2)</f>
        <v>0</v>
      </c>
      <c r="T109" s="229">
        <f>ROUND(SUMIFS(Age_Sex23[[#All],[Count of Members whose Spending was Truncated]], Age_Sex23[[#All],[Advanced Network ID]], $B109, Age_Sex23[[#All],[Insurance Category Code]],1), 2)</f>
        <v>0</v>
      </c>
      <c r="U109" s="230">
        <f>ROUND(SUMIFS(Age_Sex23[[#All],[Total Spending before Truncation is Applied]], Age_Sex23[[#All],[Advanced Network ID]], $B109, Age_Sex23[[#All],[Insurance Category Code]],1), 2)</f>
        <v>0</v>
      </c>
      <c r="V109" s="232">
        <f>ROUND(SUMIFS(Age_Sex23[[#All],[Total Spending After Applying Truncation at the Member Level]], Age_Sex23[[#All],[Advanced Network ID]], $B109, Age_Sex23[[#All],[Insurance Category Code]],1),2)</f>
        <v>0</v>
      </c>
      <c r="W109" s="416" t="str">
        <f>IF(R109=ROUND(SUMIFS(AN_TME23[[#All],[Member Months]], AN_TME23[[#All],[Insurance Category Code]],1, AN_TME23[[#All],[Advanced Network/Insurance Carrier Org ID]],Q109),2), "TRUE", ROUND(R109-SUMIFS(AN_TME23[[#All],[Member Months]], AN_TME23[[#All],[Insurance Category Code]],1, AN_TME23[[#All],[Advanced Network/Insurance Carrier Org ID]],Q109),2))</f>
        <v>TRUE</v>
      </c>
      <c r="X109" s="280" t="str">
        <f>IF(S109=ROUND(SUMIFS(AN_TME23[[#All],[Total Claims Excluded because of Truncation]], AN_TME23[[#All],[Insurance Category Code]],1, AN_TME23[[#All],[Advanced Network/Insurance Carrier Org ID]],Q109),2), "TRUE", ROUND(S109-SUMIFS(AN_TME23[[#All],[Total Claims Excluded because of Truncation]], AN_TME23[[#All],[Insurance Category Code]],1, AN_TME23[[#All],[Advanced Network/Insurance Carrier Org ID]],Q109),2))</f>
        <v>TRUE</v>
      </c>
      <c r="Y109" s="281" t="str">
        <f>IF(T109=ROUND(SUMIFS(AN_TME23[[#All],[Count of Members with Claims Truncated]], AN_TME23[[#All],[Insurance Category Code]],1, AN_TME23[[#All],[Advanced Network/Insurance Carrier Org ID]],Q109),2), "TRUE", ROUND(T109-SUMIFS(AN_TME23[[#All],[Count of Members with Claims Truncated]], AN_TME23[[#All],[Insurance Category Code]],1, AN_TME23[[#All],[Advanced Network/Insurance Carrier Org ID]],Q109),2))</f>
        <v>TRUE</v>
      </c>
      <c r="Z109" s="282" t="str">
        <f>IF(U109=ROUND(SUMIFS(AN_TME23[[#All],[TOTAL Non-Truncated Unadjusted Claims Expenses]], AN_TME23[[#All],[Insurance Category Code]],1, AN_TME23[[#All],[Advanced Network/Insurance Carrier Org ID]],Q109),2), "TRUE", ROUND(U109-SUMIFS(AN_TME23[[#All],[TOTAL Non-Truncated Unadjusted Claims Expenses]], AN_TME23[[#All],[Insurance Category Code]],1, AN_TME23[[#All],[Advanced Network/Insurance Carrier Org ID]],Q109),2))</f>
        <v>TRUE</v>
      </c>
      <c r="AA109" s="295" t="str">
        <f>IF(V109=ROUND(SUMIFS(AN_TME23[[#All],[TOTAL Truncated Unadjusted Claims Expenses (A21 -A19)]], AN_TME23[[#All],[Insurance Category Code]],1, AN_TME23[[#All],[Advanced Network/Insurance Carrier Org ID]],Q109),2), "TRUE", ROUND(V109-SUMIFS(AN_TME23[[#All],[TOTAL Truncated Unadjusted Claims Expenses (A21 -A19)]], AN_TME23[[#All],[Insurance Category Code]],1, AN_TME23[[#All],[Advanced Network/Insurance Carrier Org ID]],Q109),2))</f>
        <v>TRUE</v>
      </c>
      <c r="AB109" s="461" t="str">
        <f t="shared" si="9"/>
        <v>TRUE</v>
      </c>
      <c r="AC109" s="282" t="b">
        <f>ROUND(SUMIFS(AN_TME23[[#All],[TOTAL Non-Truncated Unadjusted Claims Expenses]], AN_TME23[[#All],[Insurance Category Code]],1, AN_TME23[[#All],[Advanced Network/Insurance Carrier Org ID]],Q109),2)&gt;=ROUND(SUMIFS(AN_TME23[[#All],[TOTAL Truncated Unadjusted Claims Expenses (A21 -A19)]], AN_TME23[[#All],[Insurance Category Code]],1, AN_TME23[[#All],[Advanced Network/Insurance Carrier Org ID]],Q109), 2)</f>
        <v>1</v>
      </c>
      <c r="AD109" s="295" t="b">
        <f>ROUND(SUMIFS(AN_TME23[[#All],[TOTAL Truncated Unadjusted Claims Expenses (A21 -A19)]], AN_TME23[[#All],[Insurance Category Code]],1, AN_TME23[[#All],[Advanced Network/Insurance Carrier Org ID]],Q109)+SUMIFS(AN_TME23[[#All],[Total Claims Excluded because of Truncation]], AN_TME23[[#All],[Insurance Category Code]],1, AN_TME23[[#All],[Advanced Network/Insurance Carrier Org ID]],Q109), 2)=ROUND(SUMIFS(AN_TME23[[#All],[TOTAL Non-Truncated Unadjusted Claims Expenses]], AN_TME23[[#All],[Insurance Category Code]],1, AN_TME23[[#All],[Advanced Network/Insurance Carrier Org ID]],Q109), 2)</f>
        <v>1</v>
      </c>
      <c r="AF109" s="323" t="str">
        <f t="shared" si="8"/>
        <v>NA</v>
      </c>
    </row>
    <row r="110" spans="2:32" outlineLevel="1" x14ac:dyDescent="0.25">
      <c r="B110" s="236">
        <v>127</v>
      </c>
      <c r="C110" s="463">
        <f>ROUND(SUMIFS(Age_Sex22[[#All],[Total Member Months by Age/Sex Band]], Age_Sex22[[#All],[Advanced Network ID]], $B110, Age_Sex22[[#All],[Insurance Category Code]],1), 2)</f>
        <v>0</v>
      </c>
      <c r="D110" s="268">
        <f>ROUND(SUMIFS(Age_Sex22[[#All],[Total Dollars Excluded from Spending After Applying Truncation at the Member Level]], Age_Sex22[[#All],[Advanced Network ID]], $B110, Age_Sex22[[#All],[Insurance Category Code]],1), 2)</f>
        <v>0</v>
      </c>
      <c r="E110" s="229">
        <f>ROUND(SUMIFS(Age_Sex22[[#All],[Count of Members whose Spending was Truncated]], Age_Sex22[[#All],[Advanced Network ID]], $B110, Age_Sex22[[#All],[Insurance Category Code]],1),2)</f>
        <v>0</v>
      </c>
      <c r="F110" s="230">
        <f>ROUND(SUMIFS(Age_Sex22[[#All],[Total Spending before Truncation is Applied]], Age_Sex22[[#All],[Advanced Network ID]], $B110, Age_Sex22[[#All],[Insurance Category Code]],1), 2)</f>
        <v>0</v>
      </c>
      <c r="G110" s="232">
        <f>ROUND(SUMIFS(Age_Sex22[[#All],[Total Spending After Applying Truncation at the Member Level]], Age_Sex22[[#All],[Advanced Network ID]], $B110, Age_Sex22[[#All],[Insurance Category Code]],1), 2)</f>
        <v>0</v>
      </c>
      <c r="H110" s="416" t="str">
        <f>IF(C110=ROUND(SUMIFS(AN_TME22[[#All],[Member Months]], AN_TME22[[#All],[Insurance Category Code]],1, AN_TME22[[#All],[Advanced Network/Insurance Carrier Org ID]],B110),2), "TRUE", ROUND(C110-SUMIFS(AN_TME22[[#All],[Member Months]], AN_TME22[[#All],[Insurance Category Code]],1, AN_TME22[[#All],[Advanced Network/Insurance Carrier Org ID]],B110),2))</f>
        <v>TRUE</v>
      </c>
      <c r="I110" s="280" t="str">
        <f>IF(D110=ROUND(SUMIFS(AN_TME22[[#All],[Total Claims Excluded because of Truncation]], AN_TME22[[#All],[Insurance Category Code]],1, AN_TME22[[#All],[Advanced Network/Insurance Carrier Org ID]],B110),2), "TRUE", ROUND(D110-SUMIFS(AN_TME22[[#All],[Total Claims Excluded because of Truncation]], AN_TME22[[#All],[Insurance Category Code]],1, AN_TME22[[#All],[Advanced Network/Insurance Carrier Org ID]],B110),2))</f>
        <v>TRUE</v>
      </c>
      <c r="J110" s="281" t="str">
        <f>IF(E110=ROUND(SUMIFS(AN_TME22[[#All],[Count of Members with Claims Truncated]], AN_TME22[[#All],[Insurance Category Code]],1, AN_TME22[[#All],[Advanced Network/Insurance Carrier Org ID]],B110),2), "TRUE", ROUND(E110-SUMIFS(AN_TME22[[#All],[Count of Members with Claims Truncated]], AN_TME22[[#All],[Insurance Category Code]],1, AN_TME22[[#All],[Advanced Network/Insurance Carrier Org ID]],B110),2))</f>
        <v>TRUE</v>
      </c>
      <c r="K110" s="282" t="str">
        <f>IF(F110=ROUND(SUMIFS(AN_TME22[[#All],[TOTAL Non-Truncated Unadjusted Claims Expenses]], AN_TME22[[#All],[Insurance Category Code]],1, AN_TME22[[#All],[Advanced Network/Insurance Carrier Org ID]],B110),2), "TRUE", ROUND(F110-SUMIFS(AN_TME22[[#All],[TOTAL Non-Truncated Unadjusted Claims Expenses]], AN_TME22[[#All],[Insurance Category Code]],1, AN_TME22[[#All],[Advanced Network/Insurance Carrier Org ID]],B110),2))</f>
        <v>TRUE</v>
      </c>
      <c r="L110" s="295" t="str">
        <f>IF(G110=ROUND(SUMIFS(AN_TME22[[#All],[TOTAL Truncated Unadjusted Claims Expenses (A21 -A19)]], AN_TME22[[#All],[Insurance Category Code]],1, AN_TME22[[#All],[Advanced Network/Insurance Carrier Org ID]],B110),2), "TRUE", ROUND(G110-SUMIFS(AN_TME22[[#All],[TOTAL Truncated Unadjusted Claims Expenses (A21 -A19)]], AN_TME22[[#All],[Insurance Category Code]],1, AN_TME22[[#All],[Advanced Network/Insurance Carrier Org ID]],B110),2))</f>
        <v>TRUE</v>
      </c>
      <c r="M110" s="461" t="str">
        <f t="shared" si="7"/>
        <v>TRUE</v>
      </c>
      <c r="N110" s="282" t="b">
        <f>ROUND(SUMIFS(AN_TME22[[#All],[TOTAL Non-Truncated Unadjusted Claims Expenses]], AN_TME22[[#All],[Insurance Category Code]],1, AN_TME22[[#All],[Advanced Network/Insurance Carrier Org ID]],B110), 2)&gt;=ROUND(SUMIFS(AN_TME22[[#All],[TOTAL Truncated Unadjusted Claims Expenses (A21 -A19)]], AN_TME22[[#All],[Insurance Category Code]],1, AN_TME22[[#All],[Advanced Network/Insurance Carrier Org ID]],B110),2)</f>
        <v>1</v>
      </c>
      <c r="O110" s="295" t="b">
        <f>ROUND(SUMIFS(AN_TME22[[#All],[TOTAL Truncated Unadjusted Claims Expenses (A21 -A19)]], AN_TME22[[#All],[Insurance Category Code]],1, AN_TME22[[#All],[Advanced Network/Insurance Carrier Org ID]],B110)+SUMIFS(AN_TME22[[#All],[Total Claims Excluded because of Truncation]], AN_TME22[[#All],[Insurance Category Code]],1, AN_TME22[[#All],[Advanced Network/Insurance Carrier Org ID]],B110),2)=ROUND(SUMIFS(AN_TME22[[#All],[TOTAL Non-Truncated Unadjusted Claims Expenses]], AN_TME22[[#All],[Insurance Category Code]],1, AN_TME22[[#All],[Advanced Network/Insurance Carrier Org ID]],B110), 2)</f>
        <v>1</v>
      </c>
      <c r="Q110" s="236">
        <v>127</v>
      </c>
      <c r="R110" s="463">
        <f>ROUND(SUMIFS(Age_Sex23[[#All],[Total Member Months by Age/Sex Band]], Age_Sex23[[#All],[Advanced Network ID]], $Q110, Age_Sex23[[#All],[Insurance Category Code]],1), 2)</f>
        <v>0</v>
      </c>
      <c r="S110" s="268">
        <f>ROUND(SUMIFS(Age_Sex23[[#All],[Total Dollars Excluded from Spending After Applying Truncation at the Member Level]], Age_Sex23[[#All],[Advanced Network ID]], $B110, Age_Sex23[[#All],[Insurance Category Code]],1),2)</f>
        <v>0</v>
      </c>
      <c r="T110" s="229">
        <f>ROUND(SUMIFS(Age_Sex23[[#All],[Count of Members whose Spending was Truncated]], Age_Sex23[[#All],[Advanced Network ID]], $B110, Age_Sex23[[#All],[Insurance Category Code]],1), 2)</f>
        <v>0</v>
      </c>
      <c r="U110" s="230">
        <f>ROUND(SUMIFS(Age_Sex23[[#All],[Total Spending before Truncation is Applied]], Age_Sex23[[#All],[Advanced Network ID]], $B110, Age_Sex23[[#All],[Insurance Category Code]],1), 2)</f>
        <v>0</v>
      </c>
      <c r="V110" s="232">
        <f>ROUND(SUMIFS(Age_Sex23[[#All],[Total Spending After Applying Truncation at the Member Level]], Age_Sex23[[#All],[Advanced Network ID]], $B110, Age_Sex23[[#All],[Insurance Category Code]],1),2)</f>
        <v>0</v>
      </c>
      <c r="W110" s="416" t="str">
        <f>IF(R110=ROUND(SUMIFS(AN_TME23[[#All],[Member Months]], AN_TME23[[#All],[Insurance Category Code]],1, AN_TME23[[#All],[Advanced Network/Insurance Carrier Org ID]],Q110),2), "TRUE", ROUND(R110-SUMIFS(AN_TME23[[#All],[Member Months]], AN_TME23[[#All],[Insurance Category Code]],1, AN_TME23[[#All],[Advanced Network/Insurance Carrier Org ID]],Q110),2))</f>
        <v>TRUE</v>
      </c>
      <c r="X110" s="280" t="str">
        <f>IF(S110=ROUND(SUMIFS(AN_TME23[[#All],[Total Claims Excluded because of Truncation]], AN_TME23[[#All],[Insurance Category Code]],1, AN_TME23[[#All],[Advanced Network/Insurance Carrier Org ID]],Q110),2), "TRUE", ROUND(S110-SUMIFS(AN_TME23[[#All],[Total Claims Excluded because of Truncation]], AN_TME23[[#All],[Insurance Category Code]],1, AN_TME23[[#All],[Advanced Network/Insurance Carrier Org ID]],Q110),2))</f>
        <v>TRUE</v>
      </c>
      <c r="Y110" s="281" t="str">
        <f>IF(T110=ROUND(SUMIFS(AN_TME23[[#All],[Count of Members with Claims Truncated]], AN_TME23[[#All],[Insurance Category Code]],1, AN_TME23[[#All],[Advanced Network/Insurance Carrier Org ID]],Q110),2), "TRUE", ROUND(T110-SUMIFS(AN_TME23[[#All],[Count of Members with Claims Truncated]], AN_TME23[[#All],[Insurance Category Code]],1, AN_TME23[[#All],[Advanced Network/Insurance Carrier Org ID]],Q110),2))</f>
        <v>TRUE</v>
      </c>
      <c r="Z110" s="282" t="str">
        <f>IF(U110=ROUND(SUMIFS(AN_TME23[[#All],[TOTAL Non-Truncated Unadjusted Claims Expenses]], AN_TME23[[#All],[Insurance Category Code]],1, AN_TME23[[#All],[Advanced Network/Insurance Carrier Org ID]],Q110),2), "TRUE", ROUND(U110-SUMIFS(AN_TME23[[#All],[TOTAL Non-Truncated Unadjusted Claims Expenses]], AN_TME23[[#All],[Insurance Category Code]],1, AN_TME23[[#All],[Advanced Network/Insurance Carrier Org ID]],Q110),2))</f>
        <v>TRUE</v>
      </c>
      <c r="AA110" s="295" t="str">
        <f>IF(V110=ROUND(SUMIFS(AN_TME23[[#All],[TOTAL Truncated Unadjusted Claims Expenses (A21 -A19)]], AN_TME23[[#All],[Insurance Category Code]],1, AN_TME23[[#All],[Advanced Network/Insurance Carrier Org ID]],Q110),2), "TRUE", ROUND(V110-SUMIFS(AN_TME23[[#All],[TOTAL Truncated Unadjusted Claims Expenses (A21 -A19)]], AN_TME23[[#All],[Insurance Category Code]],1, AN_TME23[[#All],[Advanced Network/Insurance Carrier Org ID]],Q110),2))</f>
        <v>TRUE</v>
      </c>
      <c r="AB110" s="461" t="str">
        <f t="shared" si="9"/>
        <v>TRUE</v>
      </c>
      <c r="AC110" s="282" t="b">
        <f>ROUND(SUMIFS(AN_TME23[[#All],[TOTAL Non-Truncated Unadjusted Claims Expenses]], AN_TME23[[#All],[Insurance Category Code]],1, AN_TME23[[#All],[Advanced Network/Insurance Carrier Org ID]],Q110),2)&gt;=ROUND(SUMIFS(AN_TME23[[#All],[TOTAL Truncated Unadjusted Claims Expenses (A21 -A19)]], AN_TME23[[#All],[Insurance Category Code]],1, AN_TME23[[#All],[Advanced Network/Insurance Carrier Org ID]],Q110), 2)</f>
        <v>1</v>
      </c>
      <c r="AD110" s="295" t="b">
        <f>ROUND(SUMIFS(AN_TME23[[#All],[TOTAL Truncated Unadjusted Claims Expenses (A21 -A19)]], AN_TME23[[#All],[Insurance Category Code]],1, AN_TME23[[#All],[Advanced Network/Insurance Carrier Org ID]],Q110)+SUMIFS(AN_TME23[[#All],[Total Claims Excluded because of Truncation]], AN_TME23[[#All],[Insurance Category Code]],1, AN_TME23[[#All],[Advanced Network/Insurance Carrier Org ID]],Q110), 2)=ROUND(SUMIFS(AN_TME23[[#All],[TOTAL Non-Truncated Unadjusted Claims Expenses]], AN_TME23[[#All],[Insurance Category Code]],1, AN_TME23[[#All],[Advanced Network/Insurance Carrier Org ID]],Q110), 2)</f>
        <v>1</v>
      </c>
      <c r="AF110" s="323" t="str">
        <f t="shared" si="8"/>
        <v>NA</v>
      </c>
    </row>
    <row r="111" spans="2:32" outlineLevel="1" x14ac:dyDescent="0.25">
      <c r="B111" s="236">
        <v>128</v>
      </c>
      <c r="C111" s="463">
        <f>ROUND(SUMIFS(Age_Sex22[[#All],[Total Member Months by Age/Sex Band]], Age_Sex22[[#All],[Advanced Network ID]], $B111, Age_Sex22[[#All],[Insurance Category Code]],1), 2)</f>
        <v>0</v>
      </c>
      <c r="D111" s="268">
        <f>ROUND(SUMIFS(Age_Sex22[[#All],[Total Dollars Excluded from Spending After Applying Truncation at the Member Level]], Age_Sex22[[#All],[Advanced Network ID]], $B111, Age_Sex22[[#All],[Insurance Category Code]],1), 2)</f>
        <v>0</v>
      </c>
      <c r="E111" s="229">
        <f>ROUND(SUMIFS(Age_Sex22[[#All],[Count of Members whose Spending was Truncated]], Age_Sex22[[#All],[Advanced Network ID]], $B111, Age_Sex22[[#All],[Insurance Category Code]],1),2)</f>
        <v>0</v>
      </c>
      <c r="F111" s="230">
        <f>ROUND(SUMIFS(Age_Sex22[[#All],[Total Spending before Truncation is Applied]], Age_Sex22[[#All],[Advanced Network ID]], $B111, Age_Sex22[[#All],[Insurance Category Code]],1), 2)</f>
        <v>0</v>
      </c>
      <c r="G111" s="232">
        <f>ROUND(SUMIFS(Age_Sex22[[#All],[Total Spending After Applying Truncation at the Member Level]], Age_Sex22[[#All],[Advanced Network ID]], $B111, Age_Sex22[[#All],[Insurance Category Code]],1), 2)</f>
        <v>0</v>
      </c>
      <c r="H111" s="416" t="str">
        <f>IF(C111=ROUND(SUMIFS(AN_TME22[[#All],[Member Months]], AN_TME22[[#All],[Insurance Category Code]],1, AN_TME22[[#All],[Advanced Network/Insurance Carrier Org ID]],B111),2), "TRUE", ROUND(C111-SUMIFS(AN_TME22[[#All],[Member Months]], AN_TME22[[#All],[Insurance Category Code]],1, AN_TME22[[#All],[Advanced Network/Insurance Carrier Org ID]],B111),2))</f>
        <v>TRUE</v>
      </c>
      <c r="I111" s="280" t="str">
        <f>IF(D111=ROUND(SUMIFS(AN_TME22[[#All],[Total Claims Excluded because of Truncation]], AN_TME22[[#All],[Insurance Category Code]],1, AN_TME22[[#All],[Advanced Network/Insurance Carrier Org ID]],B111),2), "TRUE", ROUND(D111-SUMIFS(AN_TME22[[#All],[Total Claims Excluded because of Truncation]], AN_TME22[[#All],[Insurance Category Code]],1, AN_TME22[[#All],[Advanced Network/Insurance Carrier Org ID]],B111),2))</f>
        <v>TRUE</v>
      </c>
      <c r="J111" s="281" t="str">
        <f>IF(E111=ROUND(SUMIFS(AN_TME22[[#All],[Count of Members with Claims Truncated]], AN_TME22[[#All],[Insurance Category Code]],1, AN_TME22[[#All],[Advanced Network/Insurance Carrier Org ID]],B111),2), "TRUE", ROUND(E111-SUMIFS(AN_TME22[[#All],[Count of Members with Claims Truncated]], AN_TME22[[#All],[Insurance Category Code]],1, AN_TME22[[#All],[Advanced Network/Insurance Carrier Org ID]],B111),2))</f>
        <v>TRUE</v>
      </c>
      <c r="K111" s="282" t="str">
        <f>IF(F111=ROUND(SUMIFS(AN_TME22[[#All],[TOTAL Non-Truncated Unadjusted Claims Expenses]], AN_TME22[[#All],[Insurance Category Code]],1, AN_TME22[[#All],[Advanced Network/Insurance Carrier Org ID]],B111),2), "TRUE", ROUND(F111-SUMIFS(AN_TME22[[#All],[TOTAL Non-Truncated Unadjusted Claims Expenses]], AN_TME22[[#All],[Insurance Category Code]],1, AN_TME22[[#All],[Advanced Network/Insurance Carrier Org ID]],B111),2))</f>
        <v>TRUE</v>
      </c>
      <c r="L111" s="295" t="str">
        <f>IF(G111=ROUND(SUMIFS(AN_TME22[[#All],[TOTAL Truncated Unadjusted Claims Expenses (A21 -A19)]], AN_TME22[[#All],[Insurance Category Code]],1, AN_TME22[[#All],[Advanced Network/Insurance Carrier Org ID]],B111),2), "TRUE", ROUND(G111-SUMIFS(AN_TME22[[#All],[TOTAL Truncated Unadjusted Claims Expenses (A21 -A19)]], AN_TME22[[#All],[Insurance Category Code]],1, AN_TME22[[#All],[Advanced Network/Insurance Carrier Org ID]],B111),2))</f>
        <v>TRUE</v>
      </c>
      <c r="M111" s="461" t="str">
        <f t="shared" si="7"/>
        <v>TRUE</v>
      </c>
      <c r="N111" s="282" t="b">
        <f>ROUND(SUMIFS(AN_TME22[[#All],[TOTAL Non-Truncated Unadjusted Claims Expenses]], AN_TME22[[#All],[Insurance Category Code]],1, AN_TME22[[#All],[Advanced Network/Insurance Carrier Org ID]],B111), 2)&gt;=ROUND(SUMIFS(AN_TME22[[#All],[TOTAL Truncated Unadjusted Claims Expenses (A21 -A19)]], AN_TME22[[#All],[Insurance Category Code]],1, AN_TME22[[#All],[Advanced Network/Insurance Carrier Org ID]],B111),2)</f>
        <v>1</v>
      </c>
      <c r="O111" s="295" t="b">
        <f>ROUND(SUMIFS(AN_TME22[[#All],[TOTAL Truncated Unadjusted Claims Expenses (A21 -A19)]], AN_TME22[[#All],[Insurance Category Code]],1, AN_TME22[[#All],[Advanced Network/Insurance Carrier Org ID]],B111)+SUMIFS(AN_TME22[[#All],[Total Claims Excluded because of Truncation]], AN_TME22[[#All],[Insurance Category Code]],1, AN_TME22[[#All],[Advanced Network/Insurance Carrier Org ID]],B111),2)=ROUND(SUMIFS(AN_TME22[[#All],[TOTAL Non-Truncated Unadjusted Claims Expenses]], AN_TME22[[#All],[Insurance Category Code]],1, AN_TME22[[#All],[Advanced Network/Insurance Carrier Org ID]],B111), 2)</f>
        <v>1</v>
      </c>
      <c r="Q111" s="236">
        <v>128</v>
      </c>
      <c r="R111" s="463">
        <f>ROUND(SUMIFS(Age_Sex23[[#All],[Total Member Months by Age/Sex Band]], Age_Sex23[[#All],[Advanced Network ID]], $Q111, Age_Sex23[[#All],[Insurance Category Code]],1), 2)</f>
        <v>0</v>
      </c>
      <c r="S111" s="268">
        <f>ROUND(SUMIFS(Age_Sex23[[#All],[Total Dollars Excluded from Spending After Applying Truncation at the Member Level]], Age_Sex23[[#All],[Advanced Network ID]], $B111, Age_Sex23[[#All],[Insurance Category Code]],1),2)</f>
        <v>0</v>
      </c>
      <c r="T111" s="229">
        <f>ROUND(SUMIFS(Age_Sex23[[#All],[Count of Members whose Spending was Truncated]], Age_Sex23[[#All],[Advanced Network ID]], $B111, Age_Sex23[[#All],[Insurance Category Code]],1), 2)</f>
        <v>0</v>
      </c>
      <c r="U111" s="230">
        <f>ROUND(SUMIFS(Age_Sex23[[#All],[Total Spending before Truncation is Applied]], Age_Sex23[[#All],[Advanced Network ID]], $B111, Age_Sex23[[#All],[Insurance Category Code]],1), 2)</f>
        <v>0</v>
      </c>
      <c r="V111" s="232">
        <f>ROUND(SUMIFS(Age_Sex23[[#All],[Total Spending After Applying Truncation at the Member Level]], Age_Sex23[[#All],[Advanced Network ID]], $B111, Age_Sex23[[#All],[Insurance Category Code]],1),2)</f>
        <v>0</v>
      </c>
      <c r="W111" s="416" t="str">
        <f>IF(R111=ROUND(SUMIFS(AN_TME23[[#All],[Member Months]], AN_TME23[[#All],[Insurance Category Code]],1, AN_TME23[[#All],[Advanced Network/Insurance Carrier Org ID]],Q111),2), "TRUE", ROUND(R111-SUMIFS(AN_TME23[[#All],[Member Months]], AN_TME23[[#All],[Insurance Category Code]],1, AN_TME23[[#All],[Advanced Network/Insurance Carrier Org ID]],Q111),2))</f>
        <v>TRUE</v>
      </c>
      <c r="X111" s="280" t="str">
        <f>IF(S111=ROUND(SUMIFS(AN_TME23[[#All],[Total Claims Excluded because of Truncation]], AN_TME23[[#All],[Insurance Category Code]],1, AN_TME23[[#All],[Advanced Network/Insurance Carrier Org ID]],Q111),2), "TRUE", ROUND(S111-SUMIFS(AN_TME23[[#All],[Total Claims Excluded because of Truncation]], AN_TME23[[#All],[Insurance Category Code]],1, AN_TME23[[#All],[Advanced Network/Insurance Carrier Org ID]],Q111),2))</f>
        <v>TRUE</v>
      </c>
      <c r="Y111" s="281" t="str">
        <f>IF(T111=ROUND(SUMIFS(AN_TME23[[#All],[Count of Members with Claims Truncated]], AN_TME23[[#All],[Insurance Category Code]],1, AN_TME23[[#All],[Advanced Network/Insurance Carrier Org ID]],Q111),2), "TRUE", ROUND(T111-SUMIFS(AN_TME23[[#All],[Count of Members with Claims Truncated]], AN_TME23[[#All],[Insurance Category Code]],1, AN_TME23[[#All],[Advanced Network/Insurance Carrier Org ID]],Q111),2))</f>
        <v>TRUE</v>
      </c>
      <c r="Z111" s="282" t="str">
        <f>IF(U111=ROUND(SUMIFS(AN_TME23[[#All],[TOTAL Non-Truncated Unadjusted Claims Expenses]], AN_TME23[[#All],[Insurance Category Code]],1, AN_TME23[[#All],[Advanced Network/Insurance Carrier Org ID]],Q111),2), "TRUE", ROUND(U111-SUMIFS(AN_TME23[[#All],[TOTAL Non-Truncated Unadjusted Claims Expenses]], AN_TME23[[#All],[Insurance Category Code]],1, AN_TME23[[#All],[Advanced Network/Insurance Carrier Org ID]],Q111),2))</f>
        <v>TRUE</v>
      </c>
      <c r="AA111" s="295" t="str">
        <f>IF(V111=ROUND(SUMIFS(AN_TME23[[#All],[TOTAL Truncated Unadjusted Claims Expenses (A21 -A19)]], AN_TME23[[#All],[Insurance Category Code]],1, AN_TME23[[#All],[Advanced Network/Insurance Carrier Org ID]],Q111),2), "TRUE", ROUND(V111-SUMIFS(AN_TME23[[#All],[TOTAL Truncated Unadjusted Claims Expenses (A21 -A19)]], AN_TME23[[#All],[Insurance Category Code]],1, AN_TME23[[#All],[Advanced Network/Insurance Carrier Org ID]],Q111),2))</f>
        <v>TRUE</v>
      </c>
      <c r="AB111" s="461" t="str">
        <f t="shared" si="9"/>
        <v>TRUE</v>
      </c>
      <c r="AC111" s="282" t="b">
        <f>ROUND(SUMIFS(AN_TME23[[#All],[TOTAL Non-Truncated Unadjusted Claims Expenses]], AN_TME23[[#All],[Insurance Category Code]],1, AN_TME23[[#All],[Advanced Network/Insurance Carrier Org ID]],Q111),2)&gt;=ROUND(SUMIFS(AN_TME23[[#All],[TOTAL Truncated Unadjusted Claims Expenses (A21 -A19)]], AN_TME23[[#All],[Insurance Category Code]],1, AN_TME23[[#All],[Advanced Network/Insurance Carrier Org ID]],Q111), 2)</f>
        <v>1</v>
      </c>
      <c r="AD111" s="295" t="b">
        <f>ROUND(SUMIFS(AN_TME23[[#All],[TOTAL Truncated Unadjusted Claims Expenses (A21 -A19)]], AN_TME23[[#All],[Insurance Category Code]],1, AN_TME23[[#All],[Advanced Network/Insurance Carrier Org ID]],Q111)+SUMIFS(AN_TME23[[#All],[Total Claims Excluded because of Truncation]], AN_TME23[[#All],[Insurance Category Code]],1, AN_TME23[[#All],[Advanced Network/Insurance Carrier Org ID]],Q111), 2)=ROUND(SUMIFS(AN_TME23[[#All],[TOTAL Non-Truncated Unadjusted Claims Expenses]], AN_TME23[[#All],[Insurance Category Code]],1, AN_TME23[[#All],[Advanced Network/Insurance Carrier Org ID]],Q111), 2)</f>
        <v>1</v>
      </c>
      <c r="AF111" s="323" t="str">
        <f t="shared" si="8"/>
        <v>NA</v>
      </c>
    </row>
    <row r="112" spans="2:32" outlineLevel="1" x14ac:dyDescent="0.25">
      <c r="B112" s="236">
        <v>129</v>
      </c>
      <c r="C112" s="463">
        <f>ROUND(SUMIFS(Age_Sex22[[#All],[Total Member Months by Age/Sex Band]], Age_Sex22[[#All],[Advanced Network ID]], $B112, Age_Sex22[[#All],[Insurance Category Code]],1), 2)</f>
        <v>0</v>
      </c>
      <c r="D112" s="268">
        <f>ROUND(SUMIFS(Age_Sex22[[#All],[Total Dollars Excluded from Spending After Applying Truncation at the Member Level]], Age_Sex22[[#All],[Advanced Network ID]], $B112, Age_Sex22[[#All],[Insurance Category Code]],1), 2)</f>
        <v>0</v>
      </c>
      <c r="E112" s="229">
        <f>ROUND(SUMIFS(Age_Sex22[[#All],[Count of Members whose Spending was Truncated]], Age_Sex22[[#All],[Advanced Network ID]], $B112, Age_Sex22[[#All],[Insurance Category Code]],1),2)</f>
        <v>0</v>
      </c>
      <c r="F112" s="230">
        <f>ROUND(SUMIFS(Age_Sex22[[#All],[Total Spending before Truncation is Applied]], Age_Sex22[[#All],[Advanced Network ID]], $B112, Age_Sex22[[#All],[Insurance Category Code]],1), 2)</f>
        <v>0</v>
      </c>
      <c r="G112" s="232">
        <f>ROUND(SUMIFS(Age_Sex22[[#All],[Total Spending After Applying Truncation at the Member Level]], Age_Sex22[[#All],[Advanced Network ID]], $B112, Age_Sex22[[#All],[Insurance Category Code]],1), 2)</f>
        <v>0</v>
      </c>
      <c r="H112" s="416" t="str">
        <f>IF(C112=ROUND(SUMIFS(AN_TME22[[#All],[Member Months]], AN_TME22[[#All],[Insurance Category Code]],1, AN_TME22[[#All],[Advanced Network/Insurance Carrier Org ID]],B112),2), "TRUE", ROUND(C112-SUMIFS(AN_TME22[[#All],[Member Months]], AN_TME22[[#All],[Insurance Category Code]],1, AN_TME22[[#All],[Advanced Network/Insurance Carrier Org ID]],B112),2))</f>
        <v>TRUE</v>
      </c>
      <c r="I112" s="280" t="str">
        <f>IF(D112=ROUND(SUMIFS(AN_TME22[[#All],[Total Claims Excluded because of Truncation]], AN_TME22[[#All],[Insurance Category Code]],1, AN_TME22[[#All],[Advanced Network/Insurance Carrier Org ID]],B112),2), "TRUE", ROUND(D112-SUMIFS(AN_TME22[[#All],[Total Claims Excluded because of Truncation]], AN_TME22[[#All],[Insurance Category Code]],1, AN_TME22[[#All],[Advanced Network/Insurance Carrier Org ID]],B112),2))</f>
        <v>TRUE</v>
      </c>
      <c r="J112" s="281" t="str">
        <f>IF(E112=ROUND(SUMIFS(AN_TME22[[#All],[Count of Members with Claims Truncated]], AN_TME22[[#All],[Insurance Category Code]],1, AN_TME22[[#All],[Advanced Network/Insurance Carrier Org ID]],B112),2), "TRUE", ROUND(E112-SUMIFS(AN_TME22[[#All],[Count of Members with Claims Truncated]], AN_TME22[[#All],[Insurance Category Code]],1, AN_TME22[[#All],[Advanced Network/Insurance Carrier Org ID]],B112),2))</f>
        <v>TRUE</v>
      </c>
      <c r="K112" s="282" t="str">
        <f>IF(F112=ROUND(SUMIFS(AN_TME22[[#All],[TOTAL Non-Truncated Unadjusted Claims Expenses]], AN_TME22[[#All],[Insurance Category Code]],1, AN_TME22[[#All],[Advanced Network/Insurance Carrier Org ID]],B112),2), "TRUE", ROUND(F112-SUMIFS(AN_TME22[[#All],[TOTAL Non-Truncated Unadjusted Claims Expenses]], AN_TME22[[#All],[Insurance Category Code]],1, AN_TME22[[#All],[Advanced Network/Insurance Carrier Org ID]],B112),2))</f>
        <v>TRUE</v>
      </c>
      <c r="L112" s="295" t="str">
        <f>IF(G112=ROUND(SUMIFS(AN_TME22[[#All],[TOTAL Truncated Unadjusted Claims Expenses (A21 -A19)]], AN_TME22[[#All],[Insurance Category Code]],1, AN_TME22[[#All],[Advanced Network/Insurance Carrier Org ID]],B112),2), "TRUE", ROUND(G112-SUMIFS(AN_TME22[[#All],[TOTAL Truncated Unadjusted Claims Expenses (A21 -A19)]], AN_TME22[[#All],[Insurance Category Code]],1, AN_TME22[[#All],[Advanced Network/Insurance Carrier Org ID]],B112),2))</f>
        <v>TRUE</v>
      </c>
      <c r="M112" s="461" t="str">
        <f t="shared" si="7"/>
        <v>TRUE</v>
      </c>
      <c r="N112" s="282" t="b">
        <f>ROUND(SUMIFS(AN_TME22[[#All],[TOTAL Non-Truncated Unadjusted Claims Expenses]], AN_TME22[[#All],[Insurance Category Code]],1, AN_TME22[[#All],[Advanced Network/Insurance Carrier Org ID]],B112), 2)&gt;=ROUND(SUMIFS(AN_TME22[[#All],[TOTAL Truncated Unadjusted Claims Expenses (A21 -A19)]], AN_TME22[[#All],[Insurance Category Code]],1, AN_TME22[[#All],[Advanced Network/Insurance Carrier Org ID]],B112),2)</f>
        <v>1</v>
      </c>
      <c r="O112" s="295" t="b">
        <f>ROUND(SUMIFS(AN_TME22[[#All],[TOTAL Truncated Unadjusted Claims Expenses (A21 -A19)]], AN_TME22[[#All],[Insurance Category Code]],1, AN_TME22[[#All],[Advanced Network/Insurance Carrier Org ID]],B112)+SUMIFS(AN_TME22[[#All],[Total Claims Excluded because of Truncation]], AN_TME22[[#All],[Insurance Category Code]],1, AN_TME22[[#All],[Advanced Network/Insurance Carrier Org ID]],B112),2)=ROUND(SUMIFS(AN_TME22[[#All],[TOTAL Non-Truncated Unadjusted Claims Expenses]], AN_TME22[[#All],[Insurance Category Code]],1, AN_TME22[[#All],[Advanced Network/Insurance Carrier Org ID]],B112), 2)</f>
        <v>1</v>
      </c>
      <c r="Q112" s="236">
        <v>129</v>
      </c>
      <c r="R112" s="463">
        <f>ROUND(SUMIFS(Age_Sex23[[#All],[Total Member Months by Age/Sex Band]], Age_Sex23[[#All],[Advanced Network ID]], $Q112, Age_Sex23[[#All],[Insurance Category Code]],1), 2)</f>
        <v>0</v>
      </c>
      <c r="S112" s="268">
        <f>ROUND(SUMIFS(Age_Sex23[[#All],[Total Dollars Excluded from Spending After Applying Truncation at the Member Level]], Age_Sex23[[#All],[Advanced Network ID]], $B112, Age_Sex23[[#All],[Insurance Category Code]],1),2)</f>
        <v>0</v>
      </c>
      <c r="T112" s="229">
        <f>ROUND(SUMIFS(Age_Sex23[[#All],[Count of Members whose Spending was Truncated]], Age_Sex23[[#All],[Advanced Network ID]], $B112, Age_Sex23[[#All],[Insurance Category Code]],1), 2)</f>
        <v>0</v>
      </c>
      <c r="U112" s="230">
        <f>ROUND(SUMIFS(Age_Sex23[[#All],[Total Spending before Truncation is Applied]], Age_Sex23[[#All],[Advanced Network ID]], $B112, Age_Sex23[[#All],[Insurance Category Code]],1), 2)</f>
        <v>0</v>
      </c>
      <c r="V112" s="232">
        <f>ROUND(SUMIFS(Age_Sex23[[#All],[Total Spending After Applying Truncation at the Member Level]], Age_Sex23[[#All],[Advanced Network ID]], $B112, Age_Sex23[[#All],[Insurance Category Code]],1),2)</f>
        <v>0</v>
      </c>
      <c r="W112" s="416" t="str">
        <f>IF(R112=ROUND(SUMIFS(AN_TME23[[#All],[Member Months]], AN_TME23[[#All],[Insurance Category Code]],1, AN_TME23[[#All],[Advanced Network/Insurance Carrier Org ID]],Q112),2), "TRUE", ROUND(R112-SUMIFS(AN_TME23[[#All],[Member Months]], AN_TME23[[#All],[Insurance Category Code]],1, AN_TME23[[#All],[Advanced Network/Insurance Carrier Org ID]],Q112),2))</f>
        <v>TRUE</v>
      </c>
      <c r="X112" s="280" t="str">
        <f>IF(S112=ROUND(SUMIFS(AN_TME23[[#All],[Total Claims Excluded because of Truncation]], AN_TME23[[#All],[Insurance Category Code]],1, AN_TME23[[#All],[Advanced Network/Insurance Carrier Org ID]],Q112),2), "TRUE", ROUND(S112-SUMIFS(AN_TME23[[#All],[Total Claims Excluded because of Truncation]], AN_TME23[[#All],[Insurance Category Code]],1, AN_TME23[[#All],[Advanced Network/Insurance Carrier Org ID]],Q112),2))</f>
        <v>TRUE</v>
      </c>
      <c r="Y112" s="281" t="str">
        <f>IF(T112=ROUND(SUMIFS(AN_TME23[[#All],[Count of Members with Claims Truncated]], AN_TME23[[#All],[Insurance Category Code]],1, AN_TME23[[#All],[Advanced Network/Insurance Carrier Org ID]],Q112),2), "TRUE", ROUND(T112-SUMIFS(AN_TME23[[#All],[Count of Members with Claims Truncated]], AN_TME23[[#All],[Insurance Category Code]],1, AN_TME23[[#All],[Advanced Network/Insurance Carrier Org ID]],Q112),2))</f>
        <v>TRUE</v>
      </c>
      <c r="Z112" s="282" t="str">
        <f>IF(U112=ROUND(SUMIFS(AN_TME23[[#All],[TOTAL Non-Truncated Unadjusted Claims Expenses]], AN_TME23[[#All],[Insurance Category Code]],1, AN_TME23[[#All],[Advanced Network/Insurance Carrier Org ID]],Q112),2), "TRUE", ROUND(U112-SUMIFS(AN_TME23[[#All],[TOTAL Non-Truncated Unadjusted Claims Expenses]], AN_TME23[[#All],[Insurance Category Code]],1, AN_TME23[[#All],[Advanced Network/Insurance Carrier Org ID]],Q112),2))</f>
        <v>TRUE</v>
      </c>
      <c r="AA112" s="295" t="str">
        <f>IF(V112=ROUND(SUMIFS(AN_TME23[[#All],[TOTAL Truncated Unadjusted Claims Expenses (A21 -A19)]], AN_TME23[[#All],[Insurance Category Code]],1, AN_TME23[[#All],[Advanced Network/Insurance Carrier Org ID]],Q112),2), "TRUE", ROUND(V112-SUMIFS(AN_TME23[[#All],[TOTAL Truncated Unadjusted Claims Expenses (A21 -A19)]], AN_TME23[[#All],[Insurance Category Code]],1, AN_TME23[[#All],[Advanced Network/Insurance Carrier Org ID]],Q112),2))</f>
        <v>TRUE</v>
      </c>
      <c r="AB112" s="461" t="str">
        <f t="shared" si="9"/>
        <v>TRUE</v>
      </c>
      <c r="AC112" s="282" t="b">
        <f>ROUND(SUMIFS(AN_TME23[[#All],[TOTAL Non-Truncated Unadjusted Claims Expenses]], AN_TME23[[#All],[Insurance Category Code]],1, AN_TME23[[#All],[Advanced Network/Insurance Carrier Org ID]],Q112),2)&gt;=ROUND(SUMIFS(AN_TME23[[#All],[TOTAL Truncated Unadjusted Claims Expenses (A21 -A19)]], AN_TME23[[#All],[Insurance Category Code]],1, AN_TME23[[#All],[Advanced Network/Insurance Carrier Org ID]],Q112), 2)</f>
        <v>1</v>
      </c>
      <c r="AD112" s="295" t="b">
        <f>ROUND(SUMIFS(AN_TME23[[#All],[TOTAL Truncated Unadjusted Claims Expenses (A21 -A19)]], AN_TME23[[#All],[Insurance Category Code]],1, AN_TME23[[#All],[Advanced Network/Insurance Carrier Org ID]],Q112)+SUMIFS(AN_TME23[[#All],[Total Claims Excluded because of Truncation]], AN_TME23[[#All],[Insurance Category Code]],1, AN_TME23[[#All],[Advanced Network/Insurance Carrier Org ID]],Q112), 2)=ROUND(SUMIFS(AN_TME23[[#All],[TOTAL Non-Truncated Unadjusted Claims Expenses]], AN_TME23[[#All],[Insurance Category Code]],1, AN_TME23[[#All],[Advanced Network/Insurance Carrier Org ID]],Q112), 2)</f>
        <v>1</v>
      </c>
      <c r="AF112" s="323" t="str">
        <f t="shared" si="8"/>
        <v>NA</v>
      </c>
    </row>
    <row r="113" spans="2:32" outlineLevel="1" x14ac:dyDescent="0.25">
      <c r="B113" s="236">
        <v>130</v>
      </c>
      <c r="C113" s="463">
        <f>ROUND(SUMIFS(Age_Sex22[[#All],[Total Member Months by Age/Sex Band]], Age_Sex22[[#All],[Advanced Network ID]], $B113, Age_Sex22[[#All],[Insurance Category Code]],1), 2)</f>
        <v>0</v>
      </c>
      <c r="D113" s="268">
        <f>ROUND(SUMIFS(Age_Sex22[[#All],[Total Dollars Excluded from Spending After Applying Truncation at the Member Level]], Age_Sex22[[#All],[Advanced Network ID]], $B113, Age_Sex22[[#All],[Insurance Category Code]],1), 2)</f>
        <v>0</v>
      </c>
      <c r="E113" s="229">
        <f>ROUND(SUMIFS(Age_Sex22[[#All],[Count of Members whose Spending was Truncated]], Age_Sex22[[#All],[Advanced Network ID]], $B113, Age_Sex22[[#All],[Insurance Category Code]],1),2)</f>
        <v>0</v>
      </c>
      <c r="F113" s="230">
        <f>ROUND(SUMIFS(Age_Sex22[[#All],[Total Spending before Truncation is Applied]], Age_Sex22[[#All],[Advanced Network ID]], $B113, Age_Sex22[[#All],[Insurance Category Code]],1), 2)</f>
        <v>0</v>
      </c>
      <c r="G113" s="232">
        <f>ROUND(SUMIFS(Age_Sex22[[#All],[Total Spending After Applying Truncation at the Member Level]], Age_Sex22[[#All],[Advanced Network ID]], $B113, Age_Sex22[[#All],[Insurance Category Code]],1), 2)</f>
        <v>0</v>
      </c>
      <c r="H113" s="416" t="str">
        <f>IF(C113=ROUND(SUMIFS(AN_TME22[[#All],[Member Months]], AN_TME22[[#All],[Insurance Category Code]],1, AN_TME22[[#All],[Advanced Network/Insurance Carrier Org ID]],B113),2), "TRUE", ROUND(C113-SUMIFS(AN_TME22[[#All],[Member Months]], AN_TME22[[#All],[Insurance Category Code]],1, AN_TME22[[#All],[Advanced Network/Insurance Carrier Org ID]],B113),2))</f>
        <v>TRUE</v>
      </c>
      <c r="I113" s="280" t="str">
        <f>IF(D113=ROUND(SUMIFS(AN_TME22[[#All],[Total Claims Excluded because of Truncation]], AN_TME22[[#All],[Insurance Category Code]],1, AN_TME22[[#All],[Advanced Network/Insurance Carrier Org ID]],B113),2), "TRUE", ROUND(D113-SUMIFS(AN_TME22[[#All],[Total Claims Excluded because of Truncation]], AN_TME22[[#All],[Insurance Category Code]],1, AN_TME22[[#All],[Advanced Network/Insurance Carrier Org ID]],B113),2))</f>
        <v>TRUE</v>
      </c>
      <c r="J113" s="281" t="str">
        <f>IF(E113=ROUND(SUMIFS(AN_TME22[[#All],[Count of Members with Claims Truncated]], AN_TME22[[#All],[Insurance Category Code]],1, AN_TME22[[#All],[Advanced Network/Insurance Carrier Org ID]],B113),2), "TRUE", ROUND(E113-SUMIFS(AN_TME22[[#All],[Count of Members with Claims Truncated]], AN_TME22[[#All],[Insurance Category Code]],1, AN_TME22[[#All],[Advanced Network/Insurance Carrier Org ID]],B113),2))</f>
        <v>TRUE</v>
      </c>
      <c r="K113" s="282" t="str">
        <f>IF(F113=ROUND(SUMIFS(AN_TME22[[#All],[TOTAL Non-Truncated Unadjusted Claims Expenses]], AN_TME22[[#All],[Insurance Category Code]],1, AN_TME22[[#All],[Advanced Network/Insurance Carrier Org ID]],B113),2), "TRUE", ROUND(F113-SUMIFS(AN_TME22[[#All],[TOTAL Non-Truncated Unadjusted Claims Expenses]], AN_TME22[[#All],[Insurance Category Code]],1, AN_TME22[[#All],[Advanced Network/Insurance Carrier Org ID]],B113),2))</f>
        <v>TRUE</v>
      </c>
      <c r="L113" s="295" t="str">
        <f>IF(G113=ROUND(SUMIFS(AN_TME22[[#All],[TOTAL Truncated Unadjusted Claims Expenses (A21 -A19)]], AN_TME22[[#All],[Insurance Category Code]],1, AN_TME22[[#All],[Advanced Network/Insurance Carrier Org ID]],B113),2), "TRUE", ROUND(G113-SUMIFS(AN_TME22[[#All],[TOTAL Truncated Unadjusted Claims Expenses (A21 -A19)]], AN_TME22[[#All],[Insurance Category Code]],1, AN_TME22[[#All],[Advanced Network/Insurance Carrier Org ID]],B113),2))</f>
        <v>TRUE</v>
      </c>
      <c r="M113" s="461" t="str">
        <f t="shared" si="7"/>
        <v>TRUE</v>
      </c>
      <c r="N113" s="282" t="b">
        <f>ROUND(SUMIFS(AN_TME22[[#All],[TOTAL Non-Truncated Unadjusted Claims Expenses]], AN_TME22[[#All],[Insurance Category Code]],1, AN_TME22[[#All],[Advanced Network/Insurance Carrier Org ID]],B113), 2)&gt;=ROUND(SUMIFS(AN_TME22[[#All],[TOTAL Truncated Unadjusted Claims Expenses (A21 -A19)]], AN_TME22[[#All],[Insurance Category Code]],1, AN_TME22[[#All],[Advanced Network/Insurance Carrier Org ID]],B113),2)</f>
        <v>1</v>
      </c>
      <c r="O113" s="295" t="b">
        <f>ROUND(SUMIFS(AN_TME22[[#All],[TOTAL Truncated Unadjusted Claims Expenses (A21 -A19)]], AN_TME22[[#All],[Insurance Category Code]],1, AN_TME22[[#All],[Advanced Network/Insurance Carrier Org ID]],B113)+SUMIFS(AN_TME22[[#All],[Total Claims Excluded because of Truncation]], AN_TME22[[#All],[Insurance Category Code]],1, AN_TME22[[#All],[Advanced Network/Insurance Carrier Org ID]],B113),2)=ROUND(SUMIFS(AN_TME22[[#All],[TOTAL Non-Truncated Unadjusted Claims Expenses]], AN_TME22[[#All],[Insurance Category Code]],1, AN_TME22[[#All],[Advanced Network/Insurance Carrier Org ID]],B113), 2)</f>
        <v>1</v>
      </c>
      <c r="Q113" s="236">
        <v>130</v>
      </c>
      <c r="R113" s="463">
        <f>ROUND(SUMIFS(Age_Sex23[[#All],[Total Member Months by Age/Sex Band]], Age_Sex23[[#All],[Advanced Network ID]], $Q113, Age_Sex23[[#All],[Insurance Category Code]],1), 2)</f>
        <v>0</v>
      </c>
      <c r="S113" s="268">
        <f>ROUND(SUMIFS(Age_Sex23[[#All],[Total Dollars Excluded from Spending After Applying Truncation at the Member Level]], Age_Sex23[[#All],[Advanced Network ID]], $B113, Age_Sex23[[#All],[Insurance Category Code]],1),2)</f>
        <v>0</v>
      </c>
      <c r="T113" s="229">
        <f>ROUND(SUMIFS(Age_Sex23[[#All],[Count of Members whose Spending was Truncated]], Age_Sex23[[#All],[Advanced Network ID]], $B113, Age_Sex23[[#All],[Insurance Category Code]],1), 2)</f>
        <v>0</v>
      </c>
      <c r="U113" s="230">
        <f>ROUND(SUMIFS(Age_Sex23[[#All],[Total Spending before Truncation is Applied]], Age_Sex23[[#All],[Advanced Network ID]], $B113, Age_Sex23[[#All],[Insurance Category Code]],1), 2)</f>
        <v>0</v>
      </c>
      <c r="V113" s="232">
        <f>ROUND(SUMIFS(Age_Sex23[[#All],[Total Spending After Applying Truncation at the Member Level]], Age_Sex23[[#All],[Advanced Network ID]], $B113, Age_Sex23[[#All],[Insurance Category Code]],1),2)</f>
        <v>0</v>
      </c>
      <c r="W113" s="416" t="str">
        <f>IF(R113=ROUND(SUMIFS(AN_TME23[[#All],[Member Months]], AN_TME23[[#All],[Insurance Category Code]],1, AN_TME23[[#All],[Advanced Network/Insurance Carrier Org ID]],Q113),2), "TRUE", ROUND(R113-SUMIFS(AN_TME23[[#All],[Member Months]], AN_TME23[[#All],[Insurance Category Code]],1, AN_TME23[[#All],[Advanced Network/Insurance Carrier Org ID]],Q113),2))</f>
        <v>TRUE</v>
      </c>
      <c r="X113" s="280" t="str">
        <f>IF(S113=ROUND(SUMIFS(AN_TME23[[#All],[Total Claims Excluded because of Truncation]], AN_TME23[[#All],[Insurance Category Code]],1, AN_TME23[[#All],[Advanced Network/Insurance Carrier Org ID]],Q113),2), "TRUE", ROUND(S113-SUMIFS(AN_TME23[[#All],[Total Claims Excluded because of Truncation]], AN_TME23[[#All],[Insurance Category Code]],1, AN_TME23[[#All],[Advanced Network/Insurance Carrier Org ID]],Q113),2))</f>
        <v>TRUE</v>
      </c>
      <c r="Y113" s="281" t="str">
        <f>IF(T113=ROUND(SUMIFS(AN_TME23[[#All],[Count of Members with Claims Truncated]], AN_TME23[[#All],[Insurance Category Code]],1, AN_TME23[[#All],[Advanced Network/Insurance Carrier Org ID]],Q113),2), "TRUE", ROUND(T113-SUMIFS(AN_TME23[[#All],[Count of Members with Claims Truncated]], AN_TME23[[#All],[Insurance Category Code]],1, AN_TME23[[#All],[Advanced Network/Insurance Carrier Org ID]],Q113),2))</f>
        <v>TRUE</v>
      </c>
      <c r="Z113" s="282" t="str">
        <f>IF(U113=ROUND(SUMIFS(AN_TME23[[#All],[TOTAL Non-Truncated Unadjusted Claims Expenses]], AN_TME23[[#All],[Insurance Category Code]],1, AN_TME23[[#All],[Advanced Network/Insurance Carrier Org ID]],Q113),2), "TRUE", ROUND(U113-SUMIFS(AN_TME23[[#All],[TOTAL Non-Truncated Unadjusted Claims Expenses]], AN_TME23[[#All],[Insurance Category Code]],1, AN_TME23[[#All],[Advanced Network/Insurance Carrier Org ID]],Q113),2))</f>
        <v>TRUE</v>
      </c>
      <c r="AA113" s="295" t="str">
        <f>IF(V113=ROUND(SUMIFS(AN_TME23[[#All],[TOTAL Truncated Unadjusted Claims Expenses (A21 -A19)]], AN_TME23[[#All],[Insurance Category Code]],1, AN_TME23[[#All],[Advanced Network/Insurance Carrier Org ID]],Q113),2), "TRUE", ROUND(V113-SUMIFS(AN_TME23[[#All],[TOTAL Truncated Unadjusted Claims Expenses (A21 -A19)]], AN_TME23[[#All],[Insurance Category Code]],1, AN_TME23[[#All],[Advanced Network/Insurance Carrier Org ID]],Q113),2))</f>
        <v>TRUE</v>
      </c>
      <c r="AB113" s="461" t="str">
        <f t="shared" si="9"/>
        <v>TRUE</v>
      </c>
      <c r="AC113" s="282" t="b">
        <f>ROUND(SUMIFS(AN_TME23[[#All],[TOTAL Non-Truncated Unadjusted Claims Expenses]], AN_TME23[[#All],[Insurance Category Code]],1, AN_TME23[[#All],[Advanced Network/Insurance Carrier Org ID]],Q113),2)&gt;=ROUND(SUMIFS(AN_TME23[[#All],[TOTAL Truncated Unadjusted Claims Expenses (A21 -A19)]], AN_TME23[[#All],[Insurance Category Code]],1, AN_TME23[[#All],[Advanced Network/Insurance Carrier Org ID]],Q113), 2)</f>
        <v>1</v>
      </c>
      <c r="AD113" s="295" t="b">
        <f>ROUND(SUMIFS(AN_TME23[[#All],[TOTAL Truncated Unadjusted Claims Expenses (A21 -A19)]], AN_TME23[[#All],[Insurance Category Code]],1, AN_TME23[[#All],[Advanced Network/Insurance Carrier Org ID]],Q113)+SUMIFS(AN_TME23[[#All],[Total Claims Excluded because of Truncation]], AN_TME23[[#All],[Insurance Category Code]],1, AN_TME23[[#All],[Advanced Network/Insurance Carrier Org ID]],Q113), 2)=ROUND(SUMIFS(AN_TME23[[#All],[TOTAL Non-Truncated Unadjusted Claims Expenses]], AN_TME23[[#All],[Insurance Category Code]],1, AN_TME23[[#All],[Advanced Network/Insurance Carrier Org ID]],Q113), 2)</f>
        <v>1</v>
      </c>
      <c r="AF113" s="323" t="str">
        <f t="shared" si="8"/>
        <v>NA</v>
      </c>
    </row>
    <row r="114" spans="2:32" outlineLevel="1" x14ac:dyDescent="0.25">
      <c r="B114" s="236">
        <v>131</v>
      </c>
      <c r="C114" s="463">
        <f>ROUND(SUMIFS(Age_Sex22[[#All],[Total Member Months by Age/Sex Band]], Age_Sex22[[#All],[Advanced Network ID]], $B114, Age_Sex22[[#All],[Insurance Category Code]],1), 2)</f>
        <v>0</v>
      </c>
      <c r="D114" s="268">
        <f>ROUND(SUMIFS(Age_Sex22[[#All],[Total Dollars Excluded from Spending After Applying Truncation at the Member Level]], Age_Sex22[[#All],[Advanced Network ID]], $B114, Age_Sex22[[#All],[Insurance Category Code]],1), 2)</f>
        <v>0</v>
      </c>
      <c r="E114" s="229">
        <f>ROUND(SUMIFS(Age_Sex22[[#All],[Count of Members whose Spending was Truncated]], Age_Sex22[[#All],[Advanced Network ID]], $B114, Age_Sex22[[#All],[Insurance Category Code]],1),2)</f>
        <v>0</v>
      </c>
      <c r="F114" s="230">
        <f>ROUND(SUMIFS(Age_Sex22[[#All],[Total Spending before Truncation is Applied]], Age_Sex22[[#All],[Advanced Network ID]], $B114, Age_Sex22[[#All],[Insurance Category Code]],1), 2)</f>
        <v>0</v>
      </c>
      <c r="G114" s="232">
        <f>ROUND(SUMIFS(Age_Sex22[[#All],[Total Spending After Applying Truncation at the Member Level]], Age_Sex22[[#All],[Advanced Network ID]], $B114, Age_Sex22[[#All],[Insurance Category Code]],1), 2)</f>
        <v>0</v>
      </c>
      <c r="H114" s="416" t="str">
        <f>IF(C114=ROUND(SUMIFS(AN_TME22[[#All],[Member Months]], AN_TME22[[#All],[Insurance Category Code]],1, AN_TME22[[#All],[Advanced Network/Insurance Carrier Org ID]],B114),2), "TRUE", ROUND(C114-SUMIFS(AN_TME22[[#All],[Member Months]], AN_TME22[[#All],[Insurance Category Code]],1, AN_TME22[[#All],[Advanced Network/Insurance Carrier Org ID]],B114),2))</f>
        <v>TRUE</v>
      </c>
      <c r="I114" s="280" t="str">
        <f>IF(D114=ROUND(SUMIFS(AN_TME22[[#All],[Total Claims Excluded because of Truncation]], AN_TME22[[#All],[Insurance Category Code]],1, AN_TME22[[#All],[Advanced Network/Insurance Carrier Org ID]],B114),2), "TRUE", ROUND(D114-SUMIFS(AN_TME22[[#All],[Total Claims Excluded because of Truncation]], AN_TME22[[#All],[Insurance Category Code]],1, AN_TME22[[#All],[Advanced Network/Insurance Carrier Org ID]],B114),2))</f>
        <v>TRUE</v>
      </c>
      <c r="J114" s="281" t="str">
        <f>IF(E114=ROUND(SUMIFS(AN_TME22[[#All],[Count of Members with Claims Truncated]], AN_TME22[[#All],[Insurance Category Code]],1, AN_TME22[[#All],[Advanced Network/Insurance Carrier Org ID]],B114),2), "TRUE", ROUND(E114-SUMIFS(AN_TME22[[#All],[Count of Members with Claims Truncated]], AN_TME22[[#All],[Insurance Category Code]],1, AN_TME22[[#All],[Advanced Network/Insurance Carrier Org ID]],B114),2))</f>
        <v>TRUE</v>
      </c>
      <c r="K114" s="282" t="str">
        <f>IF(F114=ROUND(SUMIFS(AN_TME22[[#All],[TOTAL Non-Truncated Unadjusted Claims Expenses]], AN_TME22[[#All],[Insurance Category Code]],1, AN_TME22[[#All],[Advanced Network/Insurance Carrier Org ID]],B114),2), "TRUE", ROUND(F114-SUMIFS(AN_TME22[[#All],[TOTAL Non-Truncated Unadjusted Claims Expenses]], AN_TME22[[#All],[Insurance Category Code]],1, AN_TME22[[#All],[Advanced Network/Insurance Carrier Org ID]],B114),2))</f>
        <v>TRUE</v>
      </c>
      <c r="L114" s="295" t="str">
        <f>IF(G114=ROUND(SUMIFS(AN_TME22[[#All],[TOTAL Truncated Unadjusted Claims Expenses (A21 -A19)]], AN_TME22[[#All],[Insurance Category Code]],1, AN_TME22[[#All],[Advanced Network/Insurance Carrier Org ID]],B114),2), "TRUE", ROUND(G114-SUMIFS(AN_TME22[[#All],[TOTAL Truncated Unadjusted Claims Expenses (A21 -A19)]], AN_TME22[[#All],[Insurance Category Code]],1, AN_TME22[[#All],[Advanced Network/Insurance Carrier Org ID]],B114),2))</f>
        <v>TRUE</v>
      </c>
      <c r="M114" s="461" t="str">
        <f t="shared" si="7"/>
        <v>TRUE</v>
      </c>
      <c r="N114" s="282" t="b">
        <f>ROUND(SUMIFS(AN_TME22[[#All],[TOTAL Non-Truncated Unadjusted Claims Expenses]], AN_TME22[[#All],[Insurance Category Code]],1, AN_TME22[[#All],[Advanced Network/Insurance Carrier Org ID]],B114), 2)&gt;=ROUND(SUMIFS(AN_TME22[[#All],[TOTAL Truncated Unadjusted Claims Expenses (A21 -A19)]], AN_TME22[[#All],[Insurance Category Code]],1, AN_TME22[[#All],[Advanced Network/Insurance Carrier Org ID]],B114),2)</f>
        <v>1</v>
      </c>
      <c r="O114" s="295" t="b">
        <f>ROUND(SUMIFS(AN_TME22[[#All],[TOTAL Truncated Unadjusted Claims Expenses (A21 -A19)]], AN_TME22[[#All],[Insurance Category Code]],1, AN_TME22[[#All],[Advanced Network/Insurance Carrier Org ID]],B114)+SUMIFS(AN_TME22[[#All],[Total Claims Excluded because of Truncation]], AN_TME22[[#All],[Insurance Category Code]],1, AN_TME22[[#All],[Advanced Network/Insurance Carrier Org ID]],B114),2)=ROUND(SUMIFS(AN_TME22[[#All],[TOTAL Non-Truncated Unadjusted Claims Expenses]], AN_TME22[[#All],[Insurance Category Code]],1, AN_TME22[[#All],[Advanced Network/Insurance Carrier Org ID]],B114), 2)</f>
        <v>1</v>
      </c>
      <c r="Q114" s="236">
        <v>131</v>
      </c>
      <c r="R114" s="463">
        <f>ROUND(SUMIFS(Age_Sex23[[#All],[Total Member Months by Age/Sex Band]], Age_Sex23[[#All],[Advanced Network ID]], $Q114, Age_Sex23[[#All],[Insurance Category Code]],1), 2)</f>
        <v>0</v>
      </c>
      <c r="S114" s="268">
        <f>ROUND(SUMIFS(Age_Sex23[[#All],[Total Dollars Excluded from Spending After Applying Truncation at the Member Level]], Age_Sex23[[#All],[Advanced Network ID]], $B114, Age_Sex23[[#All],[Insurance Category Code]],1),2)</f>
        <v>0</v>
      </c>
      <c r="T114" s="229">
        <f>ROUND(SUMIFS(Age_Sex23[[#All],[Count of Members whose Spending was Truncated]], Age_Sex23[[#All],[Advanced Network ID]], $B114, Age_Sex23[[#All],[Insurance Category Code]],1), 2)</f>
        <v>0</v>
      </c>
      <c r="U114" s="230">
        <f>ROUND(SUMIFS(Age_Sex23[[#All],[Total Spending before Truncation is Applied]], Age_Sex23[[#All],[Advanced Network ID]], $B114, Age_Sex23[[#All],[Insurance Category Code]],1), 2)</f>
        <v>0</v>
      </c>
      <c r="V114" s="232">
        <f>ROUND(SUMIFS(Age_Sex23[[#All],[Total Spending After Applying Truncation at the Member Level]], Age_Sex23[[#All],[Advanced Network ID]], $B114, Age_Sex23[[#All],[Insurance Category Code]],1),2)</f>
        <v>0</v>
      </c>
      <c r="W114" s="416" t="str">
        <f>IF(R114=ROUND(SUMIFS(AN_TME23[[#All],[Member Months]], AN_TME23[[#All],[Insurance Category Code]],1, AN_TME23[[#All],[Advanced Network/Insurance Carrier Org ID]],Q114),2), "TRUE", ROUND(R114-SUMIFS(AN_TME23[[#All],[Member Months]], AN_TME23[[#All],[Insurance Category Code]],1, AN_TME23[[#All],[Advanced Network/Insurance Carrier Org ID]],Q114),2))</f>
        <v>TRUE</v>
      </c>
      <c r="X114" s="280" t="str">
        <f>IF(S114=ROUND(SUMIFS(AN_TME23[[#All],[Total Claims Excluded because of Truncation]], AN_TME23[[#All],[Insurance Category Code]],1, AN_TME23[[#All],[Advanced Network/Insurance Carrier Org ID]],Q114),2), "TRUE", ROUND(S114-SUMIFS(AN_TME23[[#All],[Total Claims Excluded because of Truncation]], AN_TME23[[#All],[Insurance Category Code]],1, AN_TME23[[#All],[Advanced Network/Insurance Carrier Org ID]],Q114),2))</f>
        <v>TRUE</v>
      </c>
      <c r="Y114" s="281" t="str">
        <f>IF(T114=ROUND(SUMIFS(AN_TME23[[#All],[Count of Members with Claims Truncated]], AN_TME23[[#All],[Insurance Category Code]],1, AN_TME23[[#All],[Advanced Network/Insurance Carrier Org ID]],Q114),2), "TRUE", ROUND(T114-SUMIFS(AN_TME23[[#All],[Count of Members with Claims Truncated]], AN_TME23[[#All],[Insurance Category Code]],1, AN_TME23[[#All],[Advanced Network/Insurance Carrier Org ID]],Q114),2))</f>
        <v>TRUE</v>
      </c>
      <c r="Z114" s="282" t="str">
        <f>IF(U114=ROUND(SUMIFS(AN_TME23[[#All],[TOTAL Non-Truncated Unadjusted Claims Expenses]], AN_TME23[[#All],[Insurance Category Code]],1, AN_TME23[[#All],[Advanced Network/Insurance Carrier Org ID]],Q114),2), "TRUE", ROUND(U114-SUMIFS(AN_TME23[[#All],[TOTAL Non-Truncated Unadjusted Claims Expenses]], AN_TME23[[#All],[Insurance Category Code]],1, AN_TME23[[#All],[Advanced Network/Insurance Carrier Org ID]],Q114),2))</f>
        <v>TRUE</v>
      </c>
      <c r="AA114" s="295" t="str">
        <f>IF(V114=ROUND(SUMIFS(AN_TME23[[#All],[TOTAL Truncated Unadjusted Claims Expenses (A21 -A19)]], AN_TME23[[#All],[Insurance Category Code]],1, AN_TME23[[#All],[Advanced Network/Insurance Carrier Org ID]],Q114),2), "TRUE", ROUND(V114-SUMIFS(AN_TME23[[#All],[TOTAL Truncated Unadjusted Claims Expenses (A21 -A19)]], AN_TME23[[#All],[Insurance Category Code]],1, AN_TME23[[#All],[Advanced Network/Insurance Carrier Org ID]],Q114),2))</f>
        <v>TRUE</v>
      </c>
      <c r="AB114" s="461" t="str">
        <f t="shared" si="9"/>
        <v>TRUE</v>
      </c>
      <c r="AC114" s="282" t="b">
        <f>ROUND(SUMIFS(AN_TME23[[#All],[TOTAL Non-Truncated Unadjusted Claims Expenses]], AN_TME23[[#All],[Insurance Category Code]],1, AN_TME23[[#All],[Advanced Network/Insurance Carrier Org ID]],Q114),2)&gt;=ROUND(SUMIFS(AN_TME23[[#All],[TOTAL Truncated Unadjusted Claims Expenses (A21 -A19)]], AN_TME23[[#All],[Insurance Category Code]],1, AN_TME23[[#All],[Advanced Network/Insurance Carrier Org ID]],Q114), 2)</f>
        <v>1</v>
      </c>
      <c r="AD114" s="295" t="b">
        <f>ROUND(SUMIFS(AN_TME23[[#All],[TOTAL Truncated Unadjusted Claims Expenses (A21 -A19)]], AN_TME23[[#All],[Insurance Category Code]],1, AN_TME23[[#All],[Advanced Network/Insurance Carrier Org ID]],Q114)+SUMIFS(AN_TME23[[#All],[Total Claims Excluded because of Truncation]], AN_TME23[[#All],[Insurance Category Code]],1, AN_TME23[[#All],[Advanced Network/Insurance Carrier Org ID]],Q114), 2)=ROUND(SUMIFS(AN_TME23[[#All],[TOTAL Non-Truncated Unadjusted Claims Expenses]], AN_TME23[[#All],[Insurance Category Code]],1, AN_TME23[[#All],[Advanced Network/Insurance Carrier Org ID]],Q114), 2)</f>
        <v>1</v>
      </c>
      <c r="AF114" s="323" t="str">
        <f t="shared" si="8"/>
        <v>NA</v>
      </c>
    </row>
    <row r="115" spans="2:32" ht="15.75" outlineLevel="1" thickBot="1" x14ac:dyDescent="0.3">
      <c r="B115" s="237">
        <v>999</v>
      </c>
      <c r="C115" s="463">
        <f>ROUND(SUMIFS(Age_Sex22[[#All],[Total Member Months by Age/Sex Band]], Age_Sex22[[#All],[Advanced Network ID]], $B115, Age_Sex22[[#All],[Insurance Category Code]],1), 2)</f>
        <v>0</v>
      </c>
      <c r="D115" s="268">
        <f>ROUND(SUMIFS(Age_Sex22[[#All],[Total Dollars Excluded from Spending After Applying Truncation at the Member Level]], Age_Sex22[[#All],[Advanced Network ID]], $B115, Age_Sex22[[#All],[Insurance Category Code]],1), 2)</f>
        <v>0</v>
      </c>
      <c r="E115" s="229">
        <f>ROUND(SUMIFS(Age_Sex22[[#All],[Count of Members whose Spending was Truncated]], Age_Sex22[[#All],[Advanced Network ID]], $B115, Age_Sex22[[#All],[Insurance Category Code]],1),2)</f>
        <v>0</v>
      </c>
      <c r="F115" s="230">
        <f>ROUND(SUMIFS(Age_Sex22[[#All],[Total Spending before Truncation is Applied]], Age_Sex22[[#All],[Advanced Network ID]], $B115, Age_Sex22[[#All],[Insurance Category Code]],1), 2)</f>
        <v>0</v>
      </c>
      <c r="G115" s="232">
        <f>ROUND(SUMIFS(Age_Sex22[[#All],[Total Spending After Applying Truncation at the Member Level]], Age_Sex22[[#All],[Advanced Network ID]], $B115, Age_Sex22[[#All],[Insurance Category Code]],1), 2)</f>
        <v>0</v>
      </c>
      <c r="H115" s="416" t="str">
        <f>IF(C115=ROUND(SUMIFS(AN_TME22[[#All],[Member Months]], AN_TME22[[#All],[Insurance Category Code]],1, AN_TME22[[#All],[Advanced Network/Insurance Carrier Org ID]],B115),2), "TRUE", ROUND(C115-SUMIFS(AN_TME22[[#All],[Member Months]], AN_TME22[[#All],[Insurance Category Code]],1, AN_TME22[[#All],[Advanced Network/Insurance Carrier Org ID]],B115),2))</f>
        <v>TRUE</v>
      </c>
      <c r="I115" s="280" t="str">
        <f>IF(D115=ROUND(SUMIFS(AN_TME22[[#All],[Total Claims Excluded because of Truncation]], AN_TME22[[#All],[Insurance Category Code]],1, AN_TME22[[#All],[Advanced Network/Insurance Carrier Org ID]],B115),2), "TRUE", ROUND(D115-SUMIFS(AN_TME22[[#All],[Total Claims Excluded because of Truncation]], AN_TME22[[#All],[Insurance Category Code]],1, AN_TME22[[#All],[Advanced Network/Insurance Carrier Org ID]],B115),2))</f>
        <v>TRUE</v>
      </c>
      <c r="J115" s="281" t="str">
        <f>IF(E115=ROUND(SUMIFS(AN_TME22[[#All],[Count of Members with Claims Truncated]], AN_TME22[[#All],[Insurance Category Code]],1, AN_TME22[[#All],[Advanced Network/Insurance Carrier Org ID]],B115),2), "TRUE", ROUND(E115-SUMIFS(AN_TME22[[#All],[Count of Members with Claims Truncated]], AN_TME22[[#All],[Insurance Category Code]],1, AN_TME22[[#All],[Advanced Network/Insurance Carrier Org ID]],B115),2))</f>
        <v>TRUE</v>
      </c>
      <c r="K115" s="282" t="str">
        <f>IF(F115=ROUND(SUMIFS(AN_TME22[[#All],[TOTAL Non-Truncated Unadjusted Claims Expenses]], AN_TME22[[#All],[Insurance Category Code]],1, AN_TME22[[#All],[Advanced Network/Insurance Carrier Org ID]],B115),2), "TRUE", ROUND(F115-SUMIFS(AN_TME22[[#All],[TOTAL Non-Truncated Unadjusted Claims Expenses]], AN_TME22[[#All],[Insurance Category Code]],1, AN_TME22[[#All],[Advanced Network/Insurance Carrier Org ID]],B115),2))</f>
        <v>TRUE</v>
      </c>
      <c r="L115" s="295" t="str">
        <f>IF(G115=ROUND(SUMIFS(AN_TME22[[#All],[TOTAL Truncated Unadjusted Claims Expenses (A21 -A19)]], AN_TME22[[#All],[Insurance Category Code]],1, AN_TME22[[#All],[Advanced Network/Insurance Carrier Org ID]],B115),2), "TRUE", ROUND(G115-SUMIFS(AN_TME22[[#All],[TOTAL Truncated Unadjusted Claims Expenses (A21 -A19)]], AN_TME22[[#All],[Insurance Category Code]],1, AN_TME22[[#All],[Advanced Network/Insurance Carrier Org ID]],B115),2))</f>
        <v>TRUE</v>
      </c>
      <c r="M115" s="461" t="str">
        <f t="shared" ref="M115" si="10">IF(E115=0, "TRUE",IF((C115/12)&gt;E115,"TRUE",(C115/12)-E115))</f>
        <v>TRUE</v>
      </c>
      <c r="N115" s="282" t="b">
        <f>ROUND(SUMIFS(AN_TME22[[#All],[TOTAL Non-Truncated Unadjusted Claims Expenses]], AN_TME22[[#All],[Insurance Category Code]],1, AN_TME22[[#All],[Advanced Network/Insurance Carrier Org ID]],B115), 2)&gt;=ROUND(SUMIFS(AN_TME22[[#All],[TOTAL Truncated Unadjusted Claims Expenses (A21 -A19)]], AN_TME22[[#All],[Insurance Category Code]],1, AN_TME22[[#All],[Advanced Network/Insurance Carrier Org ID]],B115),2)</f>
        <v>1</v>
      </c>
      <c r="O115" s="295" t="b">
        <f>ROUND(SUMIFS(AN_TME22[[#All],[TOTAL Truncated Unadjusted Claims Expenses (A21 -A19)]], AN_TME22[[#All],[Insurance Category Code]],1, AN_TME22[[#All],[Advanced Network/Insurance Carrier Org ID]],B115)+SUMIFS(AN_TME22[[#All],[Total Claims Excluded because of Truncation]], AN_TME22[[#All],[Insurance Category Code]],1, AN_TME22[[#All],[Advanced Network/Insurance Carrier Org ID]],B115),2)=ROUND(SUMIFS(AN_TME22[[#All],[TOTAL Non-Truncated Unadjusted Claims Expenses]], AN_TME22[[#All],[Insurance Category Code]],1, AN_TME22[[#All],[Advanced Network/Insurance Carrier Org ID]],B115), 2)</f>
        <v>1</v>
      </c>
      <c r="Q115" s="237">
        <v>999</v>
      </c>
      <c r="R115" s="463">
        <f>ROUND(SUMIFS(Age_Sex23[[#All],[Total Member Months by Age/Sex Band]], Age_Sex23[[#All],[Advanced Network ID]], $Q115, Age_Sex23[[#All],[Insurance Category Code]],1), 2)</f>
        <v>0</v>
      </c>
      <c r="S115" s="268">
        <f>ROUND(SUMIFS(Age_Sex23[[#All],[Total Dollars Excluded from Spending After Applying Truncation at the Member Level]], Age_Sex23[[#All],[Advanced Network ID]], $B115, Age_Sex23[[#All],[Insurance Category Code]],1),2)</f>
        <v>0</v>
      </c>
      <c r="T115" s="229">
        <f>ROUND(SUMIFS(Age_Sex23[[#All],[Count of Members whose Spending was Truncated]], Age_Sex23[[#All],[Advanced Network ID]], $B115, Age_Sex23[[#All],[Insurance Category Code]],1), 2)</f>
        <v>0</v>
      </c>
      <c r="U115" s="230">
        <f>ROUND(SUMIFS(Age_Sex23[[#All],[Total Spending before Truncation is Applied]], Age_Sex23[[#All],[Advanced Network ID]], $B115, Age_Sex23[[#All],[Insurance Category Code]],1), 2)</f>
        <v>0</v>
      </c>
      <c r="V115" s="232">
        <f>ROUND(SUMIFS(Age_Sex23[[#All],[Total Spending After Applying Truncation at the Member Level]], Age_Sex23[[#All],[Advanced Network ID]], $B115, Age_Sex23[[#All],[Insurance Category Code]],1),2)</f>
        <v>0</v>
      </c>
      <c r="W115" s="416" t="str">
        <f>IF(R115=ROUND(SUMIFS(AN_TME23[[#All],[Member Months]], AN_TME23[[#All],[Insurance Category Code]],1, AN_TME23[[#All],[Advanced Network/Insurance Carrier Org ID]],Q115),2), "TRUE", ROUND(R115-SUMIFS(AN_TME23[[#All],[Member Months]], AN_TME23[[#All],[Insurance Category Code]],1, AN_TME23[[#All],[Advanced Network/Insurance Carrier Org ID]],Q115),2))</f>
        <v>TRUE</v>
      </c>
      <c r="X115" s="280" t="str">
        <f>IF(S115=ROUND(SUMIFS(AN_TME23[[#All],[Total Claims Excluded because of Truncation]], AN_TME23[[#All],[Insurance Category Code]],1, AN_TME23[[#All],[Advanced Network/Insurance Carrier Org ID]],Q115),2), "TRUE", ROUND(S115-SUMIFS(AN_TME23[[#All],[Total Claims Excluded because of Truncation]], AN_TME23[[#All],[Insurance Category Code]],1, AN_TME23[[#All],[Advanced Network/Insurance Carrier Org ID]],Q115),2))</f>
        <v>TRUE</v>
      </c>
      <c r="Y115" s="281" t="str">
        <f>IF(T115=ROUND(SUMIFS(AN_TME23[[#All],[Count of Members with Claims Truncated]], AN_TME23[[#All],[Insurance Category Code]],1, AN_TME23[[#All],[Advanced Network/Insurance Carrier Org ID]],Q115),2), "TRUE", ROUND(T115-SUMIFS(AN_TME23[[#All],[Count of Members with Claims Truncated]], AN_TME23[[#All],[Insurance Category Code]],1, AN_TME23[[#All],[Advanced Network/Insurance Carrier Org ID]],Q115),2))</f>
        <v>TRUE</v>
      </c>
      <c r="Z115" s="282" t="str">
        <f>IF(U115=ROUND(SUMIFS(AN_TME23[[#All],[TOTAL Non-Truncated Unadjusted Claims Expenses]], AN_TME23[[#All],[Insurance Category Code]],1, AN_TME23[[#All],[Advanced Network/Insurance Carrier Org ID]],Q115),2), "TRUE", ROUND(U115-SUMIFS(AN_TME23[[#All],[TOTAL Non-Truncated Unadjusted Claims Expenses]], AN_TME23[[#All],[Insurance Category Code]],1, AN_TME23[[#All],[Advanced Network/Insurance Carrier Org ID]],Q115),2))</f>
        <v>TRUE</v>
      </c>
      <c r="AA115" s="295" t="str">
        <f>IF(V115=ROUND(SUMIFS(AN_TME23[[#All],[TOTAL Truncated Unadjusted Claims Expenses (A21 -A19)]], AN_TME23[[#All],[Insurance Category Code]],1, AN_TME23[[#All],[Advanced Network/Insurance Carrier Org ID]],Q115),2), "TRUE", ROUND(V115-SUMIFS(AN_TME23[[#All],[TOTAL Truncated Unadjusted Claims Expenses (A21 -A19)]], AN_TME23[[#All],[Insurance Category Code]],1, AN_TME23[[#All],[Advanced Network/Insurance Carrier Org ID]],Q115),2))</f>
        <v>TRUE</v>
      </c>
      <c r="AB115" s="461" t="str">
        <f t="shared" si="9"/>
        <v>TRUE</v>
      </c>
      <c r="AC115" s="282" t="b">
        <f>ROUND(SUMIFS(AN_TME23[[#All],[TOTAL Non-Truncated Unadjusted Claims Expenses]], AN_TME23[[#All],[Insurance Category Code]],1, AN_TME23[[#All],[Advanced Network/Insurance Carrier Org ID]],Q115),2)&gt;=ROUND(SUMIFS(AN_TME23[[#All],[TOTAL Truncated Unadjusted Claims Expenses (A21 -A19)]], AN_TME23[[#All],[Insurance Category Code]],1, AN_TME23[[#All],[Advanced Network/Insurance Carrier Org ID]],Q115), 2)</f>
        <v>1</v>
      </c>
      <c r="AD115" s="295" t="b">
        <f>ROUND(SUMIFS(AN_TME23[[#All],[TOTAL Truncated Unadjusted Claims Expenses (A21 -A19)]], AN_TME23[[#All],[Insurance Category Code]],1, AN_TME23[[#All],[Advanced Network/Insurance Carrier Org ID]],Q115)+SUMIFS(AN_TME23[[#All],[Total Claims Excluded because of Truncation]], AN_TME23[[#All],[Insurance Category Code]],1, AN_TME23[[#All],[Advanced Network/Insurance Carrier Org ID]],Q115), 2)=ROUND(SUMIFS(AN_TME23[[#All],[TOTAL Non-Truncated Unadjusted Claims Expenses]], AN_TME23[[#All],[Insurance Category Code]],1, AN_TME23[[#All],[Advanced Network/Insurance Carrier Org ID]],Q115), 2)</f>
        <v>1</v>
      </c>
      <c r="AF115" s="324" t="str">
        <f t="shared" si="8"/>
        <v>NA</v>
      </c>
    </row>
    <row r="116" spans="2:32" outlineLevel="1" x14ac:dyDescent="0.25">
      <c r="B116" s="231"/>
      <c r="C116" s="14"/>
      <c r="D116" s="117"/>
      <c r="L116" s="231"/>
      <c r="M116" s="231"/>
      <c r="N116" s="231"/>
      <c r="O116" s="231"/>
    </row>
    <row r="117" spans="2:32" outlineLevel="1" x14ac:dyDescent="0.25">
      <c r="B117" s="363" t="s">
        <v>366</v>
      </c>
      <c r="C117" s="14"/>
      <c r="D117" s="117"/>
      <c r="L117" s="231"/>
      <c r="M117" s="231"/>
      <c r="N117" s="231"/>
      <c r="O117" s="231"/>
      <c r="Q117" s="363" t="s">
        <v>366</v>
      </c>
    </row>
    <row r="118" spans="2:32" ht="19.5" outlineLevel="1" thickBot="1" x14ac:dyDescent="0.35">
      <c r="B118" s="279"/>
      <c r="C118" s="231"/>
      <c r="D118" s="14"/>
      <c r="E118" s="117"/>
      <c r="Q118" s="279"/>
      <c r="R118" s="231"/>
      <c r="S118" s="14"/>
      <c r="T118" s="117"/>
    </row>
    <row r="119" spans="2:32" ht="24" outlineLevel="1" thickBot="1" x14ac:dyDescent="0.4">
      <c r="B119" s="307" t="s">
        <v>385</v>
      </c>
      <c r="C119" s="617" t="s">
        <v>375</v>
      </c>
      <c r="D119" s="618"/>
      <c r="E119" s="618"/>
      <c r="F119" s="618"/>
      <c r="G119" s="619"/>
      <c r="H119" s="620" t="s">
        <v>376</v>
      </c>
      <c r="I119" s="621"/>
      <c r="J119" s="621"/>
      <c r="K119" s="621"/>
      <c r="L119" s="622"/>
      <c r="M119" s="614" t="s">
        <v>374</v>
      </c>
      <c r="N119" s="615"/>
      <c r="O119" s="616"/>
      <c r="Q119" s="307"/>
      <c r="R119" s="617" t="s">
        <v>441</v>
      </c>
      <c r="S119" s="618"/>
      <c r="T119" s="618"/>
      <c r="U119" s="618"/>
      <c r="V119" s="619"/>
      <c r="W119" s="620" t="s">
        <v>442</v>
      </c>
      <c r="X119" s="621"/>
      <c r="Y119" s="621"/>
      <c r="Z119" s="621"/>
      <c r="AA119" s="622"/>
      <c r="AB119" s="614" t="s">
        <v>374</v>
      </c>
      <c r="AC119" s="615"/>
      <c r="AD119" s="616"/>
    </row>
    <row r="120" spans="2:32" ht="91.5" customHeight="1" outlineLevel="1" thickBot="1" x14ac:dyDescent="0.3">
      <c r="B120" s="297" t="s">
        <v>235</v>
      </c>
      <c r="C120" s="298" t="s">
        <v>151</v>
      </c>
      <c r="D120" s="299" t="s">
        <v>236</v>
      </c>
      <c r="E120" s="299" t="s">
        <v>377</v>
      </c>
      <c r="F120" s="299" t="s">
        <v>153</v>
      </c>
      <c r="G120" s="300" t="s">
        <v>157</v>
      </c>
      <c r="H120" s="301" t="s">
        <v>211</v>
      </c>
      <c r="I120" s="302" t="s">
        <v>378</v>
      </c>
      <c r="J120" s="302" t="s">
        <v>379</v>
      </c>
      <c r="K120" s="302" t="s">
        <v>380</v>
      </c>
      <c r="L120" s="303" t="s">
        <v>381</v>
      </c>
      <c r="M120" s="304" t="s">
        <v>382</v>
      </c>
      <c r="N120" s="305" t="s">
        <v>383</v>
      </c>
      <c r="O120" s="306" t="s">
        <v>384</v>
      </c>
      <c r="Q120" s="297" t="s">
        <v>235</v>
      </c>
      <c r="R120" s="298" t="s">
        <v>151</v>
      </c>
      <c r="S120" s="299" t="s">
        <v>236</v>
      </c>
      <c r="T120" s="299" t="s">
        <v>377</v>
      </c>
      <c r="U120" s="299" t="s">
        <v>153</v>
      </c>
      <c r="V120" s="300" t="s">
        <v>157</v>
      </c>
      <c r="W120" s="301" t="s">
        <v>211</v>
      </c>
      <c r="X120" s="302" t="s">
        <v>378</v>
      </c>
      <c r="Y120" s="302" t="s">
        <v>379</v>
      </c>
      <c r="Z120" s="302" t="s">
        <v>380</v>
      </c>
      <c r="AA120" s="303" t="s">
        <v>381</v>
      </c>
      <c r="AB120" s="304" t="s">
        <v>382</v>
      </c>
      <c r="AC120" s="305" t="s">
        <v>383</v>
      </c>
      <c r="AD120" s="306" t="s">
        <v>384</v>
      </c>
      <c r="AF120" s="314" t="s">
        <v>458</v>
      </c>
    </row>
    <row r="121" spans="2:32" outlineLevel="1" x14ac:dyDescent="0.25">
      <c r="B121" s="236">
        <v>100</v>
      </c>
      <c r="C121" s="463">
        <f>ROUND(SUMIFS(Age_Sex22[[#All],[Total Member Months by Age/Sex Band]], Age_Sex22[[#All],[Advanced Network ID]], $B121, Age_Sex22[[#All],[Insurance Category Code]],2),2)</f>
        <v>0</v>
      </c>
      <c r="D121" s="268">
        <f>ROUND(SUMIFS(Age_Sex22[[#All],[Total Dollars Excluded from Spending After Applying Truncation at the Member Level]], Age_Sex22[[#All],[Advanced Network ID]], $B121, Age_Sex22[[#All],[Insurance Category Code]],2),2)</f>
        <v>0</v>
      </c>
      <c r="E121" s="229">
        <f>ROUND(SUMIFS(Age_Sex22[[#All],[Count of Members whose Spending was Truncated]], Age_Sex22[[#All],[Advanced Network ID]], $B121, Age_Sex22[[#All],[Insurance Category Code]],2),2)</f>
        <v>0</v>
      </c>
      <c r="F121" s="230">
        <f>ROUND(SUMIFS(Age_Sex22[[#All],[Total Spending before Truncation is Applied]], Age_Sex22[[#All],[Advanced Network ID]], $B121, Age_Sex22[[#All],[Insurance Category Code]],2),2)</f>
        <v>0</v>
      </c>
      <c r="G121" s="232">
        <f>ROUND(SUMIFS(Age_Sex22[[#All],[Total Spending After Applying Truncation at the Member Level]], Age_Sex22[[#All],[Advanced Network ID]], $B121, Age_Sex22[[#All],[Insurance Category Code]],2),2)</f>
        <v>0</v>
      </c>
      <c r="H121" s="416" t="str">
        <f>IF(C121=ROUND(SUMIFS(AN_TME22[[#All],[Member Months]], AN_TME22[[#All],[Insurance Category Code]],2, AN_TME22[[#All],[Advanced Network/Insurance Carrier Org ID]],B121),2), "TRUE", ROUND(C121-SUMIFS(AN_TME22[[#All],[Member Months]], AN_TME22[[#All],[Insurance Category Code]],2, AN_TME22[[#All],[Advanced Network/Insurance Carrier Org ID]],B121),2))</f>
        <v>TRUE</v>
      </c>
      <c r="I121" s="280" t="str">
        <f>IF(D121=ROUND(SUMIFS(AN_TME22[[#All],[Total Claims Excluded because of Truncation]], AN_TME22[[#All],[Insurance Category Code]],2, AN_TME22[[#All],[Advanced Network/Insurance Carrier Org ID]],B121),2), "TRUE", ROUND(D121-SUMIFS(AN_TME22[[#All],[Total Claims Excluded because of Truncation]], AN_TME22[[#All],[Insurance Category Code]],2, AN_TME22[[#All],[Advanced Network/Insurance Carrier Org ID]],B121),2))</f>
        <v>TRUE</v>
      </c>
      <c r="J121" s="281" t="str">
        <f>IF(E121=ROUND(SUMIFS(AN_TME22[[#All],[Count of Members with Claims Truncated]], AN_TME22[[#All],[Insurance Category Code]],2, AN_TME22[[#All],[Advanced Network/Insurance Carrier Org ID]],B121),2), "TRUE", ROUND(E121-SUMIFS(AN_TME22[[#All],[Count of Members with Claims Truncated]], AN_TME22[[#All],[Insurance Category Code]],2, AN_TME22[[#All],[Advanced Network/Insurance Carrier Org ID]],B121),2))</f>
        <v>TRUE</v>
      </c>
      <c r="K121" s="282" t="str">
        <f>IF(F121=ROUND(SUMIFS(AN_TME22[[#All],[TOTAL Non-Truncated Unadjusted Claims Expenses]], AN_TME22[[#All],[Insurance Category Code]],2, AN_TME22[[#All],[Advanced Network/Insurance Carrier Org ID]],B121),2), "TRUE", ROUND(F121-SUMIFS(AN_TME22[[#All],[TOTAL Non-Truncated Unadjusted Claims Expenses]], AN_TME22[[#All],[Insurance Category Code]],2, AN_TME22[[#All],[Advanced Network/Insurance Carrier Org ID]],B121),2))</f>
        <v>TRUE</v>
      </c>
      <c r="L121" s="295" t="str">
        <f>IF(G121=ROUND(SUMIFS(AN_TME22[[#All],[TOTAL Truncated Unadjusted Claims Expenses (A21 -A19)]], AN_TME22[[#All],[Insurance Category Code]],2, AN_TME22[[#All],[Advanced Network/Insurance Carrier Org ID]],B121),2), "TRUE", ROUND(G121-SUMIFS(AN_TME22[[#All],[TOTAL Truncated Unadjusted Claims Expenses (A21 -A19)]], AN_TME22[[#All],[Insurance Category Code]],2, AN_TME22[[#All],[Advanced Network/Insurance Carrier Org ID]],B121),2))</f>
        <v>TRUE</v>
      </c>
      <c r="M121" s="461" t="str">
        <f t="shared" ref="M121:M152" si="11">IF(E121=0, "TRUE",IF((C121/12)&gt;E121,"TRUE",(C121/12)-E121))</f>
        <v>TRUE</v>
      </c>
      <c r="N121" s="282" t="b">
        <f>ROUND(SUMIFS(AN_TME22[[#All],[TOTAL Non-Truncated Unadjusted Claims Expenses]], AN_TME22[[#All],[Insurance Category Code]],2, AN_TME22[[#All],[Advanced Network/Insurance Carrier Org ID]],B121),2)&gt;=ROUND(SUMIFS(AN_TME22[[#All],[TOTAL Truncated Unadjusted Claims Expenses (A21 -A19)]], AN_TME22[[#All],[Insurance Category Code]],2, AN_TME22[[#All],[Advanced Network/Insurance Carrier Org ID]],B121), 2)</f>
        <v>1</v>
      </c>
      <c r="O121" s="295" t="b">
        <f>ROUND(SUMIFS(AN_TME22[[#All],[TOTAL Truncated Unadjusted Claims Expenses (A21 -A19)]], AN_TME22[[#All],[Insurance Category Code]],2, AN_TME22[[#All],[Advanced Network/Insurance Carrier Org ID]],B121)+SUMIFS(AN_TME22[[#All],[Total Claims Excluded because of Truncation]], AN_TME22[[#All],[Insurance Category Code]],2, AN_TME22[[#All],[Advanced Network/Insurance Carrier Org ID]],B121),2)=ROUND(SUMIFS(AN_TME22[[#All],[TOTAL Non-Truncated Unadjusted Claims Expenses]], AN_TME22[[#All],[Insurance Category Code]],2, AN_TME22[[#All],[Advanced Network/Insurance Carrier Org ID]],B121), 2)</f>
        <v>1</v>
      </c>
      <c r="Q121" s="236">
        <v>100</v>
      </c>
      <c r="R121" s="463">
        <f>ROUND(SUMIFS(Age_Sex23[[#All],[Total Member Months by Age/Sex Band]], Age_Sex23[[#All],[Advanced Network ID]], $Q121, Age_Sex23[[#All],[Insurance Category Code]],2),2)</f>
        <v>0</v>
      </c>
      <c r="S121" s="268">
        <f>ROUND(SUMIFS(Age_Sex23[[#All],[Total Dollars Excluded from Spending After Applying Truncation at the Member Level]], Age_Sex23[[#All],[Advanced Network ID]], $B121, Age_Sex23[[#All],[Insurance Category Code]],2),2)</f>
        <v>0</v>
      </c>
      <c r="T121" s="229">
        <f>ROUND(SUMIFS(Age_Sex23[[#All],[Count of Members whose Spending was Truncated]], Age_Sex23[[#All],[Advanced Network ID]], $B121, Age_Sex23[[#All],[Insurance Category Code]],2),2)</f>
        <v>0</v>
      </c>
      <c r="U121" s="230">
        <f>ROUND(SUMIFS(Age_Sex23[[#All],[Total Spending before Truncation is Applied]], Age_Sex23[[#All],[Advanced Network ID]], $B121, Age_Sex23[[#All],[Insurance Category Code]],2),2)</f>
        <v>0</v>
      </c>
      <c r="V121" s="232">
        <f>ROUND(SUMIFS(Age_Sex23[[#All],[Total Spending After Applying Truncation at the Member Level]], Age_Sex23[[#All],[Advanced Network ID]], $B121, Age_Sex23[[#All],[Insurance Category Code]],2), 2)</f>
        <v>0</v>
      </c>
      <c r="W121" s="416" t="str">
        <f>IF(R121=ROUND(SUMIFS(AN_TME23[[#All],[Member Months]], AN_TME23[[#All],[Insurance Category Code]],2, AN_TME23[[#All],[Advanced Network/Insurance Carrier Org ID]],Q121),2), "TRUE", ROUND(R121-SUMIFS(AN_TME23[[#All],[Member Months]], AN_TME23[[#All],[Insurance Category Code]],2, AN_TME23[[#All],[Advanced Network/Insurance Carrier Org ID]],Q121),2))</f>
        <v>TRUE</v>
      </c>
      <c r="X121" s="280" t="str">
        <f>IF(S121=ROUND(SUMIFS(AN_TME23[[#All],[Total Claims Excluded because of Truncation]], AN_TME23[[#All],[Insurance Category Code]],2, AN_TME23[[#All],[Advanced Network/Insurance Carrier Org ID]],Q121),2), "TRUE", ROUND(S121-SUMIFS(AN_TME23[[#All],[Total Claims Excluded because of Truncation]], AN_TME23[[#All],[Insurance Category Code]],2, AN_TME23[[#All],[Advanced Network/Insurance Carrier Org ID]],Q121),2))</f>
        <v>TRUE</v>
      </c>
      <c r="Y121" s="281" t="str">
        <f>IF(T121=ROUND(SUMIFS(AN_TME23[[#All],[Count of Members with Claims Truncated]], AN_TME23[[#All],[Insurance Category Code]],2, AN_TME23[[#All],[Advanced Network/Insurance Carrier Org ID]],Q121),2), "TRUE", ROUND(T121-SUMIFS(AN_TME23[[#All],[Count of Members with Claims Truncated]], AN_TME23[[#All],[Insurance Category Code]],2, AN_TME23[[#All],[Advanced Network/Insurance Carrier Org ID]],Q121),2))</f>
        <v>TRUE</v>
      </c>
      <c r="Z121" s="282" t="str">
        <f>IF(U121=ROUND(SUMIFS(AN_TME23[[#All],[TOTAL Non-Truncated Unadjusted Claims Expenses]], AN_TME23[[#All],[Insurance Category Code]],2, AN_TME23[[#All],[Advanced Network/Insurance Carrier Org ID]],Q121),2), "TRUE", ROUND(U121-SUMIFS(AN_TME23[[#All],[TOTAL Non-Truncated Unadjusted Claims Expenses]], AN_TME23[[#All],[Insurance Category Code]],2, AN_TME23[[#All],[Advanced Network/Insurance Carrier Org ID]],Q121),2))</f>
        <v>TRUE</v>
      </c>
      <c r="AA121" s="295" t="str">
        <f>IF(V121=ROUND(SUMIFS(AN_TME23[[#All],[TOTAL Truncated Unadjusted Claims Expenses (A21 -A19)]], AN_TME23[[#All],[Insurance Category Code]],2, AN_TME23[[#All],[Advanced Network/Insurance Carrier Org ID]],Q121),2), "TRUE", ROUND(V121-SUMIFS(AN_TME23[[#All],[TOTAL Truncated Unadjusted Claims Expenses (A21 -A19)]], AN_TME23[[#All],[Insurance Category Code]],2, AN_TME23[[#All],[Advanced Network/Insurance Carrier Org ID]],Q121),2))</f>
        <v>TRUE</v>
      </c>
      <c r="AB121" s="461" t="str">
        <f>IF(T121=0, "TRUE",IF((R121/12)&gt;T121,"TRUE",ROUND((R121/12)-T121,2)))</f>
        <v>TRUE</v>
      </c>
      <c r="AC121" s="282" t="b">
        <f>ROUND(SUMIFS(AN_TME23[[#All],[TOTAL Non-Truncated Unadjusted Claims Expenses]], AN_TME23[[#All],[Insurance Category Code]],2, AN_TME23[[#All],[Advanced Network/Insurance Carrier Org ID]],Q121),2)&gt;=ROUND(SUMIFS(AN_TME23[[#All],[TOTAL Truncated Unadjusted Claims Expenses (A21 -A19)]], AN_TME23[[#All],[Insurance Category Code]],2, AN_TME23[[#All],[Advanced Network/Insurance Carrier Org ID]],Q121),2)</f>
        <v>1</v>
      </c>
      <c r="AD121" s="295" t="b">
        <f>ROUND(SUMIFS(AN_TME23[[#All],[TOTAL Truncated Unadjusted Claims Expenses (A21 -A19)]], AN_TME23[[#All],[Insurance Category Code]],2, AN_TME23[[#All],[Advanced Network/Insurance Carrier Org ID]],Q121)+SUMIFS(AN_TME23[[#All],[Total Claims Excluded because of Truncation]], AN_TME23[[#All],[Insurance Category Code]],2, AN_TME23[[#All],[Advanced Network/Insurance Carrier Org ID]],Q121), 2)=ROUND(SUMIFS(AN_TME23[[#All],[TOTAL Non-Truncated Unadjusted Claims Expenses]], AN_TME23[[#All],[Insurance Category Code]],2, AN_TME23[[#All],[Advanced Network/Insurance Carrier Org ID]],Q121),2)</f>
        <v>1</v>
      </c>
      <c r="AF121" s="322" t="str">
        <f t="shared" ref="AF121:AF153" si="12">IFERROR(R121/C121-1, "NA")</f>
        <v>NA</v>
      </c>
    </row>
    <row r="122" spans="2:32" outlineLevel="1" x14ac:dyDescent="0.25">
      <c r="B122" s="236">
        <v>101</v>
      </c>
      <c r="C122" s="463">
        <f>ROUND(SUMIFS(Age_Sex22[[#All],[Total Member Months by Age/Sex Band]], Age_Sex22[[#All],[Advanced Network ID]], $B122, Age_Sex22[[#All],[Insurance Category Code]],2),2)</f>
        <v>0</v>
      </c>
      <c r="D122" s="268">
        <f>ROUND(SUMIFS(Age_Sex22[[#All],[Total Dollars Excluded from Spending After Applying Truncation at the Member Level]], Age_Sex22[[#All],[Advanced Network ID]], $B122, Age_Sex22[[#All],[Insurance Category Code]],2),2)</f>
        <v>0</v>
      </c>
      <c r="E122" s="229">
        <f>ROUND(SUMIFS(Age_Sex22[[#All],[Count of Members whose Spending was Truncated]], Age_Sex22[[#All],[Advanced Network ID]], $B122, Age_Sex22[[#All],[Insurance Category Code]],2),2)</f>
        <v>0</v>
      </c>
      <c r="F122" s="230">
        <f>ROUND(SUMIFS(Age_Sex22[[#All],[Total Spending before Truncation is Applied]], Age_Sex22[[#All],[Advanced Network ID]], $B122, Age_Sex22[[#All],[Insurance Category Code]],2),2)</f>
        <v>0</v>
      </c>
      <c r="G122" s="232">
        <f>ROUND(SUMIFS(Age_Sex22[[#All],[Total Spending After Applying Truncation at the Member Level]], Age_Sex22[[#All],[Advanced Network ID]], $B122, Age_Sex22[[#All],[Insurance Category Code]],2),2)</f>
        <v>0</v>
      </c>
      <c r="H122" s="416" t="str">
        <f>IF(C122=ROUND(SUMIFS(AN_TME22[[#All],[Member Months]], AN_TME22[[#All],[Insurance Category Code]],2, AN_TME22[[#All],[Advanced Network/Insurance Carrier Org ID]],B122),2), "TRUE", ROUND(C122-SUMIFS(AN_TME22[[#All],[Member Months]], AN_TME22[[#All],[Insurance Category Code]],2, AN_TME22[[#All],[Advanced Network/Insurance Carrier Org ID]],B122),2))</f>
        <v>TRUE</v>
      </c>
      <c r="I122" s="280" t="str">
        <f>IF(D122=ROUND(SUMIFS(AN_TME22[[#All],[Total Claims Excluded because of Truncation]], AN_TME22[[#All],[Insurance Category Code]],2, AN_TME22[[#All],[Advanced Network/Insurance Carrier Org ID]],B122),2), "TRUE", ROUND(D122-SUMIFS(AN_TME22[[#All],[Total Claims Excluded because of Truncation]], AN_TME22[[#All],[Insurance Category Code]],2, AN_TME22[[#All],[Advanced Network/Insurance Carrier Org ID]],B122),2))</f>
        <v>TRUE</v>
      </c>
      <c r="J122" s="281" t="str">
        <f>IF(E122=ROUND(SUMIFS(AN_TME22[[#All],[Count of Members with Claims Truncated]], AN_TME22[[#All],[Insurance Category Code]],2, AN_TME22[[#All],[Advanced Network/Insurance Carrier Org ID]],B122),2), "TRUE", ROUND(E122-SUMIFS(AN_TME22[[#All],[Count of Members with Claims Truncated]], AN_TME22[[#All],[Insurance Category Code]],2, AN_TME22[[#All],[Advanced Network/Insurance Carrier Org ID]],B122),2))</f>
        <v>TRUE</v>
      </c>
      <c r="K122" s="282" t="str">
        <f>IF(F122=ROUND(SUMIFS(AN_TME22[[#All],[TOTAL Non-Truncated Unadjusted Claims Expenses]], AN_TME22[[#All],[Insurance Category Code]],2, AN_TME22[[#All],[Advanced Network/Insurance Carrier Org ID]],B122),2), "TRUE", ROUND(F122-SUMIFS(AN_TME22[[#All],[TOTAL Non-Truncated Unadjusted Claims Expenses]], AN_TME22[[#All],[Insurance Category Code]],2, AN_TME22[[#All],[Advanced Network/Insurance Carrier Org ID]],B122),2))</f>
        <v>TRUE</v>
      </c>
      <c r="L122" s="295" t="str">
        <f>IF(G122=ROUND(SUMIFS(AN_TME22[[#All],[TOTAL Truncated Unadjusted Claims Expenses (A21 -A19)]], AN_TME22[[#All],[Insurance Category Code]],2, AN_TME22[[#All],[Advanced Network/Insurance Carrier Org ID]],B122),2), "TRUE", ROUND(G122-SUMIFS(AN_TME22[[#All],[TOTAL Truncated Unadjusted Claims Expenses (A21 -A19)]], AN_TME22[[#All],[Insurance Category Code]],2, AN_TME22[[#All],[Advanced Network/Insurance Carrier Org ID]],B122),2))</f>
        <v>TRUE</v>
      </c>
      <c r="M122" s="461" t="str">
        <f t="shared" si="11"/>
        <v>TRUE</v>
      </c>
      <c r="N122" s="282" t="b">
        <f>ROUND(SUMIFS(AN_TME22[[#All],[TOTAL Non-Truncated Unadjusted Claims Expenses]], AN_TME22[[#All],[Insurance Category Code]],2, AN_TME22[[#All],[Advanced Network/Insurance Carrier Org ID]],B122),2)&gt;=ROUND(SUMIFS(AN_TME22[[#All],[TOTAL Truncated Unadjusted Claims Expenses (A21 -A19)]], AN_TME22[[#All],[Insurance Category Code]],2, AN_TME22[[#All],[Advanced Network/Insurance Carrier Org ID]],B122), 2)</f>
        <v>1</v>
      </c>
      <c r="O122" s="295" t="b">
        <f>ROUND(SUMIFS(AN_TME22[[#All],[TOTAL Truncated Unadjusted Claims Expenses (A21 -A19)]], AN_TME22[[#All],[Insurance Category Code]],2, AN_TME22[[#All],[Advanced Network/Insurance Carrier Org ID]],B122)+SUMIFS(AN_TME22[[#All],[Total Claims Excluded because of Truncation]], AN_TME22[[#All],[Insurance Category Code]],2, AN_TME22[[#All],[Advanced Network/Insurance Carrier Org ID]],B122),2)=ROUND(SUMIFS(AN_TME22[[#All],[TOTAL Non-Truncated Unadjusted Claims Expenses]], AN_TME22[[#All],[Insurance Category Code]],2, AN_TME22[[#All],[Advanced Network/Insurance Carrier Org ID]],B122), 2)</f>
        <v>1</v>
      </c>
      <c r="Q122" s="236">
        <v>101</v>
      </c>
      <c r="R122" s="463">
        <f>ROUND(SUMIFS(Age_Sex23[[#All],[Total Member Months by Age/Sex Band]], Age_Sex23[[#All],[Advanced Network ID]], $Q122, Age_Sex23[[#All],[Insurance Category Code]],2),2)</f>
        <v>0</v>
      </c>
      <c r="S122" s="268">
        <f>ROUND(SUMIFS(Age_Sex23[[#All],[Total Dollars Excluded from Spending After Applying Truncation at the Member Level]], Age_Sex23[[#All],[Advanced Network ID]], $B122, Age_Sex23[[#All],[Insurance Category Code]],2),2)</f>
        <v>0</v>
      </c>
      <c r="T122" s="229">
        <f>ROUND(SUMIFS(Age_Sex23[[#All],[Count of Members whose Spending was Truncated]], Age_Sex23[[#All],[Advanced Network ID]], $B122, Age_Sex23[[#All],[Insurance Category Code]],2),2)</f>
        <v>0</v>
      </c>
      <c r="U122" s="230">
        <f>ROUND(SUMIFS(Age_Sex23[[#All],[Total Spending before Truncation is Applied]], Age_Sex23[[#All],[Advanced Network ID]], $B122, Age_Sex23[[#All],[Insurance Category Code]],2),2)</f>
        <v>0</v>
      </c>
      <c r="V122" s="232">
        <f>ROUND(SUMIFS(Age_Sex23[[#All],[Total Spending After Applying Truncation at the Member Level]], Age_Sex23[[#All],[Advanced Network ID]], $B122, Age_Sex23[[#All],[Insurance Category Code]],2), 2)</f>
        <v>0</v>
      </c>
      <c r="W122" s="416" t="str">
        <f>IF(R122=ROUND(SUMIFS(AN_TME23[[#All],[Member Months]], AN_TME23[[#All],[Insurance Category Code]],2, AN_TME23[[#All],[Advanced Network/Insurance Carrier Org ID]],Q122),2), "TRUE", ROUND(R122-SUMIFS(AN_TME23[[#All],[Member Months]], AN_TME23[[#All],[Insurance Category Code]],2, AN_TME23[[#All],[Advanced Network/Insurance Carrier Org ID]],Q122),2))</f>
        <v>TRUE</v>
      </c>
      <c r="X122" s="280" t="str">
        <f>IF(S122=ROUND(SUMIFS(AN_TME23[[#All],[Total Claims Excluded because of Truncation]], AN_TME23[[#All],[Insurance Category Code]],2, AN_TME23[[#All],[Advanced Network/Insurance Carrier Org ID]],Q122),2), "TRUE", ROUND(S122-SUMIFS(AN_TME23[[#All],[Total Claims Excluded because of Truncation]], AN_TME23[[#All],[Insurance Category Code]],2, AN_TME23[[#All],[Advanced Network/Insurance Carrier Org ID]],Q122),2))</f>
        <v>TRUE</v>
      </c>
      <c r="Y122" s="281" t="str">
        <f>IF(T122=ROUND(SUMIFS(AN_TME23[[#All],[Count of Members with Claims Truncated]], AN_TME23[[#All],[Insurance Category Code]],2, AN_TME23[[#All],[Advanced Network/Insurance Carrier Org ID]],Q122),2), "TRUE", ROUND(T122-SUMIFS(AN_TME23[[#All],[Count of Members with Claims Truncated]], AN_TME23[[#All],[Insurance Category Code]],2, AN_TME23[[#All],[Advanced Network/Insurance Carrier Org ID]],Q122),2))</f>
        <v>TRUE</v>
      </c>
      <c r="Z122" s="282" t="str">
        <f>IF(U122=ROUND(SUMIFS(AN_TME23[[#All],[TOTAL Non-Truncated Unadjusted Claims Expenses]], AN_TME23[[#All],[Insurance Category Code]],2, AN_TME23[[#All],[Advanced Network/Insurance Carrier Org ID]],Q122),2), "TRUE", ROUND(U122-SUMIFS(AN_TME23[[#All],[TOTAL Non-Truncated Unadjusted Claims Expenses]], AN_TME23[[#All],[Insurance Category Code]],2, AN_TME23[[#All],[Advanced Network/Insurance Carrier Org ID]],Q122),2))</f>
        <v>TRUE</v>
      </c>
      <c r="AA122" s="295" t="str">
        <f>IF(V122=ROUND(SUMIFS(AN_TME23[[#All],[TOTAL Truncated Unadjusted Claims Expenses (A21 -A19)]], AN_TME23[[#All],[Insurance Category Code]],2, AN_TME23[[#All],[Advanced Network/Insurance Carrier Org ID]],Q122),2), "TRUE", ROUND(V122-SUMIFS(AN_TME23[[#All],[TOTAL Truncated Unadjusted Claims Expenses (A21 -A19)]], AN_TME23[[#All],[Insurance Category Code]],2, AN_TME23[[#All],[Advanced Network/Insurance Carrier Org ID]],Q122),2))</f>
        <v>TRUE</v>
      </c>
      <c r="AB122" s="461" t="str">
        <f t="shared" ref="AB122:AB153" si="13">IF(T122=0, "TRUE",IF((R122/12)&gt;T122,"TRUE",ROUND((R122/12)-T122,2)))</f>
        <v>TRUE</v>
      </c>
      <c r="AC122" s="282" t="b">
        <f>ROUND(SUMIFS(AN_TME23[[#All],[TOTAL Non-Truncated Unadjusted Claims Expenses]], AN_TME23[[#All],[Insurance Category Code]],2, AN_TME23[[#All],[Advanced Network/Insurance Carrier Org ID]],Q122),2)&gt;=ROUND(SUMIFS(AN_TME23[[#All],[TOTAL Truncated Unadjusted Claims Expenses (A21 -A19)]], AN_TME23[[#All],[Insurance Category Code]],2, AN_TME23[[#All],[Advanced Network/Insurance Carrier Org ID]],Q122),2)</f>
        <v>1</v>
      </c>
      <c r="AD122" s="295" t="b">
        <f>ROUND(SUMIFS(AN_TME23[[#All],[TOTAL Truncated Unadjusted Claims Expenses (A21 -A19)]], AN_TME23[[#All],[Insurance Category Code]],2, AN_TME23[[#All],[Advanced Network/Insurance Carrier Org ID]],Q122)+SUMIFS(AN_TME23[[#All],[Total Claims Excluded because of Truncation]], AN_TME23[[#All],[Insurance Category Code]],2, AN_TME23[[#All],[Advanced Network/Insurance Carrier Org ID]],Q122), 2)=ROUND(SUMIFS(AN_TME23[[#All],[TOTAL Non-Truncated Unadjusted Claims Expenses]], AN_TME23[[#All],[Insurance Category Code]],2, AN_TME23[[#All],[Advanced Network/Insurance Carrier Org ID]],Q122),2)</f>
        <v>1</v>
      </c>
      <c r="AF122" s="323" t="str">
        <f t="shared" si="12"/>
        <v>NA</v>
      </c>
    </row>
    <row r="123" spans="2:32" outlineLevel="1" x14ac:dyDescent="0.25">
      <c r="B123" s="236">
        <v>102</v>
      </c>
      <c r="C123" s="463">
        <f>ROUND(SUMIFS(Age_Sex22[[#All],[Total Member Months by Age/Sex Band]], Age_Sex22[[#All],[Advanced Network ID]], $B123, Age_Sex22[[#All],[Insurance Category Code]],2),2)</f>
        <v>0</v>
      </c>
      <c r="D123" s="268">
        <f>ROUND(SUMIFS(Age_Sex22[[#All],[Total Dollars Excluded from Spending After Applying Truncation at the Member Level]], Age_Sex22[[#All],[Advanced Network ID]], $B123, Age_Sex22[[#All],[Insurance Category Code]],2),2)</f>
        <v>0</v>
      </c>
      <c r="E123" s="229">
        <f>ROUND(SUMIFS(Age_Sex22[[#All],[Count of Members whose Spending was Truncated]], Age_Sex22[[#All],[Advanced Network ID]], $B123, Age_Sex22[[#All],[Insurance Category Code]],2),2)</f>
        <v>0</v>
      </c>
      <c r="F123" s="230">
        <f>ROUND(SUMIFS(Age_Sex22[[#All],[Total Spending before Truncation is Applied]], Age_Sex22[[#All],[Advanced Network ID]], $B123, Age_Sex22[[#All],[Insurance Category Code]],2),2)</f>
        <v>0</v>
      </c>
      <c r="G123" s="232">
        <f>ROUND(SUMIFS(Age_Sex22[[#All],[Total Spending After Applying Truncation at the Member Level]], Age_Sex22[[#All],[Advanced Network ID]], $B123, Age_Sex22[[#All],[Insurance Category Code]],2),2)</f>
        <v>0</v>
      </c>
      <c r="H123" s="416" t="str">
        <f>IF(C123=ROUND(SUMIFS(AN_TME22[[#All],[Member Months]], AN_TME22[[#All],[Insurance Category Code]],2, AN_TME22[[#All],[Advanced Network/Insurance Carrier Org ID]],B123),2), "TRUE", ROUND(C123-SUMIFS(AN_TME22[[#All],[Member Months]], AN_TME22[[#All],[Insurance Category Code]],2, AN_TME22[[#All],[Advanced Network/Insurance Carrier Org ID]],B123),2))</f>
        <v>TRUE</v>
      </c>
      <c r="I123" s="280" t="str">
        <f>IF(D123=ROUND(SUMIFS(AN_TME22[[#All],[Total Claims Excluded because of Truncation]], AN_TME22[[#All],[Insurance Category Code]],2, AN_TME22[[#All],[Advanced Network/Insurance Carrier Org ID]],B123),2), "TRUE", ROUND(D123-SUMIFS(AN_TME22[[#All],[Total Claims Excluded because of Truncation]], AN_TME22[[#All],[Insurance Category Code]],2, AN_TME22[[#All],[Advanced Network/Insurance Carrier Org ID]],B123),2))</f>
        <v>TRUE</v>
      </c>
      <c r="J123" s="281" t="str">
        <f>IF(E123=ROUND(SUMIFS(AN_TME22[[#All],[Count of Members with Claims Truncated]], AN_TME22[[#All],[Insurance Category Code]],2, AN_TME22[[#All],[Advanced Network/Insurance Carrier Org ID]],B123),2), "TRUE", ROUND(E123-SUMIFS(AN_TME22[[#All],[Count of Members with Claims Truncated]], AN_TME22[[#All],[Insurance Category Code]],2, AN_TME22[[#All],[Advanced Network/Insurance Carrier Org ID]],B123),2))</f>
        <v>TRUE</v>
      </c>
      <c r="K123" s="282" t="str">
        <f>IF(F123=ROUND(SUMIFS(AN_TME22[[#All],[TOTAL Non-Truncated Unadjusted Claims Expenses]], AN_TME22[[#All],[Insurance Category Code]],2, AN_TME22[[#All],[Advanced Network/Insurance Carrier Org ID]],B123),2), "TRUE", ROUND(F123-SUMIFS(AN_TME22[[#All],[TOTAL Non-Truncated Unadjusted Claims Expenses]], AN_TME22[[#All],[Insurance Category Code]],2, AN_TME22[[#All],[Advanced Network/Insurance Carrier Org ID]],B123),2))</f>
        <v>TRUE</v>
      </c>
      <c r="L123" s="295" t="str">
        <f>IF(G123=ROUND(SUMIFS(AN_TME22[[#All],[TOTAL Truncated Unadjusted Claims Expenses (A21 -A19)]], AN_TME22[[#All],[Insurance Category Code]],2, AN_TME22[[#All],[Advanced Network/Insurance Carrier Org ID]],B123),2), "TRUE", ROUND(G123-SUMIFS(AN_TME22[[#All],[TOTAL Truncated Unadjusted Claims Expenses (A21 -A19)]], AN_TME22[[#All],[Insurance Category Code]],2, AN_TME22[[#All],[Advanced Network/Insurance Carrier Org ID]],B123),2))</f>
        <v>TRUE</v>
      </c>
      <c r="M123" s="461" t="str">
        <f t="shared" si="11"/>
        <v>TRUE</v>
      </c>
      <c r="N123" s="282" t="b">
        <f>ROUND(SUMIFS(AN_TME22[[#All],[TOTAL Non-Truncated Unadjusted Claims Expenses]], AN_TME22[[#All],[Insurance Category Code]],2, AN_TME22[[#All],[Advanced Network/Insurance Carrier Org ID]],B123),2)&gt;=ROUND(SUMIFS(AN_TME22[[#All],[TOTAL Truncated Unadjusted Claims Expenses (A21 -A19)]], AN_TME22[[#All],[Insurance Category Code]],2, AN_TME22[[#All],[Advanced Network/Insurance Carrier Org ID]],B123), 2)</f>
        <v>1</v>
      </c>
      <c r="O123" s="295" t="b">
        <f>ROUND(SUMIFS(AN_TME22[[#All],[TOTAL Truncated Unadjusted Claims Expenses (A21 -A19)]], AN_TME22[[#All],[Insurance Category Code]],2, AN_TME22[[#All],[Advanced Network/Insurance Carrier Org ID]],B123)+SUMIFS(AN_TME22[[#All],[Total Claims Excluded because of Truncation]], AN_TME22[[#All],[Insurance Category Code]],2, AN_TME22[[#All],[Advanced Network/Insurance Carrier Org ID]],B123),2)=ROUND(SUMIFS(AN_TME22[[#All],[TOTAL Non-Truncated Unadjusted Claims Expenses]], AN_TME22[[#All],[Insurance Category Code]],2, AN_TME22[[#All],[Advanced Network/Insurance Carrier Org ID]],B123), 2)</f>
        <v>1</v>
      </c>
      <c r="Q123" s="236">
        <v>102</v>
      </c>
      <c r="R123" s="463">
        <f>ROUND(SUMIFS(Age_Sex23[[#All],[Total Member Months by Age/Sex Band]], Age_Sex23[[#All],[Advanced Network ID]], $Q123, Age_Sex23[[#All],[Insurance Category Code]],2),2)</f>
        <v>0</v>
      </c>
      <c r="S123" s="268">
        <f>ROUND(SUMIFS(Age_Sex23[[#All],[Total Dollars Excluded from Spending After Applying Truncation at the Member Level]], Age_Sex23[[#All],[Advanced Network ID]], $B123, Age_Sex23[[#All],[Insurance Category Code]],2),2)</f>
        <v>0</v>
      </c>
      <c r="T123" s="229">
        <f>ROUND(SUMIFS(Age_Sex23[[#All],[Count of Members whose Spending was Truncated]], Age_Sex23[[#All],[Advanced Network ID]], $B123, Age_Sex23[[#All],[Insurance Category Code]],2),2)</f>
        <v>0</v>
      </c>
      <c r="U123" s="230">
        <f>ROUND(SUMIFS(Age_Sex23[[#All],[Total Spending before Truncation is Applied]], Age_Sex23[[#All],[Advanced Network ID]], $B123, Age_Sex23[[#All],[Insurance Category Code]],2),2)</f>
        <v>0</v>
      </c>
      <c r="V123" s="232">
        <f>ROUND(SUMIFS(Age_Sex23[[#All],[Total Spending After Applying Truncation at the Member Level]], Age_Sex23[[#All],[Advanced Network ID]], $B123, Age_Sex23[[#All],[Insurance Category Code]],2), 2)</f>
        <v>0</v>
      </c>
      <c r="W123" s="416" t="str">
        <f>IF(R123=ROUND(SUMIFS(AN_TME23[[#All],[Member Months]], AN_TME23[[#All],[Insurance Category Code]],2, AN_TME23[[#All],[Advanced Network/Insurance Carrier Org ID]],Q123),2), "TRUE", ROUND(R123-SUMIFS(AN_TME23[[#All],[Member Months]], AN_TME23[[#All],[Insurance Category Code]],2, AN_TME23[[#All],[Advanced Network/Insurance Carrier Org ID]],Q123),2))</f>
        <v>TRUE</v>
      </c>
      <c r="X123" s="280" t="str">
        <f>IF(S123=ROUND(SUMIFS(AN_TME23[[#All],[Total Claims Excluded because of Truncation]], AN_TME23[[#All],[Insurance Category Code]],2, AN_TME23[[#All],[Advanced Network/Insurance Carrier Org ID]],Q123),2), "TRUE", ROUND(S123-SUMIFS(AN_TME23[[#All],[Total Claims Excluded because of Truncation]], AN_TME23[[#All],[Insurance Category Code]],2, AN_TME23[[#All],[Advanced Network/Insurance Carrier Org ID]],Q123),2))</f>
        <v>TRUE</v>
      </c>
      <c r="Y123" s="281" t="str">
        <f>IF(T123=ROUND(SUMIFS(AN_TME23[[#All],[Count of Members with Claims Truncated]], AN_TME23[[#All],[Insurance Category Code]],2, AN_TME23[[#All],[Advanced Network/Insurance Carrier Org ID]],Q123),2), "TRUE", ROUND(T123-SUMIFS(AN_TME23[[#All],[Count of Members with Claims Truncated]], AN_TME23[[#All],[Insurance Category Code]],2, AN_TME23[[#All],[Advanced Network/Insurance Carrier Org ID]],Q123),2))</f>
        <v>TRUE</v>
      </c>
      <c r="Z123" s="282" t="str">
        <f>IF(U123=ROUND(SUMIFS(AN_TME23[[#All],[TOTAL Non-Truncated Unadjusted Claims Expenses]], AN_TME23[[#All],[Insurance Category Code]],2, AN_TME23[[#All],[Advanced Network/Insurance Carrier Org ID]],Q123),2), "TRUE", ROUND(U123-SUMIFS(AN_TME23[[#All],[TOTAL Non-Truncated Unadjusted Claims Expenses]], AN_TME23[[#All],[Insurance Category Code]],2, AN_TME23[[#All],[Advanced Network/Insurance Carrier Org ID]],Q123),2))</f>
        <v>TRUE</v>
      </c>
      <c r="AA123" s="295" t="str">
        <f>IF(V123=ROUND(SUMIFS(AN_TME23[[#All],[TOTAL Truncated Unadjusted Claims Expenses (A21 -A19)]], AN_TME23[[#All],[Insurance Category Code]],2, AN_TME23[[#All],[Advanced Network/Insurance Carrier Org ID]],Q123),2), "TRUE", ROUND(V123-SUMIFS(AN_TME23[[#All],[TOTAL Truncated Unadjusted Claims Expenses (A21 -A19)]], AN_TME23[[#All],[Insurance Category Code]],2, AN_TME23[[#All],[Advanced Network/Insurance Carrier Org ID]],Q123),2))</f>
        <v>TRUE</v>
      </c>
      <c r="AB123" s="461" t="str">
        <f t="shared" si="13"/>
        <v>TRUE</v>
      </c>
      <c r="AC123" s="282" t="b">
        <f>ROUND(SUMIFS(AN_TME23[[#All],[TOTAL Non-Truncated Unadjusted Claims Expenses]], AN_TME23[[#All],[Insurance Category Code]],2, AN_TME23[[#All],[Advanced Network/Insurance Carrier Org ID]],Q123),2)&gt;=ROUND(SUMIFS(AN_TME23[[#All],[TOTAL Truncated Unadjusted Claims Expenses (A21 -A19)]], AN_TME23[[#All],[Insurance Category Code]],2, AN_TME23[[#All],[Advanced Network/Insurance Carrier Org ID]],Q123),2)</f>
        <v>1</v>
      </c>
      <c r="AD123" s="295" t="b">
        <f>ROUND(SUMIFS(AN_TME23[[#All],[TOTAL Truncated Unadjusted Claims Expenses (A21 -A19)]], AN_TME23[[#All],[Insurance Category Code]],2, AN_TME23[[#All],[Advanced Network/Insurance Carrier Org ID]],Q123)+SUMIFS(AN_TME23[[#All],[Total Claims Excluded because of Truncation]], AN_TME23[[#All],[Insurance Category Code]],2, AN_TME23[[#All],[Advanced Network/Insurance Carrier Org ID]],Q123), 2)=ROUND(SUMIFS(AN_TME23[[#All],[TOTAL Non-Truncated Unadjusted Claims Expenses]], AN_TME23[[#All],[Insurance Category Code]],2, AN_TME23[[#All],[Advanced Network/Insurance Carrier Org ID]],Q123),2)</f>
        <v>1</v>
      </c>
      <c r="AF123" s="323" t="str">
        <f t="shared" si="12"/>
        <v>NA</v>
      </c>
    </row>
    <row r="124" spans="2:32" outlineLevel="1" x14ac:dyDescent="0.25">
      <c r="B124" s="236">
        <v>103</v>
      </c>
      <c r="C124" s="463">
        <f>ROUND(SUMIFS(Age_Sex22[[#All],[Total Member Months by Age/Sex Band]], Age_Sex22[[#All],[Advanced Network ID]], $B124, Age_Sex22[[#All],[Insurance Category Code]],2),2)</f>
        <v>0</v>
      </c>
      <c r="D124" s="268">
        <f>ROUND(SUMIFS(Age_Sex22[[#All],[Total Dollars Excluded from Spending After Applying Truncation at the Member Level]], Age_Sex22[[#All],[Advanced Network ID]], $B124, Age_Sex22[[#All],[Insurance Category Code]],2),2)</f>
        <v>0</v>
      </c>
      <c r="E124" s="229">
        <f>ROUND(SUMIFS(Age_Sex22[[#All],[Count of Members whose Spending was Truncated]], Age_Sex22[[#All],[Advanced Network ID]], $B124, Age_Sex22[[#All],[Insurance Category Code]],2),2)</f>
        <v>0</v>
      </c>
      <c r="F124" s="230">
        <f>ROUND(SUMIFS(Age_Sex22[[#All],[Total Spending before Truncation is Applied]], Age_Sex22[[#All],[Advanced Network ID]], $B124, Age_Sex22[[#All],[Insurance Category Code]],2),2)</f>
        <v>0</v>
      </c>
      <c r="G124" s="232">
        <f>ROUND(SUMIFS(Age_Sex22[[#All],[Total Spending After Applying Truncation at the Member Level]], Age_Sex22[[#All],[Advanced Network ID]], $B124, Age_Sex22[[#All],[Insurance Category Code]],2),2)</f>
        <v>0</v>
      </c>
      <c r="H124" s="416" t="str">
        <f>IF(C124=ROUND(SUMIFS(AN_TME22[[#All],[Member Months]], AN_TME22[[#All],[Insurance Category Code]],2, AN_TME22[[#All],[Advanced Network/Insurance Carrier Org ID]],B124),2), "TRUE", ROUND(C124-SUMIFS(AN_TME22[[#All],[Member Months]], AN_TME22[[#All],[Insurance Category Code]],2, AN_TME22[[#All],[Advanced Network/Insurance Carrier Org ID]],B124),2))</f>
        <v>TRUE</v>
      </c>
      <c r="I124" s="280" t="str">
        <f>IF(D124=ROUND(SUMIFS(AN_TME22[[#All],[Total Claims Excluded because of Truncation]], AN_TME22[[#All],[Insurance Category Code]],2, AN_TME22[[#All],[Advanced Network/Insurance Carrier Org ID]],B124),2), "TRUE", ROUND(D124-SUMIFS(AN_TME22[[#All],[Total Claims Excluded because of Truncation]], AN_TME22[[#All],[Insurance Category Code]],2, AN_TME22[[#All],[Advanced Network/Insurance Carrier Org ID]],B124),2))</f>
        <v>TRUE</v>
      </c>
      <c r="J124" s="281" t="str">
        <f>IF(E124=ROUND(SUMIFS(AN_TME22[[#All],[Count of Members with Claims Truncated]], AN_TME22[[#All],[Insurance Category Code]],2, AN_TME22[[#All],[Advanced Network/Insurance Carrier Org ID]],B124),2), "TRUE", ROUND(E124-SUMIFS(AN_TME22[[#All],[Count of Members with Claims Truncated]], AN_TME22[[#All],[Insurance Category Code]],2, AN_TME22[[#All],[Advanced Network/Insurance Carrier Org ID]],B124),2))</f>
        <v>TRUE</v>
      </c>
      <c r="K124" s="282" t="str">
        <f>IF(F124=ROUND(SUMIFS(AN_TME22[[#All],[TOTAL Non-Truncated Unadjusted Claims Expenses]], AN_TME22[[#All],[Insurance Category Code]],2, AN_TME22[[#All],[Advanced Network/Insurance Carrier Org ID]],B124),2), "TRUE", ROUND(F124-SUMIFS(AN_TME22[[#All],[TOTAL Non-Truncated Unadjusted Claims Expenses]], AN_TME22[[#All],[Insurance Category Code]],2, AN_TME22[[#All],[Advanced Network/Insurance Carrier Org ID]],B124),2))</f>
        <v>TRUE</v>
      </c>
      <c r="L124" s="295" t="str">
        <f>IF(G124=ROUND(SUMIFS(AN_TME22[[#All],[TOTAL Truncated Unadjusted Claims Expenses (A21 -A19)]], AN_TME22[[#All],[Insurance Category Code]],2, AN_TME22[[#All],[Advanced Network/Insurance Carrier Org ID]],B124),2), "TRUE", ROUND(G124-SUMIFS(AN_TME22[[#All],[TOTAL Truncated Unadjusted Claims Expenses (A21 -A19)]], AN_TME22[[#All],[Insurance Category Code]],2, AN_TME22[[#All],[Advanced Network/Insurance Carrier Org ID]],B124),2))</f>
        <v>TRUE</v>
      </c>
      <c r="M124" s="461" t="str">
        <f t="shared" si="11"/>
        <v>TRUE</v>
      </c>
      <c r="N124" s="282" t="b">
        <f>ROUND(SUMIFS(AN_TME22[[#All],[TOTAL Non-Truncated Unadjusted Claims Expenses]], AN_TME22[[#All],[Insurance Category Code]],2, AN_TME22[[#All],[Advanced Network/Insurance Carrier Org ID]],B124),2)&gt;=ROUND(SUMIFS(AN_TME22[[#All],[TOTAL Truncated Unadjusted Claims Expenses (A21 -A19)]], AN_TME22[[#All],[Insurance Category Code]],2, AN_TME22[[#All],[Advanced Network/Insurance Carrier Org ID]],B124), 2)</f>
        <v>1</v>
      </c>
      <c r="O124" s="295" t="b">
        <f>ROUND(SUMIFS(AN_TME22[[#All],[TOTAL Truncated Unadjusted Claims Expenses (A21 -A19)]], AN_TME22[[#All],[Insurance Category Code]],2, AN_TME22[[#All],[Advanced Network/Insurance Carrier Org ID]],B124)+SUMIFS(AN_TME22[[#All],[Total Claims Excluded because of Truncation]], AN_TME22[[#All],[Insurance Category Code]],2, AN_TME22[[#All],[Advanced Network/Insurance Carrier Org ID]],B124),2)=ROUND(SUMIFS(AN_TME22[[#All],[TOTAL Non-Truncated Unadjusted Claims Expenses]], AN_TME22[[#All],[Insurance Category Code]],2, AN_TME22[[#All],[Advanced Network/Insurance Carrier Org ID]],B124), 2)</f>
        <v>1</v>
      </c>
      <c r="Q124" s="236">
        <v>103</v>
      </c>
      <c r="R124" s="463">
        <f>ROUND(SUMIFS(Age_Sex23[[#All],[Total Member Months by Age/Sex Band]], Age_Sex23[[#All],[Advanced Network ID]], $Q124, Age_Sex23[[#All],[Insurance Category Code]],2),2)</f>
        <v>0</v>
      </c>
      <c r="S124" s="268">
        <f>ROUND(SUMIFS(Age_Sex23[[#All],[Total Dollars Excluded from Spending After Applying Truncation at the Member Level]], Age_Sex23[[#All],[Advanced Network ID]], $B124, Age_Sex23[[#All],[Insurance Category Code]],2),2)</f>
        <v>0</v>
      </c>
      <c r="T124" s="229">
        <f>ROUND(SUMIFS(Age_Sex23[[#All],[Count of Members whose Spending was Truncated]], Age_Sex23[[#All],[Advanced Network ID]], $B124, Age_Sex23[[#All],[Insurance Category Code]],2),2)</f>
        <v>0</v>
      </c>
      <c r="U124" s="230">
        <f>ROUND(SUMIFS(Age_Sex23[[#All],[Total Spending before Truncation is Applied]], Age_Sex23[[#All],[Advanced Network ID]], $B124, Age_Sex23[[#All],[Insurance Category Code]],2),2)</f>
        <v>0</v>
      </c>
      <c r="V124" s="232">
        <f>ROUND(SUMIFS(Age_Sex23[[#All],[Total Spending After Applying Truncation at the Member Level]], Age_Sex23[[#All],[Advanced Network ID]], $B124, Age_Sex23[[#All],[Insurance Category Code]],2), 2)</f>
        <v>0</v>
      </c>
      <c r="W124" s="416" t="str">
        <f>IF(R124=ROUND(SUMIFS(AN_TME23[[#All],[Member Months]], AN_TME23[[#All],[Insurance Category Code]],2, AN_TME23[[#All],[Advanced Network/Insurance Carrier Org ID]],Q124),2), "TRUE", ROUND(R124-SUMIFS(AN_TME23[[#All],[Member Months]], AN_TME23[[#All],[Insurance Category Code]],2, AN_TME23[[#All],[Advanced Network/Insurance Carrier Org ID]],Q124),2))</f>
        <v>TRUE</v>
      </c>
      <c r="X124" s="280" t="str">
        <f>IF(S124=ROUND(SUMIFS(AN_TME23[[#All],[Total Claims Excluded because of Truncation]], AN_TME23[[#All],[Insurance Category Code]],2, AN_TME23[[#All],[Advanced Network/Insurance Carrier Org ID]],Q124),2), "TRUE", ROUND(S124-SUMIFS(AN_TME23[[#All],[Total Claims Excluded because of Truncation]], AN_TME23[[#All],[Insurance Category Code]],2, AN_TME23[[#All],[Advanced Network/Insurance Carrier Org ID]],Q124),2))</f>
        <v>TRUE</v>
      </c>
      <c r="Y124" s="281" t="str">
        <f>IF(T124=ROUND(SUMIFS(AN_TME23[[#All],[Count of Members with Claims Truncated]], AN_TME23[[#All],[Insurance Category Code]],2, AN_TME23[[#All],[Advanced Network/Insurance Carrier Org ID]],Q124),2), "TRUE", ROUND(T124-SUMIFS(AN_TME23[[#All],[Count of Members with Claims Truncated]], AN_TME23[[#All],[Insurance Category Code]],2, AN_TME23[[#All],[Advanced Network/Insurance Carrier Org ID]],Q124),2))</f>
        <v>TRUE</v>
      </c>
      <c r="Z124" s="282" t="str">
        <f>IF(U124=ROUND(SUMIFS(AN_TME23[[#All],[TOTAL Non-Truncated Unadjusted Claims Expenses]], AN_TME23[[#All],[Insurance Category Code]],2, AN_TME23[[#All],[Advanced Network/Insurance Carrier Org ID]],Q124),2), "TRUE", ROUND(U124-SUMIFS(AN_TME23[[#All],[TOTAL Non-Truncated Unadjusted Claims Expenses]], AN_TME23[[#All],[Insurance Category Code]],2, AN_TME23[[#All],[Advanced Network/Insurance Carrier Org ID]],Q124),2))</f>
        <v>TRUE</v>
      </c>
      <c r="AA124" s="295" t="str">
        <f>IF(V124=ROUND(SUMIFS(AN_TME23[[#All],[TOTAL Truncated Unadjusted Claims Expenses (A21 -A19)]], AN_TME23[[#All],[Insurance Category Code]],2, AN_TME23[[#All],[Advanced Network/Insurance Carrier Org ID]],Q124),2), "TRUE", ROUND(V124-SUMIFS(AN_TME23[[#All],[TOTAL Truncated Unadjusted Claims Expenses (A21 -A19)]], AN_TME23[[#All],[Insurance Category Code]],2, AN_TME23[[#All],[Advanced Network/Insurance Carrier Org ID]],Q124),2))</f>
        <v>TRUE</v>
      </c>
      <c r="AB124" s="461" t="str">
        <f t="shared" si="13"/>
        <v>TRUE</v>
      </c>
      <c r="AC124" s="282" t="b">
        <f>ROUND(SUMIFS(AN_TME23[[#All],[TOTAL Non-Truncated Unadjusted Claims Expenses]], AN_TME23[[#All],[Insurance Category Code]],2, AN_TME23[[#All],[Advanced Network/Insurance Carrier Org ID]],Q124),2)&gt;=ROUND(SUMIFS(AN_TME23[[#All],[TOTAL Truncated Unadjusted Claims Expenses (A21 -A19)]], AN_TME23[[#All],[Insurance Category Code]],2, AN_TME23[[#All],[Advanced Network/Insurance Carrier Org ID]],Q124),2)</f>
        <v>1</v>
      </c>
      <c r="AD124" s="295" t="b">
        <f>ROUND(SUMIFS(AN_TME23[[#All],[TOTAL Truncated Unadjusted Claims Expenses (A21 -A19)]], AN_TME23[[#All],[Insurance Category Code]],2, AN_TME23[[#All],[Advanced Network/Insurance Carrier Org ID]],Q124)+SUMIFS(AN_TME23[[#All],[Total Claims Excluded because of Truncation]], AN_TME23[[#All],[Insurance Category Code]],2, AN_TME23[[#All],[Advanced Network/Insurance Carrier Org ID]],Q124), 2)=ROUND(SUMIFS(AN_TME23[[#All],[TOTAL Non-Truncated Unadjusted Claims Expenses]], AN_TME23[[#All],[Insurance Category Code]],2, AN_TME23[[#All],[Advanced Network/Insurance Carrier Org ID]],Q124),2)</f>
        <v>1</v>
      </c>
      <c r="AF124" s="323" t="str">
        <f t="shared" si="12"/>
        <v>NA</v>
      </c>
    </row>
    <row r="125" spans="2:32" outlineLevel="1" x14ac:dyDescent="0.25">
      <c r="B125" s="236">
        <v>104</v>
      </c>
      <c r="C125" s="463">
        <f>ROUND(SUMIFS(Age_Sex22[[#All],[Total Member Months by Age/Sex Band]], Age_Sex22[[#All],[Advanced Network ID]], $B125, Age_Sex22[[#All],[Insurance Category Code]],2),2)</f>
        <v>0</v>
      </c>
      <c r="D125" s="268">
        <f>ROUND(SUMIFS(Age_Sex22[[#All],[Total Dollars Excluded from Spending After Applying Truncation at the Member Level]], Age_Sex22[[#All],[Advanced Network ID]], $B125, Age_Sex22[[#All],[Insurance Category Code]],2),2)</f>
        <v>0</v>
      </c>
      <c r="E125" s="229">
        <f>ROUND(SUMIFS(Age_Sex22[[#All],[Count of Members whose Spending was Truncated]], Age_Sex22[[#All],[Advanced Network ID]], $B125, Age_Sex22[[#All],[Insurance Category Code]],2),2)</f>
        <v>0</v>
      </c>
      <c r="F125" s="230">
        <f>ROUND(SUMIFS(Age_Sex22[[#All],[Total Spending before Truncation is Applied]], Age_Sex22[[#All],[Advanced Network ID]], $B125, Age_Sex22[[#All],[Insurance Category Code]],2),2)</f>
        <v>0</v>
      </c>
      <c r="G125" s="232">
        <f>ROUND(SUMIFS(Age_Sex22[[#All],[Total Spending After Applying Truncation at the Member Level]], Age_Sex22[[#All],[Advanced Network ID]], $B125, Age_Sex22[[#All],[Insurance Category Code]],2),2)</f>
        <v>0</v>
      </c>
      <c r="H125" s="416" t="str">
        <f>IF(C125=ROUND(SUMIFS(AN_TME22[[#All],[Member Months]], AN_TME22[[#All],[Insurance Category Code]],2, AN_TME22[[#All],[Advanced Network/Insurance Carrier Org ID]],B125),2), "TRUE", ROUND(C125-SUMIFS(AN_TME22[[#All],[Member Months]], AN_TME22[[#All],[Insurance Category Code]],2, AN_TME22[[#All],[Advanced Network/Insurance Carrier Org ID]],B125),2))</f>
        <v>TRUE</v>
      </c>
      <c r="I125" s="280" t="str">
        <f>IF(D125=ROUND(SUMIFS(AN_TME22[[#All],[Total Claims Excluded because of Truncation]], AN_TME22[[#All],[Insurance Category Code]],2, AN_TME22[[#All],[Advanced Network/Insurance Carrier Org ID]],B125),2), "TRUE", ROUND(D125-SUMIFS(AN_TME22[[#All],[Total Claims Excluded because of Truncation]], AN_TME22[[#All],[Insurance Category Code]],2, AN_TME22[[#All],[Advanced Network/Insurance Carrier Org ID]],B125),2))</f>
        <v>TRUE</v>
      </c>
      <c r="J125" s="281" t="str">
        <f>IF(E125=ROUND(SUMIFS(AN_TME22[[#All],[Count of Members with Claims Truncated]], AN_TME22[[#All],[Insurance Category Code]],2, AN_TME22[[#All],[Advanced Network/Insurance Carrier Org ID]],B125),2), "TRUE", ROUND(E125-SUMIFS(AN_TME22[[#All],[Count of Members with Claims Truncated]], AN_TME22[[#All],[Insurance Category Code]],2, AN_TME22[[#All],[Advanced Network/Insurance Carrier Org ID]],B125),2))</f>
        <v>TRUE</v>
      </c>
      <c r="K125" s="282" t="str">
        <f>IF(F125=ROUND(SUMIFS(AN_TME22[[#All],[TOTAL Non-Truncated Unadjusted Claims Expenses]], AN_TME22[[#All],[Insurance Category Code]],2, AN_TME22[[#All],[Advanced Network/Insurance Carrier Org ID]],B125),2), "TRUE", ROUND(F125-SUMIFS(AN_TME22[[#All],[TOTAL Non-Truncated Unadjusted Claims Expenses]], AN_TME22[[#All],[Insurance Category Code]],2, AN_TME22[[#All],[Advanced Network/Insurance Carrier Org ID]],B125),2))</f>
        <v>TRUE</v>
      </c>
      <c r="L125" s="295" t="str">
        <f>IF(G125=ROUND(SUMIFS(AN_TME22[[#All],[TOTAL Truncated Unadjusted Claims Expenses (A21 -A19)]], AN_TME22[[#All],[Insurance Category Code]],2, AN_TME22[[#All],[Advanced Network/Insurance Carrier Org ID]],B125),2), "TRUE", ROUND(G125-SUMIFS(AN_TME22[[#All],[TOTAL Truncated Unadjusted Claims Expenses (A21 -A19)]], AN_TME22[[#All],[Insurance Category Code]],2, AN_TME22[[#All],[Advanced Network/Insurance Carrier Org ID]],B125),2))</f>
        <v>TRUE</v>
      </c>
      <c r="M125" s="461" t="str">
        <f t="shared" si="11"/>
        <v>TRUE</v>
      </c>
      <c r="N125" s="282" t="b">
        <f>ROUND(SUMIFS(AN_TME22[[#All],[TOTAL Non-Truncated Unadjusted Claims Expenses]], AN_TME22[[#All],[Insurance Category Code]],2, AN_TME22[[#All],[Advanced Network/Insurance Carrier Org ID]],B125),2)&gt;=ROUND(SUMIFS(AN_TME22[[#All],[TOTAL Truncated Unadjusted Claims Expenses (A21 -A19)]], AN_TME22[[#All],[Insurance Category Code]],2, AN_TME22[[#All],[Advanced Network/Insurance Carrier Org ID]],B125), 2)</f>
        <v>1</v>
      </c>
      <c r="O125" s="295" t="b">
        <f>ROUND(SUMIFS(AN_TME22[[#All],[TOTAL Truncated Unadjusted Claims Expenses (A21 -A19)]], AN_TME22[[#All],[Insurance Category Code]],2, AN_TME22[[#All],[Advanced Network/Insurance Carrier Org ID]],B125)+SUMIFS(AN_TME22[[#All],[Total Claims Excluded because of Truncation]], AN_TME22[[#All],[Insurance Category Code]],2, AN_TME22[[#All],[Advanced Network/Insurance Carrier Org ID]],B125),2)=ROUND(SUMIFS(AN_TME22[[#All],[TOTAL Non-Truncated Unadjusted Claims Expenses]], AN_TME22[[#All],[Insurance Category Code]],2, AN_TME22[[#All],[Advanced Network/Insurance Carrier Org ID]],B125), 2)</f>
        <v>1</v>
      </c>
      <c r="Q125" s="236">
        <v>104</v>
      </c>
      <c r="R125" s="463">
        <f>ROUND(SUMIFS(Age_Sex23[[#All],[Total Member Months by Age/Sex Band]], Age_Sex23[[#All],[Advanced Network ID]], $Q125, Age_Sex23[[#All],[Insurance Category Code]],2),2)</f>
        <v>0</v>
      </c>
      <c r="S125" s="268">
        <f>ROUND(SUMIFS(Age_Sex23[[#All],[Total Dollars Excluded from Spending After Applying Truncation at the Member Level]], Age_Sex23[[#All],[Advanced Network ID]], $B125, Age_Sex23[[#All],[Insurance Category Code]],2),2)</f>
        <v>0</v>
      </c>
      <c r="T125" s="229">
        <f>ROUND(SUMIFS(Age_Sex23[[#All],[Count of Members whose Spending was Truncated]], Age_Sex23[[#All],[Advanced Network ID]], $B125, Age_Sex23[[#All],[Insurance Category Code]],2),2)</f>
        <v>0</v>
      </c>
      <c r="U125" s="230">
        <f>ROUND(SUMIFS(Age_Sex23[[#All],[Total Spending before Truncation is Applied]], Age_Sex23[[#All],[Advanced Network ID]], $B125, Age_Sex23[[#All],[Insurance Category Code]],2),2)</f>
        <v>0</v>
      </c>
      <c r="V125" s="232">
        <f>ROUND(SUMIFS(Age_Sex23[[#All],[Total Spending After Applying Truncation at the Member Level]], Age_Sex23[[#All],[Advanced Network ID]], $B125, Age_Sex23[[#All],[Insurance Category Code]],2), 2)</f>
        <v>0</v>
      </c>
      <c r="W125" s="416" t="str">
        <f>IF(R125=ROUND(SUMIFS(AN_TME23[[#All],[Member Months]], AN_TME23[[#All],[Insurance Category Code]],2, AN_TME23[[#All],[Advanced Network/Insurance Carrier Org ID]],Q125),2), "TRUE", ROUND(R125-SUMIFS(AN_TME23[[#All],[Member Months]], AN_TME23[[#All],[Insurance Category Code]],2, AN_TME23[[#All],[Advanced Network/Insurance Carrier Org ID]],Q125),2))</f>
        <v>TRUE</v>
      </c>
      <c r="X125" s="280" t="str">
        <f>IF(S125=ROUND(SUMIFS(AN_TME23[[#All],[Total Claims Excluded because of Truncation]], AN_TME23[[#All],[Insurance Category Code]],2, AN_TME23[[#All],[Advanced Network/Insurance Carrier Org ID]],Q125),2), "TRUE", ROUND(S125-SUMIFS(AN_TME23[[#All],[Total Claims Excluded because of Truncation]], AN_TME23[[#All],[Insurance Category Code]],2, AN_TME23[[#All],[Advanced Network/Insurance Carrier Org ID]],Q125),2))</f>
        <v>TRUE</v>
      </c>
      <c r="Y125" s="281" t="str">
        <f>IF(T125=ROUND(SUMIFS(AN_TME23[[#All],[Count of Members with Claims Truncated]], AN_TME23[[#All],[Insurance Category Code]],2, AN_TME23[[#All],[Advanced Network/Insurance Carrier Org ID]],Q125),2), "TRUE", ROUND(T125-SUMIFS(AN_TME23[[#All],[Count of Members with Claims Truncated]], AN_TME23[[#All],[Insurance Category Code]],2, AN_TME23[[#All],[Advanced Network/Insurance Carrier Org ID]],Q125),2))</f>
        <v>TRUE</v>
      </c>
      <c r="Z125" s="282" t="str">
        <f>IF(U125=ROUND(SUMIFS(AN_TME23[[#All],[TOTAL Non-Truncated Unadjusted Claims Expenses]], AN_TME23[[#All],[Insurance Category Code]],2, AN_TME23[[#All],[Advanced Network/Insurance Carrier Org ID]],Q125),2), "TRUE", ROUND(U125-SUMIFS(AN_TME23[[#All],[TOTAL Non-Truncated Unadjusted Claims Expenses]], AN_TME23[[#All],[Insurance Category Code]],2, AN_TME23[[#All],[Advanced Network/Insurance Carrier Org ID]],Q125),2))</f>
        <v>TRUE</v>
      </c>
      <c r="AA125" s="295" t="str">
        <f>IF(V125=ROUND(SUMIFS(AN_TME23[[#All],[TOTAL Truncated Unadjusted Claims Expenses (A21 -A19)]], AN_TME23[[#All],[Insurance Category Code]],2, AN_TME23[[#All],[Advanced Network/Insurance Carrier Org ID]],Q125),2), "TRUE", ROUND(V125-SUMIFS(AN_TME23[[#All],[TOTAL Truncated Unadjusted Claims Expenses (A21 -A19)]], AN_TME23[[#All],[Insurance Category Code]],2, AN_TME23[[#All],[Advanced Network/Insurance Carrier Org ID]],Q125),2))</f>
        <v>TRUE</v>
      </c>
      <c r="AB125" s="461" t="str">
        <f t="shared" si="13"/>
        <v>TRUE</v>
      </c>
      <c r="AC125" s="282" t="b">
        <f>ROUND(SUMIFS(AN_TME23[[#All],[TOTAL Non-Truncated Unadjusted Claims Expenses]], AN_TME23[[#All],[Insurance Category Code]],2, AN_TME23[[#All],[Advanced Network/Insurance Carrier Org ID]],Q125),2)&gt;=ROUND(SUMIFS(AN_TME23[[#All],[TOTAL Truncated Unadjusted Claims Expenses (A21 -A19)]], AN_TME23[[#All],[Insurance Category Code]],2, AN_TME23[[#All],[Advanced Network/Insurance Carrier Org ID]],Q125),2)</f>
        <v>1</v>
      </c>
      <c r="AD125" s="295" t="b">
        <f>ROUND(SUMIFS(AN_TME23[[#All],[TOTAL Truncated Unadjusted Claims Expenses (A21 -A19)]], AN_TME23[[#All],[Insurance Category Code]],2, AN_TME23[[#All],[Advanced Network/Insurance Carrier Org ID]],Q125)+SUMIFS(AN_TME23[[#All],[Total Claims Excluded because of Truncation]], AN_TME23[[#All],[Insurance Category Code]],2, AN_TME23[[#All],[Advanced Network/Insurance Carrier Org ID]],Q125), 2)=ROUND(SUMIFS(AN_TME23[[#All],[TOTAL Non-Truncated Unadjusted Claims Expenses]], AN_TME23[[#All],[Insurance Category Code]],2, AN_TME23[[#All],[Advanced Network/Insurance Carrier Org ID]],Q125),2)</f>
        <v>1</v>
      </c>
      <c r="AF125" s="323" t="str">
        <f t="shared" si="12"/>
        <v>NA</v>
      </c>
    </row>
    <row r="126" spans="2:32" outlineLevel="1" x14ac:dyDescent="0.25">
      <c r="B126" s="236">
        <v>105</v>
      </c>
      <c r="C126" s="463">
        <f>ROUND(SUMIFS(Age_Sex22[[#All],[Total Member Months by Age/Sex Band]], Age_Sex22[[#All],[Advanced Network ID]], $B126, Age_Sex22[[#All],[Insurance Category Code]],2),2)</f>
        <v>0</v>
      </c>
      <c r="D126" s="268">
        <f>ROUND(SUMIFS(Age_Sex22[[#All],[Total Dollars Excluded from Spending After Applying Truncation at the Member Level]], Age_Sex22[[#All],[Advanced Network ID]], $B126, Age_Sex22[[#All],[Insurance Category Code]],2),2)</f>
        <v>0</v>
      </c>
      <c r="E126" s="229">
        <f>ROUND(SUMIFS(Age_Sex22[[#All],[Count of Members whose Spending was Truncated]], Age_Sex22[[#All],[Advanced Network ID]], $B126, Age_Sex22[[#All],[Insurance Category Code]],2),2)</f>
        <v>0</v>
      </c>
      <c r="F126" s="230">
        <f>ROUND(SUMIFS(Age_Sex22[[#All],[Total Spending before Truncation is Applied]], Age_Sex22[[#All],[Advanced Network ID]], $B126, Age_Sex22[[#All],[Insurance Category Code]],2),2)</f>
        <v>0</v>
      </c>
      <c r="G126" s="232">
        <f>ROUND(SUMIFS(Age_Sex22[[#All],[Total Spending After Applying Truncation at the Member Level]], Age_Sex22[[#All],[Advanced Network ID]], $B126, Age_Sex22[[#All],[Insurance Category Code]],2),2)</f>
        <v>0</v>
      </c>
      <c r="H126" s="416" t="str">
        <f>IF(C126=ROUND(SUMIFS(AN_TME22[[#All],[Member Months]], AN_TME22[[#All],[Insurance Category Code]],2, AN_TME22[[#All],[Advanced Network/Insurance Carrier Org ID]],B126),2), "TRUE", ROUND(C126-SUMIFS(AN_TME22[[#All],[Member Months]], AN_TME22[[#All],[Insurance Category Code]],2, AN_TME22[[#All],[Advanced Network/Insurance Carrier Org ID]],B126),2))</f>
        <v>TRUE</v>
      </c>
      <c r="I126" s="280" t="str">
        <f>IF(D126=ROUND(SUMIFS(AN_TME22[[#All],[Total Claims Excluded because of Truncation]], AN_TME22[[#All],[Insurance Category Code]],2, AN_TME22[[#All],[Advanced Network/Insurance Carrier Org ID]],B126),2), "TRUE", ROUND(D126-SUMIFS(AN_TME22[[#All],[Total Claims Excluded because of Truncation]], AN_TME22[[#All],[Insurance Category Code]],2, AN_TME22[[#All],[Advanced Network/Insurance Carrier Org ID]],B126),2))</f>
        <v>TRUE</v>
      </c>
      <c r="J126" s="281" t="str">
        <f>IF(E126=ROUND(SUMIFS(AN_TME22[[#All],[Count of Members with Claims Truncated]], AN_TME22[[#All],[Insurance Category Code]],2, AN_TME22[[#All],[Advanced Network/Insurance Carrier Org ID]],B126),2), "TRUE", ROUND(E126-SUMIFS(AN_TME22[[#All],[Count of Members with Claims Truncated]], AN_TME22[[#All],[Insurance Category Code]],2, AN_TME22[[#All],[Advanced Network/Insurance Carrier Org ID]],B126),2))</f>
        <v>TRUE</v>
      </c>
      <c r="K126" s="282" t="str">
        <f>IF(F126=ROUND(SUMIFS(AN_TME22[[#All],[TOTAL Non-Truncated Unadjusted Claims Expenses]], AN_TME22[[#All],[Insurance Category Code]],2, AN_TME22[[#All],[Advanced Network/Insurance Carrier Org ID]],B126),2), "TRUE", ROUND(F126-SUMIFS(AN_TME22[[#All],[TOTAL Non-Truncated Unadjusted Claims Expenses]], AN_TME22[[#All],[Insurance Category Code]],2, AN_TME22[[#All],[Advanced Network/Insurance Carrier Org ID]],B126),2))</f>
        <v>TRUE</v>
      </c>
      <c r="L126" s="295" t="str">
        <f>IF(G126=ROUND(SUMIFS(AN_TME22[[#All],[TOTAL Truncated Unadjusted Claims Expenses (A21 -A19)]], AN_TME22[[#All],[Insurance Category Code]],2, AN_TME22[[#All],[Advanced Network/Insurance Carrier Org ID]],B126),2), "TRUE", ROUND(G126-SUMIFS(AN_TME22[[#All],[TOTAL Truncated Unadjusted Claims Expenses (A21 -A19)]], AN_TME22[[#All],[Insurance Category Code]],2, AN_TME22[[#All],[Advanced Network/Insurance Carrier Org ID]],B126),2))</f>
        <v>TRUE</v>
      </c>
      <c r="M126" s="461" t="str">
        <f t="shared" si="11"/>
        <v>TRUE</v>
      </c>
      <c r="N126" s="282" t="b">
        <f>ROUND(SUMIFS(AN_TME22[[#All],[TOTAL Non-Truncated Unadjusted Claims Expenses]], AN_TME22[[#All],[Insurance Category Code]],2, AN_TME22[[#All],[Advanced Network/Insurance Carrier Org ID]],B126),2)&gt;=ROUND(SUMIFS(AN_TME22[[#All],[TOTAL Truncated Unadjusted Claims Expenses (A21 -A19)]], AN_TME22[[#All],[Insurance Category Code]],2, AN_TME22[[#All],[Advanced Network/Insurance Carrier Org ID]],B126), 2)</f>
        <v>1</v>
      </c>
      <c r="O126" s="295" t="b">
        <f>ROUND(SUMIFS(AN_TME22[[#All],[TOTAL Truncated Unadjusted Claims Expenses (A21 -A19)]], AN_TME22[[#All],[Insurance Category Code]],2, AN_TME22[[#All],[Advanced Network/Insurance Carrier Org ID]],B126)+SUMIFS(AN_TME22[[#All],[Total Claims Excluded because of Truncation]], AN_TME22[[#All],[Insurance Category Code]],2, AN_TME22[[#All],[Advanced Network/Insurance Carrier Org ID]],B126),2)=ROUND(SUMIFS(AN_TME22[[#All],[TOTAL Non-Truncated Unadjusted Claims Expenses]], AN_TME22[[#All],[Insurance Category Code]],2, AN_TME22[[#All],[Advanced Network/Insurance Carrier Org ID]],B126), 2)</f>
        <v>1</v>
      </c>
      <c r="Q126" s="236">
        <v>105</v>
      </c>
      <c r="R126" s="463">
        <f>ROUND(SUMIFS(Age_Sex23[[#All],[Total Member Months by Age/Sex Band]], Age_Sex23[[#All],[Advanced Network ID]], $Q126, Age_Sex23[[#All],[Insurance Category Code]],2),2)</f>
        <v>0</v>
      </c>
      <c r="S126" s="268">
        <f>ROUND(SUMIFS(Age_Sex23[[#All],[Total Dollars Excluded from Spending After Applying Truncation at the Member Level]], Age_Sex23[[#All],[Advanced Network ID]], $B126, Age_Sex23[[#All],[Insurance Category Code]],2),2)</f>
        <v>0</v>
      </c>
      <c r="T126" s="229">
        <f>ROUND(SUMIFS(Age_Sex23[[#All],[Count of Members whose Spending was Truncated]], Age_Sex23[[#All],[Advanced Network ID]], $B126, Age_Sex23[[#All],[Insurance Category Code]],2),2)</f>
        <v>0</v>
      </c>
      <c r="U126" s="230">
        <f>ROUND(SUMIFS(Age_Sex23[[#All],[Total Spending before Truncation is Applied]], Age_Sex23[[#All],[Advanced Network ID]], $B126, Age_Sex23[[#All],[Insurance Category Code]],2),2)</f>
        <v>0</v>
      </c>
      <c r="V126" s="232">
        <f>ROUND(SUMIFS(Age_Sex23[[#All],[Total Spending After Applying Truncation at the Member Level]], Age_Sex23[[#All],[Advanced Network ID]], $B126, Age_Sex23[[#All],[Insurance Category Code]],2), 2)</f>
        <v>0</v>
      </c>
      <c r="W126" s="416" t="str">
        <f>IF(R126=ROUND(SUMIFS(AN_TME23[[#All],[Member Months]], AN_TME23[[#All],[Insurance Category Code]],2, AN_TME23[[#All],[Advanced Network/Insurance Carrier Org ID]],Q126),2), "TRUE", ROUND(R126-SUMIFS(AN_TME23[[#All],[Member Months]], AN_TME23[[#All],[Insurance Category Code]],2, AN_TME23[[#All],[Advanced Network/Insurance Carrier Org ID]],Q126),2))</f>
        <v>TRUE</v>
      </c>
      <c r="X126" s="280" t="str">
        <f>IF(S126=ROUND(SUMIFS(AN_TME23[[#All],[Total Claims Excluded because of Truncation]], AN_TME23[[#All],[Insurance Category Code]],2, AN_TME23[[#All],[Advanced Network/Insurance Carrier Org ID]],Q126),2), "TRUE", ROUND(S126-SUMIFS(AN_TME23[[#All],[Total Claims Excluded because of Truncation]], AN_TME23[[#All],[Insurance Category Code]],2, AN_TME23[[#All],[Advanced Network/Insurance Carrier Org ID]],Q126),2))</f>
        <v>TRUE</v>
      </c>
      <c r="Y126" s="281" t="str">
        <f>IF(T126=ROUND(SUMIFS(AN_TME23[[#All],[Count of Members with Claims Truncated]], AN_TME23[[#All],[Insurance Category Code]],2, AN_TME23[[#All],[Advanced Network/Insurance Carrier Org ID]],Q126),2), "TRUE", ROUND(T126-SUMIFS(AN_TME23[[#All],[Count of Members with Claims Truncated]], AN_TME23[[#All],[Insurance Category Code]],2, AN_TME23[[#All],[Advanced Network/Insurance Carrier Org ID]],Q126),2))</f>
        <v>TRUE</v>
      </c>
      <c r="Z126" s="282" t="str">
        <f>IF(U126=ROUND(SUMIFS(AN_TME23[[#All],[TOTAL Non-Truncated Unadjusted Claims Expenses]], AN_TME23[[#All],[Insurance Category Code]],2, AN_TME23[[#All],[Advanced Network/Insurance Carrier Org ID]],Q126),2), "TRUE", ROUND(U126-SUMIFS(AN_TME23[[#All],[TOTAL Non-Truncated Unadjusted Claims Expenses]], AN_TME23[[#All],[Insurance Category Code]],2, AN_TME23[[#All],[Advanced Network/Insurance Carrier Org ID]],Q126),2))</f>
        <v>TRUE</v>
      </c>
      <c r="AA126" s="295" t="str">
        <f>IF(V126=ROUND(SUMIFS(AN_TME23[[#All],[TOTAL Truncated Unadjusted Claims Expenses (A21 -A19)]], AN_TME23[[#All],[Insurance Category Code]],2, AN_TME23[[#All],[Advanced Network/Insurance Carrier Org ID]],Q126),2), "TRUE", ROUND(V126-SUMIFS(AN_TME23[[#All],[TOTAL Truncated Unadjusted Claims Expenses (A21 -A19)]], AN_TME23[[#All],[Insurance Category Code]],2, AN_TME23[[#All],[Advanced Network/Insurance Carrier Org ID]],Q126),2))</f>
        <v>TRUE</v>
      </c>
      <c r="AB126" s="461" t="str">
        <f t="shared" si="13"/>
        <v>TRUE</v>
      </c>
      <c r="AC126" s="282" t="b">
        <f>ROUND(SUMIFS(AN_TME23[[#All],[TOTAL Non-Truncated Unadjusted Claims Expenses]], AN_TME23[[#All],[Insurance Category Code]],2, AN_TME23[[#All],[Advanced Network/Insurance Carrier Org ID]],Q126),2)&gt;=ROUND(SUMIFS(AN_TME23[[#All],[TOTAL Truncated Unadjusted Claims Expenses (A21 -A19)]], AN_TME23[[#All],[Insurance Category Code]],2, AN_TME23[[#All],[Advanced Network/Insurance Carrier Org ID]],Q126),2)</f>
        <v>1</v>
      </c>
      <c r="AD126" s="295" t="b">
        <f>ROUND(SUMIFS(AN_TME23[[#All],[TOTAL Truncated Unadjusted Claims Expenses (A21 -A19)]], AN_TME23[[#All],[Insurance Category Code]],2, AN_TME23[[#All],[Advanced Network/Insurance Carrier Org ID]],Q126)+SUMIFS(AN_TME23[[#All],[Total Claims Excluded because of Truncation]], AN_TME23[[#All],[Insurance Category Code]],2, AN_TME23[[#All],[Advanced Network/Insurance Carrier Org ID]],Q126), 2)=ROUND(SUMIFS(AN_TME23[[#All],[TOTAL Non-Truncated Unadjusted Claims Expenses]], AN_TME23[[#All],[Insurance Category Code]],2, AN_TME23[[#All],[Advanced Network/Insurance Carrier Org ID]],Q126),2)</f>
        <v>1</v>
      </c>
      <c r="AF126" s="323" t="str">
        <f t="shared" si="12"/>
        <v>NA</v>
      </c>
    </row>
    <row r="127" spans="2:32" outlineLevel="1" x14ac:dyDescent="0.25">
      <c r="B127" s="236">
        <v>106</v>
      </c>
      <c r="C127" s="463">
        <f>ROUND(SUMIFS(Age_Sex22[[#All],[Total Member Months by Age/Sex Band]], Age_Sex22[[#All],[Advanced Network ID]], $B127, Age_Sex22[[#All],[Insurance Category Code]],2),2)</f>
        <v>0</v>
      </c>
      <c r="D127" s="268">
        <f>ROUND(SUMIFS(Age_Sex22[[#All],[Total Dollars Excluded from Spending After Applying Truncation at the Member Level]], Age_Sex22[[#All],[Advanced Network ID]], $B127, Age_Sex22[[#All],[Insurance Category Code]],2),2)</f>
        <v>0</v>
      </c>
      <c r="E127" s="229">
        <f>ROUND(SUMIFS(Age_Sex22[[#All],[Count of Members whose Spending was Truncated]], Age_Sex22[[#All],[Advanced Network ID]], $B127, Age_Sex22[[#All],[Insurance Category Code]],2),2)</f>
        <v>0</v>
      </c>
      <c r="F127" s="230">
        <f>ROUND(SUMIFS(Age_Sex22[[#All],[Total Spending before Truncation is Applied]], Age_Sex22[[#All],[Advanced Network ID]], $B127, Age_Sex22[[#All],[Insurance Category Code]],2),2)</f>
        <v>0</v>
      </c>
      <c r="G127" s="232">
        <f>ROUND(SUMIFS(Age_Sex22[[#All],[Total Spending After Applying Truncation at the Member Level]], Age_Sex22[[#All],[Advanced Network ID]], $B127, Age_Sex22[[#All],[Insurance Category Code]],2),2)</f>
        <v>0</v>
      </c>
      <c r="H127" s="416" t="str">
        <f>IF(C127=ROUND(SUMIFS(AN_TME22[[#All],[Member Months]], AN_TME22[[#All],[Insurance Category Code]],2, AN_TME22[[#All],[Advanced Network/Insurance Carrier Org ID]],B127),2), "TRUE", ROUND(C127-SUMIFS(AN_TME22[[#All],[Member Months]], AN_TME22[[#All],[Insurance Category Code]],2, AN_TME22[[#All],[Advanced Network/Insurance Carrier Org ID]],B127),2))</f>
        <v>TRUE</v>
      </c>
      <c r="I127" s="280" t="str">
        <f>IF(D127=ROUND(SUMIFS(AN_TME22[[#All],[Total Claims Excluded because of Truncation]], AN_TME22[[#All],[Insurance Category Code]],2, AN_TME22[[#All],[Advanced Network/Insurance Carrier Org ID]],B127),2), "TRUE", ROUND(D127-SUMIFS(AN_TME22[[#All],[Total Claims Excluded because of Truncation]], AN_TME22[[#All],[Insurance Category Code]],2, AN_TME22[[#All],[Advanced Network/Insurance Carrier Org ID]],B127),2))</f>
        <v>TRUE</v>
      </c>
      <c r="J127" s="281" t="str">
        <f>IF(E127=ROUND(SUMIFS(AN_TME22[[#All],[Count of Members with Claims Truncated]], AN_TME22[[#All],[Insurance Category Code]],2, AN_TME22[[#All],[Advanced Network/Insurance Carrier Org ID]],B127),2), "TRUE", ROUND(E127-SUMIFS(AN_TME22[[#All],[Count of Members with Claims Truncated]], AN_TME22[[#All],[Insurance Category Code]],2, AN_TME22[[#All],[Advanced Network/Insurance Carrier Org ID]],B127),2))</f>
        <v>TRUE</v>
      </c>
      <c r="K127" s="282" t="str">
        <f>IF(F127=ROUND(SUMIFS(AN_TME22[[#All],[TOTAL Non-Truncated Unadjusted Claims Expenses]], AN_TME22[[#All],[Insurance Category Code]],2, AN_TME22[[#All],[Advanced Network/Insurance Carrier Org ID]],B127),2), "TRUE", ROUND(F127-SUMIFS(AN_TME22[[#All],[TOTAL Non-Truncated Unadjusted Claims Expenses]], AN_TME22[[#All],[Insurance Category Code]],2, AN_TME22[[#All],[Advanced Network/Insurance Carrier Org ID]],B127),2))</f>
        <v>TRUE</v>
      </c>
      <c r="L127" s="295" t="str">
        <f>IF(G127=ROUND(SUMIFS(AN_TME22[[#All],[TOTAL Truncated Unadjusted Claims Expenses (A21 -A19)]], AN_TME22[[#All],[Insurance Category Code]],2, AN_TME22[[#All],[Advanced Network/Insurance Carrier Org ID]],B127),2), "TRUE", ROUND(G127-SUMIFS(AN_TME22[[#All],[TOTAL Truncated Unadjusted Claims Expenses (A21 -A19)]], AN_TME22[[#All],[Insurance Category Code]],2, AN_TME22[[#All],[Advanced Network/Insurance Carrier Org ID]],B127),2))</f>
        <v>TRUE</v>
      </c>
      <c r="M127" s="461" t="str">
        <f t="shared" si="11"/>
        <v>TRUE</v>
      </c>
      <c r="N127" s="282" t="b">
        <f>ROUND(SUMIFS(AN_TME22[[#All],[TOTAL Non-Truncated Unadjusted Claims Expenses]], AN_TME22[[#All],[Insurance Category Code]],2, AN_TME22[[#All],[Advanced Network/Insurance Carrier Org ID]],B127),2)&gt;=ROUND(SUMIFS(AN_TME22[[#All],[TOTAL Truncated Unadjusted Claims Expenses (A21 -A19)]], AN_TME22[[#All],[Insurance Category Code]],2, AN_TME22[[#All],[Advanced Network/Insurance Carrier Org ID]],B127), 2)</f>
        <v>1</v>
      </c>
      <c r="O127" s="295" t="b">
        <f>ROUND(SUMIFS(AN_TME22[[#All],[TOTAL Truncated Unadjusted Claims Expenses (A21 -A19)]], AN_TME22[[#All],[Insurance Category Code]],2, AN_TME22[[#All],[Advanced Network/Insurance Carrier Org ID]],B127)+SUMIFS(AN_TME22[[#All],[Total Claims Excluded because of Truncation]], AN_TME22[[#All],[Insurance Category Code]],2, AN_TME22[[#All],[Advanced Network/Insurance Carrier Org ID]],B127),2)=ROUND(SUMIFS(AN_TME22[[#All],[TOTAL Non-Truncated Unadjusted Claims Expenses]], AN_TME22[[#All],[Insurance Category Code]],2, AN_TME22[[#All],[Advanced Network/Insurance Carrier Org ID]],B127), 2)</f>
        <v>1</v>
      </c>
      <c r="Q127" s="236">
        <v>106</v>
      </c>
      <c r="R127" s="463">
        <f>ROUND(SUMIFS(Age_Sex23[[#All],[Total Member Months by Age/Sex Band]], Age_Sex23[[#All],[Advanced Network ID]], $Q127, Age_Sex23[[#All],[Insurance Category Code]],2),2)</f>
        <v>0</v>
      </c>
      <c r="S127" s="268">
        <f>ROUND(SUMIFS(Age_Sex23[[#All],[Total Dollars Excluded from Spending After Applying Truncation at the Member Level]], Age_Sex23[[#All],[Advanced Network ID]], $B127, Age_Sex23[[#All],[Insurance Category Code]],2),2)</f>
        <v>0</v>
      </c>
      <c r="T127" s="229">
        <f>ROUND(SUMIFS(Age_Sex23[[#All],[Count of Members whose Spending was Truncated]], Age_Sex23[[#All],[Advanced Network ID]], $B127, Age_Sex23[[#All],[Insurance Category Code]],2),2)</f>
        <v>0</v>
      </c>
      <c r="U127" s="230">
        <f>ROUND(SUMIFS(Age_Sex23[[#All],[Total Spending before Truncation is Applied]], Age_Sex23[[#All],[Advanced Network ID]], $B127, Age_Sex23[[#All],[Insurance Category Code]],2),2)</f>
        <v>0</v>
      </c>
      <c r="V127" s="232">
        <f>ROUND(SUMIFS(Age_Sex23[[#All],[Total Spending After Applying Truncation at the Member Level]], Age_Sex23[[#All],[Advanced Network ID]], $B127, Age_Sex23[[#All],[Insurance Category Code]],2), 2)</f>
        <v>0</v>
      </c>
      <c r="W127" s="416" t="str">
        <f>IF(R127=ROUND(SUMIFS(AN_TME23[[#All],[Member Months]], AN_TME23[[#All],[Insurance Category Code]],2, AN_TME23[[#All],[Advanced Network/Insurance Carrier Org ID]],Q127),2), "TRUE", ROUND(R127-SUMIFS(AN_TME23[[#All],[Member Months]], AN_TME23[[#All],[Insurance Category Code]],2, AN_TME23[[#All],[Advanced Network/Insurance Carrier Org ID]],Q127),2))</f>
        <v>TRUE</v>
      </c>
      <c r="X127" s="280" t="str">
        <f>IF(S127=ROUND(SUMIFS(AN_TME23[[#All],[Total Claims Excluded because of Truncation]], AN_TME23[[#All],[Insurance Category Code]],2, AN_TME23[[#All],[Advanced Network/Insurance Carrier Org ID]],Q127),2), "TRUE", ROUND(S127-SUMIFS(AN_TME23[[#All],[Total Claims Excluded because of Truncation]], AN_TME23[[#All],[Insurance Category Code]],2, AN_TME23[[#All],[Advanced Network/Insurance Carrier Org ID]],Q127),2))</f>
        <v>TRUE</v>
      </c>
      <c r="Y127" s="281" t="str">
        <f>IF(T127=ROUND(SUMIFS(AN_TME23[[#All],[Count of Members with Claims Truncated]], AN_TME23[[#All],[Insurance Category Code]],2, AN_TME23[[#All],[Advanced Network/Insurance Carrier Org ID]],Q127),2), "TRUE", ROUND(T127-SUMIFS(AN_TME23[[#All],[Count of Members with Claims Truncated]], AN_TME23[[#All],[Insurance Category Code]],2, AN_TME23[[#All],[Advanced Network/Insurance Carrier Org ID]],Q127),2))</f>
        <v>TRUE</v>
      </c>
      <c r="Z127" s="282" t="str">
        <f>IF(U127=ROUND(SUMIFS(AN_TME23[[#All],[TOTAL Non-Truncated Unadjusted Claims Expenses]], AN_TME23[[#All],[Insurance Category Code]],2, AN_TME23[[#All],[Advanced Network/Insurance Carrier Org ID]],Q127),2), "TRUE", ROUND(U127-SUMIFS(AN_TME23[[#All],[TOTAL Non-Truncated Unadjusted Claims Expenses]], AN_TME23[[#All],[Insurance Category Code]],2, AN_TME23[[#All],[Advanced Network/Insurance Carrier Org ID]],Q127),2))</f>
        <v>TRUE</v>
      </c>
      <c r="AA127" s="295" t="str">
        <f>IF(V127=ROUND(SUMIFS(AN_TME23[[#All],[TOTAL Truncated Unadjusted Claims Expenses (A21 -A19)]], AN_TME23[[#All],[Insurance Category Code]],2, AN_TME23[[#All],[Advanced Network/Insurance Carrier Org ID]],Q127),2), "TRUE", ROUND(V127-SUMIFS(AN_TME23[[#All],[TOTAL Truncated Unadjusted Claims Expenses (A21 -A19)]], AN_TME23[[#All],[Insurance Category Code]],2, AN_TME23[[#All],[Advanced Network/Insurance Carrier Org ID]],Q127),2))</f>
        <v>TRUE</v>
      </c>
      <c r="AB127" s="461" t="str">
        <f t="shared" si="13"/>
        <v>TRUE</v>
      </c>
      <c r="AC127" s="282" t="b">
        <f>ROUND(SUMIFS(AN_TME23[[#All],[TOTAL Non-Truncated Unadjusted Claims Expenses]], AN_TME23[[#All],[Insurance Category Code]],2, AN_TME23[[#All],[Advanced Network/Insurance Carrier Org ID]],Q127),2)&gt;=ROUND(SUMIFS(AN_TME23[[#All],[TOTAL Truncated Unadjusted Claims Expenses (A21 -A19)]], AN_TME23[[#All],[Insurance Category Code]],2, AN_TME23[[#All],[Advanced Network/Insurance Carrier Org ID]],Q127),2)</f>
        <v>1</v>
      </c>
      <c r="AD127" s="295" t="b">
        <f>ROUND(SUMIFS(AN_TME23[[#All],[TOTAL Truncated Unadjusted Claims Expenses (A21 -A19)]], AN_TME23[[#All],[Insurance Category Code]],2, AN_TME23[[#All],[Advanced Network/Insurance Carrier Org ID]],Q127)+SUMIFS(AN_TME23[[#All],[Total Claims Excluded because of Truncation]], AN_TME23[[#All],[Insurance Category Code]],2, AN_TME23[[#All],[Advanced Network/Insurance Carrier Org ID]],Q127), 2)=ROUND(SUMIFS(AN_TME23[[#All],[TOTAL Non-Truncated Unadjusted Claims Expenses]], AN_TME23[[#All],[Insurance Category Code]],2, AN_TME23[[#All],[Advanced Network/Insurance Carrier Org ID]],Q127),2)</f>
        <v>1</v>
      </c>
      <c r="AF127" s="323" t="str">
        <f t="shared" si="12"/>
        <v>NA</v>
      </c>
    </row>
    <row r="128" spans="2:32" outlineLevel="1" x14ac:dyDescent="0.25">
      <c r="B128" s="236">
        <v>107</v>
      </c>
      <c r="C128" s="463">
        <f>ROUND(SUMIFS(Age_Sex22[[#All],[Total Member Months by Age/Sex Band]], Age_Sex22[[#All],[Advanced Network ID]], $B128, Age_Sex22[[#All],[Insurance Category Code]],2),2)</f>
        <v>0</v>
      </c>
      <c r="D128" s="268">
        <f>ROUND(SUMIFS(Age_Sex22[[#All],[Total Dollars Excluded from Spending After Applying Truncation at the Member Level]], Age_Sex22[[#All],[Advanced Network ID]], $B128, Age_Sex22[[#All],[Insurance Category Code]],2),2)</f>
        <v>0</v>
      </c>
      <c r="E128" s="229">
        <f>ROUND(SUMIFS(Age_Sex22[[#All],[Count of Members whose Spending was Truncated]], Age_Sex22[[#All],[Advanced Network ID]], $B128, Age_Sex22[[#All],[Insurance Category Code]],2),2)</f>
        <v>0</v>
      </c>
      <c r="F128" s="230">
        <f>ROUND(SUMIFS(Age_Sex22[[#All],[Total Spending before Truncation is Applied]], Age_Sex22[[#All],[Advanced Network ID]], $B128, Age_Sex22[[#All],[Insurance Category Code]],2),2)</f>
        <v>0</v>
      </c>
      <c r="G128" s="232">
        <f>ROUND(SUMIFS(Age_Sex22[[#All],[Total Spending After Applying Truncation at the Member Level]], Age_Sex22[[#All],[Advanced Network ID]], $B128, Age_Sex22[[#All],[Insurance Category Code]],2),2)</f>
        <v>0</v>
      </c>
      <c r="H128" s="416" t="str">
        <f>IF(C128=ROUND(SUMIFS(AN_TME22[[#All],[Member Months]], AN_TME22[[#All],[Insurance Category Code]],2, AN_TME22[[#All],[Advanced Network/Insurance Carrier Org ID]],B128),2), "TRUE", ROUND(C128-SUMIFS(AN_TME22[[#All],[Member Months]], AN_TME22[[#All],[Insurance Category Code]],2, AN_TME22[[#All],[Advanced Network/Insurance Carrier Org ID]],B128),2))</f>
        <v>TRUE</v>
      </c>
      <c r="I128" s="280" t="str">
        <f>IF(D128=ROUND(SUMIFS(AN_TME22[[#All],[Total Claims Excluded because of Truncation]], AN_TME22[[#All],[Insurance Category Code]],2, AN_TME22[[#All],[Advanced Network/Insurance Carrier Org ID]],B128),2), "TRUE", ROUND(D128-SUMIFS(AN_TME22[[#All],[Total Claims Excluded because of Truncation]], AN_TME22[[#All],[Insurance Category Code]],2, AN_TME22[[#All],[Advanced Network/Insurance Carrier Org ID]],B128),2))</f>
        <v>TRUE</v>
      </c>
      <c r="J128" s="281" t="str">
        <f>IF(E128=ROUND(SUMIFS(AN_TME22[[#All],[Count of Members with Claims Truncated]], AN_TME22[[#All],[Insurance Category Code]],2, AN_TME22[[#All],[Advanced Network/Insurance Carrier Org ID]],B128),2), "TRUE", ROUND(E128-SUMIFS(AN_TME22[[#All],[Count of Members with Claims Truncated]], AN_TME22[[#All],[Insurance Category Code]],2, AN_TME22[[#All],[Advanced Network/Insurance Carrier Org ID]],B128),2))</f>
        <v>TRUE</v>
      </c>
      <c r="K128" s="282" t="str">
        <f>IF(F128=ROUND(SUMIFS(AN_TME22[[#All],[TOTAL Non-Truncated Unadjusted Claims Expenses]], AN_TME22[[#All],[Insurance Category Code]],2, AN_TME22[[#All],[Advanced Network/Insurance Carrier Org ID]],B128),2), "TRUE", ROUND(F128-SUMIFS(AN_TME22[[#All],[TOTAL Non-Truncated Unadjusted Claims Expenses]], AN_TME22[[#All],[Insurance Category Code]],2, AN_TME22[[#All],[Advanced Network/Insurance Carrier Org ID]],B128),2))</f>
        <v>TRUE</v>
      </c>
      <c r="L128" s="295" t="str">
        <f>IF(G128=ROUND(SUMIFS(AN_TME22[[#All],[TOTAL Truncated Unadjusted Claims Expenses (A21 -A19)]], AN_TME22[[#All],[Insurance Category Code]],2, AN_TME22[[#All],[Advanced Network/Insurance Carrier Org ID]],B128),2), "TRUE", ROUND(G128-SUMIFS(AN_TME22[[#All],[TOTAL Truncated Unadjusted Claims Expenses (A21 -A19)]], AN_TME22[[#All],[Insurance Category Code]],2, AN_TME22[[#All],[Advanced Network/Insurance Carrier Org ID]],B128),2))</f>
        <v>TRUE</v>
      </c>
      <c r="M128" s="461" t="str">
        <f t="shared" si="11"/>
        <v>TRUE</v>
      </c>
      <c r="N128" s="282" t="b">
        <f>ROUND(SUMIFS(AN_TME22[[#All],[TOTAL Non-Truncated Unadjusted Claims Expenses]], AN_TME22[[#All],[Insurance Category Code]],2, AN_TME22[[#All],[Advanced Network/Insurance Carrier Org ID]],B128),2)&gt;=ROUND(SUMIFS(AN_TME22[[#All],[TOTAL Truncated Unadjusted Claims Expenses (A21 -A19)]], AN_TME22[[#All],[Insurance Category Code]],2, AN_TME22[[#All],[Advanced Network/Insurance Carrier Org ID]],B128), 2)</f>
        <v>1</v>
      </c>
      <c r="O128" s="295" t="b">
        <f>ROUND(SUMIFS(AN_TME22[[#All],[TOTAL Truncated Unadjusted Claims Expenses (A21 -A19)]], AN_TME22[[#All],[Insurance Category Code]],2, AN_TME22[[#All],[Advanced Network/Insurance Carrier Org ID]],B128)+SUMIFS(AN_TME22[[#All],[Total Claims Excluded because of Truncation]], AN_TME22[[#All],[Insurance Category Code]],2, AN_TME22[[#All],[Advanced Network/Insurance Carrier Org ID]],B128),2)=ROUND(SUMIFS(AN_TME22[[#All],[TOTAL Non-Truncated Unadjusted Claims Expenses]], AN_TME22[[#All],[Insurance Category Code]],2, AN_TME22[[#All],[Advanced Network/Insurance Carrier Org ID]],B128), 2)</f>
        <v>1</v>
      </c>
      <c r="Q128" s="236">
        <v>107</v>
      </c>
      <c r="R128" s="463">
        <f>ROUND(SUMIFS(Age_Sex23[[#All],[Total Member Months by Age/Sex Band]], Age_Sex23[[#All],[Advanced Network ID]], $Q128, Age_Sex23[[#All],[Insurance Category Code]],2),2)</f>
        <v>0</v>
      </c>
      <c r="S128" s="268">
        <f>ROUND(SUMIFS(Age_Sex23[[#All],[Total Dollars Excluded from Spending After Applying Truncation at the Member Level]], Age_Sex23[[#All],[Advanced Network ID]], $B128, Age_Sex23[[#All],[Insurance Category Code]],2),2)</f>
        <v>0</v>
      </c>
      <c r="T128" s="229">
        <f>ROUND(SUMIFS(Age_Sex23[[#All],[Count of Members whose Spending was Truncated]], Age_Sex23[[#All],[Advanced Network ID]], $B128, Age_Sex23[[#All],[Insurance Category Code]],2),2)</f>
        <v>0</v>
      </c>
      <c r="U128" s="230">
        <f>ROUND(SUMIFS(Age_Sex23[[#All],[Total Spending before Truncation is Applied]], Age_Sex23[[#All],[Advanced Network ID]], $B128, Age_Sex23[[#All],[Insurance Category Code]],2),2)</f>
        <v>0</v>
      </c>
      <c r="V128" s="232">
        <f>ROUND(SUMIFS(Age_Sex23[[#All],[Total Spending After Applying Truncation at the Member Level]], Age_Sex23[[#All],[Advanced Network ID]], $B128, Age_Sex23[[#All],[Insurance Category Code]],2), 2)</f>
        <v>0</v>
      </c>
      <c r="W128" s="416" t="str">
        <f>IF(R128=ROUND(SUMIFS(AN_TME23[[#All],[Member Months]], AN_TME23[[#All],[Insurance Category Code]],2, AN_TME23[[#All],[Advanced Network/Insurance Carrier Org ID]],Q128),2), "TRUE", ROUND(R128-SUMIFS(AN_TME23[[#All],[Member Months]], AN_TME23[[#All],[Insurance Category Code]],2, AN_TME23[[#All],[Advanced Network/Insurance Carrier Org ID]],Q128),2))</f>
        <v>TRUE</v>
      </c>
      <c r="X128" s="280" t="str">
        <f>IF(S128=ROUND(SUMIFS(AN_TME23[[#All],[Total Claims Excluded because of Truncation]], AN_TME23[[#All],[Insurance Category Code]],2, AN_TME23[[#All],[Advanced Network/Insurance Carrier Org ID]],Q128),2), "TRUE", ROUND(S128-SUMIFS(AN_TME23[[#All],[Total Claims Excluded because of Truncation]], AN_TME23[[#All],[Insurance Category Code]],2, AN_TME23[[#All],[Advanced Network/Insurance Carrier Org ID]],Q128),2))</f>
        <v>TRUE</v>
      </c>
      <c r="Y128" s="281" t="str">
        <f>IF(T128=ROUND(SUMIFS(AN_TME23[[#All],[Count of Members with Claims Truncated]], AN_TME23[[#All],[Insurance Category Code]],2, AN_TME23[[#All],[Advanced Network/Insurance Carrier Org ID]],Q128),2), "TRUE", ROUND(T128-SUMIFS(AN_TME23[[#All],[Count of Members with Claims Truncated]], AN_TME23[[#All],[Insurance Category Code]],2, AN_TME23[[#All],[Advanced Network/Insurance Carrier Org ID]],Q128),2))</f>
        <v>TRUE</v>
      </c>
      <c r="Z128" s="282" t="str">
        <f>IF(U128=ROUND(SUMIFS(AN_TME23[[#All],[TOTAL Non-Truncated Unadjusted Claims Expenses]], AN_TME23[[#All],[Insurance Category Code]],2, AN_TME23[[#All],[Advanced Network/Insurance Carrier Org ID]],Q128),2), "TRUE", ROUND(U128-SUMIFS(AN_TME23[[#All],[TOTAL Non-Truncated Unadjusted Claims Expenses]], AN_TME23[[#All],[Insurance Category Code]],2, AN_TME23[[#All],[Advanced Network/Insurance Carrier Org ID]],Q128),2))</f>
        <v>TRUE</v>
      </c>
      <c r="AA128" s="295" t="str">
        <f>IF(V128=ROUND(SUMIFS(AN_TME23[[#All],[TOTAL Truncated Unadjusted Claims Expenses (A21 -A19)]], AN_TME23[[#All],[Insurance Category Code]],2, AN_TME23[[#All],[Advanced Network/Insurance Carrier Org ID]],Q128),2), "TRUE", ROUND(V128-SUMIFS(AN_TME23[[#All],[TOTAL Truncated Unadjusted Claims Expenses (A21 -A19)]], AN_TME23[[#All],[Insurance Category Code]],2, AN_TME23[[#All],[Advanced Network/Insurance Carrier Org ID]],Q128),2))</f>
        <v>TRUE</v>
      </c>
      <c r="AB128" s="461" t="str">
        <f t="shared" si="13"/>
        <v>TRUE</v>
      </c>
      <c r="AC128" s="282" t="b">
        <f>ROUND(SUMIFS(AN_TME23[[#All],[TOTAL Non-Truncated Unadjusted Claims Expenses]], AN_TME23[[#All],[Insurance Category Code]],2, AN_TME23[[#All],[Advanced Network/Insurance Carrier Org ID]],Q128),2)&gt;=ROUND(SUMIFS(AN_TME23[[#All],[TOTAL Truncated Unadjusted Claims Expenses (A21 -A19)]], AN_TME23[[#All],[Insurance Category Code]],2, AN_TME23[[#All],[Advanced Network/Insurance Carrier Org ID]],Q128),2)</f>
        <v>1</v>
      </c>
      <c r="AD128" s="295" t="b">
        <f>ROUND(SUMIFS(AN_TME23[[#All],[TOTAL Truncated Unadjusted Claims Expenses (A21 -A19)]], AN_TME23[[#All],[Insurance Category Code]],2, AN_TME23[[#All],[Advanced Network/Insurance Carrier Org ID]],Q128)+SUMIFS(AN_TME23[[#All],[Total Claims Excluded because of Truncation]], AN_TME23[[#All],[Insurance Category Code]],2, AN_TME23[[#All],[Advanced Network/Insurance Carrier Org ID]],Q128), 2)=ROUND(SUMIFS(AN_TME23[[#All],[TOTAL Non-Truncated Unadjusted Claims Expenses]], AN_TME23[[#All],[Insurance Category Code]],2, AN_TME23[[#All],[Advanced Network/Insurance Carrier Org ID]],Q128),2)</f>
        <v>1</v>
      </c>
      <c r="AF128" s="323" t="str">
        <f t="shared" si="12"/>
        <v>NA</v>
      </c>
    </row>
    <row r="129" spans="2:32" outlineLevel="1" x14ac:dyDescent="0.25">
      <c r="B129" s="236">
        <v>108</v>
      </c>
      <c r="C129" s="463">
        <f>ROUND(SUMIFS(Age_Sex22[[#All],[Total Member Months by Age/Sex Band]], Age_Sex22[[#All],[Advanced Network ID]], $B129, Age_Sex22[[#All],[Insurance Category Code]],2),2)</f>
        <v>0</v>
      </c>
      <c r="D129" s="268">
        <f>ROUND(SUMIFS(Age_Sex22[[#All],[Total Dollars Excluded from Spending After Applying Truncation at the Member Level]], Age_Sex22[[#All],[Advanced Network ID]], $B129, Age_Sex22[[#All],[Insurance Category Code]],2),2)</f>
        <v>0</v>
      </c>
      <c r="E129" s="229">
        <f>ROUND(SUMIFS(Age_Sex22[[#All],[Count of Members whose Spending was Truncated]], Age_Sex22[[#All],[Advanced Network ID]], $B129, Age_Sex22[[#All],[Insurance Category Code]],2),2)</f>
        <v>0</v>
      </c>
      <c r="F129" s="230">
        <f>ROUND(SUMIFS(Age_Sex22[[#All],[Total Spending before Truncation is Applied]], Age_Sex22[[#All],[Advanced Network ID]], $B129, Age_Sex22[[#All],[Insurance Category Code]],2),2)</f>
        <v>0</v>
      </c>
      <c r="G129" s="232">
        <f>ROUND(SUMIFS(Age_Sex22[[#All],[Total Spending After Applying Truncation at the Member Level]], Age_Sex22[[#All],[Advanced Network ID]], $B129, Age_Sex22[[#All],[Insurance Category Code]],2),2)</f>
        <v>0</v>
      </c>
      <c r="H129" s="416" t="str">
        <f>IF(C129=ROUND(SUMIFS(AN_TME22[[#All],[Member Months]], AN_TME22[[#All],[Insurance Category Code]],2, AN_TME22[[#All],[Advanced Network/Insurance Carrier Org ID]],B129),2), "TRUE", ROUND(C129-SUMIFS(AN_TME22[[#All],[Member Months]], AN_TME22[[#All],[Insurance Category Code]],2, AN_TME22[[#All],[Advanced Network/Insurance Carrier Org ID]],B129),2))</f>
        <v>TRUE</v>
      </c>
      <c r="I129" s="280" t="str">
        <f>IF(D129=ROUND(SUMIFS(AN_TME22[[#All],[Total Claims Excluded because of Truncation]], AN_TME22[[#All],[Insurance Category Code]],2, AN_TME22[[#All],[Advanced Network/Insurance Carrier Org ID]],B129),2), "TRUE", ROUND(D129-SUMIFS(AN_TME22[[#All],[Total Claims Excluded because of Truncation]], AN_TME22[[#All],[Insurance Category Code]],2, AN_TME22[[#All],[Advanced Network/Insurance Carrier Org ID]],B129),2))</f>
        <v>TRUE</v>
      </c>
      <c r="J129" s="281" t="str">
        <f>IF(E129=ROUND(SUMIFS(AN_TME22[[#All],[Count of Members with Claims Truncated]], AN_TME22[[#All],[Insurance Category Code]],2, AN_TME22[[#All],[Advanced Network/Insurance Carrier Org ID]],B129),2), "TRUE", ROUND(E129-SUMIFS(AN_TME22[[#All],[Count of Members with Claims Truncated]], AN_TME22[[#All],[Insurance Category Code]],2, AN_TME22[[#All],[Advanced Network/Insurance Carrier Org ID]],B129),2))</f>
        <v>TRUE</v>
      </c>
      <c r="K129" s="282" t="str">
        <f>IF(F129=ROUND(SUMIFS(AN_TME22[[#All],[TOTAL Non-Truncated Unadjusted Claims Expenses]], AN_TME22[[#All],[Insurance Category Code]],2, AN_TME22[[#All],[Advanced Network/Insurance Carrier Org ID]],B129),2), "TRUE", ROUND(F129-SUMIFS(AN_TME22[[#All],[TOTAL Non-Truncated Unadjusted Claims Expenses]], AN_TME22[[#All],[Insurance Category Code]],2, AN_TME22[[#All],[Advanced Network/Insurance Carrier Org ID]],B129),2))</f>
        <v>TRUE</v>
      </c>
      <c r="L129" s="295" t="str">
        <f>IF(G129=ROUND(SUMIFS(AN_TME22[[#All],[TOTAL Truncated Unadjusted Claims Expenses (A21 -A19)]], AN_TME22[[#All],[Insurance Category Code]],2, AN_TME22[[#All],[Advanced Network/Insurance Carrier Org ID]],B129),2), "TRUE", ROUND(G129-SUMIFS(AN_TME22[[#All],[TOTAL Truncated Unadjusted Claims Expenses (A21 -A19)]], AN_TME22[[#All],[Insurance Category Code]],2, AN_TME22[[#All],[Advanced Network/Insurance Carrier Org ID]],B129),2))</f>
        <v>TRUE</v>
      </c>
      <c r="M129" s="461" t="str">
        <f t="shared" si="11"/>
        <v>TRUE</v>
      </c>
      <c r="N129" s="282" t="b">
        <f>ROUND(SUMIFS(AN_TME22[[#All],[TOTAL Non-Truncated Unadjusted Claims Expenses]], AN_TME22[[#All],[Insurance Category Code]],2, AN_TME22[[#All],[Advanced Network/Insurance Carrier Org ID]],B129),2)&gt;=ROUND(SUMIFS(AN_TME22[[#All],[TOTAL Truncated Unadjusted Claims Expenses (A21 -A19)]], AN_TME22[[#All],[Insurance Category Code]],2, AN_TME22[[#All],[Advanced Network/Insurance Carrier Org ID]],B129), 2)</f>
        <v>1</v>
      </c>
      <c r="O129" s="295" t="b">
        <f>ROUND(SUMIFS(AN_TME22[[#All],[TOTAL Truncated Unadjusted Claims Expenses (A21 -A19)]], AN_TME22[[#All],[Insurance Category Code]],2, AN_TME22[[#All],[Advanced Network/Insurance Carrier Org ID]],B129)+SUMIFS(AN_TME22[[#All],[Total Claims Excluded because of Truncation]], AN_TME22[[#All],[Insurance Category Code]],2, AN_TME22[[#All],[Advanced Network/Insurance Carrier Org ID]],B129),2)=ROUND(SUMIFS(AN_TME22[[#All],[TOTAL Non-Truncated Unadjusted Claims Expenses]], AN_TME22[[#All],[Insurance Category Code]],2, AN_TME22[[#All],[Advanced Network/Insurance Carrier Org ID]],B129), 2)</f>
        <v>1</v>
      </c>
      <c r="Q129" s="236">
        <v>108</v>
      </c>
      <c r="R129" s="463">
        <f>ROUND(SUMIFS(Age_Sex23[[#All],[Total Member Months by Age/Sex Band]], Age_Sex23[[#All],[Advanced Network ID]], $Q129, Age_Sex23[[#All],[Insurance Category Code]],2),2)</f>
        <v>0</v>
      </c>
      <c r="S129" s="268">
        <f>ROUND(SUMIFS(Age_Sex23[[#All],[Total Dollars Excluded from Spending After Applying Truncation at the Member Level]], Age_Sex23[[#All],[Advanced Network ID]], $B129, Age_Sex23[[#All],[Insurance Category Code]],2),2)</f>
        <v>0</v>
      </c>
      <c r="T129" s="229">
        <f>ROUND(SUMIFS(Age_Sex23[[#All],[Count of Members whose Spending was Truncated]], Age_Sex23[[#All],[Advanced Network ID]], $B129, Age_Sex23[[#All],[Insurance Category Code]],2),2)</f>
        <v>0</v>
      </c>
      <c r="U129" s="230">
        <f>ROUND(SUMIFS(Age_Sex23[[#All],[Total Spending before Truncation is Applied]], Age_Sex23[[#All],[Advanced Network ID]], $B129, Age_Sex23[[#All],[Insurance Category Code]],2),2)</f>
        <v>0</v>
      </c>
      <c r="V129" s="232">
        <f>ROUND(SUMIFS(Age_Sex23[[#All],[Total Spending After Applying Truncation at the Member Level]], Age_Sex23[[#All],[Advanced Network ID]], $B129, Age_Sex23[[#All],[Insurance Category Code]],2), 2)</f>
        <v>0</v>
      </c>
      <c r="W129" s="416" t="str">
        <f>IF(R129=ROUND(SUMIFS(AN_TME23[[#All],[Member Months]], AN_TME23[[#All],[Insurance Category Code]],2, AN_TME23[[#All],[Advanced Network/Insurance Carrier Org ID]],Q129),2), "TRUE", ROUND(R129-SUMIFS(AN_TME23[[#All],[Member Months]], AN_TME23[[#All],[Insurance Category Code]],2, AN_TME23[[#All],[Advanced Network/Insurance Carrier Org ID]],Q129),2))</f>
        <v>TRUE</v>
      </c>
      <c r="X129" s="280" t="str">
        <f>IF(S129=ROUND(SUMIFS(AN_TME23[[#All],[Total Claims Excluded because of Truncation]], AN_TME23[[#All],[Insurance Category Code]],2, AN_TME23[[#All],[Advanced Network/Insurance Carrier Org ID]],Q129),2), "TRUE", ROUND(S129-SUMIFS(AN_TME23[[#All],[Total Claims Excluded because of Truncation]], AN_TME23[[#All],[Insurance Category Code]],2, AN_TME23[[#All],[Advanced Network/Insurance Carrier Org ID]],Q129),2))</f>
        <v>TRUE</v>
      </c>
      <c r="Y129" s="281" t="str">
        <f>IF(T129=ROUND(SUMIFS(AN_TME23[[#All],[Count of Members with Claims Truncated]], AN_TME23[[#All],[Insurance Category Code]],2, AN_TME23[[#All],[Advanced Network/Insurance Carrier Org ID]],Q129),2), "TRUE", ROUND(T129-SUMIFS(AN_TME23[[#All],[Count of Members with Claims Truncated]], AN_TME23[[#All],[Insurance Category Code]],2, AN_TME23[[#All],[Advanced Network/Insurance Carrier Org ID]],Q129),2))</f>
        <v>TRUE</v>
      </c>
      <c r="Z129" s="282" t="str">
        <f>IF(U129=ROUND(SUMIFS(AN_TME23[[#All],[TOTAL Non-Truncated Unadjusted Claims Expenses]], AN_TME23[[#All],[Insurance Category Code]],2, AN_TME23[[#All],[Advanced Network/Insurance Carrier Org ID]],Q129),2), "TRUE", ROUND(U129-SUMIFS(AN_TME23[[#All],[TOTAL Non-Truncated Unadjusted Claims Expenses]], AN_TME23[[#All],[Insurance Category Code]],2, AN_TME23[[#All],[Advanced Network/Insurance Carrier Org ID]],Q129),2))</f>
        <v>TRUE</v>
      </c>
      <c r="AA129" s="295" t="str">
        <f>IF(V129=ROUND(SUMIFS(AN_TME23[[#All],[TOTAL Truncated Unadjusted Claims Expenses (A21 -A19)]], AN_TME23[[#All],[Insurance Category Code]],2, AN_TME23[[#All],[Advanced Network/Insurance Carrier Org ID]],Q129),2), "TRUE", ROUND(V129-SUMIFS(AN_TME23[[#All],[TOTAL Truncated Unadjusted Claims Expenses (A21 -A19)]], AN_TME23[[#All],[Insurance Category Code]],2, AN_TME23[[#All],[Advanced Network/Insurance Carrier Org ID]],Q129),2))</f>
        <v>TRUE</v>
      </c>
      <c r="AB129" s="461" t="str">
        <f t="shared" si="13"/>
        <v>TRUE</v>
      </c>
      <c r="AC129" s="282" t="b">
        <f>ROUND(SUMIFS(AN_TME23[[#All],[TOTAL Non-Truncated Unadjusted Claims Expenses]], AN_TME23[[#All],[Insurance Category Code]],2, AN_TME23[[#All],[Advanced Network/Insurance Carrier Org ID]],Q129),2)&gt;=ROUND(SUMIFS(AN_TME23[[#All],[TOTAL Truncated Unadjusted Claims Expenses (A21 -A19)]], AN_TME23[[#All],[Insurance Category Code]],2, AN_TME23[[#All],[Advanced Network/Insurance Carrier Org ID]],Q129),2)</f>
        <v>1</v>
      </c>
      <c r="AD129" s="295" t="b">
        <f>ROUND(SUMIFS(AN_TME23[[#All],[TOTAL Truncated Unadjusted Claims Expenses (A21 -A19)]], AN_TME23[[#All],[Insurance Category Code]],2, AN_TME23[[#All],[Advanced Network/Insurance Carrier Org ID]],Q129)+SUMIFS(AN_TME23[[#All],[Total Claims Excluded because of Truncation]], AN_TME23[[#All],[Insurance Category Code]],2, AN_TME23[[#All],[Advanced Network/Insurance Carrier Org ID]],Q129), 2)=ROUND(SUMIFS(AN_TME23[[#All],[TOTAL Non-Truncated Unadjusted Claims Expenses]], AN_TME23[[#All],[Insurance Category Code]],2, AN_TME23[[#All],[Advanced Network/Insurance Carrier Org ID]],Q129),2)</f>
        <v>1</v>
      </c>
      <c r="AF129" s="323" t="str">
        <f t="shared" si="12"/>
        <v>NA</v>
      </c>
    </row>
    <row r="130" spans="2:32" outlineLevel="1" x14ac:dyDescent="0.25">
      <c r="B130" s="236">
        <v>109</v>
      </c>
      <c r="C130" s="463">
        <f>ROUND(SUMIFS(Age_Sex22[[#All],[Total Member Months by Age/Sex Band]], Age_Sex22[[#All],[Advanced Network ID]], $B130, Age_Sex22[[#All],[Insurance Category Code]],2),2)</f>
        <v>0</v>
      </c>
      <c r="D130" s="268">
        <f>ROUND(SUMIFS(Age_Sex22[[#All],[Total Dollars Excluded from Spending After Applying Truncation at the Member Level]], Age_Sex22[[#All],[Advanced Network ID]], $B130, Age_Sex22[[#All],[Insurance Category Code]],2),2)</f>
        <v>0</v>
      </c>
      <c r="E130" s="229">
        <f>ROUND(SUMIFS(Age_Sex22[[#All],[Count of Members whose Spending was Truncated]], Age_Sex22[[#All],[Advanced Network ID]], $B130, Age_Sex22[[#All],[Insurance Category Code]],2),2)</f>
        <v>0</v>
      </c>
      <c r="F130" s="230">
        <f>ROUND(SUMIFS(Age_Sex22[[#All],[Total Spending before Truncation is Applied]], Age_Sex22[[#All],[Advanced Network ID]], $B130, Age_Sex22[[#All],[Insurance Category Code]],2),2)</f>
        <v>0</v>
      </c>
      <c r="G130" s="232">
        <f>ROUND(SUMIFS(Age_Sex22[[#All],[Total Spending After Applying Truncation at the Member Level]], Age_Sex22[[#All],[Advanced Network ID]], $B130, Age_Sex22[[#All],[Insurance Category Code]],2),2)</f>
        <v>0</v>
      </c>
      <c r="H130" s="416" t="str">
        <f>IF(C130=ROUND(SUMIFS(AN_TME22[[#All],[Member Months]], AN_TME22[[#All],[Insurance Category Code]],2, AN_TME22[[#All],[Advanced Network/Insurance Carrier Org ID]],B130),2), "TRUE", ROUND(C130-SUMIFS(AN_TME22[[#All],[Member Months]], AN_TME22[[#All],[Insurance Category Code]],2, AN_TME22[[#All],[Advanced Network/Insurance Carrier Org ID]],B130),2))</f>
        <v>TRUE</v>
      </c>
      <c r="I130" s="280" t="str">
        <f>IF(D130=ROUND(SUMIFS(AN_TME22[[#All],[Total Claims Excluded because of Truncation]], AN_TME22[[#All],[Insurance Category Code]],2, AN_TME22[[#All],[Advanced Network/Insurance Carrier Org ID]],B130),2), "TRUE", ROUND(D130-SUMIFS(AN_TME22[[#All],[Total Claims Excluded because of Truncation]], AN_TME22[[#All],[Insurance Category Code]],2, AN_TME22[[#All],[Advanced Network/Insurance Carrier Org ID]],B130),2))</f>
        <v>TRUE</v>
      </c>
      <c r="J130" s="281" t="str">
        <f>IF(E130=ROUND(SUMIFS(AN_TME22[[#All],[Count of Members with Claims Truncated]], AN_TME22[[#All],[Insurance Category Code]],2, AN_TME22[[#All],[Advanced Network/Insurance Carrier Org ID]],B130),2), "TRUE", ROUND(E130-SUMIFS(AN_TME22[[#All],[Count of Members with Claims Truncated]], AN_TME22[[#All],[Insurance Category Code]],2, AN_TME22[[#All],[Advanced Network/Insurance Carrier Org ID]],B130),2))</f>
        <v>TRUE</v>
      </c>
      <c r="K130" s="282" t="str">
        <f>IF(F130=ROUND(SUMIFS(AN_TME22[[#All],[TOTAL Non-Truncated Unadjusted Claims Expenses]], AN_TME22[[#All],[Insurance Category Code]],2, AN_TME22[[#All],[Advanced Network/Insurance Carrier Org ID]],B130),2), "TRUE", ROUND(F130-SUMIFS(AN_TME22[[#All],[TOTAL Non-Truncated Unadjusted Claims Expenses]], AN_TME22[[#All],[Insurance Category Code]],2, AN_TME22[[#All],[Advanced Network/Insurance Carrier Org ID]],B130),2))</f>
        <v>TRUE</v>
      </c>
      <c r="L130" s="295" t="str">
        <f>IF(G130=ROUND(SUMIFS(AN_TME22[[#All],[TOTAL Truncated Unadjusted Claims Expenses (A21 -A19)]], AN_TME22[[#All],[Insurance Category Code]],2, AN_TME22[[#All],[Advanced Network/Insurance Carrier Org ID]],B130),2), "TRUE", ROUND(G130-SUMIFS(AN_TME22[[#All],[TOTAL Truncated Unadjusted Claims Expenses (A21 -A19)]], AN_TME22[[#All],[Insurance Category Code]],2, AN_TME22[[#All],[Advanced Network/Insurance Carrier Org ID]],B130),2))</f>
        <v>TRUE</v>
      </c>
      <c r="M130" s="461" t="str">
        <f t="shared" si="11"/>
        <v>TRUE</v>
      </c>
      <c r="N130" s="282" t="b">
        <f>ROUND(SUMIFS(AN_TME22[[#All],[TOTAL Non-Truncated Unadjusted Claims Expenses]], AN_TME22[[#All],[Insurance Category Code]],2, AN_TME22[[#All],[Advanced Network/Insurance Carrier Org ID]],B130),2)&gt;=ROUND(SUMIFS(AN_TME22[[#All],[TOTAL Truncated Unadjusted Claims Expenses (A21 -A19)]], AN_TME22[[#All],[Insurance Category Code]],2, AN_TME22[[#All],[Advanced Network/Insurance Carrier Org ID]],B130), 2)</f>
        <v>1</v>
      </c>
      <c r="O130" s="295" t="b">
        <f>ROUND(SUMIFS(AN_TME22[[#All],[TOTAL Truncated Unadjusted Claims Expenses (A21 -A19)]], AN_TME22[[#All],[Insurance Category Code]],2, AN_TME22[[#All],[Advanced Network/Insurance Carrier Org ID]],B130)+SUMIFS(AN_TME22[[#All],[Total Claims Excluded because of Truncation]], AN_TME22[[#All],[Insurance Category Code]],2, AN_TME22[[#All],[Advanced Network/Insurance Carrier Org ID]],B130),2)=ROUND(SUMIFS(AN_TME22[[#All],[TOTAL Non-Truncated Unadjusted Claims Expenses]], AN_TME22[[#All],[Insurance Category Code]],2, AN_TME22[[#All],[Advanced Network/Insurance Carrier Org ID]],B130), 2)</f>
        <v>1</v>
      </c>
      <c r="Q130" s="236">
        <v>109</v>
      </c>
      <c r="R130" s="463">
        <f>ROUND(SUMIFS(Age_Sex23[[#All],[Total Member Months by Age/Sex Band]], Age_Sex23[[#All],[Advanced Network ID]], $Q130, Age_Sex23[[#All],[Insurance Category Code]],2),2)</f>
        <v>0</v>
      </c>
      <c r="S130" s="268">
        <f>ROUND(SUMIFS(Age_Sex23[[#All],[Total Dollars Excluded from Spending After Applying Truncation at the Member Level]], Age_Sex23[[#All],[Advanced Network ID]], $B130, Age_Sex23[[#All],[Insurance Category Code]],2),2)</f>
        <v>0</v>
      </c>
      <c r="T130" s="229">
        <f>ROUND(SUMIFS(Age_Sex23[[#All],[Count of Members whose Spending was Truncated]], Age_Sex23[[#All],[Advanced Network ID]], $B130, Age_Sex23[[#All],[Insurance Category Code]],2),2)</f>
        <v>0</v>
      </c>
      <c r="U130" s="230">
        <f>ROUND(SUMIFS(Age_Sex23[[#All],[Total Spending before Truncation is Applied]], Age_Sex23[[#All],[Advanced Network ID]], $B130, Age_Sex23[[#All],[Insurance Category Code]],2),2)</f>
        <v>0</v>
      </c>
      <c r="V130" s="232">
        <f>ROUND(SUMIFS(Age_Sex23[[#All],[Total Spending After Applying Truncation at the Member Level]], Age_Sex23[[#All],[Advanced Network ID]], $B130, Age_Sex23[[#All],[Insurance Category Code]],2), 2)</f>
        <v>0</v>
      </c>
      <c r="W130" s="416" t="str">
        <f>IF(R130=ROUND(SUMIFS(AN_TME23[[#All],[Member Months]], AN_TME23[[#All],[Insurance Category Code]],2, AN_TME23[[#All],[Advanced Network/Insurance Carrier Org ID]],Q130),2), "TRUE", ROUND(R130-SUMIFS(AN_TME23[[#All],[Member Months]], AN_TME23[[#All],[Insurance Category Code]],2, AN_TME23[[#All],[Advanced Network/Insurance Carrier Org ID]],Q130),2))</f>
        <v>TRUE</v>
      </c>
      <c r="X130" s="280" t="str">
        <f>IF(S130=ROUND(SUMIFS(AN_TME23[[#All],[Total Claims Excluded because of Truncation]], AN_TME23[[#All],[Insurance Category Code]],2, AN_TME23[[#All],[Advanced Network/Insurance Carrier Org ID]],Q130),2), "TRUE", ROUND(S130-SUMIFS(AN_TME23[[#All],[Total Claims Excluded because of Truncation]], AN_TME23[[#All],[Insurance Category Code]],2, AN_TME23[[#All],[Advanced Network/Insurance Carrier Org ID]],Q130),2))</f>
        <v>TRUE</v>
      </c>
      <c r="Y130" s="281" t="str">
        <f>IF(T130=ROUND(SUMIFS(AN_TME23[[#All],[Count of Members with Claims Truncated]], AN_TME23[[#All],[Insurance Category Code]],2, AN_TME23[[#All],[Advanced Network/Insurance Carrier Org ID]],Q130),2), "TRUE", ROUND(T130-SUMIFS(AN_TME23[[#All],[Count of Members with Claims Truncated]], AN_TME23[[#All],[Insurance Category Code]],2, AN_TME23[[#All],[Advanced Network/Insurance Carrier Org ID]],Q130),2))</f>
        <v>TRUE</v>
      </c>
      <c r="Z130" s="282" t="str">
        <f>IF(U130=ROUND(SUMIFS(AN_TME23[[#All],[TOTAL Non-Truncated Unadjusted Claims Expenses]], AN_TME23[[#All],[Insurance Category Code]],2, AN_TME23[[#All],[Advanced Network/Insurance Carrier Org ID]],Q130),2), "TRUE", ROUND(U130-SUMIFS(AN_TME23[[#All],[TOTAL Non-Truncated Unadjusted Claims Expenses]], AN_TME23[[#All],[Insurance Category Code]],2, AN_TME23[[#All],[Advanced Network/Insurance Carrier Org ID]],Q130),2))</f>
        <v>TRUE</v>
      </c>
      <c r="AA130" s="295" t="str">
        <f>IF(V130=ROUND(SUMIFS(AN_TME23[[#All],[TOTAL Truncated Unadjusted Claims Expenses (A21 -A19)]], AN_TME23[[#All],[Insurance Category Code]],2, AN_TME23[[#All],[Advanced Network/Insurance Carrier Org ID]],Q130),2), "TRUE", ROUND(V130-SUMIFS(AN_TME23[[#All],[TOTAL Truncated Unadjusted Claims Expenses (A21 -A19)]], AN_TME23[[#All],[Insurance Category Code]],2, AN_TME23[[#All],[Advanced Network/Insurance Carrier Org ID]],Q130),2))</f>
        <v>TRUE</v>
      </c>
      <c r="AB130" s="461" t="str">
        <f t="shared" si="13"/>
        <v>TRUE</v>
      </c>
      <c r="AC130" s="282" t="b">
        <f>ROUND(SUMIFS(AN_TME23[[#All],[TOTAL Non-Truncated Unadjusted Claims Expenses]], AN_TME23[[#All],[Insurance Category Code]],2, AN_TME23[[#All],[Advanced Network/Insurance Carrier Org ID]],Q130),2)&gt;=ROUND(SUMIFS(AN_TME23[[#All],[TOTAL Truncated Unadjusted Claims Expenses (A21 -A19)]], AN_TME23[[#All],[Insurance Category Code]],2, AN_TME23[[#All],[Advanced Network/Insurance Carrier Org ID]],Q130),2)</f>
        <v>1</v>
      </c>
      <c r="AD130" s="295" t="b">
        <f>ROUND(SUMIFS(AN_TME23[[#All],[TOTAL Truncated Unadjusted Claims Expenses (A21 -A19)]], AN_TME23[[#All],[Insurance Category Code]],2, AN_TME23[[#All],[Advanced Network/Insurance Carrier Org ID]],Q130)+SUMIFS(AN_TME23[[#All],[Total Claims Excluded because of Truncation]], AN_TME23[[#All],[Insurance Category Code]],2, AN_TME23[[#All],[Advanced Network/Insurance Carrier Org ID]],Q130), 2)=ROUND(SUMIFS(AN_TME23[[#All],[TOTAL Non-Truncated Unadjusted Claims Expenses]], AN_TME23[[#All],[Insurance Category Code]],2, AN_TME23[[#All],[Advanced Network/Insurance Carrier Org ID]],Q130),2)</f>
        <v>1</v>
      </c>
      <c r="AF130" s="323" t="str">
        <f t="shared" si="12"/>
        <v>NA</v>
      </c>
    </row>
    <row r="131" spans="2:32" outlineLevel="1" x14ac:dyDescent="0.25">
      <c r="B131" s="236">
        <v>110</v>
      </c>
      <c r="C131" s="463">
        <f>ROUND(SUMIFS(Age_Sex22[[#All],[Total Member Months by Age/Sex Band]], Age_Sex22[[#All],[Advanced Network ID]], $B131, Age_Sex22[[#All],[Insurance Category Code]],2),2)</f>
        <v>0</v>
      </c>
      <c r="D131" s="268">
        <f>ROUND(SUMIFS(Age_Sex22[[#All],[Total Dollars Excluded from Spending After Applying Truncation at the Member Level]], Age_Sex22[[#All],[Advanced Network ID]], $B131, Age_Sex22[[#All],[Insurance Category Code]],2),2)</f>
        <v>0</v>
      </c>
      <c r="E131" s="229">
        <f>ROUND(SUMIFS(Age_Sex22[[#All],[Count of Members whose Spending was Truncated]], Age_Sex22[[#All],[Advanced Network ID]], $B131, Age_Sex22[[#All],[Insurance Category Code]],2),2)</f>
        <v>0</v>
      </c>
      <c r="F131" s="230">
        <f>ROUND(SUMIFS(Age_Sex22[[#All],[Total Spending before Truncation is Applied]], Age_Sex22[[#All],[Advanced Network ID]], $B131, Age_Sex22[[#All],[Insurance Category Code]],2),2)</f>
        <v>0</v>
      </c>
      <c r="G131" s="232">
        <f>ROUND(SUMIFS(Age_Sex22[[#All],[Total Spending After Applying Truncation at the Member Level]], Age_Sex22[[#All],[Advanced Network ID]], $B131, Age_Sex22[[#All],[Insurance Category Code]],2),2)</f>
        <v>0</v>
      </c>
      <c r="H131" s="416" t="str">
        <f>IF(C131=ROUND(SUMIFS(AN_TME22[[#All],[Member Months]], AN_TME22[[#All],[Insurance Category Code]],2, AN_TME22[[#All],[Advanced Network/Insurance Carrier Org ID]],B131),2), "TRUE", ROUND(C131-SUMIFS(AN_TME22[[#All],[Member Months]], AN_TME22[[#All],[Insurance Category Code]],2, AN_TME22[[#All],[Advanced Network/Insurance Carrier Org ID]],B131),2))</f>
        <v>TRUE</v>
      </c>
      <c r="I131" s="280" t="str">
        <f>IF(D131=ROUND(SUMIFS(AN_TME22[[#All],[Total Claims Excluded because of Truncation]], AN_TME22[[#All],[Insurance Category Code]],2, AN_TME22[[#All],[Advanced Network/Insurance Carrier Org ID]],B131),2), "TRUE", ROUND(D131-SUMIFS(AN_TME22[[#All],[Total Claims Excluded because of Truncation]], AN_TME22[[#All],[Insurance Category Code]],2, AN_TME22[[#All],[Advanced Network/Insurance Carrier Org ID]],B131),2))</f>
        <v>TRUE</v>
      </c>
      <c r="J131" s="281" t="str">
        <f>IF(E131=ROUND(SUMIFS(AN_TME22[[#All],[Count of Members with Claims Truncated]], AN_TME22[[#All],[Insurance Category Code]],2, AN_TME22[[#All],[Advanced Network/Insurance Carrier Org ID]],B131),2), "TRUE", ROUND(E131-SUMIFS(AN_TME22[[#All],[Count of Members with Claims Truncated]], AN_TME22[[#All],[Insurance Category Code]],2, AN_TME22[[#All],[Advanced Network/Insurance Carrier Org ID]],B131),2))</f>
        <v>TRUE</v>
      </c>
      <c r="K131" s="282" t="str">
        <f>IF(F131=ROUND(SUMIFS(AN_TME22[[#All],[TOTAL Non-Truncated Unadjusted Claims Expenses]], AN_TME22[[#All],[Insurance Category Code]],2, AN_TME22[[#All],[Advanced Network/Insurance Carrier Org ID]],B131),2), "TRUE", ROUND(F131-SUMIFS(AN_TME22[[#All],[TOTAL Non-Truncated Unadjusted Claims Expenses]], AN_TME22[[#All],[Insurance Category Code]],2, AN_TME22[[#All],[Advanced Network/Insurance Carrier Org ID]],B131),2))</f>
        <v>TRUE</v>
      </c>
      <c r="L131" s="295" t="str">
        <f>IF(G131=ROUND(SUMIFS(AN_TME22[[#All],[TOTAL Truncated Unadjusted Claims Expenses (A21 -A19)]], AN_TME22[[#All],[Insurance Category Code]],2, AN_TME22[[#All],[Advanced Network/Insurance Carrier Org ID]],B131),2), "TRUE", ROUND(G131-SUMIFS(AN_TME22[[#All],[TOTAL Truncated Unadjusted Claims Expenses (A21 -A19)]], AN_TME22[[#All],[Insurance Category Code]],2, AN_TME22[[#All],[Advanced Network/Insurance Carrier Org ID]],B131),2))</f>
        <v>TRUE</v>
      </c>
      <c r="M131" s="461" t="str">
        <f t="shared" si="11"/>
        <v>TRUE</v>
      </c>
      <c r="N131" s="282" t="b">
        <f>ROUND(SUMIFS(AN_TME22[[#All],[TOTAL Non-Truncated Unadjusted Claims Expenses]], AN_TME22[[#All],[Insurance Category Code]],2, AN_TME22[[#All],[Advanced Network/Insurance Carrier Org ID]],B131),2)&gt;=ROUND(SUMIFS(AN_TME22[[#All],[TOTAL Truncated Unadjusted Claims Expenses (A21 -A19)]], AN_TME22[[#All],[Insurance Category Code]],2, AN_TME22[[#All],[Advanced Network/Insurance Carrier Org ID]],B131), 2)</f>
        <v>1</v>
      </c>
      <c r="O131" s="295" t="b">
        <f>ROUND(SUMIFS(AN_TME22[[#All],[TOTAL Truncated Unadjusted Claims Expenses (A21 -A19)]], AN_TME22[[#All],[Insurance Category Code]],2, AN_TME22[[#All],[Advanced Network/Insurance Carrier Org ID]],B131)+SUMIFS(AN_TME22[[#All],[Total Claims Excluded because of Truncation]], AN_TME22[[#All],[Insurance Category Code]],2, AN_TME22[[#All],[Advanced Network/Insurance Carrier Org ID]],B131),2)=ROUND(SUMIFS(AN_TME22[[#All],[TOTAL Non-Truncated Unadjusted Claims Expenses]], AN_TME22[[#All],[Insurance Category Code]],2, AN_TME22[[#All],[Advanced Network/Insurance Carrier Org ID]],B131), 2)</f>
        <v>1</v>
      </c>
      <c r="Q131" s="236">
        <v>110</v>
      </c>
      <c r="R131" s="463">
        <f>ROUND(SUMIFS(Age_Sex23[[#All],[Total Member Months by Age/Sex Band]], Age_Sex23[[#All],[Advanced Network ID]], $Q131, Age_Sex23[[#All],[Insurance Category Code]],2),2)</f>
        <v>0</v>
      </c>
      <c r="S131" s="268">
        <f>ROUND(SUMIFS(Age_Sex23[[#All],[Total Dollars Excluded from Spending After Applying Truncation at the Member Level]], Age_Sex23[[#All],[Advanced Network ID]], $B131, Age_Sex23[[#All],[Insurance Category Code]],2),2)</f>
        <v>0</v>
      </c>
      <c r="T131" s="229">
        <f>ROUND(SUMIFS(Age_Sex23[[#All],[Count of Members whose Spending was Truncated]], Age_Sex23[[#All],[Advanced Network ID]], $B131, Age_Sex23[[#All],[Insurance Category Code]],2),2)</f>
        <v>0</v>
      </c>
      <c r="U131" s="230">
        <f>ROUND(SUMIFS(Age_Sex23[[#All],[Total Spending before Truncation is Applied]], Age_Sex23[[#All],[Advanced Network ID]], $B131, Age_Sex23[[#All],[Insurance Category Code]],2),2)</f>
        <v>0</v>
      </c>
      <c r="V131" s="232">
        <f>ROUND(SUMIFS(Age_Sex23[[#All],[Total Spending After Applying Truncation at the Member Level]], Age_Sex23[[#All],[Advanced Network ID]], $B131, Age_Sex23[[#All],[Insurance Category Code]],2), 2)</f>
        <v>0</v>
      </c>
      <c r="W131" s="416" t="str">
        <f>IF(R131=ROUND(SUMIFS(AN_TME23[[#All],[Member Months]], AN_TME23[[#All],[Insurance Category Code]],2, AN_TME23[[#All],[Advanced Network/Insurance Carrier Org ID]],Q131),2), "TRUE", ROUND(R131-SUMIFS(AN_TME23[[#All],[Member Months]], AN_TME23[[#All],[Insurance Category Code]],2, AN_TME23[[#All],[Advanced Network/Insurance Carrier Org ID]],Q131),2))</f>
        <v>TRUE</v>
      </c>
      <c r="X131" s="280" t="str">
        <f>IF(S131=ROUND(SUMIFS(AN_TME23[[#All],[Total Claims Excluded because of Truncation]], AN_TME23[[#All],[Insurance Category Code]],2, AN_TME23[[#All],[Advanced Network/Insurance Carrier Org ID]],Q131),2), "TRUE", ROUND(S131-SUMIFS(AN_TME23[[#All],[Total Claims Excluded because of Truncation]], AN_TME23[[#All],[Insurance Category Code]],2, AN_TME23[[#All],[Advanced Network/Insurance Carrier Org ID]],Q131),2))</f>
        <v>TRUE</v>
      </c>
      <c r="Y131" s="281" t="str">
        <f>IF(T131=ROUND(SUMIFS(AN_TME23[[#All],[Count of Members with Claims Truncated]], AN_TME23[[#All],[Insurance Category Code]],2, AN_TME23[[#All],[Advanced Network/Insurance Carrier Org ID]],Q131),2), "TRUE", ROUND(T131-SUMIFS(AN_TME23[[#All],[Count of Members with Claims Truncated]], AN_TME23[[#All],[Insurance Category Code]],2, AN_TME23[[#All],[Advanced Network/Insurance Carrier Org ID]],Q131),2))</f>
        <v>TRUE</v>
      </c>
      <c r="Z131" s="282" t="str">
        <f>IF(U131=ROUND(SUMIFS(AN_TME23[[#All],[TOTAL Non-Truncated Unadjusted Claims Expenses]], AN_TME23[[#All],[Insurance Category Code]],2, AN_TME23[[#All],[Advanced Network/Insurance Carrier Org ID]],Q131),2), "TRUE", ROUND(U131-SUMIFS(AN_TME23[[#All],[TOTAL Non-Truncated Unadjusted Claims Expenses]], AN_TME23[[#All],[Insurance Category Code]],2, AN_TME23[[#All],[Advanced Network/Insurance Carrier Org ID]],Q131),2))</f>
        <v>TRUE</v>
      </c>
      <c r="AA131" s="295" t="str">
        <f>IF(V131=ROUND(SUMIFS(AN_TME23[[#All],[TOTAL Truncated Unadjusted Claims Expenses (A21 -A19)]], AN_TME23[[#All],[Insurance Category Code]],2, AN_TME23[[#All],[Advanced Network/Insurance Carrier Org ID]],Q131),2), "TRUE", ROUND(V131-SUMIFS(AN_TME23[[#All],[TOTAL Truncated Unadjusted Claims Expenses (A21 -A19)]], AN_TME23[[#All],[Insurance Category Code]],2, AN_TME23[[#All],[Advanced Network/Insurance Carrier Org ID]],Q131),2))</f>
        <v>TRUE</v>
      </c>
      <c r="AB131" s="461" t="str">
        <f t="shared" si="13"/>
        <v>TRUE</v>
      </c>
      <c r="AC131" s="282" t="b">
        <f>ROUND(SUMIFS(AN_TME23[[#All],[TOTAL Non-Truncated Unadjusted Claims Expenses]], AN_TME23[[#All],[Insurance Category Code]],2, AN_TME23[[#All],[Advanced Network/Insurance Carrier Org ID]],Q131),2)&gt;=ROUND(SUMIFS(AN_TME23[[#All],[TOTAL Truncated Unadjusted Claims Expenses (A21 -A19)]], AN_TME23[[#All],[Insurance Category Code]],2, AN_TME23[[#All],[Advanced Network/Insurance Carrier Org ID]],Q131),2)</f>
        <v>1</v>
      </c>
      <c r="AD131" s="295" t="b">
        <f>ROUND(SUMIFS(AN_TME23[[#All],[TOTAL Truncated Unadjusted Claims Expenses (A21 -A19)]], AN_TME23[[#All],[Insurance Category Code]],2, AN_TME23[[#All],[Advanced Network/Insurance Carrier Org ID]],Q131)+SUMIFS(AN_TME23[[#All],[Total Claims Excluded because of Truncation]], AN_TME23[[#All],[Insurance Category Code]],2, AN_TME23[[#All],[Advanced Network/Insurance Carrier Org ID]],Q131), 2)=ROUND(SUMIFS(AN_TME23[[#All],[TOTAL Non-Truncated Unadjusted Claims Expenses]], AN_TME23[[#All],[Insurance Category Code]],2, AN_TME23[[#All],[Advanced Network/Insurance Carrier Org ID]],Q131),2)</f>
        <v>1</v>
      </c>
      <c r="AF131" s="323" t="str">
        <f t="shared" si="12"/>
        <v>NA</v>
      </c>
    </row>
    <row r="132" spans="2:32" outlineLevel="1" x14ac:dyDescent="0.25">
      <c r="B132" s="236">
        <v>111</v>
      </c>
      <c r="C132" s="463">
        <f>ROUND(SUMIFS(Age_Sex22[[#All],[Total Member Months by Age/Sex Band]], Age_Sex22[[#All],[Advanced Network ID]], $B132, Age_Sex22[[#All],[Insurance Category Code]],2),2)</f>
        <v>0</v>
      </c>
      <c r="D132" s="268">
        <f>ROUND(SUMIFS(Age_Sex22[[#All],[Total Dollars Excluded from Spending After Applying Truncation at the Member Level]], Age_Sex22[[#All],[Advanced Network ID]], $B132, Age_Sex22[[#All],[Insurance Category Code]],2),2)</f>
        <v>0</v>
      </c>
      <c r="E132" s="229">
        <f>ROUND(SUMIFS(Age_Sex22[[#All],[Count of Members whose Spending was Truncated]], Age_Sex22[[#All],[Advanced Network ID]], $B132, Age_Sex22[[#All],[Insurance Category Code]],2),2)</f>
        <v>0</v>
      </c>
      <c r="F132" s="230">
        <f>ROUND(SUMIFS(Age_Sex22[[#All],[Total Spending before Truncation is Applied]], Age_Sex22[[#All],[Advanced Network ID]], $B132, Age_Sex22[[#All],[Insurance Category Code]],2),2)</f>
        <v>0</v>
      </c>
      <c r="G132" s="232">
        <f>ROUND(SUMIFS(Age_Sex22[[#All],[Total Spending After Applying Truncation at the Member Level]], Age_Sex22[[#All],[Advanced Network ID]], $B132, Age_Sex22[[#All],[Insurance Category Code]],2),2)</f>
        <v>0</v>
      </c>
      <c r="H132" s="416" t="str">
        <f>IF(C132=ROUND(SUMIFS(AN_TME22[[#All],[Member Months]], AN_TME22[[#All],[Insurance Category Code]],2, AN_TME22[[#All],[Advanced Network/Insurance Carrier Org ID]],B132),2), "TRUE", ROUND(C132-SUMIFS(AN_TME22[[#All],[Member Months]], AN_TME22[[#All],[Insurance Category Code]],2, AN_TME22[[#All],[Advanced Network/Insurance Carrier Org ID]],B132),2))</f>
        <v>TRUE</v>
      </c>
      <c r="I132" s="280" t="str">
        <f>IF(D132=ROUND(SUMIFS(AN_TME22[[#All],[Total Claims Excluded because of Truncation]], AN_TME22[[#All],[Insurance Category Code]],2, AN_TME22[[#All],[Advanced Network/Insurance Carrier Org ID]],B132),2), "TRUE", ROUND(D132-SUMIFS(AN_TME22[[#All],[Total Claims Excluded because of Truncation]], AN_TME22[[#All],[Insurance Category Code]],2, AN_TME22[[#All],[Advanced Network/Insurance Carrier Org ID]],B132),2))</f>
        <v>TRUE</v>
      </c>
      <c r="J132" s="281" t="str">
        <f>IF(E132=ROUND(SUMIFS(AN_TME22[[#All],[Count of Members with Claims Truncated]], AN_TME22[[#All],[Insurance Category Code]],2, AN_TME22[[#All],[Advanced Network/Insurance Carrier Org ID]],B132),2), "TRUE", ROUND(E132-SUMIFS(AN_TME22[[#All],[Count of Members with Claims Truncated]], AN_TME22[[#All],[Insurance Category Code]],2, AN_TME22[[#All],[Advanced Network/Insurance Carrier Org ID]],B132),2))</f>
        <v>TRUE</v>
      </c>
      <c r="K132" s="282" t="str">
        <f>IF(F132=ROUND(SUMIFS(AN_TME22[[#All],[TOTAL Non-Truncated Unadjusted Claims Expenses]], AN_TME22[[#All],[Insurance Category Code]],2, AN_TME22[[#All],[Advanced Network/Insurance Carrier Org ID]],B132),2), "TRUE", ROUND(F132-SUMIFS(AN_TME22[[#All],[TOTAL Non-Truncated Unadjusted Claims Expenses]], AN_TME22[[#All],[Insurance Category Code]],2, AN_TME22[[#All],[Advanced Network/Insurance Carrier Org ID]],B132),2))</f>
        <v>TRUE</v>
      </c>
      <c r="L132" s="295" t="str">
        <f>IF(G132=ROUND(SUMIFS(AN_TME22[[#All],[TOTAL Truncated Unadjusted Claims Expenses (A21 -A19)]], AN_TME22[[#All],[Insurance Category Code]],2, AN_TME22[[#All],[Advanced Network/Insurance Carrier Org ID]],B132),2), "TRUE", ROUND(G132-SUMIFS(AN_TME22[[#All],[TOTAL Truncated Unadjusted Claims Expenses (A21 -A19)]], AN_TME22[[#All],[Insurance Category Code]],2, AN_TME22[[#All],[Advanced Network/Insurance Carrier Org ID]],B132),2))</f>
        <v>TRUE</v>
      </c>
      <c r="M132" s="461" t="str">
        <f t="shared" si="11"/>
        <v>TRUE</v>
      </c>
      <c r="N132" s="282" t="b">
        <f>ROUND(SUMIFS(AN_TME22[[#All],[TOTAL Non-Truncated Unadjusted Claims Expenses]], AN_TME22[[#All],[Insurance Category Code]],2, AN_TME22[[#All],[Advanced Network/Insurance Carrier Org ID]],B132),2)&gt;=ROUND(SUMIFS(AN_TME22[[#All],[TOTAL Truncated Unadjusted Claims Expenses (A21 -A19)]], AN_TME22[[#All],[Insurance Category Code]],2, AN_TME22[[#All],[Advanced Network/Insurance Carrier Org ID]],B132), 2)</f>
        <v>1</v>
      </c>
      <c r="O132" s="295" t="b">
        <f>ROUND(SUMIFS(AN_TME22[[#All],[TOTAL Truncated Unadjusted Claims Expenses (A21 -A19)]], AN_TME22[[#All],[Insurance Category Code]],2, AN_TME22[[#All],[Advanced Network/Insurance Carrier Org ID]],B132)+SUMIFS(AN_TME22[[#All],[Total Claims Excluded because of Truncation]], AN_TME22[[#All],[Insurance Category Code]],2, AN_TME22[[#All],[Advanced Network/Insurance Carrier Org ID]],B132),2)=ROUND(SUMIFS(AN_TME22[[#All],[TOTAL Non-Truncated Unadjusted Claims Expenses]], AN_TME22[[#All],[Insurance Category Code]],2, AN_TME22[[#All],[Advanced Network/Insurance Carrier Org ID]],B132), 2)</f>
        <v>1</v>
      </c>
      <c r="Q132" s="236">
        <v>111</v>
      </c>
      <c r="R132" s="463">
        <f>ROUND(SUMIFS(Age_Sex23[[#All],[Total Member Months by Age/Sex Band]], Age_Sex23[[#All],[Advanced Network ID]], $Q132, Age_Sex23[[#All],[Insurance Category Code]],2),2)</f>
        <v>0</v>
      </c>
      <c r="S132" s="268">
        <f>ROUND(SUMIFS(Age_Sex23[[#All],[Total Dollars Excluded from Spending After Applying Truncation at the Member Level]], Age_Sex23[[#All],[Advanced Network ID]], $B132, Age_Sex23[[#All],[Insurance Category Code]],2),2)</f>
        <v>0</v>
      </c>
      <c r="T132" s="229">
        <f>ROUND(SUMIFS(Age_Sex23[[#All],[Count of Members whose Spending was Truncated]], Age_Sex23[[#All],[Advanced Network ID]], $B132, Age_Sex23[[#All],[Insurance Category Code]],2),2)</f>
        <v>0</v>
      </c>
      <c r="U132" s="230">
        <f>ROUND(SUMIFS(Age_Sex23[[#All],[Total Spending before Truncation is Applied]], Age_Sex23[[#All],[Advanced Network ID]], $B132, Age_Sex23[[#All],[Insurance Category Code]],2),2)</f>
        <v>0</v>
      </c>
      <c r="V132" s="232">
        <f>ROUND(SUMIFS(Age_Sex23[[#All],[Total Spending After Applying Truncation at the Member Level]], Age_Sex23[[#All],[Advanced Network ID]], $B132, Age_Sex23[[#All],[Insurance Category Code]],2), 2)</f>
        <v>0</v>
      </c>
      <c r="W132" s="416" t="str">
        <f>IF(R132=ROUND(SUMIFS(AN_TME23[[#All],[Member Months]], AN_TME23[[#All],[Insurance Category Code]],2, AN_TME23[[#All],[Advanced Network/Insurance Carrier Org ID]],Q132),2), "TRUE", ROUND(R132-SUMIFS(AN_TME23[[#All],[Member Months]], AN_TME23[[#All],[Insurance Category Code]],2, AN_TME23[[#All],[Advanced Network/Insurance Carrier Org ID]],Q132),2))</f>
        <v>TRUE</v>
      </c>
      <c r="X132" s="280" t="str">
        <f>IF(S132=ROUND(SUMIFS(AN_TME23[[#All],[Total Claims Excluded because of Truncation]], AN_TME23[[#All],[Insurance Category Code]],2, AN_TME23[[#All],[Advanced Network/Insurance Carrier Org ID]],Q132),2), "TRUE", ROUND(S132-SUMIFS(AN_TME23[[#All],[Total Claims Excluded because of Truncation]], AN_TME23[[#All],[Insurance Category Code]],2, AN_TME23[[#All],[Advanced Network/Insurance Carrier Org ID]],Q132),2))</f>
        <v>TRUE</v>
      </c>
      <c r="Y132" s="281" t="str">
        <f>IF(T132=ROUND(SUMIFS(AN_TME23[[#All],[Count of Members with Claims Truncated]], AN_TME23[[#All],[Insurance Category Code]],2, AN_TME23[[#All],[Advanced Network/Insurance Carrier Org ID]],Q132),2), "TRUE", ROUND(T132-SUMIFS(AN_TME23[[#All],[Count of Members with Claims Truncated]], AN_TME23[[#All],[Insurance Category Code]],2, AN_TME23[[#All],[Advanced Network/Insurance Carrier Org ID]],Q132),2))</f>
        <v>TRUE</v>
      </c>
      <c r="Z132" s="282" t="str">
        <f>IF(U132=ROUND(SUMIFS(AN_TME23[[#All],[TOTAL Non-Truncated Unadjusted Claims Expenses]], AN_TME23[[#All],[Insurance Category Code]],2, AN_TME23[[#All],[Advanced Network/Insurance Carrier Org ID]],Q132),2), "TRUE", ROUND(U132-SUMIFS(AN_TME23[[#All],[TOTAL Non-Truncated Unadjusted Claims Expenses]], AN_TME23[[#All],[Insurance Category Code]],2, AN_TME23[[#All],[Advanced Network/Insurance Carrier Org ID]],Q132),2))</f>
        <v>TRUE</v>
      </c>
      <c r="AA132" s="295" t="str">
        <f>IF(V132=ROUND(SUMIFS(AN_TME23[[#All],[TOTAL Truncated Unadjusted Claims Expenses (A21 -A19)]], AN_TME23[[#All],[Insurance Category Code]],2, AN_TME23[[#All],[Advanced Network/Insurance Carrier Org ID]],Q132),2), "TRUE", ROUND(V132-SUMIFS(AN_TME23[[#All],[TOTAL Truncated Unadjusted Claims Expenses (A21 -A19)]], AN_TME23[[#All],[Insurance Category Code]],2, AN_TME23[[#All],[Advanced Network/Insurance Carrier Org ID]],Q132),2))</f>
        <v>TRUE</v>
      </c>
      <c r="AB132" s="461" t="str">
        <f t="shared" si="13"/>
        <v>TRUE</v>
      </c>
      <c r="AC132" s="282" t="b">
        <f>ROUND(SUMIFS(AN_TME23[[#All],[TOTAL Non-Truncated Unadjusted Claims Expenses]], AN_TME23[[#All],[Insurance Category Code]],2, AN_TME23[[#All],[Advanced Network/Insurance Carrier Org ID]],Q132),2)&gt;=ROUND(SUMIFS(AN_TME23[[#All],[TOTAL Truncated Unadjusted Claims Expenses (A21 -A19)]], AN_TME23[[#All],[Insurance Category Code]],2, AN_TME23[[#All],[Advanced Network/Insurance Carrier Org ID]],Q132),2)</f>
        <v>1</v>
      </c>
      <c r="AD132" s="295" t="b">
        <f>ROUND(SUMIFS(AN_TME23[[#All],[TOTAL Truncated Unadjusted Claims Expenses (A21 -A19)]], AN_TME23[[#All],[Insurance Category Code]],2, AN_TME23[[#All],[Advanced Network/Insurance Carrier Org ID]],Q132)+SUMIFS(AN_TME23[[#All],[Total Claims Excluded because of Truncation]], AN_TME23[[#All],[Insurance Category Code]],2, AN_TME23[[#All],[Advanced Network/Insurance Carrier Org ID]],Q132), 2)=ROUND(SUMIFS(AN_TME23[[#All],[TOTAL Non-Truncated Unadjusted Claims Expenses]], AN_TME23[[#All],[Insurance Category Code]],2, AN_TME23[[#All],[Advanced Network/Insurance Carrier Org ID]],Q132),2)</f>
        <v>1</v>
      </c>
      <c r="AF132" s="323" t="str">
        <f t="shared" si="12"/>
        <v>NA</v>
      </c>
    </row>
    <row r="133" spans="2:32" outlineLevel="1" x14ac:dyDescent="0.25">
      <c r="B133" s="236">
        <v>112</v>
      </c>
      <c r="C133" s="463">
        <f>ROUND(SUMIFS(Age_Sex22[[#All],[Total Member Months by Age/Sex Band]], Age_Sex22[[#All],[Advanced Network ID]], $B133, Age_Sex22[[#All],[Insurance Category Code]],2),2)</f>
        <v>0</v>
      </c>
      <c r="D133" s="268">
        <f>ROUND(SUMIFS(Age_Sex22[[#All],[Total Dollars Excluded from Spending After Applying Truncation at the Member Level]], Age_Sex22[[#All],[Advanced Network ID]], $B133, Age_Sex22[[#All],[Insurance Category Code]],2),2)</f>
        <v>0</v>
      </c>
      <c r="E133" s="229">
        <f>ROUND(SUMIFS(Age_Sex22[[#All],[Count of Members whose Spending was Truncated]], Age_Sex22[[#All],[Advanced Network ID]], $B133, Age_Sex22[[#All],[Insurance Category Code]],2),2)</f>
        <v>0</v>
      </c>
      <c r="F133" s="230">
        <f>ROUND(SUMIFS(Age_Sex22[[#All],[Total Spending before Truncation is Applied]], Age_Sex22[[#All],[Advanced Network ID]], $B133, Age_Sex22[[#All],[Insurance Category Code]],2),2)</f>
        <v>0</v>
      </c>
      <c r="G133" s="232">
        <f>ROUND(SUMIFS(Age_Sex22[[#All],[Total Spending After Applying Truncation at the Member Level]], Age_Sex22[[#All],[Advanced Network ID]], $B133, Age_Sex22[[#All],[Insurance Category Code]],2),2)</f>
        <v>0</v>
      </c>
      <c r="H133" s="416" t="str">
        <f>IF(C133=ROUND(SUMIFS(AN_TME22[[#All],[Member Months]], AN_TME22[[#All],[Insurance Category Code]],2, AN_TME22[[#All],[Advanced Network/Insurance Carrier Org ID]],B133),2), "TRUE", ROUND(C133-SUMIFS(AN_TME22[[#All],[Member Months]], AN_TME22[[#All],[Insurance Category Code]],2, AN_TME22[[#All],[Advanced Network/Insurance Carrier Org ID]],B133),2))</f>
        <v>TRUE</v>
      </c>
      <c r="I133" s="280" t="str">
        <f>IF(D133=ROUND(SUMIFS(AN_TME22[[#All],[Total Claims Excluded because of Truncation]], AN_TME22[[#All],[Insurance Category Code]],2, AN_TME22[[#All],[Advanced Network/Insurance Carrier Org ID]],B133),2), "TRUE", ROUND(D133-SUMIFS(AN_TME22[[#All],[Total Claims Excluded because of Truncation]], AN_TME22[[#All],[Insurance Category Code]],2, AN_TME22[[#All],[Advanced Network/Insurance Carrier Org ID]],B133),2))</f>
        <v>TRUE</v>
      </c>
      <c r="J133" s="281" t="str">
        <f>IF(E133=ROUND(SUMIFS(AN_TME22[[#All],[Count of Members with Claims Truncated]], AN_TME22[[#All],[Insurance Category Code]],2, AN_TME22[[#All],[Advanced Network/Insurance Carrier Org ID]],B133),2), "TRUE", ROUND(E133-SUMIFS(AN_TME22[[#All],[Count of Members with Claims Truncated]], AN_TME22[[#All],[Insurance Category Code]],2, AN_TME22[[#All],[Advanced Network/Insurance Carrier Org ID]],B133),2))</f>
        <v>TRUE</v>
      </c>
      <c r="K133" s="282" t="str">
        <f>IF(F133=ROUND(SUMIFS(AN_TME22[[#All],[TOTAL Non-Truncated Unadjusted Claims Expenses]], AN_TME22[[#All],[Insurance Category Code]],2, AN_TME22[[#All],[Advanced Network/Insurance Carrier Org ID]],B133),2), "TRUE", ROUND(F133-SUMIFS(AN_TME22[[#All],[TOTAL Non-Truncated Unadjusted Claims Expenses]], AN_TME22[[#All],[Insurance Category Code]],2, AN_TME22[[#All],[Advanced Network/Insurance Carrier Org ID]],B133),2))</f>
        <v>TRUE</v>
      </c>
      <c r="L133" s="295" t="str">
        <f>IF(G133=ROUND(SUMIFS(AN_TME22[[#All],[TOTAL Truncated Unadjusted Claims Expenses (A21 -A19)]], AN_TME22[[#All],[Insurance Category Code]],2, AN_TME22[[#All],[Advanced Network/Insurance Carrier Org ID]],B133),2), "TRUE", ROUND(G133-SUMIFS(AN_TME22[[#All],[TOTAL Truncated Unadjusted Claims Expenses (A21 -A19)]], AN_TME22[[#All],[Insurance Category Code]],2, AN_TME22[[#All],[Advanced Network/Insurance Carrier Org ID]],B133),2))</f>
        <v>TRUE</v>
      </c>
      <c r="M133" s="461" t="str">
        <f t="shared" si="11"/>
        <v>TRUE</v>
      </c>
      <c r="N133" s="282" t="b">
        <f>ROUND(SUMIFS(AN_TME22[[#All],[TOTAL Non-Truncated Unadjusted Claims Expenses]], AN_TME22[[#All],[Insurance Category Code]],2, AN_TME22[[#All],[Advanced Network/Insurance Carrier Org ID]],B133),2)&gt;=ROUND(SUMIFS(AN_TME22[[#All],[TOTAL Truncated Unadjusted Claims Expenses (A21 -A19)]], AN_TME22[[#All],[Insurance Category Code]],2, AN_TME22[[#All],[Advanced Network/Insurance Carrier Org ID]],B133), 2)</f>
        <v>1</v>
      </c>
      <c r="O133" s="295" t="b">
        <f>ROUND(SUMIFS(AN_TME22[[#All],[TOTAL Truncated Unadjusted Claims Expenses (A21 -A19)]], AN_TME22[[#All],[Insurance Category Code]],2, AN_TME22[[#All],[Advanced Network/Insurance Carrier Org ID]],B133)+SUMIFS(AN_TME22[[#All],[Total Claims Excluded because of Truncation]], AN_TME22[[#All],[Insurance Category Code]],2, AN_TME22[[#All],[Advanced Network/Insurance Carrier Org ID]],B133),2)=ROUND(SUMIFS(AN_TME22[[#All],[TOTAL Non-Truncated Unadjusted Claims Expenses]], AN_TME22[[#All],[Insurance Category Code]],2, AN_TME22[[#All],[Advanced Network/Insurance Carrier Org ID]],B133), 2)</f>
        <v>1</v>
      </c>
      <c r="Q133" s="236">
        <v>112</v>
      </c>
      <c r="R133" s="463">
        <f>ROUND(SUMIFS(Age_Sex23[[#All],[Total Member Months by Age/Sex Band]], Age_Sex23[[#All],[Advanced Network ID]], $Q133, Age_Sex23[[#All],[Insurance Category Code]],2),2)</f>
        <v>0</v>
      </c>
      <c r="S133" s="268">
        <f>ROUND(SUMIFS(Age_Sex23[[#All],[Total Dollars Excluded from Spending After Applying Truncation at the Member Level]], Age_Sex23[[#All],[Advanced Network ID]], $B133, Age_Sex23[[#All],[Insurance Category Code]],2),2)</f>
        <v>0</v>
      </c>
      <c r="T133" s="229">
        <f>ROUND(SUMIFS(Age_Sex23[[#All],[Count of Members whose Spending was Truncated]], Age_Sex23[[#All],[Advanced Network ID]], $B133, Age_Sex23[[#All],[Insurance Category Code]],2),2)</f>
        <v>0</v>
      </c>
      <c r="U133" s="230">
        <f>ROUND(SUMIFS(Age_Sex23[[#All],[Total Spending before Truncation is Applied]], Age_Sex23[[#All],[Advanced Network ID]], $B133, Age_Sex23[[#All],[Insurance Category Code]],2),2)</f>
        <v>0</v>
      </c>
      <c r="V133" s="232">
        <f>ROUND(SUMIFS(Age_Sex23[[#All],[Total Spending After Applying Truncation at the Member Level]], Age_Sex23[[#All],[Advanced Network ID]], $B133, Age_Sex23[[#All],[Insurance Category Code]],2), 2)</f>
        <v>0</v>
      </c>
      <c r="W133" s="416" t="str">
        <f>IF(R133=ROUND(SUMIFS(AN_TME23[[#All],[Member Months]], AN_TME23[[#All],[Insurance Category Code]],2, AN_TME23[[#All],[Advanced Network/Insurance Carrier Org ID]],Q133),2), "TRUE", ROUND(R133-SUMIFS(AN_TME23[[#All],[Member Months]], AN_TME23[[#All],[Insurance Category Code]],2, AN_TME23[[#All],[Advanced Network/Insurance Carrier Org ID]],Q133),2))</f>
        <v>TRUE</v>
      </c>
      <c r="X133" s="280" t="str">
        <f>IF(S133=ROUND(SUMIFS(AN_TME23[[#All],[Total Claims Excluded because of Truncation]], AN_TME23[[#All],[Insurance Category Code]],2, AN_TME23[[#All],[Advanced Network/Insurance Carrier Org ID]],Q133),2), "TRUE", ROUND(S133-SUMIFS(AN_TME23[[#All],[Total Claims Excluded because of Truncation]], AN_TME23[[#All],[Insurance Category Code]],2, AN_TME23[[#All],[Advanced Network/Insurance Carrier Org ID]],Q133),2))</f>
        <v>TRUE</v>
      </c>
      <c r="Y133" s="281" t="str">
        <f>IF(T133=ROUND(SUMIFS(AN_TME23[[#All],[Count of Members with Claims Truncated]], AN_TME23[[#All],[Insurance Category Code]],2, AN_TME23[[#All],[Advanced Network/Insurance Carrier Org ID]],Q133),2), "TRUE", ROUND(T133-SUMIFS(AN_TME23[[#All],[Count of Members with Claims Truncated]], AN_TME23[[#All],[Insurance Category Code]],2, AN_TME23[[#All],[Advanced Network/Insurance Carrier Org ID]],Q133),2))</f>
        <v>TRUE</v>
      </c>
      <c r="Z133" s="282" t="str">
        <f>IF(U133=ROUND(SUMIFS(AN_TME23[[#All],[TOTAL Non-Truncated Unadjusted Claims Expenses]], AN_TME23[[#All],[Insurance Category Code]],2, AN_TME23[[#All],[Advanced Network/Insurance Carrier Org ID]],Q133),2), "TRUE", ROUND(U133-SUMIFS(AN_TME23[[#All],[TOTAL Non-Truncated Unadjusted Claims Expenses]], AN_TME23[[#All],[Insurance Category Code]],2, AN_TME23[[#All],[Advanced Network/Insurance Carrier Org ID]],Q133),2))</f>
        <v>TRUE</v>
      </c>
      <c r="AA133" s="295" t="str">
        <f>IF(V133=ROUND(SUMIFS(AN_TME23[[#All],[TOTAL Truncated Unadjusted Claims Expenses (A21 -A19)]], AN_TME23[[#All],[Insurance Category Code]],2, AN_TME23[[#All],[Advanced Network/Insurance Carrier Org ID]],Q133),2), "TRUE", ROUND(V133-SUMIFS(AN_TME23[[#All],[TOTAL Truncated Unadjusted Claims Expenses (A21 -A19)]], AN_TME23[[#All],[Insurance Category Code]],2, AN_TME23[[#All],[Advanced Network/Insurance Carrier Org ID]],Q133),2))</f>
        <v>TRUE</v>
      </c>
      <c r="AB133" s="461" t="str">
        <f t="shared" si="13"/>
        <v>TRUE</v>
      </c>
      <c r="AC133" s="282" t="b">
        <f>ROUND(SUMIFS(AN_TME23[[#All],[TOTAL Non-Truncated Unadjusted Claims Expenses]], AN_TME23[[#All],[Insurance Category Code]],2, AN_TME23[[#All],[Advanced Network/Insurance Carrier Org ID]],Q133),2)&gt;=ROUND(SUMIFS(AN_TME23[[#All],[TOTAL Truncated Unadjusted Claims Expenses (A21 -A19)]], AN_TME23[[#All],[Insurance Category Code]],2, AN_TME23[[#All],[Advanced Network/Insurance Carrier Org ID]],Q133),2)</f>
        <v>1</v>
      </c>
      <c r="AD133" s="295" t="b">
        <f>ROUND(SUMIFS(AN_TME23[[#All],[TOTAL Truncated Unadjusted Claims Expenses (A21 -A19)]], AN_TME23[[#All],[Insurance Category Code]],2, AN_TME23[[#All],[Advanced Network/Insurance Carrier Org ID]],Q133)+SUMIFS(AN_TME23[[#All],[Total Claims Excluded because of Truncation]], AN_TME23[[#All],[Insurance Category Code]],2, AN_TME23[[#All],[Advanced Network/Insurance Carrier Org ID]],Q133), 2)=ROUND(SUMIFS(AN_TME23[[#All],[TOTAL Non-Truncated Unadjusted Claims Expenses]], AN_TME23[[#All],[Insurance Category Code]],2, AN_TME23[[#All],[Advanced Network/Insurance Carrier Org ID]],Q133),2)</f>
        <v>1</v>
      </c>
      <c r="AF133" s="323" t="str">
        <f t="shared" si="12"/>
        <v>NA</v>
      </c>
    </row>
    <row r="134" spans="2:32" outlineLevel="1" x14ac:dyDescent="0.25">
      <c r="B134" s="236">
        <v>113</v>
      </c>
      <c r="C134" s="463">
        <f>ROUND(SUMIFS(Age_Sex22[[#All],[Total Member Months by Age/Sex Band]], Age_Sex22[[#All],[Advanced Network ID]], $B134, Age_Sex22[[#All],[Insurance Category Code]],2),2)</f>
        <v>0</v>
      </c>
      <c r="D134" s="268">
        <f>ROUND(SUMIFS(Age_Sex22[[#All],[Total Dollars Excluded from Spending After Applying Truncation at the Member Level]], Age_Sex22[[#All],[Advanced Network ID]], $B134, Age_Sex22[[#All],[Insurance Category Code]],2),2)</f>
        <v>0</v>
      </c>
      <c r="E134" s="229">
        <f>ROUND(SUMIFS(Age_Sex22[[#All],[Count of Members whose Spending was Truncated]], Age_Sex22[[#All],[Advanced Network ID]], $B134, Age_Sex22[[#All],[Insurance Category Code]],2),2)</f>
        <v>0</v>
      </c>
      <c r="F134" s="230">
        <f>ROUND(SUMIFS(Age_Sex22[[#All],[Total Spending before Truncation is Applied]], Age_Sex22[[#All],[Advanced Network ID]], $B134, Age_Sex22[[#All],[Insurance Category Code]],2),2)</f>
        <v>0</v>
      </c>
      <c r="G134" s="232">
        <f>ROUND(SUMIFS(Age_Sex22[[#All],[Total Spending After Applying Truncation at the Member Level]], Age_Sex22[[#All],[Advanced Network ID]], $B134, Age_Sex22[[#All],[Insurance Category Code]],2),2)</f>
        <v>0</v>
      </c>
      <c r="H134" s="416" t="str">
        <f>IF(C134=ROUND(SUMIFS(AN_TME22[[#All],[Member Months]], AN_TME22[[#All],[Insurance Category Code]],2, AN_TME22[[#All],[Advanced Network/Insurance Carrier Org ID]],B134),2), "TRUE", ROUND(C134-SUMIFS(AN_TME22[[#All],[Member Months]], AN_TME22[[#All],[Insurance Category Code]],2, AN_TME22[[#All],[Advanced Network/Insurance Carrier Org ID]],B134),2))</f>
        <v>TRUE</v>
      </c>
      <c r="I134" s="280" t="str">
        <f>IF(D134=ROUND(SUMIFS(AN_TME22[[#All],[Total Claims Excluded because of Truncation]], AN_TME22[[#All],[Insurance Category Code]],2, AN_TME22[[#All],[Advanced Network/Insurance Carrier Org ID]],B134),2), "TRUE", ROUND(D134-SUMIFS(AN_TME22[[#All],[Total Claims Excluded because of Truncation]], AN_TME22[[#All],[Insurance Category Code]],2, AN_TME22[[#All],[Advanced Network/Insurance Carrier Org ID]],B134),2))</f>
        <v>TRUE</v>
      </c>
      <c r="J134" s="281" t="str">
        <f>IF(E134=ROUND(SUMIFS(AN_TME22[[#All],[Count of Members with Claims Truncated]], AN_TME22[[#All],[Insurance Category Code]],2, AN_TME22[[#All],[Advanced Network/Insurance Carrier Org ID]],B134),2), "TRUE", ROUND(E134-SUMIFS(AN_TME22[[#All],[Count of Members with Claims Truncated]], AN_TME22[[#All],[Insurance Category Code]],2, AN_TME22[[#All],[Advanced Network/Insurance Carrier Org ID]],B134),2))</f>
        <v>TRUE</v>
      </c>
      <c r="K134" s="282" t="str">
        <f>IF(F134=ROUND(SUMIFS(AN_TME22[[#All],[TOTAL Non-Truncated Unadjusted Claims Expenses]], AN_TME22[[#All],[Insurance Category Code]],2, AN_TME22[[#All],[Advanced Network/Insurance Carrier Org ID]],B134),2), "TRUE", ROUND(F134-SUMIFS(AN_TME22[[#All],[TOTAL Non-Truncated Unadjusted Claims Expenses]], AN_TME22[[#All],[Insurance Category Code]],2, AN_TME22[[#All],[Advanced Network/Insurance Carrier Org ID]],B134),2))</f>
        <v>TRUE</v>
      </c>
      <c r="L134" s="295" t="str">
        <f>IF(G134=ROUND(SUMIFS(AN_TME22[[#All],[TOTAL Truncated Unadjusted Claims Expenses (A21 -A19)]], AN_TME22[[#All],[Insurance Category Code]],2, AN_TME22[[#All],[Advanced Network/Insurance Carrier Org ID]],B134),2), "TRUE", ROUND(G134-SUMIFS(AN_TME22[[#All],[TOTAL Truncated Unadjusted Claims Expenses (A21 -A19)]], AN_TME22[[#All],[Insurance Category Code]],2, AN_TME22[[#All],[Advanced Network/Insurance Carrier Org ID]],B134),2))</f>
        <v>TRUE</v>
      </c>
      <c r="M134" s="461" t="str">
        <f t="shared" si="11"/>
        <v>TRUE</v>
      </c>
      <c r="N134" s="282" t="b">
        <f>ROUND(SUMIFS(AN_TME22[[#All],[TOTAL Non-Truncated Unadjusted Claims Expenses]], AN_TME22[[#All],[Insurance Category Code]],2, AN_TME22[[#All],[Advanced Network/Insurance Carrier Org ID]],B134),2)&gt;=ROUND(SUMIFS(AN_TME22[[#All],[TOTAL Truncated Unadjusted Claims Expenses (A21 -A19)]], AN_TME22[[#All],[Insurance Category Code]],2, AN_TME22[[#All],[Advanced Network/Insurance Carrier Org ID]],B134), 2)</f>
        <v>1</v>
      </c>
      <c r="O134" s="295" t="b">
        <f>ROUND(SUMIFS(AN_TME22[[#All],[TOTAL Truncated Unadjusted Claims Expenses (A21 -A19)]], AN_TME22[[#All],[Insurance Category Code]],2, AN_TME22[[#All],[Advanced Network/Insurance Carrier Org ID]],B134)+SUMIFS(AN_TME22[[#All],[Total Claims Excluded because of Truncation]], AN_TME22[[#All],[Insurance Category Code]],2, AN_TME22[[#All],[Advanced Network/Insurance Carrier Org ID]],B134),2)=ROUND(SUMIFS(AN_TME22[[#All],[TOTAL Non-Truncated Unadjusted Claims Expenses]], AN_TME22[[#All],[Insurance Category Code]],2, AN_TME22[[#All],[Advanced Network/Insurance Carrier Org ID]],B134), 2)</f>
        <v>1</v>
      </c>
      <c r="Q134" s="236">
        <v>113</v>
      </c>
      <c r="R134" s="463">
        <f>ROUND(SUMIFS(Age_Sex23[[#All],[Total Member Months by Age/Sex Band]], Age_Sex23[[#All],[Advanced Network ID]], $Q134, Age_Sex23[[#All],[Insurance Category Code]],2),2)</f>
        <v>0</v>
      </c>
      <c r="S134" s="268">
        <f>ROUND(SUMIFS(Age_Sex23[[#All],[Total Dollars Excluded from Spending After Applying Truncation at the Member Level]], Age_Sex23[[#All],[Advanced Network ID]], $B134, Age_Sex23[[#All],[Insurance Category Code]],2),2)</f>
        <v>0</v>
      </c>
      <c r="T134" s="229">
        <f>ROUND(SUMIFS(Age_Sex23[[#All],[Count of Members whose Spending was Truncated]], Age_Sex23[[#All],[Advanced Network ID]], $B134, Age_Sex23[[#All],[Insurance Category Code]],2),2)</f>
        <v>0</v>
      </c>
      <c r="U134" s="230">
        <f>ROUND(SUMIFS(Age_Sex23[[#All],[Total Spending before Truncation is Applied]], Age_Sex23[[#All],[Advanced Network ID]], $B134, Age_Sex23[[#All],[Insurance Category Code]],2),2)</f>
        <v>0</v>
      </c>
      <c r="V134" s="232">
        <f>ROUND(SUMIFS(Age_Sex23[[#All],[Total Spending After Applying Truncation at the Member Level]], Age_Sex23[[#All],[Advanced Network ID]], $B134, Age_Sex23[[#All],[Insurance Category Code]],2), 2)</f>
        <v>0</v>
      </c>
      <c r="W134" s="416" t="str">
        <f>IF(R134=ROUND(SUMIFS(AN_TME23[[#All],[Member Months]], AN_TME23[[#All],[Insurance Category Code]],2, AN_TME23[[#All],[Advanced Network/Insurance Carrier Org ID]],Q134),2), "TRUE", ROUND(R134-SUMIFS(AN_TME23[[#All],[Member Months]], AN_TME23[[#All],[Insurance Category Code]],2, AN_TME23[[#All],[Advanced Network/Insurance Carrier Org ID]],Q134),2))</f>
        <v>TRUE</v>
      </c>
      <c r="X134" s="280" t="str">
        <f>IF(S134=ROUND(SUMIFS(AN_TME23[[#All],[Total Claims Excluded because of Truncation]], AN_TME23[[#All],[Insurance Category Code]],2, AN_TME23[[#All],[Advanced Network/Insurance Carrier Org ID]],Q134),2), "TRUE", ROUND(S134-SUMIFS(AN_TME23[[#All],[Total Claims Excluded because of Truncation]], AN_TME23[[#All],[Insurance Category Code]],2, AN_TME23[[#All],[Advanced Network/Insurance Carrier Org ID]],Q134),2))</f>
        <v>TRUE</v>
      </c>
      <c r="Y134" s="281" t="str">
        <f>IF(T134=ROUND(SUMIFS(AN_TME23[[#All],[Count of Members with Claims Truncated]], AN_TME23[[#All],[Insurance Category Code]],2, AN_TME23[[#All],[Advanced Network/Insurance Carrier Org ID]],Q134),2), "TRUE", ROUND(T134-SUMIFS(AN_TME23[[#All],[Count of Members with Claims Truncated]], AN_TME23[[#All],[Insurance Category Code]],2, AN_TME23[[#All],[Advanced Network/Insurance Carrier Org ID]],Q134),2))</f>
        <v>TRUE</v>
      </c>
      <c r="Z134" s="282" t="str">
        <f>IF(U134=ROUND(SUMIFS(AN_TME23[[#All],[TOTAL Non-Truncated Unadjusted Claims Expenses]], AN_TME23[[#All],[Insurance Category Code]],2, AN_TME23[[#All],[Advanced Network/Insurance Carrier Org ID]],Q134),2), "TRUE", ROUND(U134-SUMIFS(AN_TME23[[#All],[TOTAL Non-Truncated Unadjusted Claims Expenses]], AN_TME23[[#All],[Insurance Category Code]],2, AN_TME23[[#All],[Advanced Network/Insurance Carrier Org ID]],Q134),2))</f>
        <v>TRUE</v>
      </c>
      <c r="AA134" s="295" t="str">
        <f>IF(V134=ROUND(SUMIFS(AN_TME23[[#All],[TOTAL Truncated Unadjusted Claims Expenses (A21 -A19)]], AN_TME23[[#All],[Insurance Category Code]],2, AN_TME23[[#All],[Advanced Network/Insurance Carrier Org ID]],Q134),2), "TRUE", ROUND(V134-SUMIFS(AN_TME23[[#All],[TOTAL Truncated Unadjusted Claims Expenses (A21 -A19)]], AN_TME23[[#All],[Insurance Category Code]],2, AN_TME23[[#All],[Advanced Network/Insurance Carrier Org ID]],Q134),2))</f>
        <v>TRUE</v>
      </c>
      <c r="AB134" s="461" t="str">
        <f t="shared" si="13"/>
        <v>TRUE</v>
      </c>
      <c r="AC134" s="282" t="b">
        <f>ROUND(SUMIFS(AN_TME23[[#All],[TOTAL Non-Truncated Unadjusted Claims Expenses]], AN_TME23[[#All],[Insurance Category Code]],2, AN_TME23[[#All],[Advanced Network/Insurance Carrier Org ID]],Q134),2)&gt;=ROUND(SUMIFS(AN_TME23[[#All],[TOTAL Truncated Unadjusted Claims Expenses (A21 -A19)]], AN_TME23[[#All],[Insurance Category Code]],2, AN_TME23[[#All],[Advanced Network/Insurance Carrier Org ID]],Q134),2)</f>
        <v>1</v>
      </c>
      <c r="AD134" s="295" t="b">
        <f>ROUND(SUMIFS(AN_TME23[[#All],[TOTAL Truncated Unadjusted Claims Expenses (A21 -A19)]], AN_TME23[[#All],[Insurance Category Code]],2, AN_TME23[[#All],[Advanced Network/Insurance Carrier Org ID]],Q134)+SUMIFS(AN_TME23[[#All],[Total Claims Excluded because of Truncation]], AN_TME23[[#All],[Insurance Category Code]],2, AN_TME23[[#All],[Advanced Network/Insurance Carrier Org ID]],Q134), 2)=ROUND(SUMIFS(AN_TME23[[#All],[TOTAL Non-Truncated Unadjusted Claims Expenses]], AN_TME23[[#All],[Insurance Category Code]],2, AN_TME23[[#All],[Advanced Network/Insurance Carrier Org ID]],Q134),2)</f>
        <v>1</v>
      </c>
      <c r="AF134" s="323" t="str">
        <f t="shared" si="12"/>
        <v>NA</v>
      </c>
    </row>
    <row r="135" spans="2:32" outlineLevel="1" x14ac:dyDescent="0.25">
      <c r="B135" s="236">
        <v>114</v>
      </c>
      <c r="C135" s="463">
        <f>ROUND(SUMIFS(Age_Sex22[[#All],[Total Member Months by Age/Sex Band]], Age_Sex22[[#All],[Advanced Network ID]], $B135, Age_Sex22[[#All],[Insurance Category Code]],2),2)</f>
        <v>0</v>
      </c>
      <c r="D135" s="268">
        <f>ROUND(SUMIFS(Age_Sex22[[#All],[Total Dollars Excluded from Spending After Applying Truncation at the Member Level]], Age_Sex22[[#All],[Advanced Network ID]], $B135, Age_Sex22[[#All],[Insurance Category Code]],2),2)</f>
        <v>0</v>
      </c>
      <c r="E135" s="229">
        <f>ROUND(SUMIFS(Age_Sex22[[#All],[Count of Members whose Spending was Truncated]], Age_Sex22[[#All],[Advanced Network ID]], $B135, Age_Sex22[[#All],[Insurance Category Code]],2),2)</f>
        <v>0</v>
      </c>
      <c r="F135" s="230">
        <f>ROUND(SUMIFS(Age_Sex22[[#All],[Total Spending before Truncation is Applied]], Age_Sex22[[#All],[Advanced Network ID]], $B135, Age_Sex22[[#All],[Insurance Category Code]],2),2)</f>
        <v>0</v>
      </c>
      <c r="G135" s="232">
        <f>ROUND(SUMIFS(Age_Sex22[[#All],[Total Spending After Applying Truncation at the Member Level]], Age_Sex22[[#All],[Advanced Network ID]], $B135, Age_Sex22[[#All],[Insurance Category Code]],2),2)</f>
        <v>0</v>
      </c>
      <c r="H135" s="416" t="str">
        <f>IF(C135=ROUND(SUMIFS(AN_TME22[[#All],[Member Months]], AN_TME22[[#All],[Insurance Category Code]],2, AN_TME22[[#All],[Advanced Network/Insurance Carrier Org ID]],B135),2), "TRUE", ROUND(C135-SUMIFS(AN_TME22[[#All],[Member Months]], AN_TME22[[#All],[Insurance Category Code]],2, AN_TME22[[#All],[Advanced Network/Insurance Carrier Org ID]],B135),2))</f>
        <v>TRUE</v>
      </c>
      <c r="I135" s="280" t="str">
        <f>IF(D135=ROUND(SUMIFS(AN_TME22[[#All],[Total Claims Excluded because of Truncation]], AN_TME22[[#All],[Insurance Category Code]],2, AN_TME22[[#All],[Advanced Network/Insurance Carrier Org ID]],B135),2), "TRUE", ROUND(D135-SUMIFS(AN_TME22[[#All],[Total Claims Excluded because of Truncation]], AN_TME22[[#All],[Insurance Category Code]],2, AN_TME22[[#All],[Advanced Network/Insurance Carrier Org ID]],B135),2))</f>
        <v>TRUE</v>
      </c>
      <c r="J135" s="281" t="str">
        <f>IF(E135=ROUND(SUMIFS(AN_TME22[[#All],[Count of Members with Claims Truncated]], AN_TME22[[#All],[Insurance Category Code]],2, AN_TME22[[#All],[Advanced Network/Insurance Carrier Org ID]],B135),2), "TRUE", ROUND(E135-SUMIFS(AN_TME22[[#All],[Count of Members with Claims Truncated]], AN_TME22[[#All],[Insurance Category Code]],2, AN_TME22[[#All],[Advanced Network/Insurance Carrier Org ID]],B135),2))</f>
        <v>TRUE</v>
      </c>
      <c r="K135" s="282" t="str">
        <f>IF(F135=ROUND(SUMIFS(AN_TME22[[#All],[TOTAL Non-Truncated Unadjusted Claims Expenses]], AN_TME22[[#All],[Insurance Category Code]],2, AN_TME22[[#All],[Advanced Network/Insurance Carrier Org ID]],B135),2), "TRUE", ROUND(F135-SUMIFS(AN_TME22[[#All],[TOTAL Non-Truncated Unadjusted Claims Expenses]], AN_TME22[[#All],[Insurance Category Code]],2, AN_TME22[[#All],[Advanced Network/Insurance Carrier Org ID]],B135),2))</f>
        <v>TRUE</v>
      </c>
      <c r="L135" s="295" t="str">
        <f>IF(G135=ROUND(SUMIFS(AN_TME22[[#All],[TOTAL Truncated Unadjusted Claims Expenses (A21 -A19)]], AN_TME22[[#All],[Insurance Category Code]],2, AN_TME22[[#All],[Advanced Network/Insurance Carrier Org ID]],B135),2), "TRUE", ROUND(G135-SUMIFS(AN_TME22[[#All],[TOTAL Truncated Unadjusted Claims Expenses (A21 -A19)]], AN_TME22[[#All],[Insurance Category Code]],2, AN_TME22[[#All],[Advanced Network/Insurance Carrier Org ID]],B135),2))</f>
        <v>TRUE</v>
      </c>
      <c r="M135" s="461" t="str">
        <f t="shared" si="11"/>
        <v>TRUE</v>
      </c>
      <c r="N135" s="282" t="b">
        <f>ROUND(SUMIFS(AN_TME22[[#All],[TOTAL Non-Truncated Unadjusted Claims Expenses]], AN_TME22[[#All],[Insurance Category Code]],2, AN_TME22[[#All],[Advanced Network/Insurance Carrier Org ID]],B135),2)&gt;=ROUND(SUMIFS(AN_TME22[[#All],[TOTAL Truncated Unadjusted Claims Expenses (A21 -A19)]], AN_TME22[[#All],[Insurance Category Code]],2, AN_TME22[[#All],[Advanced Network/Insurance Carrier Org ID]],B135), 2)</f>
        <v>1</v>
      </c>
      <c r="O135" s="295" t="b">
        <f>ROUND(SUMIFS(AN_TME22[[#All],[TOTAL Truncated Unadjusted Claims Expenses (A21 -A19)]], AN_TME22[[#All],[Insurance Category Code]],2, AN_TME22[[#All],[Advanced Network/Insurance Carrier Org ID]],B135)+SUMIFS(AN_TME22[[#All],[Total Claims Excluded because of Truncation]], AN_TME22[[#All],[Insurance Category Code]],2, AN_TME22[[#All],[Advanced Network/Insurance Carrier Org ID]],B135),2)=ROUND(SUMIFS(AN_TME22[[#All],[TOTAL Non-Truncated Unadjusted Claims Expenses]], AN_TME22[[#All],[Insurance Category Code]],2, AN_TME22[[#All],[Advanced Network/Insurance Carrier Org ID]],B135), 2)</f>
        <v>1</v>
      </c>
      <c r="Q135" s="236">
        <v>114</v>
      </c>
      <c r="R135" s="463">
        <f>ROUND(SUMIFS(Age_Sex23[[#All],[Total Member Months by Age/Sex Band]], Age_Sex23[[#All],[Advanced Network ID]], $Q135, Age_Sex23[[#All],[Insurance Category Code]],2),2)</f>
        <v>0</v>
      </c>
      <c r="S135" s="268">
        <f>ROUND(SUMIFS(Age_Sex23[[#All],[Total Dollars Excluded from Spending After Applying Truncation at the Member Level]], Age_Sex23[[#All],[Advanced Network ID]], $B135, Age_Sex23[[#All],[Insurance Category Code]],2),2)</f>
        <v>0</v>
      </c>
      <c r="T135" s="229">
        <f>ROUND(SUMIFS(Age_Sex23[[#All],[Count of Members whose Spending was Truncated]], Age_Sex23[[#All],[Advanced Network ID]], $B135, Age_Sex23[[#All],[Insurance Category Code]],2),2)</f>
        <v>0</v>
      </c>
      <c r="U135" s="230">
        <f>ROUND(SUMIFS(Age_Sex23[[#All],[Total Spending before Truncation is Applied]], Age_Sex23[[#All],[Advanced Network ID]], $B135, Age_Sex23[[#All],[Insurance Category Code]],2),2)</f>
        <v>0</v>
      </c>
      <c r="V135" s="232">
        <f>ROUND(SUMIFS(Age_Sex23[[#All],[Total Spending After Applying Truncation at the Member Level]], Age_Sex23[[#All],[Advanced Network ID]], $B135, Age_Sex23[[#All],[Insurance Category Code]],2), 2)</f>
        <v>0</v>
      </c>
      <c r="W135" s="416" t="str">
        <f>IF(R135=ROUND(SUMIFS(AN_TME23[[#All],[Member Months]], AN_TME23[[#All],[Insurance Category Code]],2, AN_TME23[[#All],[Advanced Network/Insurance Carrier Org ID]],Q135),2), "TRUE", ROUND(R135-SUMIFS(AN_TME23[[#All],[Member Months]], AN_TME23[[#All],[Insurance Category Code]],2, AN_TME23[[#All],[Advanced Network/Insurance Carrier Org ID]],Q135),2))</f>
        <v>TRUE</v>
      </c>
      <c r="X135" s="280" t="str">
        <f>IF(S135=ROUND(SUMIFS(AN_TME23[[#All],[Total Claims Excluded because of Truncation]], AN_TME23[[#All],[Insurance Category Code]],2, AN_TME23[[#All],[Advanced Network/Insurance Carrier Org ID]],Q135),2), "TRUE", ROUND(S135-SUMIFS(AN_TME23[[#All],[Total Claims Excluded because of Truncation]], AN_TME23[[#All],[Insurance Category Code]],2, AN_TME23[[#All],[Advanced Network/Insurance Carrier Org ID]],Q135),2))</f>
        <v>TRUE</v>
      </c>
      <c r="Y135" s="281" t="str">
        <f>IF(T135=ROUND(SUMIFS(AN_TME23[[#All],[Count of Members with Claims Truncated]], AN_TME23[[#All],[Insurance Category Code]],2, AN_TME23[[#All],[Advanced Network/Insurance Carrier Org ID]],Q135),2), "TRUE", ROUND(T135-SUMIFS(AN_TME23[[#All],[Count of Members with Claims Truncated]], AN_TME23[[#All],[Insurance Category Code]],2, AN_TME23[[#All],[Advanced Network/Insurance Carrier Org ID]],Q135),2))</f>
        <v>TRUE</v>
      </c>
      <c r="Z135" s="282" t="str">
        <f>IF(U135=ROUND(SUMIFS(AN_TME23[[#All],[TOTAL Non-Truncated Unadjusted Claims Expenses]], AN_TME23[[#All],[Insurance Category Code]],2, AN_TME23[[#All],[Advanced Network/Insurance Carrier Org ID]],Q135),2), "TRUE", ROUND(U135-SUMIFS(AN_TME23[[#All],[TOTAL Non-Truncated Unadjusted Claims Expenses]], AN_TME23[[#All],[Insurance Category Code]],2, AN_TME23[[#All],[Advanced Network/Insurance Carrier Org ID]],Q135),2))</f>
        <v>TRUE</v>
      </c>
      <c r="AA135" s="295" t="str">
        <f>IF(V135=ROUND(SUMIFS(AN_TME23[[#All],[TOTAL Truncated Unadjusted Claims Expenses (A21 -A19)]], AN_TME23[[#All],[Insurance Category Code]],2, AN_TME23[[#All],[Advanced Network/Insurance Carrier Org ID]],Q135),2), "TRUE", ROUND(V135-SUMIFS(AN_TME23[[#All],[TOTAL Truncated Unadjusted Claims Expenses (A21 -A19)]], AN_TME23[[#All],[Insurance Category Code]],2, AN_TME23[[#All],[Advanced Network/Insurance Carrier Org ID]],Q135),2))</f>
        <v>TRUE</v>
      </c>
      <c r="AB135" s="461" t="str">
        <f t="shared" si="13"/>
        <v>TRUE</v>
      </c>
      <c r="AC135" s="282" t="b">
        <f>ROUND(SUMIFS(AN_TME23[[#All],[TOTAL Non-Truncated Unadjusted Claims Expenses]], AN_TME23[[#All],[Insurance Category Code]],2, AN_TME23[[#All],[Advanced Network/Insurance Carrier Org ID]],Q135),2)&gt;=ROUND(SUMIFS(AN_TME23[[#All],[TOTAL Truncated Unadjusted Claims Expenses (A21 -A19)]], AN_TME23[[#All],[Insurance Category Code]],2, AN_TME23[[#All],[Advanced Network/Insurance Carrier Org ID]],Q135),2)</f>
        <v>1</v>
      </c>
      <c r="AD135" s="295" t="b">
        <f>ROUND(SUMIFS(AN_TME23[[#All],[TOTAL Truncated Unadjusted Claims Expenses (A21 -A19)]], AN_TME23[[#All],[Insurance Category Code]],2, AN_TME23[[#All],[Advanced Network/Insurance Carrier Org ID]],Q135)+SUMIFS(AN_TME23[[#All],[Total Claims Excluded because of Truncation]], AN_TME23[[#All],[Insurance Category Code]],2, AN_TME23[[#All],[Advanced Network/Insurance Carrier Org ID]],Q135), 2)=ROUND(SUMIFS(AN_TME23[[#All],[TOTAL Non-Truncated Unadjusted Claims Expenses]], AN_TME23[[#All],[Insurance Category Code]],2, AN_TME23[[#All],[Advanced Network/Insurance Carrier Org ID]],Q135),2)</f>
        <v>1</v>
      </c>
      <c r="AF135" s="323" t="str">
        <f t="shared" si="12"/>
        <v>NA</v>
      </c>
    </row>
    <row r="136" spans="2:32" outlineLevel="1" x14ac:dyDescent="0.25">
      <c r="B136" s="236">
        <v>115</v>
      </c>
      <c r="C136" s="463">
        <f>ROUND(SUMIFS(Age_Sex22[[#All],[Total Member Months by Age/Sex Band]], Age_Sex22[[#All],[Advanced Network ID]], $B136, Age_Sex22[[#All],[Insurance Category Code]],2),2)</f>
        <v>0</v>
      </c>
      <c r="D136" s="268">
        <f>ROUND(SUMIFS(Age_Sex22[[#All],[Total Dollars Excluded from Spending After Applying Truncation at the Member Level]], Age_Sex22[[#All],[Advanced Network ID]], $B136, Age_Sex22[[#All],[Insurance Category Code]],2),2)</f>
        <v>0</v>
      </c>
      <c r="E136" s="229">
        <f>ROUND(SUMIFS(Age_Sex22[[#All],[Count of Members whose Spending was Truncated]], Age_Sex22[[#All],[Advanced Network ID]], $B136, Age_Sex22[[#All],[Insurance Category Code]],2),2)</f>
        <v>0</v>
      </c>
      <c r="F136" s="230">
        <f>ROUND(SUMIFS(Age_Sex22[[#All],[Total Spending before Truncation is Applied]], Age_Sex22[[#All],[Advanced Network ID]], $B136, Age_Sex22[[#All],[Insurance Category Code]],2),2)</f>
        <v>0</v>
      </c>
      <c r="G136" s="232">
        <f>ROUND(SUMIFS(Age_Sex22[[#All],[Total Spending After Applying Truncation at the Member Level]], Age_Sex22[[#All],[Advanced Network ID]], $B136, Age_Sex22[[#All],[Insurance Category Code]],2),2)</f>
        <v>0</v>
      </c>
      <c r="H136" s="416" t="str">
        <f>IF(C136=ROUND(SUMIFS(AN_TME22[[#All],[Member Months]], AN_TME22[[#All],[Insurance Category Code]],2, AN_TME22[[#All],[Advanced Network/Insurance Carrier Org ID]],B136),2), "TRUE", ROUND(C136-SUMIFS(AN_TME22[[#All],[Member Months]], AN_TME22[[#All],[Insurance Category Code]],2, AN_TME22[[#All],[Advanced Network/Insurance Carrier Org ID]],B136),2))</f>
        <v>TRUE</v>
      </c>
      <c r="I136" s="280" t="str">
        <f>IF(D136=ROUND(SUMIFS(AN_TME22[[#All],[Total Claims Excluded because of Truncation]], AN_TME22[[#All],[Insurance Category Code]],2, AN_TME22[[#All],[Advanced Network/Insurance Carrier Org ID]],B136),2), "TRUE", ROUND(D136-SUMIFS(AN_TME22[[#All],[Total Claims Excluded because of Truncation]], AN_TME22[[#All],[Insurance Category Code]],2, AN_TME22[[#All],[Advanced Network/Insurance Carrier Org ID]],B136),2))</f>
        <v>TRUE</v>
      </c>
      <c r="J136" s="281" t="str">
        <f>IF(E136=ROUND(SUMIFS(AN_TME22[[#All],[Count of Members with Claims Truncated]], AN_TME22[[#All],[Insurance Category Code]],2, AN_TME22[[#All],[Advanced Network/Insurance Carrier Org ID]],B136),2), "TRUE", ROUND(E136-SUMIFS(AN_TME22[[#All],[Count of Members with Claims Truncated]], AN_TME22[[#All],[Insurance Category Code]],2, AN_TME22[[#All],[Advanced Network/Insurance Carrier Org ID]],B136),2))</f>
        <v>TRUE</v>
      </c>
      <c r="K136" s="282" t="str">
        <f>IF(F136=ROUND(SUMIFS(AN_TME22[[#All],[TOTAL Non-Truncated Unadjusted Claims Expenses]], AN_TME22[[#All],[Insurance Category Code]],2, AN_TME22[[#All],[Advanced Network/Insurance Carrier Org ID]],B136),2), "TRUE", ROUND(F136-SUMIFS(AN_TME22[[#All],[TOTAL Non-Truncated Unadjusted Claims Expenses]], AN_TME22[[#All],[Insurance Category Code]],2, AN_TME22[[#All],[Advanced Network/Insurance Carrier Org ID]],B136),2))</f>
        <v>TRUE</v>
      </c>
      <c r="L136" s="295" t="str">
        <f>IF(G136=ROUND(SUMIFS(AN_TME22[[#All],[TOTAL Truncated Unadjusted Claims Expenses (A21 -A19)]], AN_TME22[[#All],[Insurance Category Code]],2, AN_TME22[[#All],[Advanced Network/Insurance Carrier Org ID]],B136),2), "TRUE", ROUND(G136-SUMIFS(AN_TME22[[#All],[TOTAL Truncated Unadjusted Claims Expenses (A21 -A19)]], AN_TME22[[#All],[Insurance Category Code]],2, AN_TME22[[#All],[Advanced Network/Insurance Carrier Org ID]],B136),2))</f>
        <v>TRUE</v>
      </c>
      <c r="M136" s="461" t="str">
        <f t="shared" si="11"/>
        <v>TRUE</v>
      </c>
      <c r="N136" s="282" t="b">
        <f>ROUND(SUMIFS(AN_TME22[[#All],[TOTAL Non-Truncated Unadjusted Claims Expenses]], AN_TME22[[#All],[Insurance Category Code]],2, AN_TME22[[#All],[Advanced Network/Insurance Carrier Org ID]],B136),2)&gt;=ROUND(SUMIFS(AN_TME22[[#All],[TOTAL Truncated Unadjusted Claims Expenses (A21 -A19)]], AN_TME22[[#All],[Insurance Category Code]],2, AN_TME22[[#All],[Advanced Network/Insurance Carrier Org ID]],B136), 2)</f>
        <v>1</v>
      </c>
      <c r="O136" s="295" t="b">
        <f>ROUND(SUMIFS(AN_TME22[[#All],[TOTAL Truncated Unadjusted Claims Expenses (A21 -A19)]], AN_TME22[[#All],[Insurance Category Code]],2, AN_TME22[[#All],[Advanced Network/Insurance Carrier Org ID]],B136)+SUMIFS(AN_TME22[[#All],[Total Claims Excluded because of Truncation]], AN_TME22[[#All],[Insurance Category Code]],2, AN_TME22[[#All],[Advanced Network/Insurance Carrier Org ID]],B136),2)=ROUND(SUMIFS(AN_TME22[[#All],[TOTAL Non-Truncated Unadjusted Claims Expenses]], AN_TME22[[#All],[Insurance Category Code]],2, AN_TME22[[#All],[Advanced Network/Insurance Carrier Org ID]],B136), 2)</f>
        <v>1</v>
      </c>
      <c r="Q136" s="236">
        <v>115</v>
      </c>
      <c r="R136" s="463">
        <f>ROUND(SUMIFS(Age_Sex23[[#All],[Total Member Months by Age/Sex Band]], Age_Sex23[[#All],[Advanced Network ID]], $Q136, Age_Sex23[[#All],[Insurance Category Code]],2),2)</f>
        <v>0</v>
      </c>
      <c r="S136" s="268">
        <f>ROUND(SUMIFS(Age_Sex23[[#All],[Total Dollars Excluded from Spending After Applying Truncation at the Member Level]], Age_Sex23[[#All],[Advanced Network ID]], $B136, Age_Sex23[[#All],[Insurance Category Code]],2),2)</f>
        <v>0</v>
      </c>
      <c r="T136" s="229">
        <f>ROUND(SUMIFS(Age_Sex23[[#All],[Count of Members whose Spending was Truncated]], Age_Sex23[[#All],[Advanced Network ID]], $B136, Age_Sex23[[#All],[Insurance Category Code]],2),2)</f>
        <v>0</v>
      </c>
      <c r="U136" s="230">
        <f>ROUND(SUMIFS(Age_Sex23[[#All],[Total Spending before Truncation is Applied]], Age_Sex23[[#All],[Advanced Network ID]], $B136, Age_Sex23[[#All],[Insurance Category Code]],2),2)</f>
        <v>0</v>
      </c>
      <c r="V136" s="232">
        <f>ROUND(SUMIFS(Age_Sex23[[#All],[Total Spending After Applying Truncation at the Member Level]], Age_Sex23[[#All],[Advanced Network ID]], $B136, Age_Sex23[[#All],[Insurance Category Code]],2), 2)</f>
        <v>0</v>
      </c>
      <c r="W136" s="416" t="str">
        <f>IF(R136=ROUND(SUMIFS(AN_TME23[[#All],[Member Months]], AN_TME23[[#All],[Insurance Category Code]],2, AN_TME23[[#All],[Advanced Network/Insurance Carrier Org ID]],Q136),2), "TRUE", ROUND(R136-SUMIFS(AN_TME23[[#All],[Member Months]], AN_TME23[[#All],[Insurance Category Code]],2, AN_TME23[[#All],[Advanced Network/Insurance Carrier Org ID]],Q136),2))</f>
        <v>TRUE</v>
      </c>
      <c r="X136" s="280" t="str">
        <f>IF(S136=ROUND(SUMIFS(AN_TME23[[#All],[Total Claims Excluded because of Truncation]], AN_TME23[[#All],[Insurance Category Code]],2, AN_TME23[[#All],[Advanced Network/Insurance Carrier Org ID]],Q136),2), "TRUE", ROUND(S136-SUMIFS(AN_TME23[[#All],[Total Claims Excluded because of Truncation]], AN_TME23[[#All],[Insurance Category Code]],2, AN_TME23[[#All],[Advanced Network/Insurance Carrier Org ID]],Q136),2))</f>
        <v>TRUE</v>
      </c>
      <c r="Y136" s="281" t="str">
        <f>IF(T136=ROUND(SUMIFS(AN_TME23[[#All],[Count of Members with Claims Truncated]], AN_TME23[[#All],[Insurance Category Code]],2, AN_TME23[[#All],[Advanced Network/Insurance Carrier Org ID]],Q136),2), "TRUE", ROUND(T136-SUMIFS(AN_TME23[[#All],[Count of Members with Claims Truncated]], AN_TME23[[#All],[Insurance Category Code]],2, AN_TME23[[#All],[Advanced Network/Insurance Carrier Org ID]],Q136),2))</f>
        <v>TRUE</v>
      </c>
      <c r="Z136" s="282" t="str">
        <f>IF(U136=ROUND(SUMIFS(AN_TME23[[#All],[TOTAL Non-Truncated Unadjusted Claims Expenses]], AN_TME23[[#All],[Insurance Category Code]],2, AN_TME23[[#All],[Advanced Network/Insurance Carrier Org ID]],Q136),2), "TRUE", ROUND(U136-SUMIFS(AN_TME23[[#All],[TOTAL Non-Truncated Unadjusted Claims Expenses]], AN_TME23[[#All],[Insurance Category Code]],2, AN_TME23[[#All],[Advanced Network/Insurance Carrier Org ID]],Q136),2))</f>
        <v>TRUE</v>
      </c>
      <c r="AA136" s="295" t="str">
        <f>IF(V136=ROUND(SUMIFS(AN_TME23[[#All],[TOTAL Truncated Unadjusted Claims Expenses (A21 -A19)]], AN_TME23[[#All],[Insurance Category Code]],2, AN_TME23[[#All],[Advanced Network/Insurance Carrier Org ID]],Q136),2), "TRUE", ROUND(V136-SUMIFS(AN_TME23[[#All],[TOTAL Truncated Unadjusted Claims Expenses (A21 -A19)]], AN_TME23[[#All],[Insurance Category Code]],2, AN_TME23[[#All],[Advanced Network/Insurance Carrier Org ID]],Q136),2))</f>
        <v>TRUE</v>
      </c>
      <c r="AB136" s="461" t="str">
        <f t="shared" si="13"/>
        <v>TRUE</v>
      </c>
      <c r="AC136" s="282" t="b">
        <f>ROUND(SUMIFS(AN_TME23[[#All],[TOTAL Non-Truncated Unadjusted Claims Expenses]], AN_TME23[[#All],[Insurance Category Code]],2, AN_TME23[[#All],[Advanced Network/Insurance Carrier Org ID]],Q136),2)&gt;=ROUND(SUMIFS(AN_TME23[[#All],[TOTAL Truncated Unadjusted Claims Expenses (A21 -A19)]], AN_TME23[[#All],[Insurance Category Code]],2, AN_TME23[[#All],[Advanced Network/Insurance Carrier Org ID]],Q136),2)</f>
        <v>1</v>
      </c>
      <c r="AD136" s="295" t="b">
        <f>ROUND(SUMIFS(AN_TME23[[#All],[TOTAL Truncated Unadjusted Claims Expenses (A21 -A19)]], AN_TME23[[#All],[Insurance Category Code]],2, AN_TME23[[#All],[Advanced Network/Insurance Carrier Org ID]],Q136)+SUMIFS(AN_TME23[[#All],[Total Claims Excluded because of Truncation]], AN_TME23[[#All],[Insurance Category Code]],2, AN_TME23[[#All],[Advanced Network/Insurance Carrier Org ID]],Q136), 2)=ROUND(SUMIFS(AN_TME23[[#All],[TOTAL Non-Truncated Unadjusted Claims Expenses]], AN_TME23[[#All],[Insurance Category Code]],2, AN_TME23[[#All],[Advanced Network/Insurance Carrier Org ID]],Q136),2)</f>
        <v>1</v>
      </c>
      <c r="AF136" s="323" t="str">
        <f t="shared" si="12"/>
        <v>NA</v>
      </c>
    </row>
    <row r="137" spans="2:32" outlineLevel="1" x14ac:dyDescent="0.25">
      <c r="B137" s="236">
        <v>116</v>
      </c>
      <c r="C137" s="463">
        <f>ROUND(SUMIFS(Age_Sex22[[#All],[Total Member Months by Age/Sex Band]], Age_Sex22[[#All],[Advanced Network ID]], $B137, Age_Sex22[[#All],[Insurance Category Code]],2),2)</f>
        <v>0</v>
      </c>
      <c r="D137" s="268">
        <f>ROUND(SUMIFS(Age_Sex22[[#All],[Total Dollars Excluded from Spending After Applying Truncation at the Member Level]], Age_Sex22[[#All],[Advanced Network ID]], $B137, Age_Sex22[[#All],[Insurance Category Code]],2),2)</f>
        <v>0</v>
      </c>
      <c r="E137" s="229">
        <f>ROUND(SUMIFS(Age_Sex22[[#All],[Count of Members whose Spending was Truncated]], Age_Sex22[[#All],[Advanced Network ID]], $B137, Age_Sex22[[#All],[Insurance Category Code]],2),2)</f>
        <v>0</v>
      </c>
      <c r="F137" s="230">
        <f>ROUND(SUMIFS(Age_Sex22[[#All],[Total Spending before Truncation is Applied]], Age_Sex22[[#All],[Advanced Network ID]], $B137, Age_Sex22[[#All],[Insurance Category Code]],2),2)</f>
        <v>0</v>
      </c>
      <c r="G137" s="232">
        <f>ROUND(SUMIFS(Age_Sex22[[#All],[Total Spending After Applying Truncation at the Member Level]], Age_Sex22[[#All],[Advanced Network ID]], $B137, Age_Sex22[[#All],[Insurance Category Code]],2),2)</f>
        <v>0</v>
      </c>
      <c r="H137" s="416" t="str">
        <f>IF(C137=ROUND(SUMIFS(AN_TME22[[#All],[Member Months]], AN_TME22[[#All],[Insurance Category Code]],2, AN_TME22[[#All],[Advanced Network/Insurance Carrier Org ID]],B137),2), "TRUE", ROUND(C137-SUMIFS(AN_TME22[[#All],[Member Months]], AN_TME22[[#All],[Insurance Category Code]],2, AN_TME22[[#All],[Advanced Network/Insurance Carrier Org ID]],B137),2))</f>
        <v>TRUE</v>
      </c>
      <c r="I137" s="280" t="str">
        <f>IF(D137=ROUND(SUMIFS(AN_TME22[[#All],[Total Claims Excluded because of Truncation]], AN_TME22[[#All],[Insurance Category Code]],2, AN_TME22[[#All],[Advanced Network/Insurance Carrier Org ID]],B137),2), "TRUE", ROUND(D137-SUMIFS(AN_TME22[[#All],[Total Claims Excluded because of Truncation]], AN_TME22[[#All],[Insurance Category Code]],2, AN_TME22[[#All],[Advanced Network/Insurance Carrier Org ID]],B137),2))</f>
        <v>TRUE</v>
      </c>
      <c r="J137" s="281" t="str">
        <f>IF(E137=ROUND(SUMIFS(AN_TME22[[#All],[Count of Members with Claims Truncated]], AN_TME22[[#All],[Insurance Category Code]],2, AN_TME22[[#All],[Advanced Network/Insurance Carrier Org ID]],B137),2), "TRUE", ROUND(E137-SUMIFS(AN_TME22[[#All],[Count of Members with Claims Truncated]], AN_TME22[[#All],[Insurance Category Code]],2, AN_TME22[[#All],[Advanced Network/Insurance Carrier Org ID]],B137),2))</f>
        <v>TRUE</v>
      </c>
      <c r="K137" s="282" t="str">
        <f>IF(F137=ROUND(SUMIFS(AN_TME22[[#All],[TOTAL Non-Truncated Unadjusted Claims Expenses]], AN_TME22[[#All],[Insurance Category Code]],2, AN_TME22[[#All],[Advanced Network/Insurance Carrier Org ID]],B137),2), "TRUE", ROUND(F137-SUMIFS(AN_TME22[[#All],[TOTAL Non-Truncated Unadjusted Claims Expenses]], AN_TME22[[#All],[Insurance Category Code]],2, AN_TME22[[#All],[Advanced Network/Insurance Carrier Org ID]],B137),2))</f>
        <v>TRUE</v>
      </c>
      <c r="L137" s="295" t="str">
        <f>IF(G137=ROUND(SUMIFS(AN_TME22[[#All],[TOTAL Truncated Unadjusted Claims Expenses (A21 -A19)]], AN_TME22[[#All],[Insurance Category Code]],2, AN_TME22[[#All],[Advanced Network/Insurance Carrier Org ID]],B137),2), "TRUE", ROUND(G137-SUMIFS(AN_TME22[[#All],[TOTAL Truncated Unadjusted Claims Expenses (A21 -A19)]], AN_TME22[[#All],[Insurance Category Code]],2, AN_TME22[[#All],[Advanced Network/Insurance Carrier Org ID]],B137),2))</f>
        <v>TRUE</v>
      </c>
      <c r="M137" s="461" t="str">
        <f t="shared" si="11"/>
        <v>TRUE</v>
      </c>
      <c r="N137" s="282" t="b">
        <f>ROUND(SUMIFS(AN_TME22[[#All],[TOTAL Non-Truncated Unadjusted Claims Expenses]], AN_TME22[[#All],[Insurance Category Code]],2, AN_TME22[[#All],[Advanced Network/Insurance Carrier Org ID]],B137),2)&gt;=ROUND(SUMIFS(AN_TME22[[#All],[TOTAL Truncated Unadjusted Claims Expenses (A21 -A19)]], AN_TME22[[#All],[Insurance Category Code]],2, AN_TME22[[#All],[Advanced Network/Insurance Carrier Org ID]],B137), 2)</f>
        <v>1</v>
      </c>
      <c r="O137" s="295" t="b">
        <f>ROUND(SUMIFS(AN_TME22[[#All],[TOTAL Truncated Unadjusted Claims Expenses (A21 -A19)]], AN_TME22[[#All],[Insurance Category Code]],2, AN_TME22[[#All],[Advanced Network/Insurance Carrier Org ID]],B137)+SUMIFS(AN_TME22[[#All],[Total Claims Excluded because of Truncation]], AN_TME22[[#All],[Insurance Category Code]],2, AN_TME22[[#All],[Advanced Network/Insurance Carrier Org ID]],B137),2)=ROUND(SUMIFS(AN_TME22[[#All],[TOTAL Non-Truncated Unadjusted Claims Expenses]], AN_TME22[[#All],[Insurance Category Code]],2, AN_TME22[[#All],[Advanced Network/Insurance Carrier Org ID]],B137), 2)</f>
        <v>1</v>
      </c>
      <c r="Q137" s="236">
        <v>116</v>
      </c>
      <c r="R137" s="463">
        <f>ROUND(SUMIFS(Age_Sex23[[#All],[Total Member Months by Age/Sex Band]], Age_Sex23[[#All],[Advanced Network ID]], $Q137, Age_Sex23[[#All],[Insurance Category Code]],2),2)</f>
        <v>0</v>
      </c>
      <c r="S137" s="268">
        <f>ROUND(SUMIFS(Age_Sex23[[#All],[Total Dollars Excluded from Spending After Applying Truncation at the Member Level]], Age_Sex23[[#All],[Advanced Network ID]], $B137, Age_Sex23[[#All],[Insurance Category Code]],2),2)</f>
        <v>0</v>
      </c>
      <c r="T137" s="229">
        <f>ROUND(SUMIFS(Age_Sex23[[#All],[Count of Members whose Spending was Truncated]], Age_Sex23[[#All],[Advanced Network ID]], $B137, Age_Sex23[[#All],[Insurance Category Code]],2),2)</f>
        <v>0</v>
      </c>
      <c r="U137" s="230">
        <f>ROUND(SUMIFS(Age_Sex23[[#All],[Total Spending before Truncation is Applied]], Age_Sex23[[#All],[Advanced Network ID]], $B137, Age_Sex23[[#All],[Insurance Category Code]],2),2)</f>
        <v>0</v>
      </c>
      <c r="V137" s="232">
        <f>ROUND(SUMIFS(Age_Sex23[[#All],[Total Spending After Applying Truncation at the Member Level]], Age_Sex23[[#All],[Advanced Network ID]], $B137, Age_Sex23[[#All],[Insurance Category Code]],2), 2)</f>
        <v>0</v>
      </c>
      <c r="W137" s="416" t="str">
        <f>IF(R137=ROUND(SUMIFS(AN_TME23[[#All],[Member Months]], AN_TME23[[#All],[Insurance Category Code]],2, AN_TME23[[#All],[Advanced Network/Insurance Carrier Org ID]],Q137),2), "TRUE", ROUND(R137-SUMIFS(AN_TME23[[#All],[Member Months]], AN_TME23[[#All],[Insurance Category Code]],2, AN_TME23[[#All],[Advanced Network/Insurance Carrier Org ID]],Q137),2))</f>
        <v>TRUE</v>
      </c>
      <c r="X137" s="280" t="str">
        <f>IF(S137=ROUND(SUMIFS(AN_TME23[[#All],[Total Claims Excluded because of Truncation]], AN_TME23[[#All],[Insurance Category Code]],2, AN_TME23[[#All],[Advanced Network/Insurance Carrier Org ID]],Q137),2), "TRUE", ROUND(S137-SUMIFS(AN_TME23[[#All],[Total Claims Excluded because of Truncation]], AN_TME23[[#All],[Insurance Category Code]],2, AN_TME23[[#All],[Advanced Network/Insurance Carrier Org ID]],Q137),2))</f>
        <v>TRUE</v>
      </c>
      <c r="Y137" s="281" t="str">
        <f>IF(T137=ROUND(SUMIFS(AN_TME23[[#All],[Count of Members with Claims Truncated]], AN_TME23[[#All],[Insurance Category Code]],2, AN_TME23[[#All],[Advanced Network/Insurance Carrier Org ID]],Q137),2), "TRUE", ROUND(T137-SUMIFS(AN_TME23[[#All],[Count of Members with Claims Truncated]], AN_TME23[[#All],[Insurance Category Code]],2, AN_TME23[[#All],[Advanced Network/Insurance Carrier Org ID]],Q137),2))</f>
        <v>TRUE</v>
      </c>
      <c r="Z137" s="282" t="str">
        <f>IF(U137=ROUND(SUMIFS(AN_TME23[[#All],[TOTAL Non-Truncated Unadjusted Claims Expenses]], AN_TME23[[#All],[Insurance Category Code]],2, AN_TME23[[#All],[Advanced Network/Insurance Carrier Org ID]],Q137),2), "TRUE", ROUND(U137-SUMIFS(AN_TME23[[#All],[TOTAL Non-Truncated Unadjusted Claims Expenses]], AN_TME23[[#All],[Insurance Category Code]],2, AN_TME23[[#All],[Advanced Network/Insurance Carrier Org ID]],Q137),2))</f>
        <v>TRUE</v>
      </c>
      <c r="AA137" s="295" t="str">
        <f>IF(V137=ROUND(SUMIFS(AN_TME23[[#All],[TOTAL Truncated Unadjusted Claims Expenses (A21 -A19)]], AN_TME23[[#All],[Insurance Category Code]],2, AN_TME23[[#All],[Advanced Network/Insurance Carrier Org ID]],Q137),2), "TRUE", ROUND(V137-SUMIFS(AN_TME23[[#All],[TOTAL Truncated Unadjusted Claims Expenses (A21 -A19)]], AN_TME23[[#All],[Insurance Category Code]],2, AN_TME23[[#All],[Advanced Network/Insurance Carrier Org ID]],Q137),2))</f>
        <v>TRUE</v>
      </c>
      <c r="AB137" s="461" t="str">
        <f t="shared" si="13"/>
        <v>TRUE</v>
      </c>
      <c r="AC137" s="282" t="b">
        <f>ROUND(SUMIFS(AN_TME23[[#All],[TOTAL Non-Truncated Unadjusted Claims Expenses]], AN_TME23[[#All],[Insurance Category Code]],2, AN_TME23[[#All],[Advanced Network/Insurance Carrier Org ID]],Q137),2)&gt;=ROUND(SUMIFS(AN_TME23[[#All],[TOTAL Truncated Unadjusted Claims Expenses (A21 -A19)]], AN_TME23[[#All],[Insurance Category Code]],2, AN_TME23[[#All],[Advanced Network/Insurance Carrier Org ID]],Q137),2)</f>
        <v>1</v>
      </c>
      <c r="AD137" s="295" t="b">
        <f>ROUND(SUMIFS(AN_TME23[[#All],[TOTAL Truncated Unadjusted Claims Expenses (A21 -A19)]], AN_TME23[[#All],[Insurance Category Code]],2, AN_TME23[[#All],[Advanced Network/Insurance Carrier Org ID]],Q137)+SUMIFS(AN_TME23[[#All],[Total Claims Excluded because of Truncation]], AN_TME23[[#All],[Insurance Category Code]],2, AN_TME23[[#All],[Advanced Network/Insurance Carrier Org ID]],Q137), 2)=ROUND(SUMIFS(AN_TME23[[#All],[TOTAL Non-Truncated Unadjusted Claims Expenses]], AN_TME23[[#All],[Insurance Category Code]],2, AN_TME23[[#All],[Advanced Network/Insurance Carrier Org ID]],Q137),2)</f>
        <v>1</v>
      </c>
      <c r="AF137" s="323" t="str">
        <f t="shared" si="12"/>
        <v>NA</v>
      </c>
    </row>
    <row r="138" spans="2:32" outlineLevel="1" x14ac:dyDescent="0.25">
      <c r="B138" s="236">
        <v>117</v>
      </c>
      <c r="C138" s="463">
        <f>ROUND(SUMIFS(Age_Sex22[[#All],[Total Member Months by Age/Sex Band]], Age_Sex22[[#All],[Advanced Network ID]], $B138, Age_Sex22[[#All],[Insurance Category Code]],2),2)</f>
        <v>0</v>
      </c>
      <c r="D138" s="268">
        <f>ROUND(SUMIFS(Age_Sex22[[#All],[Total Dollars Excluded from Spending After Applying Truncation at the Member Level]], Age_Sex22[[#All],[Advanced Network ID]], $B138, Age_Sex22[[#All],[Insurance Category Code]],2),2)</f>
        <v>0</v>
      </c>
      <c r="E138" s="229">
        <f>ROUND(SUMIFS(Age_Sex22[[#All],[Count of Members whose Spending was Truncated]], Age_Sex22[[#All],[Advanced Network ID]], $B138, Age_Sex22[[#All],[Insurance Category Code]],2),2)</f>
        <v>0</v>
      </c>
      <c r="F138" s="230">
        <f>ROUND(SUMIFS(Age_Sex22[[#All],[Total Spending before Truncation is Applied]], Age_Sex22[[#All],[Advanced Network ID]], $B138, Age_Sex22[[#All],[Insurance Category Code]],2),2)</f>
        <v>0</v>
      </c>
      <c r="G138" s="232">
        <f>ROUND(SUMIFS(Age_Sex22[[#All],[Total Spending After Applying Truncation at the Member Level]], Age_Sex22[[#All],[Advanced Network ID]], $B138, Age_Sex22[[#All],[Insurance Category Code]],2),2)</f>
        <v>0</v>
      </c>
      <c r="H138" s="416" t="str">
        <f>IF(C138=ROUND(SUMIFS(AN_TME22[[#All],[Member Months]], AN_TME22[[#All],[Insurance Category Code]],2, AN_TME22[[#All],[Advanced Network/Insurance Carrier Org ID]],B138),2), "TRUE", ROUND(C138-SUMIFS(AN_TME22[[#All],[Member Months]], AN_TME22[[#All],[Insurance Category Code]],2, AN_TME22[[#All],[Advanced Network/Insurance Carrier Org ID]],B138),2))</f>
        <v>TRUE</v>
      </c>
      <c r="I138" s="280" t="str">
        <f>IF(D138=ROUND(SUMIFS(AN_TME22[[#All],[Total Claims Excluded because of Truncation]], AN_TME22[[#All],[Insurance Category Code]],2, AN_TME22[[#All],[Advanced Network/Insurance Carrier Org ID]],B138),2), "TRUE", ROUND(D138-SUMIFS(AN_TME22[[#All],[Total Claims Excluded because of Truncation]], AN_TME22[[#All],[Insurance Category Code]],2, AN_TME22[[#All],[Advanced Network/Insurance Carrier Org ID]],B138),2))</f>
        <v>TRUE</v>
      </c>
      <c r="J138" s="281" t="str">
        <f>IF(E138=ROUND(SUMIFS(AN_TME22[[#All],[Count of Members with Claims Truncated]], AN_TME22[[#All],[Insurance Category Code]],2, AN_TME22[[#All],[Advanced Network/Insurance Carrier Org ID]],B138),2), "TRUE", ROUND(E138-SUMIFS(AN_TME22[[#All],[Count of Members with Claims Truncated]], AN_TME22[[#All],[Insurance Category Code]],2, AN_TME22[[#All],[Advanced Network/Insurance Carrier Org ID]],B138),2))</f>
        <v>TRUE</v>
      </c>
      <c r="K138" s="282" t="str">
        <f>IF(F138=ROUND(SUMIFS(AN_TME22[[#All],[TOTAL Non-Truncated Unadjusted Claims Expenses]], AN_TME22[[#All],[Insurance Category Code]],2, AN_TME22[[#All],[Advanced Network/Insurance Carrier Org ID]],B138),2), "TRUE", ROUND(F138-SUMIFS(AN_TME22[[#All],[TOTAL Non-Truncated Unadjusted Claims Expenses]], AN_TME22[[#All],[Insurance Category Code]],2, AN_TME22[[#All],[Advanced Network/Insurance Carrier Org ID]],B138),2))</f>
        <v>TRUE</v>
      </c>
      <c r="L138" s="295" t="str">
        <f>IF(G138=ROUND(SUMIFS(AN_TME22[[#All],[TOTAL Truncated Unadjusted Claims Expenses (A21 -A19)]], AN_TME22[[#All],[Insurance Category Code]],2, AN_TME22[[#All],[Advanced Network/Insurance Carrier Org ID]],B138),2), "TRUE", ROUND(G138-SUMIFS(AN_TME22[[#All],[TOTAL Truncated Unadjusted Claims Expenses (A21 -A19)]], AN_TME22[[#All],[Insurance Category Code]],2, AN_TME22[[#All],[Advanced Network/Insurance Carrier Org ID]],B138),2))</f>
        <v>TRUE</v>
      </c>
      <c r="M138" s="461" t="str">
        <f t="shared" si="11"/>
        <v>TRUE</v>
      </c>
      <c r="N138" s="282" t="b">
        <f>ROUND(SUMIFS(AN_TME22[[#All],[TOTAL Non-Truncated Unadjusted Claims Expenses]], AN_TME22[[#All],[Insurance Category Code]],2, AN_TME22[[#All],[Advanced Network/Insurance Carrier Org ID]],B138),2)&gt;=ROUND(SUMIFS(AN_TME22[[#All],[TOTAL Truncated Unadjusted Claims Expenses (A21 -A19)]], AN_TME22[[#All],[Insurance Category Code]],2, AN_TME22[[#All],[Advanced Network/Insurance Carrier Org ID]],B138), 2)</f>
        <v>1</v>
      </c>
      <c r="O138" s="295" t="b">
        <f>ROUND(SUMIFS(AN_TME22[[#All],[TOTAL Truncated Unadjusted Claims Expenses (A21 -A19)]], AN_TME22[[#All],[Insurance Category Code]],2, AN_TME22[[#All],[Advanced Network/Insurance Carrier Org ID]],B138)+SUMIFS(AN_TME22[[#All],[Total Claims Excluded because of Truncation]], AN_TME22[[#All],[Insurance Category Code]],2, AN_TME22[[#All],[Advanced Network/Insurance Carrier Org ID]],B138),2)=ROUND(SUMIFS(AN_TME22[[#All],[TOTAL Non-Truncated Unadjusted Claims Expenses]], AN_TME22[[#All],[Insurance Category Code]],2, AN_TME22[[#All],[Advanced Network/Insurance Carrier Org ID]],B138), 2)</f>
        <v>1</v>
      </c>
      <c r="Q138" s="236">
        <v>117</v>
      </c>
      <c r="R138" s="463">
        <f>ROUND(SUMIFS(Age_Sex23[[#All],[Total Member Months by Age/Sex Band]], Age_Sex23[[#All],[Advanced Network ID]], $Q138, Age_Sex23[[#All],[Insurance Category Code]],2),2)</f>
        <v>0</v>
      </c>
      <c r="S138" s="268">
        <f>ROUND(SUMIFS(Age_Sex23[[#All],[Total Dollars Excluded from Spending After Applying Truncation at the Member Level]], Age_Sex23[[#All],[Advanced Network ID]], $B138, Age_Sex23[[#All],[Insurance Category Code]],2),2)</f>
        <v>0</v>
      </c>
      <c r="T138" s="229">
        <f>ROUND(SUMIFS(Age_Sex23[[#All],[Count of Members whose Spending was Truncated]], Age_Sex23[[#All],[Advanced Network ID]], $B138, Age_Sex23[[#All],[Insurance Category Code]],2),2)</f>
        <v>0</v>
      </c>
      <c r="U138" s="230">
        <f>ROUND(SUMIFS(Age_Sex23[[#All],[Total Spending before Truncation is Applied]], Age_Sex23[[#All],[Advanced Network ID]], $B138, Age_Sex23[[#All],[Insurance Category Code]],2),2)</f>
        <v>0</v>
      </c>
      <c r="V138" s="232">
        <f>ROUND(SUMIFS(Age_Sex23[[#All],[Total Spending After Applying Truncation at the Member Level]], Age_Sex23[[#All],[Advanced Network ID]], $B138, Age_Sex23[[#All],[Insurance Category Code]],2), 2)</f>
        <v>0</v>
      </c>
      <c r="W138" s="416" t="str">
        <f>IF(R138=ROUND(SUMIFS(AN_TME23[[#All],[Member Months]], AN_TME23[[#All],[Insurance Category Code]],2, AN_TME23[[#All],[Advanced Network/Insurance Carrier Org ID]],Q138),2), "TRUE", ROUND(R138-SUMIFS(AN_TME23[[#All],[Member Months]], AN_TME23[[#All],[Insurance Category Code]],2, AN_TME23[[#All],[Advanced Network/Insurance Carrier Org ID]],Q138),2))</f>
        <v>TRUE</v>
      </c>
      <c r="X138" s="280" t="str">
        <f>IF(S138=ROUND(SUMIFS(AN_TME23[[#All],[Total Claims Excluded because of Truncation]], AN_TME23[[#All],[Insurance Category Code]],2, AN_TME23[[#All],[Advanced Network/Insurance Carrier Org ID]],Q138),2), "TRUE", ROUND(S138-SUMIFS(AN_TME23[[#All],[Total Claims Excluded because of Truncation]], AN_TME23[[#All],[Insurance Category Code]],2, AN_TME23[[#All],[Advanced Network/Insurance Carrier Org ID]],Q138),2))</f>
        <v>TRUE</v>
      </c>
      <c r="Y138" s="281" t="str">
        <f>IF(T138=ROUND(SUMIFS(AN_TME23[[#All],[Count of Members with Claims Truncated]], AN_TME23[[#All],[Insurance Category Code]],2, AN_TME23[[#All],[Advanced Network/Insurance Carrier Org ID]],Q138),2), "TRUE", ROUND(T138-SUMIFS(AN_TME23[[#All],[Count of Members with Claims Truncated]], AN_TME23[[#All],[Insurance Category Code]],2, AN_TME23[[#All],[Advanced Network/Insurance Carrier Org ID]],Q138),2))</f>
        <v>TRUE</v>
      </c>
      <c r="Z138" s="282" t="str">
        <f>IF(U138=ROUND(SUMIFS(AN_TME23[[#All],[TOTAL Non-Truncated Unadjusted Claims Expenses]], AN_TME23[[#All],[Insurance Category Code]],2, AN_TME23[[#All],[Advanced Network/Insurance Carrier Org ID]],Q138),2), "TRUE", ROUND(U138-SUMIFS(AN_TME23[[#All],[TOTAL Non-Truncated Unadjusted Claims Expenses]], AN_TME23[[#All],[Insurance Category Code]],2, AN_TME23[[#All],[Advanced Network/Insurance Carrier Org ID]],Q138),2))</f>
        <v>TRUE</v>
      </c>
      <c r="AA138" s="295" t="str">
        <f>IF(V138=ROUND(SUMIFS(AN_TME23[[#All],[TOTAL Truncated Unadjusted Claims Expenses (A21 -A19)]], AN_TME23[[#All],[Insurance Category Code]],2, AN_TME23[[#All],[Advanced Network/Insurance Carrier Org ID]],Q138),2), "TRUE", ROUND(V138-SUMIFS(AN_TME23[[#All],[TOTAL Truncated Unadjusted Claims Expenses (A21 -A19)]], AN_TME23[[#All],[Insurance Category Code]],2, AN_TME23[[#All],[Advanced Network/Insurance Carrier Org ID]],Q138),2))</f>
        <v>TRUE</v>
      </c>
      <c r="AB138" s="461" t="str">
        <f t="shared" si="13"/>
        <v>TRUE</v>
      </c>
      <c r="AC138" s="282" t="b">
        <f>ROUND(SUMIFS(AN_TME23[[#All],[TOTAL Non-Truncated Unadjusted Claims Expenses]], AN_TME23[[#All],[Insurance Category Code]],2, AN_TME23[[#All],[Advanced Network/Insurance Carrier Org ID]],Q138),2)&gt;=ROUND(SUMIFS(AN_TME23[[#All],[TOTAL Truncated Unadjusted Claims Expenses (A21 -A19)]], AN_TME23[[#All],[Insurance Category Code]],2, AN_TME23[[#All],[Advanced Network/Insurance Carrier Org ID]],Q138),2)</f>
        <v>1</v>
      </c>
      <c r="AD138" s="295" t="b">
        <f>ROUND(SUMIFS(AN_TME23[[#All],[TOTAL Truncated Unadjusted Claims Expenses (A21 -A19)]], AN_TME23[[#All],[Insurance Category Code]],2, AN_TME23[[#All],[Advanced Network/Insurance Carrier Org ID]],Q138)+SUMIFS(AN_TME23[[#All],[Total Claims Excluded because of Truncation]], AN_TME23[[#All],[Insurance Category Code]],2, AN_TME23[[#All],[Advanced Network/Insurance Carrier Org ID]],Q138), 2)=ROUND(SUMIFS(AN_TME23[[#All],[TOTAL Non-Truncated Unadjusted Claims Expenses]], AN_TME23[[#All],[Insurance Category Code]],2, AN_TME23[[#All],[Advanced Network/Insurance Carrier Org ID]],Q138),2)</f>
        <v>1</v>
      </c>
      <c r="AF138" s="323" t="str">
        <f t="shared" si="12"/>
        <v>NA</v>
      </c>
    </row>
    <row r="139" spans="2:32" outlineLevel="1" x14ac:dyDescent="0.25">
      <c r="B139" s="236">
        <v>118</v>
      </c>
      <c r="C139" s="463">
        <f>ROUND(SUMIFS(Age_Sex22[[#All],[Total Member Months by Age/Sex Band]], Age_Sex22[[#All],[Advanced Network ID]], $B139, Age_Sex22[[#All],[Insurance Category Code]],2),2)</f>
        <v>0</v>
      </c>
      <c r="D139" s="268">
        <f>ROUND(SUMIFS(Age_Sex22[[#All],[Total Dollars Excluded from Spending After Applying Truncation at the Member Level]], Age_Sex22[[#All],[Advanced Network ID]], $B139, Age_Sex22[[#All],[Insurance Category Code]],2),2)</f>
        <v>0</v>
      </c>
      <c r="E139" s="229">
        <f>ROUND(SUMIFS(Age_Sex22[[#All],[Count of Members whose Spending was Truncated]], Age_Sex22[[#All],[Advanced Network ID]], $B139, Age_Sex22[[#All],[Insurance Category Code]],2),2)</f>
        <v>0</v>
      </c>
      <c r="F139" s="230">
        <f>ROUND(SUMIFS(Age_Sex22[[#All],[Total Spending before Truncation is Applied]], Age_Sex22[[#All],[Advanced Network ID]], $B139, Age_Sex22[[#All],[Insurance Category Code]],2),2)</f>
        <v>0</v>
      </c>
      <c r="G139" s="232">
        <f>ROUND(SUMIFS(Age_Sex22[[#All],[Total Spending After Applying Truncation at the Member Level]], Age_Sex22[[#All],[Advanced Network ID]], $B139, Age_Sex22[[#All],[Insurance Category Code]],2),2)</f>
        <v>0</v>
      </c>
      <c r="H139" s="416" t="str">
        <f>IF(C139=ROUND(SUMIFS(AN_TME22[[#All],[Member Months]], AN_TME22[[#All],[Insurance Category Code]],2, AN_TME22[[#All],[Advanced Network/Insurance Carrier Org ID]],B139),2), "TRUE", ROUND(C139-SUMIFS(AN_TME22[[#All],[Member Months]], AN_TME22[[#All],[Insurance Category Code]],2, AN_TME22[[#All],[Advanced Network/Insurance Carrier Org ID]],B139),2))</f>
        <v>TRUE</v>
      </c>
      <c r="I139" s="280" t="str">
        <f>IF(D139=ROUND(SUMIFS(AN_TME22[[#All],[Total Claims Excluded because of Truncation]], AN_TME22[[#All],[Insurance Category Code]],2, AN_TME22[[#All],[Advanced Network/Insurance Carrier Org ID]],B139),2), "TRUE", ROUND(D139-SUMIFS(AN_TME22[[#All],[Total Claims Excluded because of Truncation]], AN_TME22[[#All],[Insurance Category Code]],2, AN_TME22[[#All],[Advanced Network/Insurance Carrier Org ID]],B139),2))</f>
        <v>TRUE</v>
      </c>
      <c r="J139" s="281" t="str">
        <f>IF(E139=ROUND(SUMIFS(AN_TME22[[#All],[Count of Members with Claims Truncated]], AN_TME22[[#All],[Insurance Category Code]],2, AN_TME22[[#All],[Advanced Network/Insurance Carrier Org ID]],B139),2), "TRUE", ROUND(E139-SUMIFS(AN_TME22[[#All],[Count of Members with Claims Truncated]], AN_TME22[[#All],[Insurance Category Code]],2, AN_TME22[[#All],[Advanced Network/Insurance Carrier Org ID]],B139),2))</f>
        <v>TRUE</v>
      </c>
      <c r="K139" s="282" t="str">
        <f>IF(F139=ROUND(SUMIFS(AN_TME22[[#All],[TOTAL Non-Truncated Unadjusted Claims Expenses]], AN_TME22[[#All],[Insurance Category Code]],2, AN_TME22[[#All],[Advanced Network/Insurance Carrier Org ID]],B139),2), "TRUE", ROUND(F139-SUMIFS(AN_TME22[[#All],[TOTAL Non-Truncated Unadjusted Claims Expenses]], AN_TME22[[#All],[Insurance Category Code]],2, AN_TME22[[#All],[Advanced Network/Insurance Carrier Org ID]],B139),2))</f>
        <v>TRUE</v>
      </c>
      <c r="L139" s="295" t="str">
        <f>IF(G139=ROUND(SUMIFS(AN_TME22[[#All],[TOTAL Truncated Unadjusted Claims Expenses (A21 -A19)]], AN_TME22[[#All],[Insurance Category Code]],2, AN_TME22[[#All],[Advanced Network/Insurance Carrier Org ID]],B139),2), "TRUE", ROUND(G139-SUMIFS(AN_TME22[[#All],[TOTAL Truncated Unadjusted Claims Expenses (A21 -A19)]], AN_TME22[[#All],[Insurance Category Code]],2, AN_TME22[[#All],[Advanced Network/Insurance Carrier Org ID]],B139),2))</f>
        <v>TRUE</v>
      </c>
      <c r="M139" s="461" t="str">
        <f t="shared" si="11"/>
        <v>TRUE</v>
      </c>
      <c r="N139" s="282" t="b">
        <f>ROUND(SUMIFS(AN_TME22[[#All],[TOTAL Non-Truncated Unadjusted Claims Expenses]], AN_TME22[[#All],[Insurance Category Code]],2, AN_TME22[[#All],[Advanced Network/Insurance Carrier Org ID]],B139),2)&gt;=ROUND(SUMIFS(AN_TME22[[#All],[TOTAL Truncated Unadjusted Claims Expenses (A21 -A19)]], AN_TME22[[#All],[Insurance Category Code]],2, AN_TME22[[#All],[Advanced Network/Insurance Carrier Org ID]],B139), 2)</f>
        <v>1</v>
      </c>
      <c r="O139" s="295" t="b">
        <f>ROUND(SUMIFS(AN_TME22[[#All],[TOTAL Truncated Unadjusted Claims Expenses (A21 -A19)]], AN_TME22[[#All],[Insurance Category Code]],2, AN_TME22[[#All],[Advanced Network/Insurance Carrier Org ID]],B139)+SUMIFS(AN_TME22[[#All],[Total Claims Excluded because of Truncation]], AN_TME22[[#All],[Insurance Category Code]],2, AN_TME22[[#All],[Advanced Network/Insurance Carrier Org ID]],B139),2)=ROUND(SUMIFS(AN_TME22[[#All],[TOTAL Non-Truncated Unadjusted Claims Expenses]], AN_TME22[[#All],[Insurance Category Code]],2, AN_TME22[[#All],[Advanced Network/Insurance Carrier Org ID]],B139), 2)</f>
        <v>1</v>
      </c>
      <c r="Q139" s="236">
        <v>118</v>
      </c>
      <c r="R139" s="463">
        <f>ROUND(SUMIFS(Age_Sex23[[#All],[Total Member Months by Age/Sex Band]], Age_Sex23[[#All],[Advanced Network ID]], $Q139, Age_Sex23[[#All],[Insurance Category Code]],2),2)</f>
        <v>0</v>
      </c>
      <c r="S139" s="268">
        <f>ROUND(SUMIFS(Age_Sex23[[#All],[Total Dollars Excluded from Spending After Applying Truncation at the Member Level]], Age_Sex23[[#All],[Advanced Network ID]], $B139, Age_Sex23[[#All],[Insurance Category Code]],2),2)</f>
        <v>0</v>
      </c>
      <c r="T139" s="229">
        <f>ROUND(SUMIFS(Age_Sex23[[#All],[Count of Members whose Spending was Truncated]], Age_Sex23[[#All],[Advanced Network ID]], $B139, Age_Sex23[[#All],[Insurance Category Code]],2),2)</f>
        <v>0</v>
      </c>
      <c r="U139" s="230">
        <f>ROUND(SUMIFS(Age_Sex23[[#All],[Total Spending before Truncation is Applied]], Age_Sex23[[#All],[Advanced Network ID]], $B139, Age_Sex23[[#All],[Insurance Category Code]],2),2)</f>
        <v>0</v>
      </c>
      <c r="V139" s="232">
        <f>ROUND(SUMIFS(Age_Sex23[[#All],[Total Spending After Applying Truncation at the Member Level]], Age_Sex23[[#All],[Advanced Network ID]], $B139, Age_Sex23[[#All],[Insurance Category Code]],2), 2)</f>
        <v>0</v>
      </c>
      <c r="W139" s="416" t="str">
        <f>IF(R139=ROUND(SUMIFS(AN_TME23[[#All],[Member Months]], AN_TME23[[#All],[Insurance Category Code]],2, AN_TME23[[#All],[Advanced Network/Insurance Carrier Org ID]],Q139),2), "TRUE", ROUND(R139-SUMIFS(AN_TME23[[#All],[Member Months]], AN_TME23[[#All],[Insurance Category Code]],2, AN_TME23[[#All],[Advanced Network/Insurance Carrier Org ID]],Q139),2))</f>
        <v>TRUE</v>
      </c>
      <c r="X139" s="280" t="str">
        <f>IF(S139=ROUND(SUMIFS(AN_TME23[[#All],[Total Claims Excluded because of Truncation]], AN_TME23[[#All],[Insurance Category Code]],2, AN_TME23[[#All],[Advanced Network/Insurance Carrier Org ID]],Q139),2), "TRUE", ROUND(S139-SUMIFS(AN_TME23[[#All],[Total Claims Excluded because of Truncation]], AN_TME23[[#All],[Insurance Category Code]],2, AN_TME23[[#All],[Advanced Network/Insurance Carrier Org ID]],Q139),2))</f>
        <v>TRUE</v>
      </c>
      <c r="Y139" s="281" t="str">
        <f>IF(T139=ROUND(SUMIFS(AN_TME23[[#All],[Count of Members with Claims Truncated]], AN_TME23[[#All],[Insurance Category Code]],2, AN_TME23[[#All],[Advanced Network/Insurance Carrier Org ID]],Q139),2), "TRUE", ROUND(T139-SUMIFS(AN_TME23[[#All],[Count of Members with Claims Truncated]], AN_TME23[[#All],[Insurance Category Code]],2, AN_TME23[[#All],[Advanced Network/Insurance Carrier Org ID]],Q139),2))</f>
        <v>TRUE</v>
      </c>
      <c r="Z139" s="282" t="str">
        <f>IF(U139=ROUND(SUMIFS(AN_TME23[[#All],[TOTAL Non-Truncated Unadjusted Claims Expenses]], AN_TME23[[#All],[Insurance Category Code]],2, AN_TME23[[#All],[Advanced Network/Insurance Carrier Org ID]],Q139),2), "TRUE", ROUND(U139-SUMIFS(AN_TME23[[#All],[TOTAL Non-Truncated Unadjusted Claims Expenses]], AN_TME23[[#All],[Insurance Category Code]],2, AN_TME23[[#All],[Advanced Network/Insurance Carrier Org ID]],Q139),2))</f>
        <v>TRUE</v>
      </c>
      <c r="AA139" s="295" t="str">
        <f>IF(V139=ROUND(SUMIFS(AN_TME23[[#All],[TOTAL Truncated Unadjusted Claims Expenses (A21 -A19)]], AN_TME23[[#All],[Insurance Category Code]],2, AN_TME23[[#All],[Advanced Network/Insurance Carrier Org ID]],Q139),2), "TRUE", ROUND(V139-SUMIFS(AN_TME23[[#All],[TOTAL Truncated Unadjusted Claims Expenses (A21 -A19)]], AN_TME23[[#All],[Insurance Category Code]],2, AN_TME23[[#All],[Advanced Network/Insurance Carrier Org ID]],Q139),2))</f>
        <v>TRUE</v>
      </c>
      <c r="AB139" s="461" t="str">
        <f t="shared" si="13"/>
        <v>TRUE</v>
      </c>
      <c r="AC139" s="282" t="b">
        <f>ROUND(SUMIFS(AN_TME23[[#All],[TOTAL Non-Truncated Unadjusted Claims Expenses]], AN_TME23[[#All],[Insurance Category Code]],2, AN_TME23[[#All],[Advanced Network/Insurance Carrier Org ID]],Q139),2)&gt;=ROUND(SUMIFS(AN_TME23[[#All],[TOTAL Truncated Unadjusted Claims Expenses (A21 -A19)]], AN_TME23[[#All],[Insurance Category Code]],2, AN_TME23[[#All],[Advanced Network/Insurance Carrier Org ID]],Q139),2)</f>
        <v>1</v>
      </c>
      <c r="AD139" s="295" t="b">
        <f>ROUND(SUMIFS(AN_TME23[[#All],[TOTAL Truncated Unadjusted Claims Expenses (A21 -A19)]], AN_TME23[[#All],[Insurance Category Code]],2, AN_TME23[[#All],[Advanced Network/Insurance Carrier Org ID]],Q139)+SUMIFS(AN_TME23[[#All],[Total Claims Excluded because of Truncation]], AN_TME23[[#All],[Insurance Category Code]],2, AN_TME23[[#All],[Advanced Network/Insurance Carrier Org ID]],Q139), 2)=ROUND(SUMIFS(AN_TME23[[#All],[TOTAL Non-Truncated Unadjusted Claims Expenses]], AN_TME23[[#All],[Insurance Category Code]],2, AN_TME23[[#All],[Advanced Network/Insurance Carrier Org ID]],Q139),2)</f>
        <v>1</v>
      </c>
      <c r="AF139" s="323" t="str">
        <f t="shared" si="12"/>
        <v>NA</v>
      </c>
    </row>
    <row r="140" spans="2:32" outlineLevel="1" x14ac:dyDescent="0.25">
      <c r="B140" s="236">
        <v>119</v>
      </c>
      <c r="C140" s="463">
        <f>ROUND(SUMIFS(Age_Sex22[[#All],[Total Member Months by Age/Sex Band]], Age_Sex22[[#All],[Advanced Network ID]], $B140, Age_Sex22[[#All],[Insurance Category Code]],2),2)</f>
        <v>0</v>
      </c>
      <c r="D140" s="268">
        <f>ROUND(SUMIFS(Age_Sex22[[#All],[Total Dollars Excluded from Spending After Applying Truncation at the Member Level]], Age_Sex22[[#All],[Advanced Network ID]], $B140, Age_Sex22[[#All],[Insurance Category Code]],2),2)</f>
        <v>0</v>
      </c>
      <c r="E140" s="229">
        <f>ROUND(SUMIFS(Age_Sex22[[#All],[Count of Members whose Spending was Truncated]], Age_Sex22[[#All],[Advanced Network ID]], $B140, Age_Sex22[[#All],[Insurance Category Code]],2),2)</f>
        <v>0</v>
      </c>
      <c r="F140" s="230">
        <f>ROUND(SUMIFS(Age_Sex22[[#All],[Total Spending before Truncation is Applied]], Age_Sex22[[#All],[Advanced Network ID]], $B140, Age_Sex22[[#All],[Insurance Category Code]],2),2)</f>
        <v>0</v>
      </c>
      <c r="G140" s="232">
        <f>ROUND(SUMIFS(Age_Sex22[[#All],[Total Spending After Applying Truncation at the Member Level]], Age_Sex22[[#All],[Advanced Network ID]], $B140, Age_Sex22[[#All],[Insurance Category Code]],2),2)</f>
        <v>0</v>
      </c>
      <c r="H140" s="416" t="str">
        <f>IF(C140=ROUND(SUMIFS(AN_TME22[[#All],[Member Months]], AN_TME22[[#All],[Insurance Category Code]],2, AN_TME22[[#All],[Advanced Network/Insurance Carrier Org ID]],B140),2), "TRUE", ROUND(C140-SUMIFS(AN_TME22[[#All],[Member Months]], AN_TME22[[#All],[Insurance Category Code]],2, AN_TME22[[#All],[Advanced Network/Insurance Carrier Org ID]],B140),2))</f>
        <v>TRUE</v>
      </c>
      <c r="I140" s="280" t="str">
        <f>IF(D140=ROUND(SUMIFS(AN_TME22[[#All],[Total Claims Excluded because of Truncation]], AN_TME22[[#All],[Insurance Category Code]],2, AN_TME22[[#All],[Advanced Network/Insurance Carrier Org ID]],B140),2), "TRUE", ROUND(D140-SUMIFS(AN_TME22[[#All],[Total Claims Excluded because of Truncation]], AN_TME22[[#All],[Insurance Category Code]],2, AN_TME22[[#All],[Advanced Network/Insurance Carrier Org ID]],B140),2))</f>
        <v>TRUE</v>
      </c>
      <c r="J140" s="281" t="str">
        <f>IF(E140=ROUND(SUMIFS(AN_TME22[[#All],[Count of Members with Claims Truncated]], AN_TME22[[#All],[Insurance Category Code]],2, AN_TME22[[#All],[Advanced Network/Insurance Carrier Org ID]],B140),2), "TRUE", ROUND(E140-SUMIFS(AN_TME22[[#All],[Count of Members with Claims Truncated]], AN_TME22[[#All],[Insurance Category Code]],2, AN_TME22[[#All],[Advanced Network/Insurance Carrier Org ID]],B140),2))</f>
        <v>TRUE</v>
      </c>
      <c r="K140" s="282" t="str">
        <f>IF(F140=ROUND(SUMIFS(AN_TME22[[#All],[TOTAL Non-Truncated Unadjusted Claims Expenses]], AN_TME22[[#All],[Insurance Category Code]],2, AN_TME22[[#All],[Advanced Network/Insurance Carrier Org ID]],B140),2), "TRUE", ROUND(F140-SUMIFS(AN_TME22[[#All],[TOTAL Non-Truncated Unadjusted Claims Expenses]], AN_TME22[[#All],[Insurance Category Code]],2, AN_TME22[[#All],[Advanced Network/Insurance Carrier Org ID]],B140),2))</f>
        <v>TRUE</v>
      </c>
      <c r="L140" s="295" t="str">
        <f>IF(G140=ROUND(SUMIFS(AN_TME22[[#All],[TOTAL Truncated Unadjusted Claims Expenses (A21 -A19)]], AN_TME22[[#All],[Insurance Category Code]],2, AN_TME22[[#All],[Advanced Network/Insurance Carrier Org ID]],B140),2), "TRUE", ROUND(G140-SUMIFS(AN_TME22[[#All],[TOTAL Truncated Unadjusted Claims Expenses (A21 -A19)]], AN_TME22[[#All],[Insurance Category Code]],2, AN_TME22[[#All],[Advanced Network/Insurance Carrier Org ID]],B140),2))</f>
        <v>TRUE</v>
      </c>
      <c r="M140" s="461" t="str">
        <f t="shared" si="11"/>
        <v>TRUE</v>
      </c>
      <c r="N140" s="282" t="b">
        <f>ROUND(SUMIFS(AN_TME22[[#All],[TOTAL Non-Truncated Unadjusted Claims Expenses]], AN_TME22[[#All],[Insurance Category Code]],2, AN_TME22[[#All],[Advanced Network/Insurance Carrier Org ID]],B140),2)&gt;=ROUND(SUMIFS(AN_TME22[[#All],[TOTAL Truncated Unadjusted Claims Expenses (A21 -A19)]], AN_TME22[[#All],[Insurance Category Code]],2, AN_TME22[[#All],[Advanced Network/Insurance Carrier Org ID]],B140), 2)</f>
        <v>1</v>
      </c>
      <c r="O140" s="295" t="b">
        <f>ROUND(SUMIFS(AN_TME22[[#All],[TOTAL Truncated Unadjusted Claims Expenses (A21 -A19)]], AN_TME22[[#All],[Insurance Category Code]],2, AN_TME22[[#All],[Advanced Network/Insurance Carrier Org ID]],B140)+SUMIFS(AN_TME22[[#All],[Total Claims Excluded because of Truncation]], AN_TME22[[#All],[Insurance Category Code]],2, AN_TME22[[#All],[Advanced Network/Insurance Carrier Org ID]],B140),2)=ROUND(SUMIFS(AN_TME22[[#All],[TOTAL Non-Truncated Unadjusted Claims Expenses]], AN_TME22[[#All],[Insurance Category Code]],2, AN_TME22[[#All],[Advanced Network/Insurance Carrier Org ID]],B140), 2)</f>
        <v>1</v>
      </c>
      <c r="Q140" s="236">
        <v>119</v>
      </c>
      <c r="R140" s="463">
        <f>ROUND(SUMIFS(Age_Sex23[[#All],[Total Member Months by Age/Sex Band]], Age_Sex23[[#All],[Advanced Network ID]], $Q140, Age_Sex23[[#All],[Insurance Category Code]],2),2)</f>
        <v>0</v>
      </c>
      <c r="S140" s="268">
        <f>ROUND(SUMIFS(Age_Sex23[[#All],[Total Dollars Excluded from Spending After Applying Truncation at the Member Level]], Age_Sex23[[#All],[Advanced Network ID]], $B140, Age_Sex23[[#All],[Insurance Category Code]],2),2)</f>
        <v>0</v>
      </c>
      <c r="T140" s="229">
        <f>ROUND(SUMIFS(Age_Sex23[[#All],[Count of Members whose Spending was Truncated]], Age_Sex23[[#All],[Advanced Network ID]], $B140, Age_Sex23[[#All],[Insurance Category Code]],2),2)</f>
        <v>0</v>
      </c>
      <c r="U140" s="230">
        <f>ROUND(SUMIFS(Age_Sex23[[#All],[Total Spending before Truncation is Applied]], Age_Sex23[[#All],[Advanced Network ID]], $B140, Age_Sex23[[#All],[Insurance Category Code]],2),2)</f>
        <v>0</v>
      </c>
      <c r="V140" s="232">
        <f>ROUND(SUMIFS(Age_Sex23[[#All],[Total Spending After Applying Truncation at the Member Level]], Age_Sex23[[#All],[Advanced Network ID]], $B140, Age_Sex23[[#All],[Insurance Category Code]],2), 2)</f>
        <v>0</v>
      </c>
      <c r="W140" s="416" t="str">
        <f>IF(R140=ROUND(SUMIFS(AN_TME23[[#All],[Member Months]], AN_TME23[[#All],[Insurance Category Code]],2, AN_TME23[[#All],[Advanced Network/Insurance Carrier Org ID]],Q140),2), "TRUE", ROUND(R140-SUMIFS(AN_TME23[[#All],[Member Months]], AN_TME23[[#All],[Insurance Category Code]],2, AN_TME23[[#All],[Advanced Network/Insurance Carrier Org ID]],Q140),2))</f>
        <v>TRUE</v>
      </c>
      <c r="X140" s="280" t="str">
        <f>IF(S140=ROUND(SUMIFS(AN_TME23[[#All],[Total Claims Excluded because of Truncation]], AN_TME23[[#All],[Insurance Category Code]],2, AN_TME23[[#All],[Advanced Network/Insurance Carrier Org ID]],Q140),2), "TRUE", ROUND(S140-SUMIFS(AN_TME23[[#All],[Total Claims Excluded because of Truncation]], AN_TME23[[#All],[Insurance Category Code]],2, AN_TME23[[#All],[Advanced Network/Insurance Carrier Org ID]],Q140),2))</f>
        <v>TRUE</v>
      </c>
      <c r="Y140" s="281" t="str">
        <f>IF(T140=ROUND(SUMIFS(AN_TME23[[#All],[Count of Members with Claims Truncated]], AN_TME23[[#All],[Insurance Category Code]],2, AN_TME23[[#All],[Advanced Network/Insurance Carrier Org ID]],Q140),2), "TRUE", ROUND(T140-SUMIFS(AN_TME23[[#All],[Count of Members with Claims Truncated]], AN_TME23[[#All],[Insurance Category Code]],2, AN_TME23[[#All],[Advanced Network/Insurance Carrier Org ID]],Q140),2))</f>
        <v>TRUE</v>
      </c>
      <c r="Z140" s="282" t="str">
        <f>IF(U140=ROUND(SUMIFS(AN_TME23[[#All],[TOTAL Non-Truncated Unadjusted Claims Expenses]], AN_TME23[[#All],[Insurance Category Code]],2, AN_TME23[[#All],[Advanced Network/Insurance Carrier Org ID]],Q140),2), "TRUE", ROUND(U140-SUMIFS(AN_TME23[[#All],[TOTAL Non-Truncated Unadjusted Claims Expenses]], AN_TME23[[#All],[Insurance Category Code]],2, AN_TME23[[#All],[Advanced Network/Insurance Carrier Org ID]],Q140),2))</f>
        <v>TRUE</v>
      </c>
      <c r="AA140" s="295" t="str">
        <f>IF(V140=ROUND(SUMIFS(AN_TME23[[#All],[TOTAL Truncated Unadjusted Claims Expenses (A21 -A19)]], AN_TME23[[#All],[Insurance Category Code]],2, AN_TME23[[#All],[Advanced Network/Insurance Carrier Org ID]],Q140),2), "TRUE", ROUND(V140-SUMIFS(AN_TME23[[#All],[TOTAL Truncated Unadjusted Claims Expenses (A21 -A19)]], AN_TME23[[#All],[Insurance Category Code]],2, AN_TME23[[#All],[Advanced Network/Insurance Carrier Org ID]],Q140),2))</f>
        <v>TRUE</v>
      </c>
      <c r="AB140" s="461" t="str">
        <f t="shared" si="13"/>
        <v>TRUE</v>
      </c>
      <c r="AC140" s="282" t="b">
        <f>ROUND(SUMIFS(AN_TME23[[#All],[TOTAL Non-Truncated Unadjusted Claims Expenses]], AN_TME23[[#All],[Insurance Category Code]],2, AN_TME23[[#All],[Advanced Network/Insurance Carrier Org ID]],Q140),2)&gt;=ROUND(SUMIFS(AN_TME23[[#All],[TOTAL Truncated Unadjusted Claims Expenses (A21 -A19)]], AN_TME23[[#All],[Insurance Category Code]],2, AN_TME23[[#All],[Advanced Network/Insurance Carrier Org ID]],Q140),2)</f>
        <v>1</v>
      </c>
      <c r="AD140" s="295" t="b">
        <f>ROUND(SUMIFS(AN_TME23[[#All],[TOTAL Truncated Unadjusted Claims Expenses (A21 -A19)]], AN_TME23[[#All],[Insurance Category Code]],2, AN_TME23[[#All],[Advanced Network/Insurance Carrier Org ID]],Q140)+SUMIFS(AN_TME23[[#All],[Total Claims Excluded because of Truncation]], AN_TME23[[#All],[Insurance Category Code]],2, AN_TME23[[#All],[Advanced Network/Insurance Carrier Org ID]],Q140), 2)=ROUND(SUMIFS(AN_TME23[[#All],[TOTAL Non-Truncated Unadjusted Claims Expenses]], AN_TME23[[#All],[Insurance Category Code]],2, AN_TME23[[#All],[Advanced Network/Insurance Carrier Org ID]],Q140),2)</f>
        <v>1</v>
      </c>
      <c r="AF140" s="323" t="str">
        <f t="shared" si="12"/>
        <v>NA</v>
      </c>
    </row>
    <row r="141" spans="2:32" outlineLevel="1" x14ac:dyDescent="0.25">
      <c r="B141" s="236">
        <v>120</v>
      </c>
      <c r="C141" s="463">
        <f>ROUND(SUMIFS(Age_Sex22[[#All],[Total Member Months by Age/Sex Band]], Age_Sex22[[#All],[Advanced Network ID]], $B141, Age_Sex22[[#All],[Insurance Category Code]],2),2)</f>
        <v>0</v>
      </c>
      <c r="D141" s="268">
        <f>ROUND(SUMIFS(Age_Sex22[[#All],[Total Dollars Excluded from Spending After Applying Truncation at the Member Level]], Age_Sex22[[#All],[Advanced Network ID]], $B141, Age_Sex22[[#All],[Insurance Category Code]],2),2)</f>
        <v>0</v>
      </c>
      <c r="E141" s="229">
        <f>ROUND(SUMIFS(Age_Sex22[[#All],[Count of Members whose Spending was Truncated]], Age_Sex22[[#All],[Advanced Network ID]], $B141, Age_Sex22[[#All],[Insurance Category Code]],2),2)</f>
        <v>0</v>
      </c>
      <c r="F141" s="230">
        <f>ROUND(SUMIFS(Age_Sex22[[#All],[Total Spending before Truncation is Applied]], Age_Sex22[[#All],[Advanced Network ID]], $B141, Age_Sex22[[#All],[Insurance Category Code]],2),2)</f>
        <v>0</v>
      </c>
      <c r="G141" s="232">
        <f>ROUND(SUMIFS(Age_Sex22[[#All],[Total Spending After Applying Truncation at the Member Level]], Age_Sex22[[#All],[Advanced Network ID]], $B141, Age_Sex22[[#All],[Insurance Category Code]],2),2)</f>
        <v>0</v>
      </c>
      <c r="H141" s="416" t="str">
        <f>IF(C141=ROUND(SUMIFS(AN_TME22[[#All],[Member Months]], AN_TME22[[#All],[Insurance Category Code]],2, AN_TME22[[#All],[Advanced Network/Insurance Carrier Org ID]],B141),2), "TRUE", ROUND(C141-SUMIFS(AN_TME22[[#All],[Member Months]], AN_TME22[[#All],[Insurance Category Code]],2, AN_TME22[[#All],[Advanced Network/Insurance Carrier Org ID]],B141),2))</f>
        <v>TRUE</v>
      </c>
      <c r="I141" s="280" t="str">
        <f>IF(D141=ROUND(SUMIFS(AN_TME22[[#All],[Total Claims Excluded because of Truncation]], AN_TME22[[#All],[Insurance Category Code]],2, AN_TME22[[#All],[Advanced Network/Insurance Carrier Org ID]],B141),2), "TRUE", ROUND(D141-SUMIFS(AN_TME22[[#All],[Total Claims Excluded because of Truncation]], AN_TME22[[#All],[Insurance Category Code]],2, AN_TME22[[#All],[Advanced Network/Insurance Carrier Org ID]],B141),2))</f>
        <v>TRUE</v>
      </c>
      <c r="J141" s="281" t="str">
        <f>IF(E141=ROUND(SUMIFS(AN_TME22[[#All],[Count of Members with Claims Truncated]], AN_TME22[[#All],[Insurance Category Code]],2, AN_TME22[[#All],[Advanced Network/Insurance Carrier Org ID]],B141),2), "TRUE", ROUND(E141-SUMIFS(AN_TME22[[#All],[Count of Members with Claims Truncated]], AN_TME22[[#All],[Insurance Category Code]],2, AN_TME22[[#All],[Advanced Network/Insurance Carrier Org ID]],B141),2))</f>
        <v>TRUE</v>
      </c>
      <c r="K141" s="282" t="str">
        <f>IF(F141=ROUND(SUMIFS(AN_TME22[[#All],[TOTAL Non-Truncated Unadjusted Claims Expenses]], AN_TME22[[#All],[Insurance Category Code]],2, AN_TME22[[#All],[Advanced Network/Insurance Carrier Org ID]],B141),2), "TRUE", ROUND(F141-SUMIFS(AN_TME22[[#All],[TOTAL Non-Truncated Unadjusted Claims Expenses]], AN_TME22[[#All],[Insurance Category Code]],2, AN_TME22[[#All],[Advanced Network/Insurance Carrier Org ID]],B141),2))</f>
        <v>TRUE</v>
      </c>
      <c r="L141" s="295" t="str">
        <f>IF(G141=ROUND(SUMIFS(AN_TME22[[#All],[TOTAL Truncated Unadjusted Claims Expenses (A21 -A19)]], AN_TME22[[#All],[Insurance Category Code]],2, AN_TME22[[#All],[Advanced Network/Insurance Carrier Org ID]],B141),2), "TRUE", ROUND(G141-SUMIFS(AN_TME22[[#All],[TOTAL Truncated Unadjusted Claims Expenses (A21 -A19)]], AN_TME22[[#All],[Insurance Category Code]],2, AN_TME22[[#All],[Advanced Network/Insurance Carrier Org ID]],B141),2))</f>
        <v>TRUE</v>
      </c>
      <c r="M141" s="461" t="str">
        <f t="shared" si="11"/>
        <v>TRUE</v>
      </c>
      <c r="N141" s="282" t="b">
        <f>ROUND(SUMIFS(AN_TME22[[#All],[TOTAL Non-Truncated Unadjusted Claims Expenses]], AN_TME22[[#All],[Insurance Category Code]],2, AN_TME22[[#All],[Advanced Network/Insurance Carrier Org ID]],B141),2)&gt;=ROUND(SUMIFS(AN_TME22[[#All],[TOTAL Truncated Unadjusted Claims Expenses (A21 -A19)]], AN_TME22[[#All],[Insurance Category Code]],2, AN_TME22[[#All],[Advanced Network/Insurance Carrier Org ID]],B141), 2)</f>
        <v>1</v>
      </c>
      <c r="O141" s="295" t="b">
        <f>ROUND(SUMIFS(AN_TME22[[#All],[TOTAL Truncated Unadjusted Claims Expenses (A21 -A19)]], AN_TME22[[#All],[Insurance Category Code]],2, AN_TME22[[#All],[Advanced Network/Insurance Carrier Org ID]],B141)+SUMIFS(AN_TME22[[#All],[Total Claims Excluded because of Truncation]], AN_TME22[[#All],[Insurance Category Code]],2, AN_TME22[[#All],[Advanced Network/Insurance Carrier Org ID]],B141),2)=ROUND(SUMIFS(AN_TME22[[#All],[TOTAL Non-Truncated Unadjusted Claims Expenses]], AN_TME22[[#All],[Insurance Category Code]],2, AN_TME22[[#All],[Advanced Network/Insurance Carrier Org ID]],B141), 2)</f>
        <v>1</v>
      </c>
      <c r="Q141" s="236">
        <v>120</v>
      </c>
      <c r="R141" s="463">
        <f>ROUND(SUMIFS(Age_Sex23[[#All],[Total Member Months by Age/Sex Band]], Age_Sex23[[#All],[Advanced Network ID]], $Q141, Age_Sex23[[#All],[Insurance Category Code]],2),2)</f>
        <v>0</v>
      </c>
      <c r="S141" s="268">
        <f>ROUND(SUMIFS(Age_Sex23[[#All],[Total Dollars Excluded from Spending After Applying Truncation at the Member Level]], Age_Sex23[[#All],[Advanced Network ID]], $B141, Age_Sex23[[#All],[Insurance Category Code]],2),2)</f>
        <v>0</v>
      </c>
      <c r="T141" s="229">
        <f>ROUND(SUMIFS(Age_Sex23[[#All],[Count of Members whose Spending was Truncated]], Age_Sex23[[#All],[Advanced Network ID]], $B141, Age_Sex23[[#All],[Insurance Category Code]],2),2)</f>
        <v>0</v>
      </c>
      <c r="U141" s="230">
        <f>ROUND(SUMIFS(Age_Sex23[[#All],[Total Spending before Truncation is Applied]], Age_Sex23[[#All],[Advanced Network ID]], $B141, Age_Sex23[[#All],[Insurance Category Code]],2),2)</f>
        <v>0</v>
      </c>
      <c r="V141" s="232">
        <f>ROUND(SUMIFS(Age_Sex23[[#All],[Total Spending After Applying Truncation at the Member Level]], Age_Sex23[[#All],[Advanced Network ID]], $B141, Age_Sex23[[#All],[Insurance Category Code]],2), 2)</f>
        <v>0</v>
      </c>
      <c r="W141" s="416" t="str">
        <f>IF(R141=ROUND(SUMIFS(AN_TME23[[#All],[Member Months]], AN_TME23[[#All],[Insurance Category Code]],2, AN_TME23[[#All],[Advanced Network/Insurance Carrier Org ID]],Q141),2), "TRUE", ROUND(R141-SUMIFS(AN_TME23[[#All],[Member Months]], AN_TME23[[#All],[Insurance Category Code]],2, AN_TME23[[#All],[Advanced Network/Insurance Carrier Org ID]],Q141),2))</f>
        <v>TRUE</v>
      </c>
      <c r="X141" s="280" t="str">
        <f>IF(S141=ROUND(SUMIFS(AN_TME23[[#All],[Total Claims Excluded because of Truncation]], AN_TME23[[#All],[Insurance Category Code]],2, AN_TME23[[#All],[Advanced Network/Insurance Carrier Org ID]],Q141),2), "TRUE", ROUND(S141-SUMIFS(AN_TME23[[#All],[Total Claims Excluded because of Truncation]], AN_TME23[[#All],[Insurance Category Code]],2, AN_TME23[[#All],[Advanced Network/Insurance Carrier Org ID]],Q141),2))</f>
        <v>TRUE</v>
      </c>
      <c r="Y141" s="281" t="str">
        <f>IF(T141=ROUND(SUMIFS(AN_TME23[[#All],[Count of Members with Claims Truncated]], AN_TME23[[#All],[Insurance Category Code]],2, AN_TME23[[#All],[Advanced Network/Insurance Carrier Org ID]],Q141),2), "TRUE", ROUND(T141-SUMIFS(AN_TME23[[#All],[Count of Members with Claims Truncated]], AN_TME23[[#All],[Insurance Category Code]],2, AN_TME23[[#All],[Advanced Network/Insurance Carrier Org ID]],Q141),2))</f>
        <v>TRUE</v>
      </c>
      <c r="Z141" s="282" t="str">
        <f>IF(U141=ROUND(SUMIFS(AN_TME23[[#All],[TOTAL Non-Truncated Unadjusted Claims Expenses]], AN_TME23[[#All],[Insurance Category Code]],2, AN_TME23[[#All],[Advanced Network/Insurance Carrier Org ID]],Q141),2), "TRUE", ROUND(U141-SUMIFS(AN_TME23[[#All],[TOTAL Non-Truncated Unadjusted Claims Expenses]], AN_TME23[[#All],[Insurance Category Code]],2, AN_TME23[[#All],[Advanced Network/Insurance Carrier Org ID]],Q141),2))</f>
        <v>TRUE</v>
      </c>
      <c r="AA141" s="295" t="str">
        <f>IF(V141=ROUND(SUMIFS(AN_TME23[[#All],[TOTAL Truncated Unadjusted Claims Expenses (A21 -A19)]], AN_TME23[[#All],[Insurance Category Code]],2, AN_TME23[[#All],[Advanced Network/Insurance Carrier Org ID]],Q141),2), "TRUE", ROUND(V141-SUMIFS(AN_TME23[[#All],[TOTAL Truncated Unadjusted Claims Expenses (A21 -A19)]], AN_TME23[[#All],[Insurance Category Code]],2, AN_TME23[[#All],[Advanced Network/Insurance Carrier Org ID]],Q141),2))</f>
        <v>TRUE</v>
      </c>
      <c r="AB141" s="461" t="str">
        <f t="shared" si="13"/>
        <v>TRUE</v>
      </c>
      <c r="AC141" s="282" t="b">
        <f>ROUND(SUMIFS(AN_TME23[[#All],[TOTAL Non-Truncated Unadjusted Claims Expenses]], AN_TME23[[#All],[Insurance Category Code]],2, AN_TME23[[#All],[Advanced Network/Insurance Carrier Org ID]],Q141),2)&gt;=ROUND(SUMIFS(AN_TME23[[#All],[TOTAL Truncated Unadjusted Claims Expenses (A21 -A19)]], AN_TME23[[#All],[Insurance Category Code]],2, AN_TME23[[#All],[Advanced Network/Insurance Carrier Org ID]],Q141),2)</f>
        <v>1</v>
      </c>
      <c r="AD141" s="295" t="b">
        <f>ROUND(SUMIFS(AN_TME23[[#All],[TOTAL Truncated Unadjusted Claims Expenses (A21 -A19)]], AN_TME23[[#All],[Insurance Category Code]],2, AN_TME23[[#All],[Advanced Network/Insurance Carrier Org ID]],Q141)+SUMIFS(AN_TME23[[#All],[Total Claims Excluded because of Truncation]], AN_TME23[[#All],[Insurance Category Code]],2, AN_TME23[[#All],[Advanced Network/Insurance Carrier Org ID]],Q141), 2)=ROUND(SUMIFS(AN_TME23[[#All],[TOTAL Non-Truncated Unadjusted Claims Expenses]], AN_TME23[[#All],[Insurance Category Code]],2, AN_TME23[[#All],[Advanced Network/Insurance Carrier Org ID]],Q141),2)</f>
        <v>1</v>
      </c>
      <c r="AF141" s="323" t="str">
        <f t="shared" si="12"/>
        <v>NA</v>
      </c>
    </row>
    <row r="142" spans="2:32" outlineLevel="1" x14ac:dyDescent="0.25">
      <c r="B142" s="236">
        <v>121</v>
      </c>
      <c r="C142" s="463">
        <f>ROUND(SUMIFS(Age_Sex22[[#All],[Total Member Months by Age/Sex Band]], Age_Sex22[[#All],[Advanced Network ID]], $B142, Age_Sex22[[#All],[Insurance Category Code]],2),2)</f>
        <v>0</v>
      </c>
      <c r="D142" s="268">
        <f>ROUND(SUMIFS(Age_Sex22[[#All],[Total Dollars Excluded from Spending After Applying Truncation at the Member Level]], Age_Sex22[[#All],[Advanced Network ID]], $B142, Age_Sex22[[#All],[Insurance Category Code]],2),2)</f>
        <v>0</v>
      </c>
      <c r="E142" s="229">
        <f>ROUND(SUMIFS(Age_Sex22[[#All],[Count of Members whose Spending was Truncated]], Age_Sex22[[#All],[Advanced Network ID]], $B142, Age_Sex22[[#All],[Insurance Category Code]],2),2)</f>
        <v>0</v>
      </c>
      <c r="F142" s="230">
        <f>ROUND(SUMIFS(Age_Sex22[[#All],[Total Spending before Truncation is Applied]], Age_Sex22[[#All],[Advanced Network ID]], $B142, Age_Sex22[[#All],[Insurance Category Code]],2),2)</f>
        <v>0</v>
      </c>
      <c r="G142" s="232">
        <f>ROUND(SUMIFS(Age_Sex22[[#All],[Total Spending After Applying Truncation at the Member Level]], Age_Sex22[[#All],[Advanced Network ID]], $B142, Age_Sex22[[#All],[Insurance Category Code]],2),2)</f>
        <v>0</v>
      </c>
      <c r="H142" s="416" t="str">
        <f>IF(C142=ROUND(SUMIFS(AN_TME22[[#All],[Member Months]], AN_TME22[[#All],[Insurance Category Code]],2, AN_TME22[[#All],[Advanced Network/Insurance Carrier Org ID]],B142),2), "TRUE", ROUND(C142-SUMIFS(AN_TME22[[#All],[Member Months]], AN_TME22[[#All],[Insurance Category Code]],2, AN_TME22[[#All],[Advanced Network/Insurance Carrier Org ID]],B142),2))</f>
        <v>TRUE</v>
      </c>
      <c r="I142" s="280" t="str">
        <f>IF(D142=ROUND(SUMIFS(AN_TME22[[#All],[Total Claims Excluded because of Truncation]], AN_TME22[[#All],[Insurance Category Code]],2, AN_TME22[[#All],[Advanced Network/Insurance Carrier Org ID]],B142),2), "TRUE", ROUND(D142-SUMIFS(AN_TME22[[#All],[Total Claims Excluded because of Truncation]], AN_TME22[[#All],[Insurance Category Code]],2, AN_TME22[[#All],[Advanced Network/Insurance Carrier Org ID]],B142),2))</f>
        <v>TRUE</v>
      </c>
      <c r="J142" s="281" t="str">
        <f>IF(E142=ROUND(SUMIFS(AN_TME22[[#All],[Count of Members with Claims Truncated]], AN_TME22[[#All],[Insurance Category Code]],2, AN_TME22[[#All],[Advanced Network/Insurance Carrier Org ID]],B142),2), "TRUE", ROUND(E142-SUMIFS(AN_TME22[[#All],[Count of Members with Claims Truncated]], AN_TME22[[#All],[Insurance Category Code]],2, AN_TME22[[#All],[Advanced Network/Insurance Carrier Org ID]],B142),2))</f>
        <v>TRUE</v>
      </c>
      <c r="K142" s="282" t="str">
        <f>IF(F142=ROUND(SUMIFS(AN_TME22[[#All],[TOTAL Non-Truncated Unadjusted Claims Expenses]], AN_TME22[[#All],[Insurance Category Code]],2, AN_TME22[[#All],[Advanced Network/Insurance Carrier Org ID]],B142),2), "TRUE", ROUND(F142-SUMIFS(AN_TME22[[#All],[TOTAL Non-Truncated Unadjusted Claims Expenses]], AN_TME22[[#All],[Insurance Category Code]],2, AN_TME22[[#All],[Advanced Network/Insurance Carrier Org ID]],B142),2))</f>
        <v>TRUE</v>
      </c>
      <c r="L142" s="295" t="str">
        <f>IF(G142=ROUND(SUMIFS(AN_TME22[[#All],[TOTAL Truncated Unadjusted Claims Expenses (A21 -A19)]], AN_TME22[[#All],[Insurance Category Code]],2, AN_TME22[[#All],[Advanced Network/Insurance Carrier Org ID]],B142),2), "TRUE", ROUND(G142-SUMIFS(AN_TME22[[#All],[TOTAL Truncated Unadjusted Claims Expenses (A21 -A19)]], AN_TME22[[#All],[Insurance Category Code]],2, AN_TME22[[#All],[Advanced Network/Insurance Carrier Org ID]],B142),2))</f>
        <v>TRUE</v>
      </c>
      <c r="M142" s="461" t="str">
        <f t="shared" si="11"/>
        <v>TRUE</v>
      </c>
      <c r="N142" s="282" t="b">
        <f>ROUND(SUMIFS(AN_TME22[[#All],[TOTAL Non-Truncated Unadjusted Claims Expenses]], AN_TME22[[#All],[Insurance Category Code]],2, AN_TME22[[#All],[Advanced Network/Insurance Carrier Org ID]],B142),2)&gt;=ROUND(SUMIFS(AN_TME22[[#All],[TOTAL Truncated Unadjusted Claims Expenses (A21 -A19)]], AN_TME22[[#All],[Insurance Category Code]],2, AN_TME22[[#All],[Advanced Network/Insurance Carrier Org ID]],B142), 2)</f>
        <v>1</v>
      </c>
      <c r="O142" s="295" t="b">
        <f>ROUND(SUMIFS(AN_TME22[[#All],[TOTAL Truncated Unadjusted Claims Expenses (A21 -A19)]], AN_TME22[[#All],[Insurance Category Code]],2, AN_TME22[[#All],[Advanced Network/Insurance Carrier Org ID]],B142)+SUMIFS(AN_TME22[[#All],[Total Claims Excluded because of Truncation]], AN_TME22[[#All],[Insurance Category Code]],2, AN_TME22[[#All],[Advanced Network/Insurance Carrier Org ID]],B142),2)=ROUND(SUMIFS(AN_TME22[[#All],[TOTAL Non-Truncated Unadjusted Claims Expenses]], AN_TME22[[#All],[Insurance Category Code]],2, AN_TME22[[#All],[Advanced Network/Insurance Carrier Org ID]],B142), 2)</f>
        <v>1</v>
      </c>
      <c r="Q142" s="236">
        <v>121</v>
      </c>
      <c r="R142" s="463">
        <f>ROUND(SUMIFS(Age_Sex23[[#All],[Total Member Months by Age/Sex Band]], Age_Sex23[[#All],[Advanced Network ID]], $Q142, Age_Sex23[[#All],[Insurance Category Code]],2),2)</f>
        <v>0</v>
      </c>
      <c r="S142" s="268">
        <f>ROUND(SUMIFS(Age_Sex23[[#All],[Total Dollars Excluded from Spending After Applying Truncation at the Member Level]], Age_Sex23[[#All],[Advanced Network ID]], $B142, Age_Sex23[[#All],[Insurance Category Code]],2),2)</f>
        <v>0</v>
      </c>
      <c r="T142" s="229">
        <f>ROUND(SUMIFS(Age_Sex23[[#All],[Count of Members whose Spending was Truncated]], Age_Sex23[[#All],[Advanced Network ID]], $B142, Age_Sex23[[#All],[Insurance Category Code]],2),2)</f>
        <v>0</v>
      </c>
      <c r="U142" s="230">
        <f>ROUND(SUMIFS(Age_Sex23[[#All],[Total Spending before Truncation is Applied]], Age_Sex23[[#All],[Advanced Network ID]], $B142, Age_Sex23[[#All],[Insurance Category Code]],2),2)</f>
        <v>0</v>
      </c>
      <c r="V142" s="232">
        <f>ROUND(SUMIFS(Age_Sex23[[#All],[Total Spending After Applying Truncation at the Member Level]], Age_Sex23[[#All],[Advanced Network ID]], $B142, Age_Sex23[[#All],[Insurance Category Code]],2), 2)</f>
        <v>0</v>
      </c>
      <c r="W142" s="416" t="str">
        <f>IF(R142=ROUND(SUMIFS(AN_TME23[[#All],[Member Months]], AN_TME23[[#All],[Insurance Category Code]],2, AN_TME23[[#All],[Advanced Network/Insurance Carrier Org ID]],Q142),2), "TRUE", ROUND(R142-SUMIFS(AN_TME23[[#All],[Member Months]], AN_TME23[[#All],[Insurance Category Code]],2, AN_TME23[[#All],[Advanced Network/Insurance Carrier Org ID]],Q142),2))</f>
        <v>TRUE</v>
      </c>
      <c r="X142" s="280" t="str">
        <f>IF(S142=ROUND(SUMIFS(AN_TME23[[#All],[Total Claims Excluded because of Truncation]], AN_TME23[[#All],[Insurance Category Code]],2, AN_TME23[[#All],[Advanced Network/Insurance Carrier Org ID]],Q142),2), "TRUE", ROUND(S142-SUMIFS(AN_TME23[[#All],[Total Claims Excluded because of Truncation]], AN_TME23[[#All],[Insurance Category Code]],2, AN_TME23[[#All],[Advanced Network/Insurance Carrier Org ID]],Q142),2))</f>
        <v>TRUE</v>
      </c>
      <c r="Y142" s="281" t="str">
        <f>IF(T142=ROUND(SUMIFS(AN_TME23[[#All],[Count of Members with Claims Truncated]], AN_TME23[[#All],[Insurance Category Code]],2, AN_TME23[[#All],[Advanced Network/Insurance Carrier Org ID]],Q142),2), "TRUE", ROUND(T142-SUMIFS(AN_TME23[[#All],[Count of Members with Claims Truncated]], AN_TME23[[#All],[Insurance Category Code]],2, AN_TME23[[#All],[Advanced Network/Insurance Carrier Org ID]],Q142),2))</f>
        <v>TRUE</v>
      </c>
      <c r="Z142" s="282" t="str">
        <f>IF(U142=ROUND(SUMIFS(AN_TME23[[#All],[TOTAL Non-Truncated Unadjusted Claims Expenses]], AN_TME23[[#All],[Insurance Category Code]],2, AN_TME23[[#All],[Advanced Network/Insurance Carrier Org ID]],Q142),2), "TRUE", ROUND(U142-SUMIFS(AN_TME23[[#All],[TOTAL Non-Truncated Unadjusted Claims Expenses]], AN_TME23[[#All],[Insurance Category Code]],2, AN_TME23[[#All],[Advanced Network/Insurance Carrier Org ID]],Q142),2))</f>
        <v>TRUE</v>
      </c>
      <c r="AA142" s="295" t="str">
        <f>IF(V142=ROUND(SUMIFS(AN_TME23[[#All],[TOTAL Truncated Unadjusted Claims Expenses (A21 -A19)]], AN_TME23[[#All],[Insurance Category Code]],2, AN_TME23[[#All],[Advanced Network/Insurance Carrier Org ID]],Q142),2), "TRUE", ROUND(V142-SUMIFS(AN_TME23[[#All],[TOTAL Truncated Unadjusted Claims Expenses (A21 -A19)]], AN_TME23[[#All],[Insurance Category Code]],2, AN_TME23[[#All],[Advanced Network/Insurance Carrier Org ID]],Q142),2))</f>
        <v>TRUE</v>
      </c>
      <c r="AB142" s="461" t="str">
        <f t="shared" si="13"/>
        <v>TRUE</v>
      </c>
      <c r="AC142" s="282" t="b">
        <f>ROUND(SUMIFS(AN_TME23[[#All],[TOTAL Non-Truncated Unadjusted Claims Expenses]], AN_TME23[[#All],[Insurance Category Code]],2, AN_TME23[[#All],[Advanced Network/Insurance Carrier Org ID]],Q142),2)&gt;=ROUND(SUMIFS(AN_TME23[[#All],[TOTAL Truncated Unadjusted Claims Expenses (A21 -A19)]], AN_TME23[[#All],[Insurance Category Code]],2, AN_TME23[[#All],[Advanced Network/Insurance Carrier Org ID]],Q142),2)</f>
        <v>1</v>
      </c>
      <c r="AD142" s="295" t="b">
        <f>ROUND(SUMIFS(AN_TME23[[#All],[TOTAL Truncated Unadjusted Claims Expenses (A21 -A19)]], AN_TME23[[#All],[Insurance Category Code]],2, AN_TME23[[#All],[Advanced Network/Insurance Carrier Org ID]],Q142)+SUMIFS(AN_TME23[[#All],[Total Claims Excluded because of Truncation]], AN_TME23[[#All],[Insurance Category Code]],2, AN_TME23[[#All],[Advanced Network/Insurance Carrier Org ID]],Q142), 2)=ROUND(SUMIFS(AN_TME23[[#All],[TOTAL Non-Truncated Unadjusted Claims Expenses]], AN_TME23[[#All],[Insurance Category Code]],2, AN_TME23[[#All],[Advanced Network/Insurance Carrier Org ID]],Q142),2)</f>
        <v>1</v>
      </c>
      <c r="AF142" s="323" t="str">
        <f t="shared" si="12"/>
        <v>NA</v>
      </c>
    </row>
    <row r="143" spans="2:32" outlineLevel="1" x14ac:dyDescent="0.25">
      <c r="B143" s="236">
        <v>122</v>
      </c>
      <c r="C143" s="463">
        <f>ROUND(SUMIFS(Age_Sex22[[#All],[Total Member Months by Age/Sex Band]], Age_Sex22[[#All],[Advanced Network ID]], $B143, Age_Sex22[[#All],[Insurance Category Code]],2),2)</f>
        <v>0</v>
      </c>
      <c r="D143" s="268">
        <f>ROUND(SUMIFS(Age_Sex22[[#All],[Total Dollars Excluded from Spending After Applying Truncation at the Member Level]], Age_Sex22[[#All],[Advanced Network ID]], $B143, Age_Sex22[[#All],[Insurance Category Code]],2),2)</f>
        <v>0</v>
      </c>
      <c r="E143" s="229">
        <f>ROUND(SUMIFS(Age_Sex22[[#All],[Count of Members whose Spending was Truncated]], Age_Sex22[[#All],[Advanced Network ID]], $B143, Age_Sex22[[#All],[Insurance Category Code]],2),2)</f>
        <v>0</v>
      </c>
      <c r="F143" s="230">
        <f>ROUND(SUMIFS(Age_Sex22[[#All],[Total Spending before Truncation is Applied]], Age_Sex22[[#All],[Advanced Network ID]], $B143, Age_Sex22[[#All],[Insurance Category Code]],2),2)</f>
        <v>0</v>
      </c>
      <c r="G143" s="232">
        <f>ROUND(SUMIFS(Age_Sex22[[#All],[Total Spending After Applying Truncation at the Member Level]], Age_Sex22[[#All],[Advanced Network ID]], $B143, Age_Sex22[[#All],[Insurance Category Code]],2),2)</f>
        <v>0</v>
      </c>
      <c r="H143" s="416" t="str">
        <f>IF(C143=ROUND(SUMIFS(AN_TME22[[#All],[Member Months]], AN_TME22[[#All],[Insurance Category Code]],2, AN_TME22[[#All],[Advanced Network/Insurance Carrier Org ID]],B143),2), "TRUE", ROUND(C143-SUMIFS(AN_TME22[[#All],[Member Months]], AN_TME22[[#All],[Insurance Category Code]],2, AN_TME22[[#All],[Advanced Network/Insurance Carrier Org ID]],B143),2))</f>
        <v>TRUE</v>
      </c>
      <c r="I143" s="280" t="str">
        <f>IF(D143=ROUND(SUMIFS(AN_TME22[[#All],[Total Claims Excluded because of Truncation]], AN_TME22[[#All],[Insurance Category Code]],2, AN_TME22[[#All],[Advanced Network/Insurance Carrier Org ID]],B143),2), "TRUE", ROUND(D143-SUMIFS(AN_TME22[[#All],[Total Claims Excluded because of Truncation]], AN_TME22[[#All],[Insurance Category Code]],2, AN_TME22[[#All],[Advanced Network/Insurance Carrier Org ID]],B143),2))</f>
        <v>TRUE</v>
      </c>
      <c r="J143" s="281" t="str">
        <f>IF(E143=ROUND(SUMIFS(AN_TME22[[#All],[Count of Members with Claims Truncated]], AN_TME22[[#All],[Insurance Category Code]],2, AN_TME22[[#All],[Advanced Network/Insurance Carrier Org ID]],B143),2), "TRUE", ROUND(E143-SUMIFS(AN_TME22[[#All],[Count of Members with Claims Truncated]], AN_TME22[[#All],[Insurance Category Code]],2, AN_TME22[[#All],[Advanced Network/Insurance Carrier Org ID]],B143),2))</f>
        <v>TRUE</v>
      </c>
      <c r="K143" s="282" t="str">
        <f>IF(F143=ROUND(SUMIFS(AN_TME22[[#All],[TOTAL Non-Truncated Unadjusted Claims Expenses]], AN_TME22[[#All],[Insurance Category Code]],2, AN_TME22[[#All],[Advanced Network/Insurance Carrier Org ID]],B143),2), "TRUE", ROUND(F143-SUMIFS(AN_TME22[[#All],[TOTAL Non-Truncated Unadjusted Claims Expenses]], AN_TME22[[#All],[Insurance Category Code]],2, AN_TME22[[#All],[Advanced Network/Insurance Carrier Org ID]],B143),2))</f>
        <v>TRUE</v>
      </c>
      <c r="L143" s="295" t="str">
        <f>IF(G143=ROUND(SUMIFS(AN_TME22[[#All],[TOTAL Truncated Unadjusted Claims Expenses (A21 -A19)]], AN_TME22[[#All],[Insurance Category Code]],2, AN_TME22[[#All],[Advanced Network/Insurance Carrier Org ID]],B143),2), "TRUE", ROUND(G143-SUMIFS(AN_TME22[[#All],[TOTAL Truncated Unadjusted Claims Expenses (A21 -A19)]], AN_TME22[[#All],[Insurance Category Code]],2, AN_TME22[[#All],[Advanced Network/Insurance Carrier Org ID]],B143),2))</f>
        <v>TRUE</v>
      </c>
      <c r="M143" s="461" t="str">
        <f t="shared" si="11"/>
        <v>TRUE</v>
      </c>
      <c r="N143" s="282" t="b">
        <f>ROUND(SUMIFS(AN_TME22[[#All],[TOTAL Non-Truncated Unadjusted Claims Expenses]], AN_TME22[[#All],[Insurance Category Code]],2, AN_TME22[[#All],[Advanced Network/Insurance Carrier Org ID]],B143),2)&gt;=ROUND(SUMIFS(AN_TME22[[#All],[TOTAL Truncated Unadjusted Claims Expenses (A21 -A19)]], AN_TME22[[#All],[Insurance Category Code]],2, AN_TME22[[#All],[Advanced Network/Insurance Carrier Org ID]],B143), 2)</f>
        <v>1</v>
      </c>
      <c r="O143" s="295" t="b">
        <f>ROUND(SUMIFS(AN_TME22[[#All],[TOTAL Truncated Unadjusted Claims Expenses (A21 -A19)]], AN_TME22[[#All],[Insurance Category Code]],2, AN_TME22[[#All],[Advanced Network/Insurance Carrier Org ID]],B143)+SUMIFS(AN_TME22[[#All],[Total Claims Excluded because of Truncation]], AN_TME22[[#All],[Insurance Category Code]],2, AN_TME22[[#All],[Advanced Network/Insurance Carrier Org ID]],B143),2)=ROUND(SUMIFS(AN_TME22[[#All],[TOTAL Non-Truncated Unadjusted Claims Expenses]], AN_TME22[[#All],[Insurance Category Code]],2, AN_TME22[[#All],[Advanced Network/Insurance Carrier Org ID]],B143), 2)</f>
        <v>1</v>
      </c>
      <c r="Q143" s="236">
        <v>122</v>
      </c>
      <c r="R143" s="463">
        <f>ROUND(SUMIFS(Age_Sex23[[#All],[Total Member Months by Age/Sex Band]], Age_Sex23[[#All],[Advanced Network ID]], $Q143, Age_Sex23[[#All],[Insurance Category Code]],2),2)</f>
        <v>0</v>
      </c>
      <c r="S143" s="268">
        <f>ROUND(SUMIFS(Age_Sex23[[#All],[Total Dollars Excluded from Spending After Applying Truncation at the Member Level]], Age_Sex23[[#All],[Advanced Network ID]], $B143, Age_Sex23[[#All],[Insurance Category Code]],2),2)</f>
        <v>0</v>
      </c>
      <c r="T143" s="229">
        <f>ROUND(SUMIFS(Age_Sex23[[#All],[Count of Members whose Spending was Truncated]], Age_Sex23[[#All],[Advanced Network ID]], $B143, Age_Sex23[[#All],[Insurance Category Code]],2),2)</f>
        <v>0</v>
      </c>
      <c r="U143" s="230">
        <f>ROUND(SUMIFS(Age_Sex23[[#All],[Total Spending before Truncation is Applied]], Age_Sex23[[#All],[Advanced Network ID]], $B143, Age_Sex23[[#All],[Insurance Category Code]],2),2)</f>
        <v>0</v>
      </c>
      <c r="V143" s="232">
        <f>ROUND(SUMIFS(Age_Sex23[[#All],[Total Spending After Applying Truncation at the Member Level]], Age_Sex23[[#All],[Advanced Network ID]], $B143, Age_Sex23[[#All],[Insurance Category Code]],2), 2)</f>
        <v>0</v>
      </c>
      <c r="W143" s="416" t="str">
        <f>IF(R143=ROUND(SUMIFS(AN_TME23[[#All],[Member Months]], AN_TME23[[#All],[Insurance Category Code]],2, AN_TME23[[#All],[Advanced Network/Insurance Carrier Org ID]],Q143),2), "TRUE", ROUND(R143-SUMIFS(AN_TME23[[#All],[Member Months]], AN_TME23[[#All],[Insurance Category Code]],2, AN_TME23[[#All],[Advanced Network/Insurance Carrier Org ID]],Q143),2))</f>
        <v>TRUE</v>
      </c>
      <c r="X143" s="280" t="str">
        <f>IF(S143=ROUND(SUMIFS(AN_TME23[[#All],[Total Claims Excluded because of Truncation]], AN_TME23[[#All],[Insurance Category Code]],2, AN_TME23[[#All],[Advanced Network/Insurance Carrier Org ID]],Q143),2), "TRUE", ROUND(S143-SUMIFS(AN_TME23[[#All],[Total Claims Excluded because of Truncation]], AN_TME23[[#All],[Insurance Category Code]],2, AN_TME23[[#All],[Advanced Network/Insurance Carrier Org ID]],Q143),2))</f>
        <v>TRUE</v>
      </c>
      <c r="Y143" s="281" t="str">
        <f>IF(T143=ROUND(SUMIFS(AN_TME23[[#All],[Count of Members with Claims Truncated]], AN_TME23[[#All],[Insurance Category Code]],2, AN_TME23[[#All],[Advanced Network/Insurance Carrier Org ID]],Q143),2), "TRUE", ROUND(T143-SUMIFS(AN_TME23[[#All],[Count of Members with Claims Truncated]], AN_TME23[[#All],[Insurance Category Code]],2, AN_TME23[[#All],[Advanced Network/Insurance Carrier Org ID]],Q143),2))</f>
        <v>TRUE</v>
      </c>
      <c r="Z143" s="282" t="str">
        <f>IF(U143=ROUND(SUMIFS(AN_TME23[[#All],[TOTAL Non-Truncated Unadjusted Claims Expenses]], AN_TME23[[#All],[Insurance Category Code]],2, AN_TME23[[#All],[Advanced Network/Insurance Carrier Org ID]],Q143),2), "TRUE", ROUND(U143-SUMIFS(AN_TME23[[#All],[TOTAL Non-Truncated Unadjusted Claims Expenses]], AN_TME23[[#All],[Insurance Category Code]],2, AN_TME23[[#All],[Advanced Network/Insurance Carrier Org ID]],Q143),2))</f>
        <v>TRUE</v>
      </c>
      <c r="AA143" s="295" t="str">
        <f>IF(V143=ROUND(SUMIFS(AN_TME23[[#All],[TOTAL Truncated Unadjusted Claims Expenses (A21 -A19)]], AN_TME23[[#All],[Insurance Category Code]],2, AN_TME23[[#All],[Advanced Network/Insurance Carrier Org ID]],Q143),2), "TRUE", ROUND(V143-SUMIFS(AN_TME23[[#All],[TOTAL Truncated Unadjusted Claims Expenses (A21 -A19)]], AN_TME23[[#All],[Insurance Category Code]],2, AN_TME23[[#All],[Advanced Network/Insurance Carrier Org ID]],Q143),2))</f>
        <v>TRUE</v>
      </c>
      <c r="AB143" s="461" t="str">
        <f t="shared" si="13"/>
        <v>TRUE</v>
      </c>
      <c r="AC143" s="282" t="b">
        <f>ROUND(SUMIFS(AN_TME23[[#All],[TOTAL Non-Truncated Unadjusted Claims Expenses]], AN_TME23[[#All],[Insurance Category Code]],2, AN_TME23[[#All],[Advanced Network/Insurance Carrier Org ID]],Q143),2)&gt;=ROUND(SUMIFS(AN_TME23[[#All],[TOTAL Truncated Unadjusted Claims Expenses (A21 -A19)]], AN_TME23[[#All],[Insurance Category Code]],2, AN_TME23[[#All],[Advanced Network/Insurance Carrier Org ID]],Q143),2)</f>
        <v>1</v>
      </c>
      <c r="AD143" s="295" t="b">
        <f>ROUND(SUMIFS(AN_TME23[[#All],[TOTAL Truncated Unadjusted Claims Expenses (A21 -A19)]], AN_TME23[[#All],[Insurance Category Code]],2, AN_TME23[[#All],[Advanced Network/Insurance Carrier Org ID]],Q143)+SUMIFS(AN_TME23[[#All],[Total Claims Excluded because of Truncation]], AN_TME23[[#All],[Insurance Category Code]],2, AN_TME23[[#All],[Advanced Network/Insurance Carrier Org ID]],Q143), 2)=ROUND(SUMIFS(AN_TME23[[#All],[TOTAL Non-Truncated Unadjusted Claims Expenses]], AN_TME23[[#All],[Insurance Category Code]],2, AN_TME23[[#All],[Advanced Network/Insurance Carrier Org ID]],Q143),2)</f>
        <v>1</v>
      </c>
      <c r="AF143" s="323" t="str">
        <f t="shared" si="12"/>
        <v>NA</v>
      </c>
    </row>
    <row r="144" spans="2:32" outlineLevel="1" x14ac:dyDescent="0.25">
      <c r="B144" s="236">
        <v>123</v>
      </c>
      <c r="C144" s="463">
        <f>ROUND(SUMIFS(Age_Sex22[[#All],[Total Member Months by Age/Sex Band]], Age_Sex22[[#All],[Advanced Network ID]], $B144, Age_Sex22[[#All],[Insurance Category Code]],2),2)</f>
        <v>0</v>
      </c>
      <c r="D144" s="268">
        <f>ROUND(SUMIFS(Age_Sex22[[#All],[Total Dollars Excluded from Spending After Applying Truncation at the Member Level]], Age_Sex22[[#All],[Advanced Network ID]], $B144, Age_Sex22[[#All],[Insurance Category Code]],2),2)</f>
        <v>0</v>
      </c>
      <c r="E144" s="229">
        <f>ROUND(SUMIFS(Age_Sex22[[#All],[Count of Members whose Spending was Truncated]], Age_Sex22[[#All],[Advanced Network ID]], $B144, Age_Sex22[[#All],[Insurance Category Code]],2),2)</f>
        <v>0</v>
      </c>
      <c r="F144" s="230">
        <f>ROUND(SUMIFS(Age_Sex22[[#All],[Total Spending before Truncation is Applied]], Age_Sex22[[#All],[Advanced Network ID]], $B144, Age_Sex22[[#All],[Insurance Category Code]],2),2)</f>
        <v>0</v>
      </c>
      <c r="G144" s="232">
        <f>ROUND(SUMIFS(Age_Sex22[[#All],[Total Spending After Applying Truncation at the Member Level]], Age_Sex22[[#All],[Advanced Network ID]], $B144, Age_Sex22[[#All],[Insurance Category Code]],2),2)</f>
        <v>0</v>
      </c>
      <c r="H144" s="416" t="str">
        <f>IF(C144=ROUND(SUMIFS(AN_TME22[[#All],[Member Months]], AN_TME22[[#All],[Insurance Category Code]],2, AN_TME22[[#All],[Advanced Network/Insurance Carrier Org ID]],B144),2), "TRUE", ROUND(C144-SUMIFS(AN_TME22[[#All],[Member Months]], AN_TME22[[#All],[Insurance Category Code]],2, AN_TME22[[#All],[Advanced Network/Insurance Carrier Org ID]],B144),2))</f>
        <v>TRUE</v>
      </c>
      <c r="I144" s="280" t="str">
        <f>IF(D144=ROUND(SUMIFS(AN_TME22[[#All],[Total Claims Excluded because of Truncation]], AN_TME22[[#All],[Insurance Category Code]],2, AN_TME22[[#All],[Advanced Network/Insurance Carrier Org ID]],B144),2), "TRUE", ROUND(D144-SUMIFS(AN_TME22[[#All],[Total Claims Excluded because of Truncation]], AN_TME22[[#All],[Insurance Category Code]],2, AN_TME22[[#All],[Advanced Network/Insurance Carrier Org ID]],B144),2))</f>
        <v>TRUE</v>
      </c>
      <c r="J144" s="281" t="str">
        <f>IF(E144=ROUND(SUMIFS(AN_TME22[[#All],[Count of Members with Claims Truncated]], AN_TME22[[#All],[Insurance Category Code]],2, AN_TME22[[#All],[Advanced Network/Insurance Carrier Org ID]],B144),2), "TRUE", ROUND(E144-SUMIFS(AN_TME22[[#All],[Count of Members with Claims Truncated]], AN_TME22[[#All],[Insurance Category Code]],2, AN_TME22[[#All],[Advanced Network/Insurance Carrier Org ID]],B144),2))</f>
        <v>TRUE</v>
      </c>
      <c r="K144" s="282" t="str">
        <f>IF(F144=ROUND(SUMIFS(AN_TME22[[#All],[TOTAL Non-Truncated Unadjusted Claims Expenses]], AN_TME22[[#All],[Insurance Category Code]],2, AN_TME22[[#All],[Advanced Network/Insurance Carrier Org ID]],B144),2), "TRUE", ROUND(F144-SUMIFS(AN_TME22[[#All],[TOTAL Non-Truncated Unadjusted Claims Expenses]], AN_TME22[[#All],[Insurance Category Code]],2, AN_TME22[[#All],[Advanced Network/Insurance Carrier Org ID]],B144),2))</f>
        <v>TRUE</v>
      </c>
      <c r="L144" s="295" t="str">
        <f>IF(G144=ROUND(SUMIFS(AN_TME22[[#All],[TOTAL Truncated Unadjusted Claims Expenses (A21 -A19)]], AN_TME22[[#All],[Insurance Category Code]],2, AN_TME22[[#All],[Advanced Network/Insurance Carrier Org ID]],B144),2), "TRUE", ROUND(G144-SUMIFS(AN_TME22[[#All],[TOTAL Truncated Unadjusted Claims Expenses (A21 -A19)]], AN_TME22[[#All],[Insurance Category Code]],2, AN_TME22[[#All],[Advanced Network/Insurance Carrier Org ID]],B144),2))</f>
        <v>TRUE</v>
      </c>
      <c r="M144" s="461" t="str">
        <f t="shared" si="11"/>
        <v>TRUE</v>
      </c>
      <c r="N144" s="282" t="b">
        <f>ROUND(SUMIFS(AN_TME22[[#All],[TOTAL Non-Truncated Unadjusted Claims Expenses]], AN_TME22[[#All],[Insurance Category Code]],2, AN_TME22[[#All],[Advanced Network/Insurance Carrier Org ID]],B144),2)&gt;=ROUND(SUMIFS(AN_TME22[[#All],[TOTAL Truncated Unadjusted Claims Expenses (A21 -A19)]], AN_TME22[[#All],[Insurance Category Code]],2, AN_TME22[[#All],[Advanced Network/Insurance Carrier Org ID]],B144), 2)</f>
        <v>1</v>
      </c>
      <c r="O144" s="295" t="b">
        <f>ROUND(SUMIFS(AN_TME22[[#All],[TOTAL Truncated Unadjusted Claims Expenses (A21 -A19)]], AN_TME22[[#All],[Insurance Category Code]],2, AN_TME22[[#All],[Advanced Network/Insurance Carrier Org ID]],B144)+SUMIFS(AN_TME22[[#All],[Total Claims Excluded because of Truncation]], AN_TME22[[#All],[Insurance Category Code]],2, AN_TME22[[#All],[Advanced Network/Insurance Carrier Org ID]],B144),2)=ROUND(SUMIFS(AN_TME22[[#All],[TOTAL Non-Truncated Unadjusted Claims Expenses]], AN_TME22[[#All],[Insurance Category Code]],2, AN_TME22[[#All],[Advanced Network/Insurance Carrier Org ID]],B144), 2)</f>
        <v>1</v>
      </c>
      <c r="Q144" s="236">
        <v>123</v>
      </c>
      <c r="R144" s="463">
        <f>ROUND(SUMIFS(Age_Sex23[[#All],[Total Member Months by Age/Sex Band]], Age_Sex23[[#All],[Advanced Network ID]], $Q144, Age_Sex23[[#All],[Insurance Category Code]],2),2)</f>
        <v>0</v>
      </c>
      <c r="S144" s="268">
        <f>ROUND(SUMIFS(Age_Sex23[[#All],[Total Dollars Excluded from Spending After Applying Truncation at the Member Level]], Age_Sex23[[#All],[Advanced Network ID]], $B144, Age_Sex23[[#All],[Insurance Category Code]],2),2)</f>
        <v>0</v>
      </c>
      <c r="T144" s="229">
        <f>ROUND(SUMIFS(Age_Sex23[[#All],[Count of Members whose Spending was Truncated]], Age_Sex23[[#All],[Advanced Network ID]], $B144, Age_Sex23[[#All],[Insurance Category Code]],2),2)</f>
        <v>0</v>
      </c>
      <c r="U144" s="230">
        <f>ROUND(SUMIFS(Age_Sex23[[#All],[Total Spending before Truncation is Applied]], Age_Sex23[[#All],[Advanced Network ID]], $B144, Age_Sex23[[#All],[Insurance Category Code]],2),2)</f>
        <v>0</v>
      </c>
      <c r="V144" s="232">
        <f>ROUND(SUMIFS(Age_Sex23[[#All],[Total Spending After Applying Truncation at the Member Level]], Age_Sex23[[#All],[Advanced Network ID]], $B144, Age_Sex23[[#All],[Insurance Category Code]],2), 2)</f>
        <v>0</v>
      </c>
      <c r="W144" s="416" t="str">
        <f>IF(R144=ROUND(SUMIFS(AN_TME23[[#All],[Member Months]], AN_TME23[[#All],[Insurance Category Code]],2, AN_TME23[[#All],[Advanced Network/Insurance Carrier Org ID]],Q144),2), "TRUE", ROUND(R144-SUMIFS(AN_TME23[[#All],[Member Months]], AN_TME23[[#All],[Insurance Category Code]],2, AN_TME23[[#All],[Advanced Network/Insurance Carrier Org ID]],Q144),2))</f>
        <v>TRUE</v>
      </c>
      <c r="X144" s="280" t="str">
        <f>IF(S144=ROUND(SUMIFS(AN_TME23[[#All],[Total Claims Excluded because of Truncation]], AN_TME23[[#All],[Insurance Category Code]],2, AN_TME23[[#All],[Advanced Network/Insurance Carrier Org ID]],Q144),2), "TRUE", ROUND(S144-SUMIFS(AN_TME23[[#All],[Total Claims Excluded because of Truncation]], AN_TME23[[#All],[Insurance Category Code]],2, AN_TME23[[#All],[Advanced Network/Insurance Carrier Org ID]],Q144),2))</f>
        <v>TRUE</v>
      </c>
      <c r="Y144" s="281" t="str">
        <f>IF(T144=ROUND(SUMIFS(AN_TME23[[#All],[Count of Members with Claims Truncated]], AN_TME23[[#All],[Insurance Category Code]],2, AN_TME23[[#All],[Advanced Network/Insurance Carrier Org ID]],Q144),2), "TRUE", ROUND(T144-SUMIFS(AN_TME23[[#All],[Count of Members with Claims Truncated]], AN_TME23[[#All],[Insurance Category Code]],2, AN_TME23[[#All],[Advanced Network/Insurance Carrier Org ID]],Q144),2))</f>
        <v>TRUE</v>
      </c>
      <c r="Z144" s="282" t="str">
        <f>IF(U144=ROUND(SUMIFS(AN_TME23[[#All],[TOTAL Non-Truncated Unadjusted Claims Expenses]], AN_TME23[[#All],[Insurance Category Code]],2, AN_TME23[[#All],[Advanced Network/Insurance Carrier Org ID]],Q144),2), "TRUE", ROUND(U144-SUMIFS(AN_TME23[[#All],[TOTAL Non-Truncated Unadjusted Claims Expenses]], AN_TME23[[#All],[Insurance Category Code]],2, AN_TME23[[#All],[Advanced Network/Insurance Carrier Org ID]],Q144),2))</f>
        <v>TRUE</v>
      </c>
      <c r="AA144" s="295" t="str">
        <f>IF(V144=ROUND(SUMIFS(AN_TME23[[#All],[TOTAL Truncated Unadjusted Claims Expenses (A21 -A19)]], AN_TME23[[#All],[Insurance Category Code]],2, AN_TME23[[#All],[Advanced Network/Insurance Carrier Org ID]],Q144),2), "TRUE", ROUND(V144-SUMIFS(AN_TME23[[#All],[TOTAL Truncated Unadjusted Claims Expenses (A21 -A19)]], AN_TME23[[#All],[Insurance Category Code]],2, AN_TME23[[#All],[Advanced Network/Insurance Carrier Org ID]],Q144),2))</f>
        <v>TRUE</v>
      </c>
      <c r="AB144" s="461" t="str">
        <f t="shared" si="13"/>
        <v>TRUE</v>
      </c>
      <c r="AC144" s="282" t="b">
        <f>ROUND(SUMIFS(AN_TME23[[#All],[TOTAL Non-Truncated Unadjusted Claims Expenses]], AN_TME23[[#All],[Insurance Category Code]],2, AN_TME23[[#All],[Advanced Network/Insurance Carrier Org ID]],Q144),2)&gt;=ROUND(SUMIFS(AN_TME23[[#All],[TOTAL Truncated Unadjusted Claims Expenses (A21 -A19)]], AN_TME23[[#All],[Insurance Category Code]],2, AN_TME23[[#All],[Advanced Network/Insurance Carrier Org ID]],Q144),2)</f>
        <v>1</v>
      </c>
      <c r="AD144" s="295" t="b">
        <f>ROUND(SUMIFS(AN_TME23[[#All],[TOTAL Truncated Unadjusted Claims Expenses (A21 -A19)]], AN_TME23[[#All],[Insurance Category Code]],2, AN_TME23[[#All],[Advanced Network/Insurance Carrier Org ID]],Q144)+SUMIFS(AN_TME23[[#All],[Total Claims Excluded because of Truncation]], AN_TME23[[#All],[Insurance Category Code]],2, AN_TME23[[#All],[Advanced Network/Insurance Carrier Org ID]],Q144), 2)=ROUND(SUMIFS(AN_TME23[[#All],[TOTAL Non-Truncated Unadjusted Claims Expenses]], AN_TME23[[#All],[Insurance Category Code]],2, AN_TME23[[#All],[Advanced Network/Insurance Carrier Org ID]],Q144),2)</f>
        <v>1</v>
      </c>
      <c r="AF144" s="323" t="str">
        <f t="shared" si="12"/>
        <v>NA</v>
      </c>
    </row>
    <row r="145" spans="2:32" outlineLevel="1" x14ac:dyDescent="0.25">
      <c r="B145" s="236">
        <v>124</v>
      </c>
      <c r="C145" s="463">
        <f>ROUND(SUMIFS(Age_Sex22[[#All],[Total Member Months by Age/Sex Band]], Age_Sex22[[#All],[Advanced Network ID]], $B145, Age_Sex22[[#All],[Insurance Category Code]],2),2)</f>
        <v>0</v>
      </c>
      <c r="D145" s="268">
        <f>ROUND(SUMIFS(Age_Sex22[[#All],[Total Dollars Excluded from Spending After Applying Truncation at the Member Level]], Age_Sex22[[#All],[Advanced Network ID]], $B145, Age_Sex22[[#All],[Insurance Category Code]],2),2)</f>
        <v>0</v>
      </c>
      <c r="E145" s="229">
        <f>ROUND(SUMIFS(Age_Sex22[[#All],[Count of Members whose Spending was Truncated]], Age_Sex22[[#All],[Advanced Network ID]], $B145, Age_Sex22[[#All],[Insurance Category Code]],2),2)</f>
        <v>0</v>
      </c>
      <c r="F145" s="230">
        <f>ROUND(SUMIFS(Age_Sex22[[#All],[Total Spending before Truncation is Applied]], Age_Sex22[[#All],[Advanced Network ID]], $B145, Age_Sex22[[#All],[Insurance Category Code]],2),2)</f>
        <v>0</v>
      </c>
      <c r="G145" s="232">
        <f>ROUND(SUMIFS(Age_Sex22[[#All],[Total Spending After Applying Truncation at the Member Level]], Age_Sex22[[#All],[Advanced Network ID]], $B145, Age_Sex22[[#All],[Insurance Category Code]],2),2)</f>
        <v>0</v>
      </c>
      <c r="H145" s="416" t="str">
        <f>IF(C145=ROUND(SUMIFS(AN_TME22[[#All],[Member Months]], AN_TME22[[#All],[Insurance Category Code]],2, AN_TME22[[#All],[Advanced Network/Insurance Carrier Org ID]],B145),2), "TRUE", ROUND(C145-SUMIFS(AN_TME22[[#All],[Member Months]], AN_TME22[[#All],[Insurance Category Code]],2, AN_TME22[[#All],[Advanced Network/Insurance Carrier Org ID]],B145),2))</f>
        <v>TRUE</v>
      </c>
      <c r="I145" s="280" t="str">
        <f>IF(D145=ROUND(SUMIFS(AN_TME22[[#All],[Total Claims Excluded because of Truncation]], AN_TME22[[#All],[Insurance Category Code]],2, AN_TME22[[#All],[Advanced Network/Insurance Carrier Org ID]],B145),2), "TRUE", ROUND(D145-SUMIFS(AN_TME22[[#All],[Total Claims Excluded because of Truncation]], AN_TME22[[#All],[Insurance Category Code]],2, AN_TME22[[#All],[Advanced Network/Insurance Carrier Org ID]],B145),2))</f>
        <v>TRUE</v>
      </c>
      <c r="J145" s="281" t="str">
        <f>IF(E145=ROUND(SUMIFS(AN_TME22[[#All],[Count of Members with Claims Truncated]], AN_TME22[[#All],[Insurance Category Code]],2, AN_TME22[[#All],[Advanced Network/Insurance Carrier Org ID]],B145),2), "TRUE", ROUND(E145-SUMIFS(AN_TME22[[#All],[Count of Members with Claims Truncated]], AN_TME22[[#All],[Insurance Category Code]],2, AN_TME22[[#All],[Advanced Network/Insurance Carrier Org ID]],B145),2))</f>
        <v>TRUE</v>
      </c>
      <c r="K145" s="282" t="str">
        <f>IF(F145=ROUND(SUMIFS(AN_TME22[[#All],[TOTAL Non-Truncated Unadjusted Claims Expenses]], AN_TME22[[#All],[Insurance Category Code]],2, AN_TME22[[#All],[Advanced Network/Insurance Carrier Org ID]],B145),2), "TRUE", ROUND(F145-SUMIFS(AN_TME22[[#All],[TOTAL Non-Truncated Unadjusted Claims Expenses]], AN_TME22[[#All],[Insurance Category Code]],2, AN_TME22[[#All],[Advanced Network/Insurance Carrier Org ID]],B145),2))</f>
        <v>TRUE</v>
      </c>
      <c r="L145" s="295" t="str">
        <f>IF(G145=ROUND(SUMIFS(AN_TME22[[#All],[TOTAL Truncated Unadjusted Claims Expenses (A21 -A19)]], AN_TME22[[#All],[Insurance Category Code]],2, AN_TME22[[#All],[Advanced Network/Insurance Carrier Org ID]],B145),2), "TRUE", ROUND(G145-SUMIFS(AN_TME22[[#All],[TOTAL Truncated Unadjusted Claims Expenses (A21 -A19)]], AN_TME22[[#All],[Insurance Category Code]],2, AN_TME22[[#All],[Advanced Network/Insurance Carrier Org ID]],B145),2))</f>
        <v>TRUE</v>
      </c>
      <c r="M145" s="461" t="str">
        <f t="shared" si="11"/>
        <v>TRUE</v>
      </c>
      <c r="N145" s="282" t="b">
        <f>ROUND(SUMIFS(AN_TME22[[#All],[TOTAL Non-Truncated Unadjusted Claims Expenses]], AN_TME22[[#All],[Insurance Category Code]],2, AN_TME22[[#All],[Advanced Network/Insurance Carrier Org ID]],B145),2)&gt;=ROUND(SUMIFS(AN_TME22[[#All],[TOTAL Truncated Unadjusted Claims Expenses (A21 -A19)]], AN_TME22[[#All],[Insurance Category Code]],2, AN_TME22[[#All],[Advanced Network/Insurance Carrier Org ID]],B145), 2)</f>
        <v>1</v>
      </c>
      <c r="O145" s="295" t="b">
        <f>ROUND(SUMIFS(AN_TME22[[#All],[TOTAL Truncated Unadjusted Claims Expenses (A21 -A19)]], AN_TME22[[#All],[Insurance Category Code]],2, AN_TME22[[#All],[Advanced Network/Insurance Carrier Org ID]],B145)+SUMIFS(AN_TME22[[#All],[Total Claims Excluded because of Truncation]], AN_TME22[[#All],[Insurance Category Code]],2, AN_TME22[[#All],[Advanced Network/Insurance Carrier Org ID]],B145),2)=ROUND(SUMIFS(AN_TME22[[#All],[TOTAL Non-Truncated Unadjusted Claims Expenses]], AN_TME22[[#All],[Insurance Category Code]],2, AN_TME22[[#All],[Advanced Network/Insurance Carrier Org ID]],B145), 2)</f>
        <v>1</v>
      </c>
      <c r="Q145" s="236">
        <v>124</v>
      </c>
      <c r="R145" s="463">
        <f>ROUND(SUMIFS(Age_Sex23[[#All],[Total Member Months by Age/Sex Band]], Age_Sex23[[#All],[Advanced Network ID]], $Q145, Age_Sex23[[#All],[Insurance Category Code]],2),2)</f>
        <v>0</v>
      </c>
      <c r="S145" s="268">
        <f>ROUND(SUMIFS(Age_Sex23[[#All],[Total Dollars Excluded from Spending After Applying Truncation at the Member Level]], Age_Sex23[[#All],[Advanced Network ID]], $B145, Age_Sex23[[#All],[Insurance Category Code]],2),2)</f>
        <v>0</v>
      </c>
      <c r="T145" s="229">
        <f>ROUND(SUMIFS(Age_Sex23[[#All],[Count of Members whose Spending was Truncated]], Age_Sex23[[#All],[Advanced Network ID]], $B145, Age_Sex23[[#All],[Insurance Category Code]],2),2)</f>
        <v>0</v>
      </c>
      <c r="U145" s="230">
        <f>ROUND(SUMIFS(Age_Sex23[[#All],[Total Spending before Truncation is Applied]], Age_Sex23[[#All],[Advanced Network ID]], $B145, Age_Sex23[[#All],[Insurance Category Code]],2),2)</f>
        <v>0</v>
      </c>
      <c r="V145" s="232">
        <f>ROUND(SUMIFS(Age_Sex23[[#All],[Total Spending After Applying Truncation at the Member Level]], Age_Sex23[[#All],[Advanced Network ID]], $B145, Age_Sex23[[#All],[Insurance Category Code]],2), 2)</f>
        <v>0</v>
      </c>
      <c r="W145" s="416" t="str">
        <f>IF(R145=ROUND(SUMIFS(AN_TME23[[#All],[Member Months]], AN_TME23[[#All],[Insurance Category Code]],2, AN_TME23[[#All],[Advanced Network/Insurance Carrier Org ID]],Q145),2), "TRUE", ROUND(R145-SUMIFS(AN_TME23[[#All],[Member Months]], AN_TME23[[#All],[Insurance Category Code]],2, AN_TME23[[#All],[Advanced Network/Insurance Carrier Org ID]],Q145),2))</f>
        <v>TRUE</v>
      </c>
      <c r="X145" s="280" t="str">
        <f>IF(S145=ROUND(SUMIFS(AN_TME23[[#All],[Total Claims Excluded because of Truncation]], AN_TME23[[#All],[Insurance Category Code]],2, AN_TME23[[#All],[Advanced Network/Insurance Carrier Org ID]],Q145),2), "TRUE", ROUND(S145-SUMIFS(AN_TME23[[#All],[Total Claims Excluded because of Truncation]], AN_TME23[[#All],[Insurance Category Code]],2, AN_TME23[[#All],[Advanced Network/Insurance Carrier Org ID]],Q145),2))</f>
        <v>TRUE</v>
      </c>
      <c r="Y145" s="281" t="str">
        <f>IF(T145=ROUND(SUMIFS(AN_TME23[[#All],[Count of Members with Claims Truncated]], AN_TME23[[#All],[Insurance Category Code]],2, AN_TME23[[#All],[Advanced Network/Insurance Carrier Org ID]],Q145),2), "TRUE", ROUND(T145-SUMIFS(AN_TME23[[#All],[Count of Members with Claims Truncated]], AN_TME23[[#All],[Insurance Category Code]],2, AN_TME23[[#All],[Advanced Network/Insurance Carrier Org ID]],Q145),2))</f>
        <v>TRUE</v>
      </c>
      <c r="Z145" s="282" t="str">
        <f>IF(U145=ROUND(SUMIFS(AN_TME23[[#All],[TOTAL Non-Truncated Unadjusted Claims Expenses]], AN_TME23[[#All],[Insurance Category Code]],2, AN_TME23[[#All],[Advanced Network/Insurance Carrier Org ID]],Q145),2), "TRUE", ROUND(U145-SUMIFS(AN_TME23[[#All],[TOTAL Non-Truncated Unadjusted Claims Expenses]], AN_TME23[[#All],[Insurance Category Code]],2, AN_TME23[[#All],[Advanced Network/Insurance Carrier Org ID]],Q145),2))</f>
        <v>TRUE</v>
      </c>
      <c r="AA145" s="295" t="str">
        <f>IF(V145=ROUND(SUMIFS(AN_TME23[[#All],[TOTAL Truncated Unadjusted Claims Expenses (A21 -A19)]], AN_TME23[[#All],[Insurance Category Code]],2, AN_TME23[[#All],[Advanced Network/Insurance Carrier Org ID]],Q145),2), "TRUE", ROUND(V145-SUMIFS(AN_TME23[[#All],[TOTAL Truncated Unadjusted Claims Expenses (A21 -A19)]], AN_TME23[[#All],[Insurance Category Code]],2, AN_TME23[[#All],[Advanced Network/Insurance Carrier Org ID]],Q145),2))</f>
        <v>TRUE</v>
      </c>
      <c r="AB145" s="461" t="str">
        <f t="shared" si="13"/>
        <v>TRUE</v>
      </c>
      <c r="AC145" s="282" t="b">
        <f>ROUND(SUMIFS(AN_TME23[[#All],[TOTAL Non-Truncated Unadjusted Claims Expenses]], AN_TME23[[#All],[Insurance Category Code]],2, AN_TME23[[#All],[Advanced Network/Insurance Carrier Org ID]],Q145),2)&gt;=ROUND(SUMIFS(AN_TME23[[#All],[TOTAL Truncated Unadjusted Claims Expenses (A21 -A19)]], AN_TME23[[#All],[Insurance Category Code]],2, AN_TME23[[#All],[Advanced Network/Insurance Carrier Org ID]],Q145),2)</f>
        <v>1</v>
      </c>
      <c r="AD145" s="295" t="b">
        <f>ROUND(SUMIFS(AN_TME23[[#All],[TOTAL Truncated Unadjusted Claims Expenses (A21 -A19)]], AN_TME23[[#All],[Insurance Category Code]],2, AN_TME23[[#All],[Advanced Network/Insurance Carrier Org ID]],Q145)+SUMIFS(AN_TME23[[#All],[Total Claims Excluded because of Truncation]], AN_TME23[[#All],[Insurance Category Code]],2, AN_TME23[[#All],[Advanced Network/Insurance Carrier Org ID]],Q145), 2)=ROUND(SUMIFS(AN_TME23[[#All],[TOTAL Non-Truncated Unadjusted Claims Expenses]], AN_TME23[[#All],[Insurance Category Code]],2, AN_TME23[[#All],[Advanced Network/Insurance Carrier Org ID]],Q145),2)</f>
        <v>1</v>
      </c>
      <c r="AF145" s="323" t="str">
        <f t="shared" si="12"/>
        <v>NA</v>
      </c>
    </row>
    <row r="146" spans="2:32" outlineLevel="1" x14ac:dyDescent="0.25">
      <c r="B146" s="236">
        <v>125</v>
      </c>
      <c r="C146" s="463">
        <f>ROUND(SUMIFS(Age_Sex22[[#All],[Total Member Months by Age/Sex Band]], Age_Sex22[[#All],[Advanced Network ID]], $B146, Age_Sex22[[#All],[Insurance Category Code]],2),2)</f>
        <v>0</v>
      </c>
      <c r="D146" s="268">
        <f>ROUND(SUMIFS(Age_Sex22[[#All],[Total Dollars Excluded from Spending After Applying Truncation at the Member Level]], Age_Sex22[[#All],[Advanced Network ID]], $B146, Age_Sex22[[#All],[Insurance Category Code]],2),2)</f>
        <v>0</v>
      </c>
      <c r="E146" s="229">
        <f>ROUND(SUMIFS(Age_Sex22[[#All],[Count of Members whose Spending was Truncated]], Age_Sex22[[#All],[Advanced Network ID]], $B146, Age_Sex22[[#All],[Insurance Category Code]],2),2)</f>
        <v>0</v>
      </c>
      <c r="F146" s="230">
        <f>ROUND(SUMIFS(Age_Sex22[[#All],[Total Spending before Truncation is Applied]], Age_Sex22[[#All],[Advanced Network ID]], $B146, Age_Sex22[[#All],[Insurance Category Code]],2),2)</f>
        <v>0</v>
      </c>
      <c r="G146" s="232">
        <f>ROUND(SUMIFS(Age_Sex22[[#All],[Total Spending After Applying Truncation at the Member Level]], Age_Sex22[[#All],[Advanced Network ID]], $B146, Age_Sex22[[#All],[Insurance Category Code]],2),2)</f>
        <v>0</v>
      </c>
      <c r="H146" s="416" t="str">
        <f>IF(C146=ROUND(SUMIFS(AN_TME22[[#All],[Member Months]], AN_TME22[[#All],[Insurance Category Code]],2, AN_TME22[[#All],[Advanced Network/Insurance Carrier Org ID]],B146),2), "TRUE", ROUND(C146-SUMIFS(AN_TME22[[#All],[Member Months]], AN_TME22[[#All],[Insurance Category Code]],2, AN_TME22[[#All],[Advanced Network/Insurance Carrier Org ID]],B146),2))</f>
        <v>TRUE</v>
      </c>
      <c r="I146" s="280" t="str">
        <f>IF(D146=ROUND(SUMIFS(AN_TME22[[#All],[Total Claims Excluded because of Truncation]], AN_TME22[[#All],[Insurance Category Code]],2, AN_TME22[[#All],[Advanced Network/Insurance Carrier Org ID]],B146),2), "TRUE", ROUND(D146-SUMIFS(AN_TME22[[#All],[Total Claims Excluded because of Truncation]], AN_TME22[[#All],[Insurance Category Code]],2, AN_TME22[[#All],[Advanced Network/Insurance Carrier Org ID]],B146),2))</f>
        <v>TRUE</v>
      </c>
      <c r="J146" s="281" t="str">
        <f>IF(E146=ROUND(SUMIFS(AN_TME22[[#All],[Count of Members with Claims Truncated]], AN_TME22[[#All],[Insurance Category Code]],2, AN_TME22[[#All],[Advanced Network/Insurance Carrier Org ID]],B146),2), "TRUE", ROUND(E146-SUMIFS(AN_TME22[[#All],[Count of Members with Claims Truncated]], AN_TME22[[#All],[Insurance Category Code]],2, AN_TME22[[#All],[Advanced Network/Insurance Carrier Org ID]],B146),2))</f>
        <v>TRUE</v>
      </c>
      <c r="K146" s="282" t="str">
        <f>IF(F146=ROUND(SUMIFS(AN_TME22[[#All],[TOTAL Non-Truncated Unadjusted Claims Expenses]], AN_TME22[[#All],[Insurance Category Code]],2, AN_TME22[[#All],[Advanced Network/Insurance Carrier Org ID]],B146),2), "TRUE", ROUND(F146-SUMIFS(AN_TME22[[#All],[TOTAL Non-Truncated Unadjusted Claims Expenses]], AN_TME22[[#All],[Insurance Category Code]],2, AN_TME22[[#All],[Advanced Network/Insurance Carrier Org ID]],B146),2))</f>
        <v>TRUE</v>
      </c>
      <c r="L146" s="295" t="str">
        <f>IF(G146=ROUND(SUMIFS(AN_TME22[[#All],[TOTAL Truncated Unadjusted Claims Expenses (A21 -A19)]], AN_TME22[[#All],[Insurance Category Code]],2, AN_TME22[[#All],[Advanced Network/Insurance Carrier Org ID]],B146),2), "TRUE", ROUND(G146-SUMIFS(AN_TME22[[#All],[TOTAL Truncated Unadjusted Claims Expenses (A21 -A19)]], AN_TME22[[#All],[Insurance Category Code]],2, AN_TME22[[#All],[Advanced Network/Insurance Carrier Org ID]],B146),2))</f>
        <v>TRUE</v>
      </c>
      <c r="M146" s="461" t="str">
        <f t="shared" si="11"/>
        <v>TRUE</v>
      </c>
      <c r="N146" s="282" t="b">
        <f>ROUND(SUMIFS(AN_TME22[[#All],[TOTAL Non-Truncated Unadjusted Claims Expenses]], AN_TME22[[#All],[Insurance Category Code]],2, AN_TME22[[#All],[Advanced Network/Insurance Carrier Org ID]],B146),2)&gt;=ROUND(SUMIFS(AN_TME22[[#All],[TOTAL Truncated Unadjusted Claims Expenses (A21 -A19)]], AN_TME22[[#All],[Insurance Category Code]],2, AN_TME22[[#All],[Advanced Network/Insurance Carrier Org ID]],B146), 2)</f>
        <v>1</v>
      </c>
      <c r="O146" s="295" t="b">
        <f>ROUND(SUMIFS(AN_TME22[[#All],[TOTAL Truncated Unadjusted Claims Expenses (A21 -A19)]], AN_TME22[[#All],[Insurance Category Code]],2, AN_TME22[[#All],[Advanced Network/Insurance Carrier Org ID]],B146)+SUMIFS(AN_TME22[[#All],[Total Claims Excluded because of Truncation]], AN_TME22[[#All],[Insurance Category Code]],2, AN_TME22[[#All],[Advanced Network/Insurance Carrier Org ID]],B146),2)=ROUND(SUMIFS(AN_TME22[[#All],[TOTAL Non-Truncated Unadjusted Claims Expenses]], AN_TME22[[#All],[Insurance Category Code]],2, AN_TME22[[#All],[Advanced Network/Insurance Carrier Org ID]],B146), 2)</f>
        <v>1</v>
      </c>
      <c r="Q146" s="236">
        <v>125</v>
      </c>
      <c r="R146" s="463">
        <f>ROUND(SUMIFS(Age_Sex23[[#All],[Total Member Months by Age/Sex Band]], Age_Sex23[[#All],[Advanced Network ID]], $Q146, Age_Sex23[[#All],[Insurance Category Code]],2),2)</f>
        <v>0</v>
      </c>
      <c r="S146" s="268">
        <f>ROUND(SUMIFS(Age_Sex23[[#All],[Total Dollars Excluded from Spending After Applying Truncation at the Member Level]], Age_Sex23[[#All],[Advanced Network ID]], $B146, Age_Sex23[[#All],[Insurance Category Code]],2),2)</f>
        <v>0</v>
      </c>
      <c r="T146" s="229">
        <f>ROUND(SUMIFS(Age_Sex23[[#All],[Count of Members whose Spending was Truncated]], Age_Sex23[[#All],[Advanced Network ID]], $B146, Age_Sex23[[#All],[Insurance Category Code]],2),2)</f>
        <v>0</v>
      </c>
      <c r="U146" s="230">
        <f>ROUND(SUMIFS(Age_Sex23[[#All],[Total Spending before Truncation is Applied]], Age_Sex23[[#All],[Advanced Network ID]], $B146, Age_Sex23[[#All],[Insurance Category Code]],2),2)</f>
        <v>0</v>
      </c>
      <c r="V146" s="232">
        <f>ROUND(SUMIFS(Age_Sex23[[#All],[Total Spending After Applying Truncation at the Member Level]], Age_Sex23[[#All],[Advanced Network ID]], $B146, Age_Sex23[[#All],[Insurance Category Code]],2), 2)</f>
        <v>0</v>
      </c>
      <c r="W146" s="416" t="str">
        <f>IF(R146=ROUND(SUMIFS(AN_TME23[[#All],[Member Months]], AN_TME23[[#All],[Insurance Category Code]],2, AN_TME23[[#All],[Advanced Network/Insurance Carrier Org ID]],Q146),2), "TRUE", ROUND(R146-SUMIFS(AN_TME23[[#All],[Member Months]], AN_TME23[[#All],[Insurance Category Code]],2, AN_TME23[[#All],[Advanced Network/Insurance Carrier Org ID]],Q146),2))</f>
        <v>TRUE</v>
      </c>
      <c r="X146" s="280" t="str">
        <f>IF(S146=ROUND(SUMIFS(AN_TME23[[#All],[Total Claims Excluded because of Truncation]], AN_TME23[[#All],[Insurance Category Code]],2, AN_TME23[[#All],[Advanced Network/Insurance Carrier Org ID]],Q146),2), "TRUE", ROUND(S146-SUMIFS(AN_TME23[[#All],[Total Claims Excluded because of Truncation]], AN_TME23[[#All],[Insurance Category Code]],2, AN_TME23[[#All],[Advanced Network/Insurance Carrier Org ID]],Q146),2))</f>
        <v>TRUE</v>
      </c>
      <c r="Y146" s="281" t="str">
        <f>IF(T146=ROUND(SUMIFS(AN_TME23[[#All],[Count of Members with Claims Truncated]], AN_TME23[[#All],[Insurance Category Code]],2, AN_TME23[[#All],[Advanced Network/Insurance Carrier Org ID]],Q146),2), "TRUE", ROUND(T146-SUMIFS(AN_TME23[[#All],[Count of Members with Claims Truncated]], AN_TME23[[#All],[Insurance Category Code]],2, AN_TME23[[#All],[Advanced Network/Insurance Carrier Org ID]],Q146),2))</f>
        <v>TRUE</v>
      </c>
      <c r="Z146" s="282" t="str">
        <f>IF(U146=ROUND(SUMIFS(AN_TME23[[#All],[TOTAL Non-Truncated Unadjusted Claims Expenses]], AN_TME23[[#All],[Insurance Category Code]],2, AN_TME23[[#All],[Advanced Network/Insurance Carrier Org ID]],Q146),2), "TRUE", ROUND(U146-SUMIFS(AN_TME23[[#All],[TOTAL Non-Truncated Unadjusted Claims Expenses]], AN_TME23[[#All],[Insurance Category Code]],2, AN_TME23[[#All],[Advanced Network/Insurance Carrier Org ID]],Q146),2))</f>
        <v>TRUE</v>
      </c>
      <c r="AA146" s="295" t="str">
        <f>IF(V146=ROUND(SUMIFS(AN_TME23[[#All],[TOTAL Truncated Unadjusted Claims Expenses (A21 -A19)]], AN_TME23[[#All],[Insurance Category Code]],2, AN_TME23[[#All],[Advanced Network/Insurance Carrier Org ID]],Q146),2), "TRUE", ROUND(V146-SUMIFS(AN_TME23[[#All],[TOTAL Truncated Unadjusted Claims Expenses (A21 -A19)]], AN_TME23[[#All],[Insurance Category Code]],2, AN_TME23[[#All],[Advanced Network/Insurance Carrier Org ID]],Q146),2))</f>
        <v>TRUE</v>
      </c>
      <c r="AB146" s="461" t="str">
        <f t="shared" si="13"/>
        <v>TRUE</v>
      </c>
      <c r="AC146" s="282" t="b">
        <f>ROUND(SUMIFS(AN_TME23[[#All],[TOTAL Non-Truncated Unadjusted Claims Expenses]], AN_TME23[[#All],[Insurance Category Code]],2, AN_TME23[[#All],[Advanced Network/Insurance Carrier Org ID]],Q146),2)&gt;=ROUND(SUMIFS(AN_TME23[[#All],[TOTAL Truncated Unadjusted Claims Expenses (A21 -A19)]], AN_TME23[[#All],[Insurance Category Code]],2, AN_TME23[[#All],[Advanced Network/Insurance Carrier Org ID]],Q146),2)</f>
        <v>1</v>
      </c>
      <c r="AD146" s="295" t="b">
        <f>ROUND(SUMIFS(AN_TME23[[#All],[TOTAL Truncated Unadjusted Claims Expenses (A21 -A19)]], AN_TME23[[#All],[Insurance Category Code]],2, AN_TME23[[#All],[Advanced Network/Insurance Carrier Org ID]],Q146)+SUMIFS(AN_TME23[[#All],[Total Claims Excluded because of Truncation]], AN_TME23[[#All],[Insurance Category Code]],2, AN_TME23[[#All],[Advanced Network/Insurance Carrier Org ID]],Q146), 2)=ROUND(SUMIFS(AN_TME23[[#All],[TOTAL Non-Truncated Unadjusted Claims Expenses]], AN_TME23[[#All],[Insurance Category Code]],2, AN_TME23[[#All],[Advanced Network/Insurance Carrier Org ID]],Q146),2)</f>
        <v>1</v>
      </c>
      <c r="AF146" s="323" t="str">
        <f t="shared" si="12"/>
        <v>NA</v>
      </c>
    </row>
    <row r="147" spans="2:32" outlineLevel="1" x14ac:dyDescent="0.25">
      <c r="B147" s="236">
        <v>126</v>
      </c>
      <c r="C147" s="463">
        <f>ROUND(SUMIFS(Age_Sex22[[#All],[Total Member Months by Age/Sex Band]], Age_Sex22[[#All],[Advanced Network ID]], $B147, Age_Sex22[[#All],[Insurance Category Code]],2),2)</f>
        <v>0</v>
      </c>
      <c r="D147" s="268">
        <f>ROUND(SUMIFS(Age_Sex22[[#All],[Total Dollars Excluded from Spending After Applying Truncation at the Member Level]], Age_Sex22[[#All],[Advanced Network ID]], $B147, Age_Sex22[[#All],[Insurance Category Code]],2),2)</f>
        <v>0</v>
      </c>
      <c r="E147" s="229">
        <f>ROUND(SUMIFS(Age_Sex22[[#All],[Count of Members whose Spending was Truncated]], Age_Sex22[[#All],[Advanced Network ID]], $B147, Age_Sex22[[#All],[Insurance Category Code]],2),2)</f>
        <v>0</v>
      </c>
      <c r="F147" s="230">
        <f>ROUND(SUMIFS(Age_Sex22[[#All],[Total Spending before Truncation is Applied]], Age_Sex22[[#All],[Advanced Network ID]], $B147, Age_Sex22[[#All],[Insurance Category Code]],2),2)</f>
        <v>0</v>
      </c>
      <c r="G147" s="232">
        <f>ROUND(SUMIFS(Age_Sex22[[#All],[Total Spending After Applying Truncation at the Member Level]], Age_Sex22[[#All],[Advanced Network ID]], $B147, Age_Sex22[[#All],[Insurance Category Code]],2),2)</f>
        <v>0</v>
      </c>
      <c r="H147" s="416" t="str">
        <f>IF(C147=ROUND(SUMIFS(AN_TME22[[#All],[Member Months]], AN_TME22[[#All],[Insurance Category Code]],2, AN_TME22[[#All],[Advanced Network/Insurance Carrier Org ID]],B147),2), "TRUE", ROUND(C147-SUMIFS(AN_TME22[[#All],[Member Months]], AN_TME22[[#All],[Insurance Category Code]],2, AN_TME22[[#All],[Advanced Network/Insurance Carrier Org ID]],B147),2))</f>
        <v>TRUE</v>
      </c>
      <c r="I147" s="280" t="str">
        <f>IF(D147=ROUND(SUMIFS(AN_TME22[[#All],[Total Claims Excluded because of Truncation]], AN_TME22[[#All],[Insurance Category Code]],2, AN_TME22[[#All],[Advanced Network/Insurance Carrier Org ID]],B147),2), "TRUE", ROUND(D147-SUMIFS(AN_TME22[[#All],[Total Claims Excluded because of Truncation]], AN_TME22[[#All],[Insurance Category Code]],2, AN_TME22[[#All],[Advanced Network/Insurance Carrier Org ID]],B147),2))</f>
        <v>TRUE</v>
      </c>
      <c r="J147" s="281" t="str">
        <f>IF(E147=ROUND(SUMIFS(AN_TME22[[#All],[Count of Members with Claims Truncated]], AN_TME22[[#All],[Insurance Category Code]],2, AN_TME22[[#All],[Advanced Network/Insurance Carrier Org ID]],B147),2), "TRUE", ROUND(E147-SUMIFS(AN_TME22[[#All],[Count of Members with Claims Truncated]], AN_TME22[[#All],[Insurance Category Code]],2, AN_TME22[[#All],[Advanced Network/Insurance Carrier Org ID]],B147),2))</f>
        <v>TRUE</v>
      </c>
      <c r="K147" s="282" t="str">
        <f>IF(F147=ROUND(SUMIFS(AN_TME22[[#All],[TOTAL Non-Truncated Unadjusted Claims Expenses]], AN_TME22[[#All],[Insurance Category Code]],2, AN_TME22[[#All],[Advanced Network/Insurance Carrier Org ID]],B147),2), "TRUE", ROUND(F147-SUMIFS(AN_TME22[[#All],[TOTAL Non-Truncated Unadjusted Claims Expenses]], AN_TME22[[#All],[Insurance Category Code]],2, AN_TME22[[#All],[Advanced Network/Insurance Carrier Org ID]],B147),2))</f>
        <v>TRUE</v>
      </c>
      <c r="L147" s="295" t="str">
        <f>IF(G147=ROUND(SUMIFS(AN_TME22[[#All],[TOTAL Truncated Unadjusted Claims Expenses (A21 -A19)]], AN_TME22[[#All],[Insurance Category Code]],2, AN_TME22[[#All],[Advanced Network/Insurance Carrier Org ID]],B147),2), "TRUE", ROUND(G147-SUMIFS(AN_TME22[[#All],[TOTAL Truncated Unadjusted Claims Expenses (A21 -A19)]], AN_TME22[[#All],[Insurance Category Code]],2, AN_TME22[[#All],[Advanced Network/Insurance Carrier Org ID]],B147),2))</f>
        <v>TRUE</v>
      </c>
      <c r="M147" s="461" t="str">
        <f t="shared" si="11"/>
        <v>TRUE</v>
      </c>
      <c r="N147" s="282" t="b">
        <f>ROUND(SUMIFS(AN_TME22[[#All],[TOTAL Non-Truncated Unadjusted Claims Expenses]], AN_TME22[[#All],[Insurance Category Code]],2, AN_TME22[[#All],[Advanced Network/Insurance Carrier Org ID]],B147),2)&gt;=ROUND(SUMIFS(AN_TME22[[#All],[TOTAL Truncated Unadjusted Claims Expenses (A21 -A19)]], AN_TME22[[#All],[Insurance Category Code]],2, AN_TME22[[#All],[Advanced Network/Insurance Carrier Org ID]],B147), 2)</f>
        <v>1</v>
      </c>
      <c r="O147" s="295" t="b">
        <f>ROUND(SUMIFS(AN_TME22[[#All],[TOTAL Truncated Unadjusted Claims Expenses (A21 -A19)]], AN_TME22[[#All],[Insurance Category Code]],2, AN_TME22[[#All],[Advanced Network/Insurance Carrier Org ID]],B147)+SUMIFS(AN_TME22[[#All],[Total Claims Excluded because of Truncation]], AN_TME22[[#All],[Insurance Category Code]],2, AN_TME22[[#All],[Advanced Network/Insurance Carrier Org ID]],B147),2)=ROUND(SUMIFS(AN_TME22[[#All],[TOTAL Non-Truncated Unadjusted Claims Expenses]], AN_TME22[[#All],[Insurance Category Code]],2, AN_TME22[[#All],[Advanced Network/Insurance Carrier Org ID]],B147), 2)</f>
        <v>1</v>
      </c>
      <c r="Q147" s="236">
        <v>126</v>
      </c>
      <c r="R147" s="463">
        <f>ROUND(SUMIFS(Age_Sex23[[#All],[Total Member Months by Age/Sex Band]], Age_Sex23[[#All],[Advanced Network ID]], $Q147, Age_Sex23[[#All],[Insurance Category Code]],2),2)</f>
        <v>0</v>
      </c>
      <c r="S147" s="268">
        <f>ROUND(SUMIFS(Age_Sex23[[#All],[Total Dollars Excluded from Spending After Applying Truncation at the Member Level]], Age_Sex23[[#All],[Advanced Network ID]], $B147, Age_Sex23[[#All],[Insurance Category Code]],2),2)</f>
        <v>0</v>
      </c>
      <c r="T147" s="229">
        <f>ROUND(SUMIFS(Age_Sex23[[#All],[Count of Members whose Spending was Truncated]], Age_Sex23[[#All],[Advanced Network ID]], $B147, Age_Sex23[[#All],[Insurance Category Code]],2),2)</f>
        <v>0</v>
      </c>
      <c r="U147" s="230">
        <f>ROUND(SUMIFS(Age_Sex23[[#All],[Total Spending before Truncation is Applied]], Age_Sex23[[#All],[Advanced Network ID]], $B147, Age_Sex23[[#All],[Insurance Category Code]],2),2)</f>
        <v>0</v>
      </c>
      <c r="V147" s="232">
        <f>ROUND(SUMIFS(Age_Sex23[[#All],[Total Spending After Applying Truncation at the Member Level]], Age_Sex23[[#All],[Advanced Network ID]], $B147, Age_Sex23[[#All],[Insurance Category Code]],2), 2)</f>
        <v>0</v>
      </c>
      <c r="W147" s="416" t="str">
        <f>IF(R147=ROUND(SUMIFS(AN_TME23[[#All],[Member Months]], AN_TME23[[#All],[Insurance Category Code]],2, AN_TME23[[#All],[Advanced Network/Insurance Carrier Org ID]],Q147),2), "TRUE", ROUND(R147-SUMIFS(AN_TME23[[#All],[Member Months]], AN_TME23[[#All],[Insurance Category Code]],2, AN_TME23[[#All],[Advanced Network/Insurance Carrier Org ID]],Q147),2))</f>
        <v>TRUE</v>
      </c>
      <c r="X147" s="280" t="str">
        <f>IF(S147=ROUND(SUMIFS(AN_TME23[[#All],[Total Claims Excluded because of Truncation]], AN_TME23[[#All],[Insurance Category Code]],2, AN_TME23[[#All],[Advanced Network/Insurance Carrier Org ID]],Q147),2), "TRUE", ROUND(S147-SUMIFS(AN_TME23[[#All],[Total Claims Excluded because of Truncation]], AN_TME23[[#All],[Insurance Category Code]],2, AN_TME23[[#All],[Advanced Network/Insurance Carrier Org ID]],Q147),2))</f>
        <v>TRUE</v>
      </c>
      <c r="Y147" s="281" t="str">
        <f>IF(T147=ROUND(SUMIFS(AN_TME23[[#All],[Count of Members with Claims Truncated]], AN_TME23[[#All],[Insurance Category Code]],2, AN_TME23[[#All],[Advanced Network/Insurance Carrier Org ID]],Q147),2), "TRUE", ROUND(T147-SUMIFS(AN_TME23[[#All],[Count of Members with Claims Truncated]], AN_TME23[[#All],[Insurance Category Code]],2, AN_TME23[[#All],[Advanced Network/Insurance Carrier Org ID]],Q147),2))</f>
        <v>TRUE</v>
      </c>
      <c r="Z147" s="282" t="str">
        <f>IF(U147=ROUND(SUMIFS(AN_TME23[[#All],[TOTAL Non-Truncated Unadjusted Claims Expenses]], AN_TME23[[#All],[Insurance Category Code]],2, AN_TME23[[#All],[Advanced Network/Insurance Carrier Org ID]],Q147),2), "TRUE", ROUND(U147-SUMIFS(AN_TME23[[#All],[TOTAL Non-Truncated Unadjusted Claims Expenses]], AN_TME23[[#All],[Insurance Category Code]],2, AN_TME23[[#All],[Advanced Network/Insurance Carrier Org ID]],Q147),2))</f>
        <v>TRUE</v>
      </c>
      <c r="AA147" s="295" t="str">
        <f>IF(V147=ROUND(SUMIFS(AN_TME23[[#All],[TOTAL Truncated Unadjusted Claims Expenses (A21 -A19)]], AN_TME23[[#All],[Insurance Category Code]],2, AN_TME23[[#All],[Advanced Network/Insurance Carrier Org ID]],Q147),2), "TRUE", ROUND(V147-SUMIFS(AN_TME23[[#All],[TOTAL Truncated Unadjusted Claims Expenses (A21 -A19)]], AN_TME23[[#All],[Insurance Category Code]],2, AN_TME23[[#All],[Advanced Network/Insurance Carrier Org ID]],Q147),2))</f>
        <v>TRUE</v>
      </c>
      <c r="AB147" s="461" t="str">
        <f t="shared" si="13"/>
        <v>TRUE</v>
      </c>
      <c r="AC147" s="282" t="b">
        <f>ROUND(SUMIFS(AN_TME23[[#All],[TOTAL Non-Truncated Unadjusted Claims Expenses]], AN_TME23[[#All],[Insurance Category Code]],2, AN_TME23[[#All],[Advanced Network/Insurance Carrier Org ID]],Q147),2)&gt;=ROUND(SUMIFS(AN_TME23[[#All],[TOTAL Truncated Unadjusted Claims Expenses (A21 -A19)]], AN_TME23[[#All],[Insurance Category Code]],2, AN_TME23[[#All],[Advanced Network/Insurance Carrier Org ID]],Q147),2)</f>
        <v>1</v>
      </c>
      <c r="AD147" s="295" t="b">
        <f>ROUND(SUMIFS(AN_TME23[[#All],[TOTAL Truncated Unadjusted Claims Expenses (A21 -A19)]], AN_TME23[[#All],[Insurance Category Code]],2, AN_TME23[[#All],[Advanced Network/Insurance Carrier Org ID]],Q147)+SUMIFS(AN_TME23[[#All],[Total Claims Excluded because of Truncation]], AN_TME23[[#All],[Insurance Category Code]],2, AN_TME23[[#All],[Advanced Network/Insurance Carrier Org ID]],Q147), 2)=ROUND(SUMIFS(AN_TME23[[#All],[TOTAL Non-Truncated Unadjusted Claims Expenses]], AN_TME23[[#All],[Insurance Category Code]],2, AN_TME23[[#All],[Advanced Network/Insurance Carrier Org ID]],Q147),2)</f>
        <v>1</v>
      </c>
      <c r="AF147" s="323" t="str">
        <f t="shared" si="12"/>
        <v>NA</v>
      </c>
    </row>
    <row r="148" spans="2:32" outlineLevel="1" x14ac:dyDescent="0.25">
      <c r="B148" s="236">
        <v>127</v>
      </c>
      <c r="C148" s="463">
        <f>ROUND(SUMIFS(Age_Sex22[[#All],[Total Member Months by Age/Sex Band]], Age_Sex22[[#All],[Advanced Network ID]], $B148, Age_Sex22[[#All],[Insurance Category Code]],2),2)</f>
        <v>0</v>
      </c>
      <c r="D148" s="268">
        <f>ROUND(SUMIFS(Age_Sex22[[#All],[Total Dollars Excluded from Spending After Applying Truncation at the Member Level]], Age_Sex22[[#All],[Advanced Network ID]], $B148, Age_Sex22[[#All],[Insurance Category Code]],2),2)</f>
        <v>0</v>
      </c>
      <c r="E148" s="229">
        <f>ROUND(SUMIFS(Age_Sex22[[#All],[Count of Members whose Spending was Truncated]], Age_Sex22[[#All],[Advanced Network ID]], $B148, Age_Sex22[[#All],[Insurance Category Code]],2),2)</f>
        <v>0</v>
      </c>
      <c r="F148" s="230">
        <f>ROUND(SUMIFS(Age_Sex22[[#All],[Total Spending before Truncation is Applied]], Age_Sex22[[#All],[Advanced Network ID]], $B148, Age_Sex22[[#All],[Insurance Category Code]],2),2)</f>
        <v>0</v>
      </c>
      <c r="G148" s="232">
        <f>ROUND(SUMIFS(Age_Sex22[[#All],[Total Spending After Applying Truncation at the Member Level]], Age_Sex22[[#All],[Advanced Network ID]], $B148, Age_Sex22[[#All],[Insurance Category Code]],2),2)</f>
        <v>0</v>
      </c>
      <c r="H148" s="416" t="str">
        <f>IF(C148=ROUND(SUMIFS(AN_TME22[[#All],[Member Months]], AN_TME22[[#All],[Insurance Category Code]],2, AN_TME22[[#All],[Advanced Network/Insurance Carrier Org ID]],B148),2), "TRUE", ROUND(C148-SUMIFS(AN_TME22[[#All],[Member Months]], AN_TME22[[#All],[Insurance Category Code]],2, AN_TME22[[#All],[Advanced Network/Insurance Carrier Org ID]],B148),2))</f>
        <v>TRUE</v>
      </c>
      <c r="I148" s="280" t="str">
        <f>IF(D148=ROUND(SUMIFS(AN_TME22[[#All],[Total Claims Excluded because of Truncation]], AN_TME22[[#All],[Insurance Category Code]],2, AN_TME22[[#All],[Advanced Network/Insurance Carrier Org ID]],B148),2), "TRUE", ROUND(D148-SUMIFS(AN_TME22[[#All],[Total Claims Excluded because of Truncation]], AN_TME22[[#All],[Insurance Category Code]],2, AN_TME22[[#All],[Advanced Network/Insurance Carrier Org ID]],B148),2))</f>
        <v>TRUE</v>
      </c>
      <c r="J148" s="281" t="str">
        <f>IF(E148=ROUND(SUMIFS(AN_TME22[[#All],[Count of Members with Claims Truncated]], AN_TME22[[#All],[Insurance Category Code]],2, AN_TME22[[#All],[Advanced Network/Insurance Carrier Org ID]],B148),2), "TRUE", ROUND(E148-SUMIFS(AN_TME22[[#All],[Count of Members with Claims Truncated]], AN_TME22[[#All],[Insurance Category Code]],2, AN_TME22[[#All],[Advanced Network/Insurance Carrier Org ID]],B148),2))</f>
        <v>TRUE</v>
      </c>
      <c r="K148" s="282" t="str">
        <f>IF(F148=ROUND(SUMIFS(AN_TME22[[#All],[TOTAL Non-Truncated Unadjusted Claims Expenses]], AN_TME22[[#All],[Insurance Category Code]],2, AN_TME22[[#All],[Advanced Network/Insurance Carrier Org ID]],B148),2), "TRUE", ROUND(F148-SUMIFS(AN_TME22[[#All],[TOTAL Non-Truncated Unadjusted Claims Expenses]], AN_TME22[[#All],[Insurance Category Code]],2, AN_TME22[[#All],[Advanced Network/Insurance Carrier Org ID]],B148),2))</f>
        <v>TRUE</v>
      </c>
      <c r="L148" s="295" t="str">
        <f>IF(G148=ROUND(SUMIFS(AN_TME22[[#All],[TOTAL Truncated Unadjusted Claims Expenses (A21 -A19)]], AN_TME22[[#All],[Insurance Category Code]],2, AN_TME22[[#All],[Advanced Network/Insurance Carrier Org ID]],B148),2), "TRUE", ROUND(G148-SUMIFS(AN_TME22[[#All],[TOTAL Truncated Unadjusted Claims Expenses (A21 -A19)]], AN_TME22[[#All],[Insurance Category Code]],2, AN_TME22[[#All],[Advanced Network/Insurance Carrier Org ID]],B148),2))</f>
        <v>TRUE</v>
      </c>
      <c r="M148" s="461" t="str">
        <f t="shared" si="11"/>
        <v>TRUE</v>
      </c>
      <c r="N148" s="282" t="b">
        <f>ROUND(SUMIFS(AN_TME22[[#All],[TOTAL Non-Truncated Unadjusted Claims Expenses]], AN_TME22[[#All],[Insurance Category Code]],2, AN_TME22[[#All],[Advanced Network/Insurance Carrier Org ID]],B148),2)&gt;=ROUND(SUMIFS(AN_TME22[[#All],[TOTAL Truncated Unadjusted Claims Expenses (A21 -A19)]], AN_TME22[[#All],[Insurance Category Code]],2, AN_TME22[[#All],[Advanced Network/Insurance Carrier Org ID]],B148), 2)</f>
        <v>1</v>
      </c>
      <c r="O148" s="295" t="b">
        <f>ROUND(SUMIFS(AN_TME22[[#All],[TOTAL Truncated Unadjusted Claims Expenses (A21 -A19)]], AN_TME22[[#All],[Insurance Category Code]],2, AN_TME22[[#All],[Advanced Network/Insurance Carrier Org ID]],B148)+SUMIFS(AN_TME22[[#All],[Total Claims Excluded because of Truncation]], AN_TME22[[#All],[Insurance Category Code]],2, AN_TME22[[#All],[Advanced Network/Insurance Carrier Org ID]],B148),2)=ROUND(SUMIFS(AN_TME22[[#All],[TOTAL Non-Truncated Unadjusted Claims Expenses]], AN_TME22[[#All],[Insurance Category Code]],2, AN_TME22[[#All],[Advanced Network/Insurance Carrier Org ID]],B148), 2)</f>
        <v>1</v>
      </c>
      <c r="Q148" s="236">
        <v>127</v>
      </c>
      <c r="R148" s="463">
        <f>ROUND(SUMIFS(Age_Sex23[[#All],[Total Member Months by Age/Sex Band]], Age_Sex23[[#All],[Advanced Network ID]], $Q148, Age_Sex23[[#All],[Insurance Category Code]],2),2)</f>
        <v>0</v>
      </c>
      <c r="S148" s="268">
        <f>ROUND(SUMIFS(Age_Sex23[[#All],[Total Dollars Excluded from Spending After Applying Truncation at the Member Level]], Age_Sex23[[#All],[Advanced Network ID]], $B148, Age_Sex23[[#All],[Insurance Category Code]],2),2)</f>
        <v>0</v>
      </c>
      <c r="T148" s="229">
        <f>ROUND(SUMIFS(Age_Sex23[[#All],[Count of Members whose Spending was Truncated]], Age_Sex23[[#All],[Advanced Network ID]], $B148, Age_Sex23[[#All],[Insurance Category Code]],2),2)</f>
        <v>0</v>
      </c>
      <c r="U148" s="230">
        <f>ROUND(SUMIFS(Age_Sex23[[#All],[Total Spending before Truncation is Applied]], Age_Sex23[[#All],[Advanced Network ID]], $B148, Age_Sex23[[#All],[Insurance Category Code]],2),2)</f>
        <v>0</v>
      </c>
      <c r="V148" s="232">
        <f>ROUND(SUMIFS(Age_Sex23[[#All],[Total Spending After Applying Truncation at the Member Level]], Age_Sex23[[#All],[Advanced Network ID]], $B148, Age_Sex23[[#All],[Insurance Category Code]],2), 2)</f>
        <v>0</v>
      </c>
      <c r="W148" s="416" t="str">
        <f>IF(R148=ROUND(SUMIFS(AN_TME23[[#All],[Member Months]], AN_TME23[[#All],[Insurance Category Code]],2, AN_TME23[[#All],[Advanced Network/Insurance Carrier Org ID]],Q148),2), "TRUE", ROUND(R148-SUMIFS(AN_TME23[[#All],[Member Months]], AN_TME23[[#All],[Insurance Category Code]],2, AN_TME23[[#All],[Advanced Network/Insurance Carrier Org ID]],Q148),2))</f>
        <v>TRUE</v>
      </c>
      <c r="X148" s="280" t="str">
        <f>IF(S148=ROUND(SUMIFS(AN_TME23[[#All],[Total Claims Excluded because of Truncation]], AN_TME23[[#All],[Insurance Category Code]],2, AN_TME23[[#All],[Advanced Network/Insurance Carrier Org ID]],Q148),2), "TRUE", ROUND(S148-SUMIFS(AN_TME23[[#All],[Total Claims Excluded because of Truncation]], AN_TME23[[#All],[Insurance Category Code]],2, AN_TME23[[#All],[Advanced Network/Insurance Carrier Org ID]],Q148),2))</f>
        <v>TRUE</v>
      </c>
      <c r="Y148" s="281" t="str">
        <f>IF(T148=ROUND(SUMIFS(AN_TME23[[#All],[Count of Members with Claims Truncated]], AN_TME23[[#All],[Insurance Category Code]],2, AN_TME23[[#All],[Advanced Network/Insurance Carrier Org ID]],Q148),2), "TRUE", ROUND(T148-SUMIFS(AN_TME23[[#All],[Count of Members with Claims Truncated]], AN_TME23[[#All],[Insurance Category Code]],2, AN_TME23[[#All],[Advanced Network/Insurance Carrier Org ID]],Q148),2))</f>
        <v>TRUE</v>
      </c>
      <c r="Z148" s="282" t="str">
        <f>IF(U148=ROUND(SUMIFS(AN_TME23[[#All],[TOTAL Non-Truncated Unadjusted Claims Expenses]], AN_TME23[[#All],[Insurance Category Code]],2, AN_TME23[[#All],[Advanced Network/Insurance Carrier Org ID]],Q148),2), "TRUE", ROUND(U148-SUMIFS(AN_TME23[[#All],[TOTAL Non-Truncated Unadjusted Claims Expenses]], AN_TME23[[#All],[Insurance Category Code]],2, AN_TME23[[#All],[Advanced Network/Insurance Carrier Org ID]],Q148),2))</f>
        <v>TRUE</v>
      </c>
      <c r="AA148" s="295" t="str">
        <f>IF(V148=ROUND(SUMIFS(AN_TME23[[#All],[TOTAL Truncated Unadjusted Claims Expenses (A21 -A19)]], AN_TME23[[#All],[Insurance Category Code]],2, AN_TME23[[#All],[Advanced Network/Insurance Carrier Org ID]],Q148),2), "TRUE", ROUND(V148-SUMIFS(AN_TME23[[#All],[TOTAL Truncated Unadjusted Claims Expenses (A21 -A19)]], AN_TME23[[#All],[Insurance Category Code]],2, AN_TME23[[#All],[Advanced Network/Insurance Carrier Org ID]],Q148),2))</f>
        <v>TRUE</v>
      </c>
      <c r="AB148" s="461" t="str">
        <f t="shared" si="13"/>
        <v>TRUE</v>
      </c>
      <c r="AC148" s="282" t="b">
        <f>ROUND(SUMIFS(AN_TME23[[#All],[TOTAL Non-Truncated Unadjusted Claims Expenses]], AN_TME23[[#All],[Insurance Category Code]],2, AN_TME23[[#All],[Advanced Network/Insurance Carrier Org ID]],Q148),2)&gt;=ROUND(SUMIFS(AN_TME23[[#All],[TOTAL Truncated Unadjusted Claims Expenses (A21 -A19)]], AN_TME23[[#All],[Insurance Category Code]],2, AN_TME23[[#All],[Advanced Network/Insurance Carrier Org ID]],Q148),2)</f>
        <v>1</v>
      </c>
      <c r="AD148" s="295" t="b">
        <f>ROUND(SUMIFS(AN_TME23[[#All],[TOTAL Truncated Unadjusted Claims Expenses (A21 -A19)]], AN_TME23[[#All],[Insurance Category Code]],2, AN_TME23[[#All],[Advanced Network/Insurance Carrier Org ID]],Q148)+SUMIFS(AN_TME23[[#All],[Total Claims Excluded because of Truncation]], AN_TME23[[#All],[Insurance Category Code]],2, AN_TME23[[#All],[Advanced Network/Insurance Carrier Org ID]],Q148), 2)=ROUND(SUMIFS(AN_TME23[[#All],[TOTAL Non-Truncated Unadjusted Claims Expenses]], AN_TME23[[#All],[Insurance Category Code]],2, AN_TME23[[#All],[Advanced Network/Insurance Carrier Org ID]],Q148),2)</f>
        <v>1</v>
      </c>
      <c r="AF148" s="323" t="str">
        <f t="shared" si="12"/>
        <v>NA</v>
      </c>
    </row>
    <row r="149" spans="2:32" outlineLevel="1" x14ac:dyDescent="0.25">
      <c r="B149" s="236">
        <v>128</v>
      </c>
      <c r="C149" s="463">
        <f>ROUND(SUMIFS(Age_Sex22[[#All],[Total Member Months by Age/Sex Band]], Age_Sex22[[#All],[Advanced Network ID]], $B149, Age_Sex22[[#All],[Insurance Category Code]],2),2)</f>
        <v>0</v>
      </c>
      <c r="D149" s="268">
        <f>ROUND(SUMIFS(Age_Sex22[[#All],[Total Dollars Excluded from Spending After Applying Truncation at the Member Level]], Age_Sex22[[#All],[Advanced Network ID]], $B149, Age_Sex22[[#All],[Insurance Category Code]],2),2)</f>
        <v>0</v>
      </c>
      <c r="E149" s="229">
        <f>ROUND(SUMIFS(Age_Sex22[[#All],[Count of Members whose Spending was Truncated]], Age_Sex22[[#All],[Advanced Network ID]], $B149, Age_Sex22[[#All],[Insurance Category Code]],2),2)</f>
        <v>0</v>
      </c>
      <c r="F149" s="230">
        <f>ROUND(SUMIFS(Age_Sex22[[#All],[Total Spending before Truncation is Applied]], Age_Sex22[[#All],[Advanced Network ID]], $B149, Age_Sex22[[#All],[Insurance Category Code]],2),2)</f>
        <v>0</v>
      </c>
      <c r="G149" s="232">
        <f>ROUND(SUMIFS(Age_Sex22[[#All],[Total Spending After Applying Truncation at the Member Level]], Age_Sex22[[#All],[Advanced Network ID]], $B149, Age_Sex22[[#All],[Insurance Category Code]],2),2)</f>
        <v>0</v>
      </c>
      <c r="H149" s="416" t="str">
        <f>IF(C149=ROUND(SUMIFS(AN_TME22[[#All],[Member Months]], AN_TME22[[#All],[Insurance Category Code]],2, AN_TME22[[#All],[Advanced Network/Insurance Carrier Org ID]],B149),2), "TRUE", ROUND(C149-SUMIFS(AN_TME22[[#All],[Member Months]], AN_TME22[[#All],[Insurance Category Code]],2, AN_TME22[[#All],[Advanced Network/Insurance Carrier Org ID]],B149),2))</f>
        <v>TRUE</v>
      </c>
      <c r="I149" s="280" t="str">
        <f>IF(D149=ROUND(SUMIFS(AN_TME22[[#All],[Total Claims Excluded because of Truncation]], AN_TME22[[#All],[Insurance Category Code]],2, AN_TME22[[#All],[Advanced Network/Insurance Carrier Org ID]],B149),2), "TRUE", ROUND(D149-SUMIFS(AN_TME22[[#All],[Total Claims Excluded because of Truncation]], AN_TME22[[#All],[Insurance Category Code]],2, AN_TME22[[#All],[Advanced Network/Insurance Carrier Org ID]],B149),2))</f>
        <v>TRUE</v>
      </c>
      <c r="J149" s="281" t="str">
        <f>IF(E149=ROUND(SUMIFS(AN_TME22[[#All],[Count of Members with Claims Truncated]], AN_TME22[[#All],[Insurance Category Code]],2, AN_TME22[[#All],[Advanced Network/Insurance Carrier Org ID]],B149),2), "TRUE", ROUND(E149-SUMIFS(AN_TME22[[#All],[Count of Members with Claims Truncated]], AN_TME22[[#All],[Insurance Category Code]],2, AN_TME22[[#All],[Advanced Network/Insurance Carrier Org ID]],B149),2))</f>
        <v>TRUE</v>
      </c>
      <c r="K149" s="282" t="str">
        <f>IF(F149=ROUND(SUMIFS(AN_TME22[[#All],[TOTAL Non-Truncated Unadjusted Claims Expenses]], AN_TME22[[#All],[Insurance Category Code]],2, AN_TME22[[#All],[Advanced Network/Insurance Carrier Org ID]],B149),2), "TRUE", ROUND(F149-SUMIFS(AN_TME22[[#All],[TOTAL Non-Truncated Unadjusted Claims Expenses]], AN_TME22[[#All],[Insurance Category Code]],2, AN_TME22[[#All],[Advanced Network/Insurance Carrier Org ID]],B149),2))</f>
        <v>TRUE</v>
      </c>
      <c r="L149" s="295" t="str">
        <f>IF(G149=ROUND(SUMIFS(AN_TME22[[#All],[TOTAL Truncated Unadjusted Claims Expenses (A21 -A19)]], AN_TME22[[#All],[Insurance Category Code]],2, AN_TME22[[#All],[Advanced Network/Insurance Carrier Org ID]],B149),2), "TRUE", ROUND(G149-SUMIFS(AN_TME22[[#All],[TOTAL Truncated Unadjusted Claims Expenses (A21 -A19)]], AN_TME22[[#All],[Insurance Category Code]],2, AN_TME22[[#All],[Advanced Network/Insurance Carrier Org ID]],B149),2))</f>
        <v>TRUE</v>
      </c>
      <c r="M149" s="461" t="str">
        <f t="shared" si="11"/>
        <v>TRUE</v>
      </c>
      <c r="N149" s="282" t="b">
        <f>ROUND(SUMIFS(AN_TME22[[#All],[TOTAL Non-Truncated Unadjusted Claims Expenses]], AN_TME22[[#All],[Insurance Category Code]],2, AN_TME22[[#All],[Advanced Network/Insurance Carrier Org ID]],B149),2)&gt;=ROUND(SUMIFS(AN_TME22[[#All],[TOTAL Truncated Unadjusted Claims Expenses (A21 -A19)]], AN_TME22[[#All],[Insurance Category Code]],2, AN_TME22[[#All],[Advanced Network/Insurance Carrier Org ID]],B149), 2)</f>
        <v>1</v>
      </c>
      <c r="O149" s="295" t="b">
        <f>ROUND(SUMIFS(AN_TME22[[#All],[TOTAL Truncated Unadjusted Claims Expenses (A21 -A19)]], AN_TME22[[#All],[Insurance Category Code]],2, AN_TME22[[#All],[Advanced Network/Insurance Carrier Org ID]],B149)+SUMIFS(AN_TME22[[#All],[Total Claims Excluded because of Truncation]], AN_TME22[[#All],[Insurance Category Code]],2, AN_TME22[[#All],[Advanced Network/Insurance Carrier Org ID]],B149),2)=ROUND(SUMIFS(AN_TME22[[#All],[TOTAL Non-Truncated Unadjusted Claims Expenses]], AN_TME22[[#All],[Insurance Category Code]],2, AN_TME22[[#All],[Advanced Network/Insurance Carrier Org ID]],B149), 2)</f>
        <v>1</v>
      </c>
      <c r="Q149" s="236">
        <v>128</v>
      </c>
      <c r="R149" s="463">
        <f>ROUND(SUMIFS(Age_Sex23[[#All],[Total Member Months by Age/Sex Band]], Age_Sex23[[#All],[Advanced Network ID]], $Q149, Age_Sex23[[#All],[Insurance Category Code]],2),2)</f>
        <v>0</v>
      </c>
      <c r="S149" s="268">
        <f>ROUND(SUMIFS(Age_Sex23[[#All],[Total Dollars Excluded from Spending After Applying Truncation at the Member Level]], Age_Sex23[[#All],[Advanced Network ID]], $B149, Age_Sex23[[#All],[Insurance Category Code]],2),2)</f>
        <v>0</v>
      </c>
      <c r="T149" s="229">
        <f>ROUND(SUMIFS(Age_Sex23[[#All],[Count of Members whose Spending was Truncated]], Age_Sex23[[#All],[Advanced Network ID]], $B149, Age_Sex23[[#All],[Insurance Category Code]],2),2)</f>
        <v>0</v>
      </c>
      <c r="U149" s="230">
        <f>ROUND(SUMIFS(Age_Sex23[[#All],[Total Spending before Truncation is Applied]], Age_Sex23[[#All],[Advanced Network ID]], $B149, Age_Sex23[[#All],[Insurance Category Code]],2),2)</f>
        <v>0</v>
      </c>
      <c r="V149" s="232">
        <f>ROUND(SUMIFS(Age_Sex23[[#All],[Total Spending After Applying Truncation at the Member Level]], Age_Sex23[[#All],[Advanced Network ID]], $B149, Age_Sex23[[#All],[Insurance Category Code]],2), 2)</f>
        <v>0</v>
      </c>
      <c r="W149" s="416" t="str">
        <f>IF(R149=ROUND(SUMIFS(AN_TME23[[#All],[Member Months]], AN_TME23[[#All],[Insurance Category Code]],2, AN_TME23[[#All],[Advanced Network/Insurance Carrier Org ID]],Q149),2), "TRUE", ROUND(R149-SUMIFS(AN_TME23[[#All],[Member Months]], AN_TME23[[#All],[Insurance Category Code]],2, AN_TME23[[#All],[Advanced Network/Insurance Carrier Org ID]],Q149),2))</f>
        <v>TRUE</v>
      </c>
      <c r="X149" s="280" t="str">
        <f>IF(S149=ROUND(SUMIFS(AN_TME23[[#All],[Total Claims Excluded because of Truncation]], AN_TME23[[#All],[Insurance Category Code]],2, AN_TME23[[#All],[Advanced Network/Insurance Carrier Org ID]],Q149),2), "TRUE", ROUND(S149-SUMIFS(AN_TME23[[#All],[Total Claims Excluded because of Truncation]], AN_TME23[[#All],[Insurance Category Code]],2, AN_TME23[[#All],[Advanced Network/Insurance Carrier Org ID]],Q149),2))</f>
        <v>TRUE</v>
      </c>
      <c r="Y149" s="281" t="str">
        <f>IF(T149=ROUND(SUMIFS(AN_TME23[[#All],[Count of Members with Claims Truncated]], AN_TME23[[#All],[Insurance Category Code]],2, AN_TME23[[#All],[Advanced Network/Insurance Carrier Org ID]],Q149),2), "TRUE", ROUND(T149-SUMIFS(AN_TME23[[#All],[Count of Members with Claims Truncated]], AN_TME23[[#All],[Insurance Category Code]],2, AN_TME23[[#All],[Advanced Network/Insurance Carrier Org ID]],Q149),2))</f>
        <v>TRUE</v>
      </c>
      <c r="Z149" s="282" t="str">
        <f>IF(U149=ROUND(SUMIFS(AN_TME23[[#All],[TOTAL Non-Truncated Unadjusted Claims Expenses]], AN_TME23[[#All],[Insurance Category Code]],2, AN_TME23[[#All],[Advanced Network/Insurance Carrier Org ID]],Q149),2), "TRUE", ROUND(U149-SUMIFS(AN_TME23[[#All],[TOTAL Non-Truncated Unadjusted Claims Expenses]], AN_TME23[[#All],[Insurance Category Code]],2, AN_TME23[[#All],[Advanced Network/Insurance Carrier Org ID]],Q149),2))</f>
        <v>TRUE</v>
      </c>
      <c r="AA149" s="295" t="str">
        <f>IF(V149=ROUND(SUMIFS(AN_TME23[[#All],[TOTAL Truncated Unadjusted Claims Expenses (A21 -A19)]], AN_TME23[[#All],[Insurance Category Code]],2, AN_TME23[[#All],[Advanced Network/Insurance Carrier Org ID]],Q149),2), "TRUE", ROUND(V149-SUMIFS(AN_TME23[[#All],[TOTAL Truncated Unadjusted Claims Expenses (A21 -A19)]], AN_TME23[[#All],[Insurance Category Code]],2, AN_TME23[[#All],[Advanced Network/Insurance Carrier Org ID]],Q149),2))</f>
        <v>TRUE</v>
      </c>
      <c r="AB149" s="461" t="str">
        <f t="shared" si="13"/>
        <v>TRUE</v>
      </c>
      <c r="AC149" s="282" t="b">
        <f>ROUND(SUMIFS(AN_TME23[[#All],[TOTAL Non-Truncated Unadjusted Claims Expenses]], AN_TME23[[#All],[Insurance Category Code]],2, AN_TME23[[#All],[Advanced Network/Insurance Carrier Org ID]],Q149),2)&gt;=ROUND(SUMIFS(AN_TME23[[#All],[TOTAL Truncated Unadjusted Claims Expenses (A21 -A19)]], AN_TME23[[#All],[Insurance Category Code]],2, AN_TME23[[#All],[Advanced Network/Insurance Carrier Org ID]],Q149),2)</f>
        <v>1</v>
      </c>
      <c r="AD149" s="295" t="b">
        <f>ROUND(SUMIFS(AN_TME23[[#All],[TOTAL Truncated Unadjusted Claims Expenses (A21 -A19)]], AN_TME23[[#All],[Insurance Category Code]],2, AN_TME23[[#All],[Advanced Network/Insurance Carrier Org ID]],Q149)+SUMIFS(AN_TME23[[#All],[Total Claims Excluded because of Truncation]], AN_TME23[[#All],[Insurance Category Code]],2, AN_TME23[[#All],[Advanced Network/Insurance Carrier Org ID]],Q149), 2)=ROUND(SUMIFS(AN_TME23[[#All],[TOTAL Non-Truncated Unadjusted Claims Expenses]], AN_TME23[[#All],[Insurance Category Code]],2, AN_TME23[[#All],[Advanced Network/Insurance Carrier Org ID]],Q149),2)</f>
        <v>1</v>
      </c>
      <c r="AF149" s="323" t="str">
        <f t="shared" si="12"/>
        <v>NA</v>
      </c>
    </row>
    <row r="150" spans="2:32" outlineLevel="1" x14ac:dyDescent="0.25">
      <c r="B150" s="236">
        <v>129</v>
      </c>
      <c r="C150" s="463">
        <f>ROUND(SUMIFS(Age_Sex22[[#All],[Total Member Months by Age/Sex Band]], Age_Sex22[[#All],[Advanced Network ID]], $B150, Age_Sex22[[#All],[Insurance Category Code]],2),2)</f>
        <v>0</v>
      </c>
      <c r="D150" s="268">
        <f>ROUND(SUMIFS(Age_Sex22[[#All],[Total Dollars Excluded from Spending After Applying Truncation at the Member Level]], Age_Sex22[[#All],[Advanced Network ID]], $B150, Age_Sex22[[#All],[Insurance Category Code]],2),2)</f>
        <v>0</v>
      </c>
      <c r="E150" s="229">
        <f>ROUND(SUMIFS(Age_Sex22[[#All],[Count of Members whose Spending was Truncated]], Age_Sex22[[#All],[Advanced Network ID]], $B150, Age_Sex22[[#All],[Insurance Category Code]],2),2)</f>
        <v>0</v>
      </c>
      <c r="F150" s="230">
        <f>ROUND(SUMIFS(Age_Sex22[[#All],[Total Spending before Truncation is Applied]], Age_Sex22[[#All],[Advanced Network ID]], $B150, Age_Sex22[[#All],[Insurance Category Code]],2),2)</f>
        <v>0</v>
      </c>
      <c r="G150" s="232">
        <f>ROUND(SUMIFS(Age_Sex22[[#All],[Total Spending After Applying Truncation at the Member Level]], Age_Sex22[[#All],[Advanced Network ID]], $B150, Age_Sex22[[#All],[Insurance Category Code]],2),2)</f>
        <v>0</v>
      </c>
      <c r="H150" s="416" t="str">
        <f>IF(C150=ROUND(SUMIFS(AN_TME22[[#All],[Member Months]], AN_TME22[[#All],[Insurance Category Code]],2, AN_TME22[[#All],[Advanced Network/Insurance Carrier Org ID]],B150),2), "TRUE", ROUND(C150-SUMIFS(AN_TME22[[#All],[Member Months]], AN_TME22[[#All],[Insurance Category Code]],2, AN_TME22[[#All],[Advanced Network/Insurance Carrier Org ID]],B150),2))</f>
        <v>TRUE</v>
      </c>
      <c r="I150" s="280" t="str">
        <f>IF(D150=ROUND(SUMIFS(AN_TME22[[#All],[Total Claims Excluded because of Truncation]], AN_TME22[[#All],[Insurance Category Code]],2, AN_TME22[[#All],[Advanced Network/Insurance Carrier Org ID]],B150),2), "TRUE", ROUND(D150-SUMIFS(AN_TME22[[#All],[Total Claims Excluded because of Truncation]], AN_TME22[[#All],[Insurance Category Code]],2, AN_TME22[[#All],[Advanced Network/Insurance Carrier Org ID]],B150),2))</f>
        <v>TRUE</v>
      </c>
      <c r="J150" s="281" t="str">
        <f>IF(E150=ROUND(SUMIFS(AN_TME22[[#All],[Count of Members with Claims Truncated]], AN_TME22[[#All],[Insurance Category Code]],2, AN_TME22[[#All],[Advanced Network/Insurance Carrier Org ID]],B150),2), "TRUE", ROUND(E150-SUMIFS(AN_TME22[[#All],[Count of Members with Claims Truncated]], AN_TME22[[#All],[Insurance Category Code]],2, AN_TME22[[#All],[Advanced Network/Insurance Carrier Org ID]],B150),2))</f>
        <v>TRUE</v>
      </c>
      <c r="K150" s="282" t="str">
        <f>IF(F150=ROUND(SUMIFS(AN_TME22[[#All],[TOTAL Non-Truncated Unadjusted Claims Expenses]], AN_TME22[[#All],[Insurance Category Code]],2, AN_TME22[[#All],[Advanced Network/Insurance Carrier Org ID]],B150),2), "TRUE", ROUND(F150-SUMIFS(AN_TME22[[#All],[TOTAL Non-Truncated Unadjusted Claims Expenses]], AN_TME22[[#All],[Insurance Category Code]],2, AN_TME22[[#All],[Advanced Network/Insurance Carrier Org ID]],B150),2))</f>
        <v>TRUE</v>
      </c>
      <c r="L150" s="295" t="str">
        <f>IF(G150=ROUND(SUMIFS(AN_TME22[[#All],[TOTAL Truncated Unadjusted Claims Expenses (A21 -A19)]], AN_TME22[[#All],[Insurance Category Code]],2, AN_TME22[[#All],[Advanced Network/Insurance Carrier Org ID]],B150),2), "TRUE", ROUND(G150-SUMIFS(AN_TME22[[#All],[TOTAL Truncated Unadjusted Claims Expenses (A21 -A19)]], AN_TME22[[#All],[Insurance Category Code]],2, AN_TME22[[#All],[Advanced Network/Insurance Carrier Org ID]],B150),2))</f>
        <v>TRUE</v>
      </c>
      <c r="M150" s="461" t="str">
        <f t="shared" si="11"/>
        <v>TRUE</v>
      </c>
      <c r="N150" s="282" t="b">
        <f>ROUND(SUMIFS(AN_TME22[[#All],[TOTAL Non-Truncated Unadjusted Claims Expenses]], AN_TME22[[#All],[Insurance Category Code]],2, AN_TME22[[#All],[Advanced Network/Insurance Carrier Org ID]],B150),2)&gt;=ROUND(SUMIFS(AN_TME22[[#All],[TOTAL Truncated Unadjusted Claims Expenses (A21 -A19)]], AN_TME22[[#All],[Insurance Category Code]],2, AN_TME22[[#All],[Advanced Network/Insurance Carrier Org ID]],B150), 2)</f>
        <v>1</v>
      </c>
      <c r="O150" s="295" t="b">
        <f>ROUND(SUMIFS(AN_TME22[[#All],[TOTAL Truncated Unadjusted Claims Expenses (A21 -A19)]], AN_TME22[[#All],[Insurance Category Code]],2, AN_TME22[[#All],[Advanced Network/Insurance Carrier Org ID]],B150)+SUMIFS(AN_TME22[[#All],[Total Claims Excluded because of Truncation]], AN_TME22[[#All],[Insurance Category Code]],2, AN_TME22[[#All],[Advanced Network/Insurance Carrier Org ID]],B150),2)=ROUND(SUMIFS(AN_TME22[[#All],[TOTAL Non-Truncated Unadjusted Claims Expenses]], AN_TME22[[#All],[Insurance Category Code]],2, AN_TME22[[#All],[Advanced Network/Insurance Carrier Org ID]],B150), 2)</f>
        <v>1</v>
      </c>
      <c r="Q150" s="236">
        <v>129</v>
      </c>
      <c r="R150" s="463">
        <f>ROUND(SUMIFS(Age_Sex23[[#All],[Total Member Months by Age/Sex Band]], Age_Sex23[[#All],[Advanced Network ID]], $Q150, Age_Sex23[[#All],[Insurance Category Code]],2),2)</f>
        <v>0</v>
      </c>
      <c r="S150" s="268">
        <f>ROUND(SUMIFS(Age_Sex23[[#All],[Total Dollars Excluded from Spending After Applying Truncation at the Member Level]], Age_Sex23[[#All],[Advanced Network ID]], $B150, Age_Sex23[[#All],[Insurance Category Code]],2),2)</f>
        <v>0</v>
      </c>
      <c r="T150" s="229">
        <f>ROUND(SUMIFS(Age_Sex23[[#All],[Count of Members whose Spending was Truncated]], Age_Sex23[[#All],[Advanced Network ID]], $B150, Age_Sex23[[#All],[Insurance Category Code]],2),2)</f>
        <v>0</v>
      </c>
      <c r="U150" s="230">
        <f>ROUND(SUMIFS(Age_Sex23[[#All],[Total Spending before Truncation is Applied]], Age_Sex23[[#All],[Advanced Network ID]], $B150, Age_Sex23[[#All],[Insurance Category Code]],2),2)</f>
        <v>0</v>
      </c>
      <c r="V150" s="232">
        <f>ROUND(SUMIFS(Age_Sex23[[#All],[Total Spending After Applying Truncation at the Member Level]], Age_Sex23[[#All],[Advanced Network ID]], $B150, Age_Sex23[[#All],[Insurance Category Code]],2), 2)</f>
        <v>0</v>
      </c>
      <c r="W150" s="416" t="str">
        <f>IF(R150=ROUND(SUMIFS(AN_TME23[[#All],[Member Months]], AN_TME23[[#All],[Insurance Category Code]],2, AN_TME23[[#All],[Advanced Network/Insurance Carrier Org ID]],Q150),2), "TRUE", ROUND(R150-SUMIFS(AN_TME23[[#All],[Member Months]], AN_TME23[[#All],[Insurance Category Code]],2, AN_TME23[[#All],[Advanced Network/Insurance Carrier Org ID]],Q150),2))</f>
        <v>TRUE</v>
      </c>
      <c r="X150" s="280" t="str">
        <f>IF(S150=ROUND(SUMIFS(AN_TME23[[#All],[Total Claims Excluded because of Truncation]], AN_TME23[[#All],[Insurance Category Code]],2, AN_TME23[[#All],[Advanced Network/Insurance Carrier Org ID]],Q150),2), "TRUE", ROUND(S150-SUMIFS(AN_TME23[[#All],[Total Claims Excluded because of Truncation]], AN_TME23[[#All],[Insurance Category Code]],2, AN_TME23[[#All],[Advanced Network/Insurance Carrier Org ID]],Q150),2))</f>
        <v>TRUE</v>
      </c>
      <c r="Y150" s="281" t="str">
        <f>IF(T150=ROUND(SUMIFS(AN_TME23[[#All],[Count of Members with Claims Truncated]], AN_TME23[[#All],[Insurance Category Code]],2, AN_TME23[[#All],[Advanced Network/Insurance Carrier Org ID]],Q150),2), "TRUE", ROUND(T150-SUMIFS(AN_TME23[[#All],[Count of Members with Claims Truncated]], AN_TME23[[#All],[Insurance Category Code]],2, AN_TME23[[#All],[Advanced Network/Insurance Carrier Org ID]],Q150),2))</f>
        <v>TRUE</v>
      </c>
      <c r="Z150" s="282" t="str">
        <f>IF(U150=ROUND(SUMIFS(AN_TME23[[#All],[TOTAL Non-Truncated Unadjusted Claims Expenses]], AN_TME23[[#All],[Insurance Category Code]],2, AN_TME23[[#All],[Advanced Network/Insurance Carrier Org ID]],Q150),2), "TRUE", ROUND(U150-SUMIFS(AN_TME23[[#All],[TOTAL Non-Truncated Unadjusted Claims Expenses]], AN_TME23[[#All],[Insurance Category Code]],2, AN_TME23[[#All],[Advanced Network/Insurance Carrier Org ID]],Q150),2))</f>
        <v>TRUE</v>
      </c>
      <c r="AA150" s="295" t="str">
        <f>IF(V150=ROUND(SUMIFS(AN_TME23[[#All],[TOTAL Truncated Unadjusted Claims Expenses (A21 -A19)]], AN_TME23[[#All],[Insurance Category Code]],2, AN_TME23[[#All],[Advanced Network/Insurance Carrier Org ID]],Q150),2), "TRUE", ROUND(V150-SUMIFS(AN_TME23[[#All],[TOTAL Truncated Unadjusted Claims Expenses (A21 -A19)]], AN_TME23[[#All],[Insurance Category Code]],2, AN_TME23[[#All],[Advanced Network/Insurance Carrier Org ID]],Q150),2))</f>
        <v>TRUE</v>
      </c>
      <c r="AB150" s="461" t="str">
        <f t="shared" si="13"/>
        <v>TRUE</v>
      </c>
      <c r="AC150" s="282" t="b">
        <f>ROUND(SUMIFS(AN_TME23[[#All],[TOTAL Non-Truncated Unadjusted Claims Expenses]], AN_TME23[[#All],[Insurance Category Code]],2, AN_TME23[[#All],[Advanced Network/Insurance Carrier Org ID]],Q150),2)&gt;=ROUND(SUMIFS(AN_TME23[[#All],[TOTAL Truncated Unadjusted Claims Expenses (A21 -A19)]], AN_TME23[[#All],[Insurance Category Code]],2, AN_TME23[[#All],[Advanced Network/Insurance Carrier Org ID]],Q150),2)</f>
        <v>1</v>
      </c>
      <c r="AD150" s="295" t="b">
        <f>ROUND(SUMIFS(AN_TME23[[#All],[TOTAL Truncated Unadjusted Claims Expenses (A21 -A19)]], AN_TME23[[#All],[Insurance Category Code]],2, AN_TME23[[#All],[Advanced Network/Insurance Carrier Org ID]],Q150)+SUMIFS(AN_TME23[[#All],[Total Claims Excluded because of Truncation]], AN_TME23[[#All],[Insurance Category Code]],2, AN_TME23[[#All],[Advanced Network/Insurance Carrier Org ID]],Q150), 2)=ROUND(SUMIFS(AN_TME23[[#All],[TOTAL Non-Truncated Unadjusted Claims Expenses]], AN_TME23[[#All],[Insurance Category Code]],2, AN_TME23[[#All],[Advanced Network/Insurance Carrier Org ID]],Q150),2)</f>
        <v>1</v>
      </c>
      <c r="AF150" s="323" t="str">
        <f t="shared" si="12"/>
        <v>NA</v>
      </c>
    </row>
    <row r="151" spans="2:32" outlineLevel="1" x14ac:dyDescent="0.25">
      <c r="B151" s="236">
        <v>130</v>
      </c>
      <c r="C151" s="463">
        <f>ROUND(SUMIFS(Age_Sex22[[#All],[Total Member Months by Age/Sex Band]], Age_Sex22[[#All],[Advanced Network ID]], $B151, Age_Sex22[[#All],[Insurance Category Code]],2),2)</f>
        <v>0</v>
      </c>
      <c r="D151" s="268">
        <f>ROUND(SUMIFS(Age_Sex22[[#All],[Total Dollars Excluded from Spending After Applying Truncation at the Member Level]], Age_Sex22[[#All],[Advanced Network ID]], $B151, Age_Sex22[[#All],[Insurance Category Code]],2),2)</f>
        <v>0</v>
      </c>
      <c r="E151" s="229">
        <f>ROUND(SUMIFS(Age_Sex22[[#All],[Count of Members whose Spending was Truncated]], Age_Sex22[[#All],[Advanced Network ID]], $B151, Age_Sex22[[#All],[Insurance Category Code]],2),2)</f>
        <v>0</v>
      </c>
      <c r="F151" s="230">
        <f>ROUND(SUMIFS(Age_Sex22[[#All],[Total Spending before Truncation is Applied]], Age_Sex22[[#All],[Advanced Network ID]], $B151, Age_Sex22[[#All],[Insurance Category Code]],2),2)</f>
        <v>0</v>
      </c>
      <c r="G151" s="232">
        <f>ROUND(SUMIFS(Age_Sex22[[#All],[Total Spending After Applying Truncation at the Member Level]], Age_Sex22[[#All],[Advanced Network ID]], $B151, Age_Sex22[[#All],[Insurance Category Code]],2),2)</f>
        <v>0</v>
      </c>
      <c r="H151" s="416" t="str">
        <f>IF(C151=ROUND(SUMIFS(AN_TME22[[#All],[Member Months]], AN_TME22[[#All],[Insurance Category Code]],2, AN_TME22[[#All],[Advanced Network/Insurance Carrier Org ID]],B151),2), "TRUE", ROUND(C151-SUMIFS(AN_TME22[[#All],[Member Months]], AN_TME22[[#All],[Insurance Category Code]],2, AN_TME22[[#All],[Advanced Network/Insurance Carrier Org ID]],B151),2))</f>
        <v>TRUE</v>
      </c>
      <c r="I151" s="280" t="str">
        <f>IF(D151=ROUND(SUMIFS(AN_TME22[[#All],[Total Claims Excluded because of Truncation]], AN_TME22[[#All],[Insurance Category Code]],2, AN_TME22[[#All],[Advanced Network/Insurance Carrier Org ID]],B151),2), "TRUE", ROUND(D151-SUMIFS(AN_TME22[[#All],[Total Claims Excluded because of Truncation]], AN_TME22[[#All],[Insurance Category Code]],2, AN_TME22[[#All],[Advanced Network/Insurance Carrier Org ID]],B151),2))</f>
        <v>TRUE</v>
      </c>
      <c r="J151" s="281" t="str">
        <f>IF(E151=ROUND(SUMIFS(AN_TME22[[#All],[Count of Members with Claims Truncated]], AN_TME22[[#All],[Insurance Category Code]],2, AN_TME22[[#All],[Advanced Network/Insurance Carrier Org ID]],B151),2), "TRUE", ROUND(E151-SUMIFS(AN_TME22[[#All],[Count of Members with Claims Truncated]], AN_TME22[[#All],[Insurance Category Code]],2, AN_TME22[[#All],[Advanced Network/Insurance Carrier Org ID]],B151),2))</f>
        <v>TRUE</v>
      </c>
      <c r="K151" s="282" t="str">
        <f>IF(F151=ROUND(SUMIFS(AN_TME22[[#All],[TOTAL Non-Truncated Unadjusted Claims Expenses]], AN_TME22[[#All],[Insurance Category Code]],2, AN_TME22[[#All],[Advanced Network/Insurance Carrier Org ID]],B151),2), "TRUE", ROUND(F151-SUMIFS(AN_TME22[[#All],[TOTAL Non-Truncated Unadjusted Claims Expenses]], AN_TME22[[#All],[Insurance Category Code]],2, AN_TME22[[#All],[Advanced Network/Insurance Carrier Org ID]],B151),2))</f>
        <v>TRUE</v>
      </c>
      <c r="L151" s="295" t="str">
        <f>IF(G151=ROUND(SUMIFS(AN_TME22[[#All],[TOTAL Truncated Unadjusted Claims Expenses (A21 -A19)]], AN_TME22[[#All],[Insurance Category Code]],2, AN_TME22[[#All],[Advanced Network/Insurance Carrier Org ID]],B151),2), "TRUE", ROUND(G151-SUMIFS(AN_TME22[[#All],[TOTAL Truncated Unadjusted Claims Expenses (A21 -A19)]], AN_TME22[[#All],[Insurance Category Code]],2, AN_TME22[[#All],[Advanced Network/Insurance Carrier Org ID]],B151),2))</f>
        <v>TRUE</v>
      </c>
      <c r="M151" s="461" t="str">
        <f t="shared" si="11"/>
        <v>TRUE</v>
      </c>
      <c r="N151" s="282" t="b">
        <f>ROUND(SUMIFS(AN_TME22[[#All],[TOTAL Non-Truncated Unadjusted Claims Expenses]], AN_TME22[[#All],[Insurance Category Code]],2, AN_TME22[[#All],[Advanced Network/Insurance Carrier Org ID]],B151),2)&gt;=ROUND(SUMIFS(AN_TME22[[#All],[TOTAL Truncated Unadjusted Claims Expenses (A21 -A19)]], AN_TME22[[#All],[Insurance Category Code]],2, AN_TME22[[#All],[Advanced Network/Insurance Carrier Org ID]],B151), 2)</f>
        <v>1</v>
      </c>
      <c r="O151" s="295" t="b">
        <f>ROUND(SUMIFS(AN_TME22[[#All],[TOTAL Truncated Unadjusted Claims Expenses (A21 -A19)]], AN_TME22[[#All],[Insurance Category Code]],2, AN_TME22[[#All],[Advanced Network/Insurance Carrier Org ID]],B151)+SUMIFS(AN_TME22[[#All],[Total Claims Excluded because of Truncation]], AN_TME22[[#All],[Insurance Category Code]],2, AN_TME22[[#All],[Advanced Network/Insurance Carrier Org ID]],B151),2)=ROUND(SUMIFS(AN_TME22[[#All],[TOTAL Non-Truncated Unadjusted Claims Expenses]], AN_TME22[[#All],[Insurance Category Code]],2, AN_TME22[[#All],[Advanced Network/Insurance Carrier Org ID]],B151), 2)</f>
        <v>1</v>
      </c>
      <c r="Q151" s="236">
        <v>130</v>
      </c>
      <c r="R151" s="463">
        <f>ROUND(SUMIFS(Age_Sex23[[#All],[Total Member Months by Age/Sex Band]], Age_Sex23[[#All],[Advanced Network ID]], $Q151, Age_Sex23[[#All],[Insurance Category Code]],2),2)</f>
        <v>0</v>
      </c>
      <c r="S151" s="268">
        <f>ROUND(SUMIFS(Age_Sex23[[#All],[Total Dollars Excluded from Spending After Applying Truncation at the Member Level]], Age_Sex23[[#All],[Advanced Network ID]], $B151, Age_Sex23[[#All],[Insurance Category Code]],2),2)</f>
        <v>0</v>
      </c>
      <c r="T151" s="229">
        <f>ROUND(SUMIFS(Age_Sex23[[#All],[Count of Members whose Spending was Truncated]], Age_Sex23[[#All],[Advanced Network ID]], $B151, Age_Sex23[[#All],[Insurance Category Code]],2),2)</f>
        <v>0</v>
      </c>
      <c r="U151" s="230">
        <f>ROUND(SUMIFS(Age_Sex23[[#All],[Total Spending before Truncation is Applied]], Age_Sex23[[#All],[Advanced Network ID]], $B151, Age_Sex23[[#All],[Insurance Category Code]],2),2)</f>
        <v>0</v>
      </c>
      <c r="V151" s="232">
        <f>ROUND(SUMIFS(Age_Sex23[[#All],[Total Spending After Applying Truncation at the Member Level]], Age_Sex23[[#All],[Advanced Network ID]], $B151, Age_Sex23[[#All],[Insurance Category Code]],2), 2)</f>
        <v>0</v>
      </c>
      <c r="W151" s="416" t="str">
        <f>IF(R151=ROUND(SUMIFS(AN_TME23[[#All],[Member Months]], AN_TME23[[#All],[Insurance Category Code]],2, AN_TME23[[#All],[Advanced Network/Insurance Carrier Org ID]],Q151),2), "TRUE", ROUND(R151-SUMIFS(AN_TME23[[#All],[Member Months]], AN_TME23[[#All],[Insurance Category Code]],2, AN_TME23[[#All],[Advanced Network/Insurance Carrier Org ID]],Q151),2))</f>
        <v>TRUE</v>
      </c>
      <c r="X151" s="280" t="str">
        <f>IF(S151=ROUND(SUMIFS(AN_TME23[[#All],[Total Claims Excluded because of Truncation]], AN_TME23[[#All],[Insurance Category Code]],2, AN_TME23[[#All],[Advanced Network/Insurance Carrier Org ID]],Q151),2), "TRUE", ROUND(S151-SUMIFS(AN_TME23[[#All],[Total Claims Excluded because of Truncation]], AN_TME23[[#All],[Insurance Category Code]],2, AN_TME23[[#All],[Advanced Network/Insurance Carrier Org ID]],Q151),2))</f>
        <v>TRUE</v>
      </c>
      <c r="Y151" s="281" t="str">
        <f>IF(T151=ROUND(SUMIFS(AN_TME23[[#All],[Count of Members with Claims Truncated]], AN_TME23[[#All],[Insurance Category Code]],2, AN_TME23[[#All],[Advanced Network/Insurance Carrier Org ID]],Q151),2), "TRUE", ROUND(T151-SUMIFS(AN_TME23[[#All],[Count of Members with Claims Truncated]], AN_TME23[[#All],[Insurance Category Code]],2, AN_TME23[[#All],[Advanced Network/Insurance Carrier Org ID]],Q151),2))</f>
        <v>TRUE</v>
      </c>
      <c r="Z151" s="282" t="str">
        <f>IF(U151=ROUND(SUMIFS(AN_TME23[[#All],[TOTAL Non-Truncated Unadjusted Claims Expenses]], AN_TME23[[#All],[Insurance Category Code]],2, AN_TME23[[#All],[Advanced Network/Insurance Carrier Org ID]],Q151),2), "TRUE", ROUND(U151-SUMIFS(AN_TME23[[#All],[TOTAL Non-Truncated Unadjusted Claims Expenses]], AN_TME23[[#All],[Insurance Category Code]],2, AN_TME23[[#All],[Advanced Network/Insurance Carrier Org ID]],Q151),2))</f>
        <v>TRUE</v>
      </c>
      <c r="AA151" s="295" t="str">
        <f>IF(V151=ROUND(SUMIFS(AN_TME23[[#All],[TOTAL Truncated Unadjusted Claims Expenses (A21 -A19)]], AN_TME23[[#All],[Insurance Category Code]],2, AN_TME23[[#All],[Advanced Network/Insurance Carrier Org ID]],Q151),2), "TRUE", ROUND(V151-SUMIFS(AN_TME23[[#All],[TOTAL Truncated Unadjusted Claims Expenses (A21 -A19)]], AN_TME23[[#All],[Insurance Category Code]],2, AN_TME23[[#All],[Advanced Network/Insurance Carrier Org ID]],Q151),2))</f>
        <v>TRUE</v>
      </c>
      <c r="AB151" s="461" t="str">
        <f t="shared" si="13"/>
        <v>TRUE</v>
      </c>
      <c r="AC151" s="282" t="b">
        <f>ROUND(SUMIFS(AN_TME23[[#All],[TOTAL Non-Truncated Unadjusted Claims Expenses]], AN_TME23[[#All],[Insurance Category Code]],2, AN_TME23[[#All],[Advanced Network/Insurance Carrier Org ID]],Q151),2)&gt;=ROUND(SUMIFS(AN_TME23[[#All],[TOTAL Truncated Unadjusted Claims Expenses (A21 -A19)]], AN_TME23[[#All],[Insurance Category Code]],2, AN_TME23[[#All],[Advanced Network/Insurance Carrier Org ID]],Q151),2)</f>
        <v>1</v>
      </c>
      <c r="AD151" s="295" t="b">
        <f>ROUND(SUMIFS(AN_TME23[[#All],[TOTAL Truncated Unadjusted Claims Expenses (A21 -A19)]], AN_TME23[[#All],[Insurance Category Code]],2, AN_TME23[[#All],[Advanced Network/Insurance Carrier Org ID]],Q151)+SUMIFS(AN_TME23[[#All],[Total Claims Excluded because of Truncation]], AN_TME23[[#All],[Insurance Category Code]],2, AN_TME23[[#All],[Advanced Network/Insurance Carrier Org ID]],Q151), 2)=ROUND(SUMIFS(AN_TME23[[#All],[TOTAL Non-Truncated Unadjusted Claims Expenses]], AN_TME23[[#All],[Insurance Category Code]],2, AN_TME23[[#All],[Advanced Network/Insurance Carrier Org ID]],Q151),2)</f>
        <v>1</v>
      </c>
      <c r="AF151" s="323" t="str">
        <f t="shared" si="12"/>
        <v>NA</v>
      </c>
    </row>
    <row r="152" spans="2:32" outlineLevel="1" x14ac:dyDescent="0.25">
      <c r="B152" s="236">
        <v>131</v>
      </c>
      <c r="C152" s="463">
        <f>ROUND(SUMIFS(Age_Sex22[[#All],[Total Member Months by Age/Sex Band]], Age_Sex22[[#All],[Advanced Network ID]], $B152, Age_Sex22[[#All],[Insurance Category Code]],2),2)</f>
        <v>0</v>
      </c>
      <c r="D152" s="268">
        <f>ROUND(SUMIFS(Age_Sex22[[#All],[Total Dollars Excluded from Spending After Applying Truncation at the Member Level]], Age_Sex22[[#All],[Advanced Network ID]], $B152, Age_Sex22[[#All],[Insurance Category Code]],2),2)</f>
        <v>0</v>
      </c>
      <c r="E152" s="229">
        <f>ROUND(SUMIFS(Age_Sex22[[#All],[Count of Members whose Spending was Truncated]], Age_Sex22[[#All],[Advanced Network ID]], $B152, Age_Sex22[[#All],[Insurance Category Code]],2),2)</f>
        <v>0</v>
      </c>
      <c r="F152" s="230">
        <f>ROUND(SUMIFS(Age_Sex22[[#All],[Total Spending before Truncation is Applied]], Age_Sex22[[#All],[Advanced Network ID]], $B152, Age_Sex22[[#All],[Insurance Category Code]],2),2)</f>
        <v>0</v>
      </c>
      <c r="G152" s="232">
        <f>ROUND(SUMIFS(Age_Sex22[[#All],[Total Spending After Applying Truncation at the Member Level]], Age_Sex22[[#All],[Advanced Network ID]], $B152, Age_Sex22[[#All],[Insurance Category Code]],2),2)</f>
        <v>0</v>
      </c>
      <c r="H152" s="416" t="str">
        <f>IF(C152=ROUND(SUMIFS(AN_TME22[[#All],[Member Months]], AN_TME22[[#All],[Insurance Category Code]],2, AN_TME22[[#All],[Advanced Network/Insurance Carrier Org ID]],B152),2), "TRUE", ROUND(C152-SUMIFS(AN_TME22[[#All],[Member Months]], AN_TME22[[#All],[Insurance Category Code]],2, AN_TME22[[#All],[Advanced Network/Insurance Carrier Org ID]],B152),2))</f>
        <v>TRUE</v>
      </c>
      <c r="I152" s="280" t="str">
        <f>IF(D152=ROUND(SUMIFS(AN_TME22[[#All],[Total Claims Excluded because of Truncation]], AN_TME22[[#All],[Insurance Category Code]],2, AN_TME22[[#All],[Advanced Network/Insurance Carrier Org ID]],B152),2), "TRUE", ROUND(D152-SUMIFS(AN_TME22[[#All],[Total Claims Excluded because of Truncation]], AN_TME22[[#All],[Insurance Category Code]],2, AN_TME22[[#All],[Advanced Network/Insurance Carrier Org ID]],B152),2))</f>
        <v>TRUE</v>
      </c>
      <c r="J152" s="281" t="str">
        <f>IF(E152=ROUND(SUMIFS(AN_TME22[[#All],[Count of Members with Claims Truncated]], AN_TME22[[#All],[Insurance Category Code]],2, AN_TME22[[#All],[Advanced Network/Insurance Carrier Org ID]],B152),2), "TRUE", ROUND(E152-SUMIFS(AN_TME22[[#All],[Count of Members with Claims Truncated]], AN_TME22[[#All],[Insurance Category Code]],2, AN_TME22[[#All],[Advanced Network/Insurance Carrier Org ID]],B152),2))</f>
        <v>TRUE</v>
      </c>
      <c r="K152" s="282" t="str">
        <f>IF(F152=ROUND(SUMIFS(AN_TME22[[#All],[TOTAL Non-Truncated Unadjusted Claims Expenses]], AN_TME22[[#All],[Insurance Category Code]],2, AN_TME22[[#All],[Advanced Network/Insurance Carrier Org ID]],B152),2), "TRUE", ROUND(F152-SUMIFS(AN_TME22[[#All],[TOTAL Non-Truncated Unadjusted Claims Expenses]], AN_TME22[[#All],[Insurance Category Code]],2, AN_TME22[[#All],[Advanced Network/Insurance Carrier Org ID]],B152),2))</f>
        <v>TRUE</v>
      </c>
      <c r="L152" s="295" t="str">
        <f>IF(G152=ROUND(SUMIFS(AN_TME22[[#All],[TOTAL Truncated Unadjusted Claims Expenses (A21 -A19)]], AN_TME22[[#All],[Insurance Category Code]],2, AN_TME22[[#All],[Advanced Network/Insurance Carrier Org ID]],B152),2), "TRUE", ROUND(G152-SUMIFS(AN_TME22[[#All],[TOTAL Truncated Unadjusted Claims Expenses (A21 -A19)]], AN_TME22[[#All],[Insurance Category Code]],2, AN_TME22[[#All],[Advanced Network/Insurance Carrier Org ID]],B152),2))</f>
        <v>TRUE</v>
      </c>
      <c r="M152" s="461" t="str">
        <f t="shared" si="11"/>
        <v>TRUE</v>
      </c>
      <c r="N152" s="282" t="b">
        <f>ROUND(SUMIFS(AN_TME22[[#All],[TOTAL Non-Truncated Unadjusted Claims Expenses]], AN_TME22[[#All],[Insurance Category Code]],2, AN_TME22[[#All],[Advanced Network/Insurance Carrier Org ID]],B152),2)&gt;=ROUND(SUMIFS(AN_TME22[[#All],[TOTAL Truncated Unadjusted Claims Expenses (A21 -A19)]], AN_TME22[[#All],[Insurance Category Code]],2, AN_TME22[[#All],[Advanced Network/Insurance Carrier Org ID]],B152), 2)</f>
        <v>1</v>
      </c>
      <c r="O152" s="295" t="b">
        <f>ROUND(SUMIFS(AN_TME22[[#All],[TOTAL Truncated Unadjusted Claims Expenses (A21 -A19)]], AN_TME22[[#All],[Insurance Category Code]],2, AN_TME22[[#All],[Advanced Network/Insurance Carrier Org ID]],B152)+SUMIFS(AN_TME22[[#All],[Total Claims Excluded because of Truncation]], AN_TME22[[#All],[Insurance Category Code]],2, AN_TME22[[#All],[Advanced Network/Insurance Carrier Org ID]],B152),2)=ROUND(SUMIFS(AN_TME22[[#All],[TOTAL Non-Truncated Unadjusted Claims Expenses]], AN_TME22[[#All],[Insurance Category Code]],2, AN_TME22[[#All],[Advanced Network/Insurance Carrier Org ID]],B152), 2)</f>
        <v>1</v>
      </c>
      <c r="Q152" s="236">
        <v>131</v>
      </c>
      <c r="R152" s="463">
        <f>ROUND(SUMIFS(Age_Sex23[[#All],[Total Member Months by Age/Sex Band]], Age_Sex23[[#All],[Advanced Network ID]], $Q152, Age_Sex23[[#All],[Insurance Category Code]],2),2)</f>
        <v>0</v>
      </c>
      <c r="S152" s="268">
        <f>ROUND(SUMIFS(Age_Sex23[[#All],[Total Dollars Excluded from Spending After Applying Truncation at the Member Level]], Age_Sex23[[#All],[Advanced Network ID]], $B152, Age_Sex23[[#All],[Insurance Category Code]],2),2)</f>
        <v>0</v>
      </c>
      <c r="T152" s="229">
        <f>ROUND(SUMIFS(Age_Sex23[[#All],[Count of Members whose Spending was Truncated]], Age_Sex23[[#All],[Advanced Network ID]], $B152, Age_Sex23[[#All],[Insurance Category Code]],2),2)</f>
        <v>0</v>
      </c>
      <c r="U152" s="230">
        <f>ROUND(SUMIFS(Age_Sex23[[#All],[Total Spending before Truncation is Applied]], Age_Sex23[[#All],[Advanced Network ID]], $B152, Age_Sex23[[#All],[Insurance Category Code]],2),2)</f>
        <v>0</v>
      </c>
      <c r="V152" s="232">
        <f>ROUND(SUMIFS(Age_Sex23[[#All],[Total Spending After Applying Truncation at the Member Level]], Age_Sex23[[#All],[Advanced Network ID]], $B152, Age_Sex23[[#All],[Insurance Category Code]],2), 2)</f>
        <v>0</v>
      </c>
      <c r="W152" s="416" t="str">
        <f>IF(R152=ROUND(SUMIFS(AN_TME23[[#All],[Member Months]], AN_TME23[[#All],[Insurance Category Code]],2, AN_TME23[[#All],[Advanced Network/Insurance Carrier Org ID]],Q152),2), "TRUE", ROUND(R152-SUMIFS(AN_TME23[[#All],[Member Months]], AN_TME23[[#All],[Insurance Category Code]],2, AN_TME23[[#All],[Advanced Network/Insurance Carrier Org ID]],Q152),2))</f>
        <v>TRUE</v>
      </c>
      <c r="X152" s="280" t="str">
        <f>IF(S152=ROUND(SUMIFS(AN_TME23[[#All],[Total Claims Excluded because of Truncation]], AN_TME23[[#All],[Insurance Category Code]],2, AN_TME23[[#All],[Advanced Network/Insurance Carrier Org ID]],Q152),2), "TRUE", ROUND(S152-SUMIFS(AN_TME23[[#All],[Total Claims Excluded because of Truncation]], AN_TME23[[#All],[Insurance Category Code]],2, AN_TME23[[#All],[Advanced Network/Insurance Carrier Org ID]],Q152),2))</f>
        <v>TRUE</v>
      </c>
      <c r="Y152" s="281" t="str">
        <f>IF(T152=ROUND(SUMIFS(AN_TME23[[#All],[Count of Members with Claims Truncated]], AN_TME23[[#All],[Insurance Category Code]],2, AN_TME23[[#All],[Advanced Network/Insurance Carrier Org ID]],Q152),2), "TRUE", ROUND(T152-SUMIFS(AN_TME23[[#All],[Count of Members with Claims Truncated]], AN_TME23[[#All],[Insurance Category Code]],2, AN_TME23[[#All],[Advanced Network/Insurance Carrier Org ID]],Q152),2))</f>
        <v>TRUE</v>
      </c>
      <c r="Z152" s="282" t="str">
        <f>IF(U152=ROUND(SUMIFS(AN_TME23[[#All],[TOTAL Non-Truncated Unadjusted Claims Expenses]], AN_TME23[[#All],[Insurance Category Code]],2, AN_TME23[[#All],[Advanced Network/Insurance Carrier Org ID]],Q152),2), "TRUE", ROUND(U152-SUMIFS(AN_TME23[[#All],[TOTAL Non-Truncated Unadjusted Claims Expenses]], AN_TME23[[#All],[Insurance Category Code]],2, AN_TME23[[#All],[Advanced Network/Insurance Carrier Org ID]],Q152),2))</f>
        <v>TRUE</v>
      </c>
      <c r="AA152" s="295" t="str">
        <f>IF(V152=ROUND(SUMIFS(AN_TME23[[#All],[TOTAL Truncated Unadjusted Claims Expenses (A21 -A19)]], AN_TME23[[#All],[Insurance Category Code]],2, AN_TME23[[#All],[Advanced Network/Insurance Carrier Org ID]],Q152),2), "TRUE", ROUND(V152-SUMIFS(AN_TME23[[#All],[TOTAL Truncated Unadjusted Claims Expenses (A21 -A19)]], AN_TME23[[#All],[Insurance Category Code]],2, AN_TME23[[#All],[Advanced Network/Insurance Carrier Org ID]],Q152),2))</f>
        <v>TRUE</v>
      </c>
      <c r="AB152" s="461" t="str">
        <f t="shared" si="13"/>
        <v>TRUE</v>
      </c>
      <c r="AC152" s="282" t="b">
        <f>ROUND(SUMIFS(AN_TME23[[#All],[TOTAL Non-Truncated Unadjusted Claims Expenses]], AN_TME23[[#All],[Insurance Category Code]],2, AN_TME23[[#All],[Advanced Network/Insurance Carrier Org ID]],Q152),2)&gt;=ROUND(SUMIFS(AN_TME23[[#All],[TOTAL Truncated Unadjusted Claims Expenses (A21 -A19)]], AN_TME23[[#All],[Insurance Category Code]],2, AN_TME23[[#All],[Advanced Network/Insurance Carrier Org ID]],Q152),2)</f>
        <v>1</v>
      </c>
      <c r="AD152" s="295" t="b">
        <f>ROUND(SUMIFS(AN_TME23[[#All],[TOTAL Truncated Unadjusted Claims Expenses (A21 -A19)]], AN_TME23[[#All],[Insurance Category Code]],2, AN_TME23[[#All],[Advanced Network/Insurance Carrier Org ID]],Q152)+SUMIFS(AN_TME23[[#All],[Total Claims Excluded because of Truncation]], AN_TME23[[#All],[Insurance Category Code]],2, AN_TME23[[#All],[Advanced Network/Insurance Carrier Org ID]],Q152), 2)=ROUND(SUMIFS(AN_TME23[[#All],[TOTAL Non-Truncated Unadjusted Claims Expenses]], AN_TME23[[#All],[Insurance Category Code]],2, AN_TME23[[#All],[Advanced Network/Insurance Carrier Org ID]],Q152),2)</f>
        <v>1</v>
      </c>
      <c r="AF152" s="323" t="str">
        <f t="shared" si="12"/>
        <v>NA</v>
      </c>
    </row>
    <row r="153" spans="2:32" ht="15.75" outlineLevel="1" thickBot="1" x14ac:dyDescent="0.3">
      <c r="B153" s="237">
        <v>999</v>
      </c>
      <c r="C153" s="463">
        <f>ROUND(SUMIFS(Age_Sex22[[#All],[Total Member Months by Age/Sex Band]], Age_Sex22[[#All],[Advanced Network ID]], $B153, Age_Sex22[[#All],[Insurance Category Code]],2),2)</f>
        <v>0</v>
      </c>
      <c r="D153" s="268">
        <f>ROUND(SUMIFS(Age_Sex22[[#All],[Total Dollars Excluded from Spending After Applying Truncation at the Member Level]], Age_Sex22[[#All],[Advanced Network ID]], $B153, Age_Sex22[[#All],[Insurance Category Code]],2),2)</f>
        <v>0</v>
      </c>
      <c r="E153" s="229">
        <f>ROUND(SUMIFS(Age_Sex22[[#All],[Count of Members whose Spending was Truncated]], Age_Sex22[[#All],[Advanced Network ID]], $B153, Age_Sex22[[#All],[Insurance Category Code]],2),2)</f>
        <v>0</v>
      </c>
      <c r="F153" s="230">
        <f>ROUND(SUMIFS(Age_Sex22[[#All],[Total Spending before Truncation is Applied]], Age_Sex22[[#All],[Advanced Network ID]], $B153, Age_Sex22[[#All],[Insurance Category Code]],2),2)</f>
        <v>0</v>
      </c>
      <c r="G153" s="232">
        <f>ROUND(SUMIFS(Age_Sex22[[#All],[Total Spending After Applying Truncation at the Member Level]], Age_Sex22[[#All],[Advanced Network ID]], $B153, Age_Sex22[[#All],[Insurance Category Code]],2),2)</f>
        <v>0</v>
      </c>
      <c r="H153" s="416" t="str">
        <f>IF(C153=ROUND(SUMIFS(AN_TME22[[#All],[Member Months]], AN_TME22[[#All],[Insurance Category Code]],2, AN_TME22[[#All],[Advanced Network/Insurance Carrier Org ID]],B153),2), "TRUE", ROUND(C153-SUMIFS(AN_TME22[[#All],[Member Months]], AN_TME22[[#All],[Insurance Category Code]],2, AN_TME22[[#All],[Advanced Network/Insurance Carrier Org ID]],B153),2))</f>
        <v>TRUE</v>
      </c>
      <c r="I153" s="280" t="str">
        <f>IF(D153=ROUND(SUMIFS(AN_TME22[[#All],[Total Claims Excluded because of Truncation]], AN_TME22[[#All],[Insurance Category Code]],2, AN_TME22[[#All],[Advanced Network/Insurance Carrier Org ID]],B153),2), "TRUE", ROUND(D153-SUMIFS(AN_TME22[[#All],[Total Claims Excluded because of Truncation]], AN_TME22[[#All],[Insurance Category Code]],2, AN_TME22[[#All],[Advanced Network/Insurance Carrier Org ID]],B153),2))</f>
        <v>TRUE</v>
      </c>
      <c r="J153" s="281" t="str">
        <f>IF(E153=ROUND(SUMIFS(AN_TME22[[#All],[Count of Members with Claims Truncated]], AN_TME22[[#All],[Insurance Category Code]],2, AN_TME22[[#All],[Advanced Network/Insurance Carrier Org ID]],B153),2), "TRUE", ROUND(E153-SUMIFS(AN_TME22[[#All],[Count of Members with Claims Truncated]], AN_TME22[[#All],[Insurance Category Code]],2, AN_TME22[[#All],[Advanced Network/Insurance Carrier Org ID]],B153),2))</f>
        <v>TRUE</v>
      </c>
      <c r="K153" s="282" t="str">
        <f>IF(F153=ROUND(SUMIFS(AN_TME22[[#All],[TOTAL Non-Truncated Unadjusted Claims Expenses]], AN_TME22[[#All],[Insurance Category Code]],2, AN_TME22[[#All],[Advanced Network/Insurance Carrier Org ID]],B153),2), "TRUE", ROUND(F153-SUMIFS(AN_TME22[[#All],[TOTAL Non-Truncated Unadjusted Claims Expenses]], AN_TME22[[#All],[Insurance Category Code]],2, AN_TME22[[#All],[Advanced Network/Insurance Carrier Org ID]],B153),2))</f>
        <v>TRUE</v>
      </c>
      <c r="L153" s="295" t="str">
        <f>IF(G153=ROUND(SUMIFS(AN_TME22[[#All],[TOTAL Truncated Unadjusted Claims Expenses (A21 -A19)]], AN_TME22[[#All],[Insurance Category Code]],2, AN_TME22[[#All],[Advanced Network/Insurance Carrier Org ID]],B153),2), "TRUE", ROUND(G153-SUMIFS(AN_TME22[[#All],[TOTAL Truncated Unadjusted Claims Expenses (A21 -A19)]], AN_TME22[[#All],[Insurance Category Code]],2, AN_TME22[[#All],[Advanced Network/Insurance Carrier Org ID]],B153),2))</f>
        <v>TRUE</v>
      </c>
      <c r="M153" s="461" t="str">
        <f t="shared" ref="M153" si="14">IF(E153=0, "TRUE",IF((C153/12)&gt;E153,"TRUE",(C153/12)-E153))</f>
        <v>TRUE</v>
      </c>
      <c r="N153" s="282" t="b">
        <f>ROUND(SUMIFS(AN_TME22[[#All],[TOTAL Non-Truncated Unadjusted Claims Expenses]], AN_TME22[[#All],[Insurance Category Code]],2, AN_TME22[[#All],[Advanced Network/Insurance Carrier Org ID]],B153),2)&gt;=ROUND(SUMIFS(AN_TME22[[#All],[TOTAL Truncated Unadjusted Claims Expenses (A21 -A19)]], AN_TME22[[#All],[Insurance Category Code]],2, AN_TME22[[#All],[Advanced Network/Insurance Carrier Org ID]],B153), 2)</f>
        <v>1</v>
      </c>
      <c r="O153" s="295" t="b">
        <f>ROUND(SUMIFS(AN_TME22[[#All],[TOTAL Truncated Unadjusted Claims Expenses (A21 -A19)]], AN_TME22[[#All],[Insurance Category Code]],2, AN_TME22[[#All],[Advanced Network/Insurance Carrier Org ID]],B153)+SUMIFS(AN_TME22[[#All],[Total Claims Excluded because of Truncation]], AN_TME22[[#All],[Insurance Category Code]],2, AN_TME22[[#All],[Advanced Network/Insurance Carrier Org ID]],B153),2)=ROUND(SUMIFS(AN_TME22[[#All],[TOTAL Non-Truncated Unadjusted Claims Expenses]], AN_TME22[[#All],[Insurance Category Code]],2, AN_TME22[[#All],[Advanced Network/Insurance Carrier Org ID]],B153), 2)</f>
        <v>1</v>
      </c>
      <c r="Q153" s="237">
        <v>999</v>
      </c>
      <c r="R153" s="463">
        <f>ROUND(SUMIFS(Age_Sex23[[#All],[Total Member Months by Age/Sex Band]], Age_Sex23[[#All],[Advanced Network ID]], $Q153, Age_Sex23[[#All],[Insurance Category Code]],2),2)</f>
        <v>0</v>
      </c>
      <c r="S153" s="268">
        <f>ROUND(SUMIFS(Age_Sex23[[#All],[Total Dollars Excluded from Spending After Applying Truncation at the Member Level]], Age_Sex23[[#All],[Advanced Network ID]], $B153, Age_Sex23[[#All],[Insurance Category Code]],2),2)</f>
        <v>0</v>
      </c>
      <c r="T153" s="229">
        <f>ROUND(SUMIFS(Age_Sex23[[#All],[Count of Members whose Spending was Truncated]], Age_Sex23[[#All],[Advanced Network ID]], $B153, Age_Sex23[[#All],[Insurance Category Code]],2),2)</f>
        <v>0</v>
      </c>
      <c r="U153" s="230">
        <f>ROUND(SUMIFS(Age_Sex23[[#All],[Total Spending before Truncation is Applied]], Age_Sex23[[#All],[Advanced Network ID]], $B153, Age_Sex23[[#All],[Insurance Category Code]],2),2)</f>
        <v>0</v>
      </c>
      <c r="V153" s="232">
        <f>ROUND(SUMIFS(Age_Sex23[[#All],[Total Spending After Applying Truncation at the Member Level]], Age_Sex23[[#All],[Advanced Network ID]], $B153, Age_Sex23[[#All],[Insurance Category Code]],2), 2)</f>
        <v>0</v>
      </c>
      <c r="W153" s="416" t="str">
        <f>IF(R153=ROUND(SUMIFS(AN_TME23[[#All],[Member Months]], AN_TME23[[#All],[Insurance Category Code]],2, AN_TME23[[#All],[Advanced Network/Insurance Carrier Org ID]],Q153),2), "TRUE", ROUND(R153-SUMIFS(AN_TME23[[#All],[Member Months]], AN_TME23[[#All],[Insurance Category Code]],2, AN_TME23[[#All],[Advanced Network/Insurance Carrier Org ID]],Q153),2))</f>
        <v>TRUE</v>
      </c>
      <c r="X153" s="280" t="str">
        <f>IF(S153=ROUND(SUMIFS(AN_TME23[[#All],[Total Claims Excluded because of Truncation]], AN_TME23[[#All],[Insurance Category Code]],2, AN_TME23[[#All],[Advanced Network/Insurance Carrier Org ID]],Q153),2), "TRUE", ROUND(S153-SUMIFS(AN_TME23[[#All],[Total Claims Excluded because of Truncation]], AN_TME23[[#All],[Insurance Category Code]],2, AN_TME23[[#All],[Advanced Network/Insurance Carrier Org ID]],Q153),2))</f>
        <v>TRUE</v>
      </c>
      <c r="Y153" s="281" t="str">
        <f>IF(T153=ROUND(SUMIFS(AN_TME23[[#All],[Count of Members with Claims Truncated]], AN_TME23[[#All],[Insurance Category Code]],2, AN_TME23[[#All],[Advanced Network/Insurance Carrier Org ID]],Q153),2), "TRUE", ROUND(T153-SUMIFS(AN_TME23[[#All],[Count of Members with Claims Truncated]], AN_TME23[[#All],[Insurance Category Code]],2, AN_TME23[[#All],[Advanced Network/Insurance Carrier Org ID]],Q153),2))</f>
        <v>TRUE</v>
      </c>
      <c r="Z153" s="282" t="str">
        <f>IF(U153=ROUND(SUMIFS(AN_TME23[[#All],[TOTAL Non-Truncated Unadjusted Claims Expenses]], AN_TME23[[#All],[Insurance Category Code]],2, AN_TME23[[#All],[Advanced Network/Insurance Carrier Org ID]],Q153),2), "TRUE", ROUND(U153-SUMIFS(AN_TME23[[#All],[TOTAL Non-Truncated Unadjusted Claims Expenses]], AN_TME23[[#All],[Insurance Category Code]],2, AN_TME23[[#All],[Advanced Network/Insurance Carrier Org ID]],Q153),2))</f>
        <v>TRUE</v>
      </c>
      <c r="AA153" s="295" t="str">
        <f>IF(V153=ROUND(SUMIFS(AN_TME23[[#All],[TOTAL Truncated Unadjusted Claims Expenses (A21 -A19)]], AN_TME23[[#All],[Insurance Category Code]],2, AN_TME23[[#All],[Advanced Network/Insurance Carrier Org ID]],Q153),2), "TRUE", ROUND(V153-SUMIFS(AN_TME23[[#All],[TOTAL Truncated Unadjusted Claims Expenses (A21 -A19)]], AN_TME23[[#All],[Insurance Category Code]],2, AN_TME23[[#All],[Advanced Network/Insurance Carrier Org ID]],Q153),2))</f>
        <v>TRUE</v>
      </c>
      <c r="AB153" s="461" t="str">
        <f t="shared" si="13"/>
        <v>TRUE</v>
      </c>
      <c r="AC153" s="282" t="b">
        <f>ROUND(SUMIFS(AN_TME23[[#All],[TOTAL Non-Truncated Unadjusted Claims Expenses]], AN_TME23[[#All],[Insurance Category Code]],2, AN_TME23[[#All],[Advanced Network/Insurance Carrier Org ID]],Q153),2)&gt;=ROUND(SUMIFS(AN_TME23[[#All],[TOTAL Truncated Unadjusted Claims Expenses (A21 -A19)]], AN_TME23[[#All],[Insurance Category Code]],2, AN_TME23[[#All],[Advanced Network/Insurance Carrier Org ID]],Q153),2)</f>
        <v>1</v>
      </c>
      <c r="AD153" s="295" t="b">
        <f>ROUND(SUMIFS(AN_TME23[[#All],[TOTAL Truncated Unadjusted Claims Expenses (A21 -A19)]], AN_TME23[[#All],[Insurance Category Code]],2, AN_TME23[[#All],[Advanced Network/Insurance Carrier Org ID]],Q153)+SUMIFS(AN_TME23[[#All],[Total Claims Excluded because of Truncation]], AN_TME23[[#All],[Insurance Category Code]],2, AN_TME23[[#All],[Advanced Network/Insurance Carrier Org ID]],Q153), 2)=ROUND(SUMIFS(AN_TME23[[#All],[TOTAL Non-Truncated Unadjusted Claims Expenses]], AN_TME23[[#All],[Insurance Category Code]],2, AN_TME23[[#All],[Advanced Network/Insurance Carrier Org ID]],Q153),2)</f>
        <v>1</v>
      </c>
      <c r="AF153" s="324" t="str">
        <f t="shared" si="12"/>
        <v>NA</v>
      </c>
    </row>
    <row r="154" spans="2:32" outlineLevel="1" x14ac:dyDescent="0.25">
      <c r="B154" s="231"/>
      <c r="C154" s="231"/>
      <c r="D154" s="14"/>
      <c r="E154" s="117"/>
      <c r="Q154" s="231"/>
      <c r="R154" s="231"/>
    </row>
    <row r="155" spans="2:32" outlineLevel="1" x14ac:dyDescent="0.25">
      <c r="B155" s="363" t="s">
        <v>366</v>
      </c>
      <c r="C155" s="14"/>
      <c r="D155" s="117"/>
      <c r="L155" s="231"/>
      <c r="M155" s="231"/>
      <c r="N155" s="231"/>
      <c r="O155" s="231"/>
      <c r="Q155" s="363" t="s">
        <v>366</v>
      </c>
    </row>
    <row r="156" spans="2:32" ht="19.5" outlineLevel="1" thickBot="1" x14ac:dyDescent="0.35">
      <c r="B156" s="279"/>
      <c r="C156" s="231"/>
      <c r="D156" s="14"/>
      <c r="E156" s="117"/>
      <c r="Q156" s="279"/>
      <c r="R156" s="231"/>
      <c r="S156" s="14"/>
      <c r="T156" s="117"/>
    </row>
    <row r="157" spans="2:32" ht="24" outlineLevel="1" thickBot="1" x14ac:dyDescent="0.4">
      <c r="B157" s="307" t="s">
        <v>386</v>
      </c>
      <c r="C157" s="617" t="s">
        <v>375</v>
      </c>
      <c r="D157" s="618"/>
      <c r="E157" s="618"/>
      <c r="F157" s="618"/>
      <c r="G157" s="619"/>
      <c r="H157" s="620" t="s">
        <v>376</v>
      </c>
      <c r="I157" s="621"/>
      <c r="J157" s="621"/>
      <c r="K157" s="621"/>
      <c r="L157" s="622"/>
      <c r="M157" s="614" t="s">
        <v>374</v>
      </c>
      <c r="N157" s="615"/>
      <c r="O157" s="616"/>
      <c r="Q157" s="307"/>
      <c r="R157" s="617" t="s">
        <v>441</v>
      </c>
      <c r="S157" s="618"/>
      <c r="T157" s="618"/>
      <c r="U157" s="618"/>
      <c r="V157" s="619"/>
      <c r="W157" s="620" t="s">
        <v>442</v>
      </c>
      <c r="X157" s="621"/>
      <c r="Y157" s="621"/>
      <c r="Z157" s="621"/>
      <c r="AA157" s="622"/>
      <c r="AB157" s="614" t="s">
        <v>374</v>
      </c>
      <c r="AC157" s="615"/>
      <c r="AD157" s="616"/>
    </row>
    <row r="158" spans="2:32" ht="96" customHeight="1" outlineLevel="1" thickBot="1" x14ac:dyDescent="0.3">
      <c r="B158" s="297" t="s">
        <v>235</v>
      </c>
      <c r="C158" s="298" t="s">
        <v>151</v>
      </c>
      <c r="D158" s="299" t="s">
        <v>236</v>
      </c>
      <c r="E158" s="299" t="s">
        <v>377</v>
      </c>
      <c r="F158" s="299" t="s">
        <v>153</v>
      </c>
      <c r="G158" s="300" t="s">
        <v>157</v>
      </c>
      <c r="H158" s="301" t="s">
        <v>211</v>
      </c>
      <c r="I158" s="302" t="s">
        <v>378</v>
      </c>
      <c r="J158" s="302" t="s">
        <v>379</v>
      </c>
      <c r="K158" s="302" t="s">
        <v>380</v>
      </c>
      <c r="L158" s="303" t="s">
        <v>381</v>
      </c>
      <c r="M158" s="304" t="s">
        <v>382</v>
      </c>
      <c r="N158" s="305" t="s">
        <v>383</v>
      </c>
      <c r="O158" s="306" t="s">
        <v>384</v>
      </c>
      <c r="Q158" s="297" t="s">
        <v>235</v>
      </c>
      <c r="R158" s="298" t="s">
        <v>151</v>
      </c>
      <c r="S158" s="299" t="s">
        <v>236</v>
      </c>
      <c r="T158" s="299" t="s">
        <v>377</v>
      </c>
      <c r="U158" s="299" t="s">
        <v>153</v>
      </c>
      <c r="V158" s="300" t="s">
        <v>157</v>
      </c>
      <c r="W158" s="301" t="s">
        <v>211</v>
      </c>
      <c r="X158" s="302" t="s">
        <v>378</v>
      </c>
      <c r="Y158" s="302" t="s">
        <v>379</v>
      </c>
      <c r="Z158" s="302" t="s">
        <v>380</v>
      </c>
      <c r="AA158" s="303" t="s">
        <v>381</v>
      </c>
      <c r="AB158" s="304" t="s">
        <v>382</v>
      </c>
      <c r="AC158" s="305" t="s">
        <v>383</v>
      </c>
      <c r="AD158" s="306" t="s">
        <v>384</v>
      </c>
      <c r="AF158" s="314" t="s">
        <v>458</v>
      </c>
    </row>
    <row r="159" spans="2:32" outlineLevel="1" x14ac:dyDescent="0.25">
      <c r="B159" s="236">
        <v>100</v>
      </c>
      <c r="C159" s="463">
        <f>ROUND(SUMIFS(Age_Sex22[[#All],[Total Member Months by Age/Sex Band]], Age_Sex22[[#All],[Advanced Network ID]], $B159, Age_Sex22[[#All],[Insurance Category Code]],3),2)</f>
        <v>0</v>
      </c>
      <c r="D159" s="268">
        <f>ROUND(SUMIFS(Age_Sex22[[#All],[Total Dollars Excluded from Spending After Applying Truncation at the Member Level]], Age_Sex22[[#All],[Advanced Network ID]], $B159, Age_Sex22[[#All],[Insurance Category Code]],3),2)</f>
        <v>0</v>
      </c>
      <c r="E159" s="229">
        <f>ROUND(SUMIFS(Age_Sex22[[#All],[Count of Members whose Spending was Truncated]], Age_Sex22[[#All],[Advanced Network ID]], $B159, Age_Sex22[[#All],[Insurance Category Code]],3),2)</f>
        <v>0</v>
      </c>
      <c r="F159" s="230">
        <f>ROUND(SUMIFS(Age_Sex22[[#All],[Total Spending before Truncation is Applied]], Age_Sex22[[#All],[Advanced Network ID]], $B159, Age_Sex22[[#All],[Insurance Category Code]],3),2)</f>
        <v>0</v>
      </c>
      <c r="G159" s="232">
        <f>ROUND(SUMIFS(Age_Sex22[[#All],[Total Spending After Applying Truncation at the Member Level]], Age_Sex22[[#All],[Advanced Network ID]], $B159, Age_Sex22[[#All],[Insurance Category Code]],3), 2)</f>
        <v>0</v>
      </c>
      <c r="H159" s="416" t="str">
        <f>IF(C159=ROUND(SUMIFS(AN_TME22[[#All],[Member Months]], AN_TME22[[#All],[Insurance Category Code]],3, AN_TME22[[#All],[Advanced Network/Insurance Carrier Org ID]],B159),2), "TRUE", ROUND(C159-SUMIFS(AN_TME22[[#All],[Member Months]], AN_TME22[[#All],[Insurance Category Code]],3, AN_TME22[[#All],[Advanced Network/Insurance Carrier Org ID]],B159),2))</f>
        <v>TRUE</v>
      </c>
      <c r="I159" s="280" t="str">
        <f>IF(D159=ROUND(SUMIFS(AN_TME22[[#All],[Total Claims Excluded because of Truncation]], AN_TME22[[#All],[Insurance Category Code]],3, AN_TME22[[#All],[Advanced Network/Insurance Carrier Org ID]],B159),2), "TRUE", ROUND(D159-SUMIFS(AN_TME22[[#All],[Total Claims Excluded because of Truncation]], AN_TME22[[#All],[Insurance Category Code]],3, AN_TME22[[#All],[Advanced Network/Insurance Carrier Org ID]],B159),2))</f>
        <v>TRUE</v>
      </c>
      <c r="J159" s="281" t="str">
        <f>IF(E159=ROUND(SUMIFS(AN_TME22[[#All],[Count of Members with Claims Truncated]], AN_TME22[[#All],[Insurance Category Code]],3, AN_TME22[[#All],[Advanced Network/Insurance Carrier Org ID]],B159),2), "TRUE", ROUND(E159-SUMIFS(AN_TME22[[#All],[Count of Members with Claims Truncated]], AN_TME22[[#All],[Insurance Category Code]],3, AN_TME22[[#All],[Advanced Network/Insurance Carrier Org ID]],B159),2))</f>
        <v>TRUE</v>
      </c>
      <c r="K159" s="282" t="str">
        <f>IF(F159=ROUND(SUMIFS(AN_TME22[[#All],[TOTAL Non-Truncated Unadjusted Claims Expenses]], AN_TME22[[#All],[Insurance Category Code]],3, AN_TME22[[#All],[Advanced Network/Insurance Carrier Org ID]],B159),2), "TRUE", ROUND(F159-SUMIFS(AN_TME22[[#All],[TOTAL Non-Truncated Unadjusted Claims Expenses]], AN_TME22[[#All],[Insurance Category Code]],3, AN_TME22[[#All],[Advanced Network/Insurance Carrier Org ID]],B159),2))</f>
        <v>TRUE</v>
      </c>
      <c r="L159" s="295" t="str">
        <f>IF(G159=ROUND(SUMIFS(AN_TME22[[#All],[TOTAL Truncated Unadjusted Claims Expenses (A21 -A19)]], AN_TME22[[#All],[Insurance Category Code]],3, AN_TME22[[#All],[Advanced Network/Insurance Carrier Org ID]],B159),2), "TRUE", ROUND(G159-SUMIFS(AN_TME22[[#All],[TOTAL Truncated Unadjusted Claims Expenses (A21 -A19)]], AN_TME22[[#All],[Insurance Category Code]],3, AN_TME22[[#All],[Advanced Network/Insurance Carrier Org ID]],B159),2))</f>
        <v>TRUE</v>
      </c>
      <c r="M159" s="461" t="str">
        <f t="shared" ref="M159:M191" si="15">IF(E159=0, "TRUE",IF((C159/12)&gt;E159,"TRUE",(C159/12)-E159))</f>
        <v>TRUE</v>
      </c>
      <c r="N159" s="282" t="b">
        <f>ROUND(SUMIFS(AN_TME22[[#All],[TOTAL Non-Truncated Unadjusted Claims Expenses]], AN_TME22[[#All],[Insurance Category Code]],3, AN_TME22[[#All],[Advanced Network/Insurance Carrier Org ID]],B159),2)&gt;=ROUND(SUMIFS(AN_TME22[[#All],[TOTAL Truncated Unadjusted Claims Expenses (A21 -A19)]], AN_TME22[[#All],[Insurance Category Code]],3, AN_TME22[[#All],[Advanced Network/Insurance Carrier Org ID]],B159),2)</f>
        <v>1</v>
      </c>
      <c r="O159" s="295" t="b">
        <f>ROUND(SUMIFS(AN_TME22[[#All],[TOTAL Truncated Unadjusted Claims Expenses (A21 -A19)]], AN_TME22[[#All],[Insurance Category Code]],3, AN_TME22[[#All],[Advanced Network/Insurance Carrier Org ID]],B159)+SUMIFS(AN_TME22[[#All],[Total Claims Excluded because of Truncation]], AN_TME22[[#All],[Insurance Category Code]],3, AN_TME22[[#All],[Advanced Network/Insurance Carrier Org ID]],B159),2)=ROUND(SUMIFS(AN_TME22[[#All],[TOTAL Non-Truncated Unadjusted Claims Expenses]], AN_TME22[[#All],[Insurance Category Code]],3, AN_TME22[[#All],[Advanced Network/Insurance Carrier Org ID]],B159), 2)</f>
        <v>1</v>
      </c>
      <c r="Q159" s="236">
        <v>100</v>
      </c>
      <c r="R159" s="463">
        <f>ROUND(SUMIFS(Age_Sex23[[#All],[Total Member Months by Age/Sex Band]], Age_Sex23[[#All],[Advanced Network ID]], $Q159, Age_Sex23[[#All],[Insurance Category Code]],3), 2)</f>
        <v>0</v>
      </c>
      <c r="S159" s="268">
        <f>ROUND(SUMIFS(Age_Sex23[[#All],[Total Dollars Excluded from Spending After Applying Truncation at the Member Level]], Age_Sex23[[#All],[Advanced Network ID]], $B159, Age_Sex23[[#All],[Insurance Category Code]],3), 2)</f>
        <v>0</v>
      </c>
      <c r="T159" s="229">
        <f>ROUND(SUMIFS(Age_Sex23[[#All],[Count of Members whose Spending was Truncated]], Age_Sex23[[#All],[Advanced Network ID]], $B159, Age_Sex23[[#All],[Insurance Category Code]],3),2)</f>
        <v>0</v>
      </c>
      <c r="U159" s="230">
        <f>ROUND(SUMIFS(Age_Sex23[[#All],[Total Spending before Truncation is Applied]], Age_Sex23[[#All],[Advanced Network ID]], $B159, Age_Sex23[[#All],[Insurance Category Code]],3),2)</f>
        <v>0</v>
      </c>
      <c r="V159" s="232">
        <f>ROUND(SUMIFS(Age_Sex23[[#All],[Total Spending After Applying Truncation at the Member Level]], Age_Sex23[[#All],[Advanced Network ID]], $B159, Age_Sex23[[#All],[Insurance Category Code]],3),2)</f>
        <v>0</v>
      </c>
      <c r="W159" s="416" t="str">
        <f>IF(R159=ROUND(SUMIFS(AN_TME23[[#All],[Member Months]], AN_TME23[[#All],[Insurance Category Code]],3, AN_TME23[[#All],[Advanced Network/Insurance Carrier Org ID]],Q159),2), "TRUE", ROUND(R159-SUMIFS(AN_TME23[[#All],[Member Months]], AN_TME23[[#All],[Insurance Category Code]],3, AN_TME23[[#All],[Advanced Network/Insurance Carrier Org ID]],Q159),2))</f>
        <v>TRUE</v>
      </c>
      <c r="X159" s="280" t="str">
        <f>IF(S159=ROUND(SUMIFS(AN_TME23[[#All],[Total Claims Excluded because of Truncation]], AN_TME23[[#All],[Insurance Category Code]],3, AN_TME23[[#All],[Advanced Network/Insurance Carrier Org ID]],Q159),2), "TRUE", ROUND(S159-SUMIFS(AN_TME23[[#All],[Total Claims Excluded because of Truncation]], AN_TME23[[#All],[Insurance Category Code]],3, AN_TME23[[#All],[Advanced Network/Insurance Carrier Org ID]],Q159),2))</f>
        <v>TRUE</v>
      </c>
      <c r="Y159" s="281" t="str">
        <f>IF(T159=ROUND(SUMIFS(AN_TME23[[#All],[Count of Members with Claims Truncated]], AN_TME23[[#All],[Insurance Category Code]],3, AN_TME23[[#All],[Advanced Network/Insurance Carrier Org ID]],Q159),2), "TRUE", ROUND(T159-SUMIFS(AN_TME23[[#All],[Count of Members with Claims Truncated]], AN_TME23[[#All],[Insurance Category Code]],3, AN_TME23[[#All],[Advanced Network/Insurance Carrier Org ID]],Q159),2))</f>
        <v>TRUE</v>
      </c>
      <c r="Z159" s="282" t="str">
        <f>IF(U159=ROUND(SUMIFS(AN_TME23[[#All],[TOTAL Non-Truncated Unadjusted Claims Expenses]], AN_TME23[[#All],[Insurance Category Code]],3, AN_TME23[[#All],[Advanced Network/Insurance Carrier Org ID]],Q159),2), "TRUE", ROUND(U159-SUMIFS(AN_TME23[[#All],[TOTAL Non-Truncated Unadjusted Claims Expenses]], AN_TME23[[#All],[Insurance Category Code]],3, AN_TME23[[#All],[Advanced Network/Insurance Carrier Org ID]],Q159), 2))</f>
        <v>TRUE</v>
      </c>
      <c r="AA159" s="295" t="str">
        <f>IF(V159=ROUND(SUMIFS(AN_TME23[[#All],[TOTAL Truncated Unadjusted Claims Expenses (A21 -A19)]], AN_TME23[[#All],[Insurance Category Code]],3, AN_TME23[[#All],[Advanced Network/Insurance Carrier Org ID]],Q159),2), "TRUE", ROUND(V159-SUMIFS(AN_TME23[[#All],[TOTAL Truncated Unadjusted Claims Expenses (A21 -A19)]], AN_TME23[[#All],[Insurance Category Code]],3, AN_TME23[[#All],[Advanced Network/Insurance Carrier Org ID]],Q159), 2))</f>
        <v>TRUE</v>
      </c>
      <c r="AB159" s="461" t="str">
        <f t="shared" ref="AB159" si="16">IF(T159=0, "TRUE",IF((R159/12)&gt;T159,"TRUE",(R159/12)-T159))</f>
        <v>TRUE</v>
      </c>
      <c r="AC159" s="282" t="b">
        <f>ROUND(SUMIFS(AN_TME23[[#All],[TOTAL Non-Truncated Unadjusted Claims Expenses]], AN_TME23[[#All],[Insurance Category Code]],3, AN_TME23[[#All],[Advanced Network/Insurance Carrier Org ID]],Q159),2)&gt;=ROUND(SUMIFS(AN_TME23[[#All],[TOTAL Truncated Unadjusted Claims Expenses (A21 -A19)]], AN_TME23[[#All],[Insurance Category Code]],3, AN_TME23[[#All],[Advanced Network/Insurance Carrier Org ID]],Q159), 2)</f>
        <v>1</v>
      </c>
      <c r="AD159" s="295" t="b">
        <f>ROUND(SUMIFS(AN_TME23[[#All],[TOTAL Truncated Unadjusted Claims Expenses (A21 -A19)]], AN_TME23[[#All],[Insurance Category Code]],3, AN_TME23[[#All],[Advanced Network/Insurance Carrier Org ID]],Q159)+SUMIFS(AN_TME23[[#All],[Total Claims Excluded because of Truncation]], AN_TME23[[#All],[Insurance Category Code]],3, AN_TME23[[#All],[Advanced Network/Insurance Carrier Org ID]],Q159),2)=ROUND(SUMIFS(AN_TME23[[#All],[TOTAL Non-Truncated Unadjusted Claims Expenses]], AN_TME23[[#All],[Insurance Category Code]],3, AN_TME23[[#All],[Advanced Network/Insurance Carrier Org ID]],Q159),2)</f>
        <v>1</v>
      </c>
      <c r="AF159" s="322" t="str">
        <f t="shared" ref="AF159:AF191" si="17">IFERROR(R159/C159-1, "NA")</f>
        <v>NA</v>
      </c>
    </row>
    <row r="160" spans="2:32" outlineLevel="1" x14ac:dyDescent="0.25">
      <c r="B160" s="236">
        <v>101</v>
      </c>
      <c r="C160" s="463">
        <f>ROUND(SUMIFS(Age_Sex22[[#All],[Total Member Months by Age/Sex Band]], Age_Sex22[[#All],[Advanced Network ID]], $B160, Age_Sex22[[#All],[Insurance Category Code]],3),2)</f>
        <v>0</v>
      </c>
      <c r="D160" s="268">
        <f>ROUND(SUMIFS(Age_Sex22[[#All],[Total Dollars Excluded from Spending After Applying Truncation at the Member Level]], Age_Sex22[[#All],[Advanced Network ID]], $B160, Age_Sex22[[#All],[Insurance Category Code]],3),2)</f>
        <v>0</v>
      </c>
      <c r="E160" s="229">
        <f>ROUND(SUMIFS(Age_Sex22[[#All],[Count of Members whose Spending was Truncated]], Age_Sex22[[#All],[Advanced Network ID]], $B160, Age_Sex22[[#All],[Insurance Category Code]],3),2)</f>
        <v>0</v>
      </c>
      <c r="F160" s="230">
        <f>ROUND(SUMIFS(Age_Sex22[[#All],[Total Spending before Truncation is Applied]], Age_Sex22[[#All],[Advanced Network ID]], $B160, Age_Sex22[[#All],[Insurance Category Code]],3),2)</f>
        <v>0</v>
      </c>
      <c r="G160" s="232">
        <f>ROUND(SUMIFS(Age_Sex22[[#All],[Total Spending After Applying Truncation at the Member Level]], Age_Sex22[[#All],[Advanced Network ID]], $B160, Age_Sex22[[#All],[Insurance Category Code]],3), 2)</f>
        <v>0</v>
      </c>
      <c r="H160" s="416" t="str">
        <f>IF(C160=ROUND(SUMIFS(AN_TME22[[#All],[Member Months]], AN_TME22[[#All],[Insurance Category Code]],3, AN_TME22[[#All],[Advanced Network/Insurance Carrier Org ID]],B160),2), "TRUE", ROUND(C160-SUMIFS(AN_TME22[[#All],[Member Months]], AN_TME22[[#All],[Insurance Category Code]],3, AN_TME22[[#All],[Advanced Network/Insurance Carrier Org ID]],B160),2))</f>
        <v>TRUE</v>
      </c>
      <c r="I160" s="280" t="str">
        <f>IF(D160=ROUND(SUMIFS(AN_TME22[[#All],[Total Claims Excluded because of Truncation]], AN_TME22[[#All],[Insurance Category Code]],3, AN_TME22[[#All],[Advanced Network/Insurance Carrier Org ID]],B160),2), "TRUE", ROUND(D160-SUMIFS(AN_TME22[[#All],[Total Claims Excluded because of Truncation]], AN_TME22[[#All],[Insurance Category Code]],3, AN_TME22[[#All],[Advanced Network/Insurance Carrier Org ID]],B160),2))</f>
        <v>TRUE</v>
      </c>
      <c r="J160" s="281" t="str">
        <f>IF(E160=ROUND(SUMIFS(AN_TME22[[#All],[Count of Members with Claims Truncated]], AN_TME22[[#All],[Insurance Category Code]],3, AN_TME22[[#All],[Advanced Network/Insurance Carrier Org ID]],B160),2), "TRUE", ROUND(E160-SUMIFS(AN_TME22[[#All],[Count of Members with Claims Truncated]], AN_TME22[[#All],[Insurance Category Code]],3, AN_TME22[[#All],[Advanced Network/Insurance Carrier Org ID]],B160),2))</f>
        <v>TRUE</v>
      </c>
      <c r="K160" s="282" t="str">
        <f>IF(F160=ROUND(SUMIFS(AN_TME22[[#All],[TOTAL Non-Truncated Unadjusted Claims Expenses]], AN_TME22[[#All],[Insurance Category Code]],3, AN_TME22[[#All],[Advanced Network/Insurance Carrier Org ID]],B160),2), "TRUE", ROUND(F160-SUMIFS(AN_TME22[[#All],[TOTAL Non-Truncated Unadjusted Claims Expenses]], AN_TME22[[#All],[Insurance Category Code]],3, AN_TME22[[#All],[Advanced Network/Insurance Carrier Org ID]],B160),2))</f>
        <v>TRUE</v>
      </c>
      <c r="L160" s="295" t="str">
        <f>IF(G160=ROUND(SUMIFS(AN_TME22[[#All],[TOTAL Truncated Unadjusted Claims Expenses (A21 -A19)]], AN_TME22[[#All],[Insurance Category Code]],3, AN_TME22[[#All],[Advanced Network/Insurance Carrier Org ID]],B160),2), "TRUE", ROUND(G160-SUMIFS(AN_TME22[[#All],[TOTAL Truncated Unadjusted Claims Expenses (A21 -A19)]], AN_TME22[[#All],[Insurance Category Code]],3, AN_TME22[[#All],[Advanced Network/Insurance Carrier Org ID]],B160),2))</f>
        <v>TRUE</v>
      </c>
      <c r="M160" s="461" t="str">
        <f t="shared" si="15"/>
        <v>TRUE</v>
      </c>
      <c r="N160" s="282" t="b">
        <f>ROUND(SUMIFS(AN_TME22[[#All],[TOTAL Non-Truncated Unadjusted Claims Expenses]], AN_TME22[[#All],[Insurance Category Code]],3, AN_TME22[[#All],[Advanced Network/Insurance Carrier Org ID]],B160),2)&gt;=ROUND(SUMIFS(AN_TME22[[#All],[TOTAL Truncated Unadjusted Claims Expenses (A21 -A19)]], AN_TME22[[#All],[Insurance Category Code]],3, AN_TME22[[#All],[Advanced Network/Insurance Carrier Org ID]],B160),2)</f>
        <v>1</v>
      </c>
      <c r="O160" s="295" t="b">
        <f>ROUND(SUMIFS(AN_TME22[[#All],[TOTAL Truncated Unadjusted Claims Expenses (A21 -A19)]], AN_TME22[[#All],[Insurance Category Code]],3, AN_TME22[[#All],[Advanced Network/Insurance Carrier Org ID]],B160)+SUMIFS(AN_TME22[[#All],[Total Claims Excluded because of Truncation]], AN_TME22[[#All],[Insurance Category Code]],3, AN_TME22[[#All],[Advanced Network/Insurance Carrier Org ID]],B160),2)=ROUND(SUMIFS(AN_TME22[[#All],[TOTAL Non-Truncated Unadjusted Claims Expenses]], AN_TME22[[#All],[Insurance Category Code]],3, AN_TME22[[#All],[Advanced Network/Insurance Carrier Org ID]],B160), 2)</f>
        <v>1</v>
      </c>
      <c r="Q160" s="236">
        <v>101</v>
      </c>
      <c r="R160" s="463">
        <f>ROUND(SUMIFS(Age_Sex23[[#All],[Total Member Months by Age/Sex Band]], Age_Sex23[[#All],[Advanced Network ID]], $Q160, Age_Sex23[[#All],[Insurance Category Code]],3), 2)</f>
        <v>0</v>
      </c>
      <c r="S160" s="268">
        <f>ROUND(SUMIFS(Age_Sex23[[#All],[Total Dollars Excluded from Spending After Applying Truncation at the Member Level]], Age_Sex23[[#All],[Advanced Network ID]], $B160, Age_Sex23[[#All],[Insurance Category Code]],3), 2)</f>
        <v>0</v>
      </c>
      <c r="T160" s="229">
        <f>ROUND(SUMIFS(Age_Sex23[[#All],[Count of Members whose Spending was Truncated]], Age_Sex23[[#All],[Advanced Network ID]], $B160, Age_Sex23[[#All],[Insurance Category Code]],3),2)</f>
        <v>0</v>
      </c>
      <c r="U160" s="230">
        <f>ROUND(SUMIFS(Age_Sex23[[#All],[Total Spending before Truncation is Applied]], Age_Sex23[[#All],[Advanced Network ID]], $B160, Age_Sex23[[#All],[Insurance Category Code]],3),2)</f>
        <v>0</v>
      </c>
      <c r="V160" s="232">
        <f>ROUND(SUMIFS(Age_Sex23[[#All],[Total Spending After Applying Truncation at the Member Level]], Age_Sex23[[#All],[Advanced Network ID]], $B160, Age_Sex23[[#All],[Insurance Category Code]],3),2)</f>
        <v>0</v>
      </c>
      <c r="W160" s="416" t="str">
        <f>IF(R160=ROUND(SUMIFS(AN_TME23[[#All],[Member Months]], AN_TME23[[#All],[Insurance Category Code]],3, AN_TME23[[#All],[Advanced Network/Insurance Carrier Org ID]],Q160),2), "TRUE", ROUND(R160-SUMIFS(AN_TME23[[#All],[Member Months]], AN_TME23[[#All],[Insurance Category Code]],3, AN_TME23[[#All],[Advanced Network/Insurance Carrier Org ID]],Q160),2))</f>
        <v>TRUE</v>
      </c>
      <c r="X160" s="280" t="str">
        <f>IF(S160=ROUND(SUMIFS(AN_TME23[[#All],[Total Claims Excluded because of Truncation]], AN_TME23[[#All],[Insurance Category Code]],3, AN_TME23[[#All],[Advanced Network/Insurance Carrier Org ID]],Q160),2), "TRUE", ROUND(S160-SUMIFS(AN_TME23[[#All],[Total Claims Excluded because of Truncation]], AN_TME23[[#All],[Insurance Category Code]],3, AN_TME23[[#All],[Advanced Network/Insurance Carrier Org ID]],Q160),2))</f>
        <v>TRUE</v>
      </c>
      <c r="Y160" s="281" t="str">
        <f>IF(T160=ROUND(SUMIFS(AN_TME23[[#All],[Count of Members with Claims Truncated]], AN_TME23[[#All],[Insurance Category Code]],3, AN_TME23[[#All],[Advanced Network/Insurance Carrier Org ID]],Q160),2), "TRUE", ROUND(T160-SUMIFS(AN_TME23[[#All],[Count of Members with Claims Truncated]], AN_TME23[[#All],[Insurance Category Code]],3, AN_TME23[[#All],[Advanced Network/Insurance Carrier Org ID]],Q160),2))</f>
        <v>TRUE</v>
      </c>
      <c r="Z160" s="282" t="str">
        <f>IF(U160=ROUND(SUMIFS(AN_TME23[[#All],[TOTAL Non-Truncated Unadjusted Claims Expenses]], AN_TME23[[#All],[Insurance Category Code]],3, AN_TME23[[#All],[Advanced Network/Insurance Carrier Org ID]],Q160),2), "TRUE", ROUND(U160-SUMIFS(AN_TME23[[#All],[TOTAL Non-Truncated Unadjusted Claims Expenses]], AN_TME23[[#All],[Insurance Category Code]],3, AN_TME23[[#All],[Advanced Network/Insurance Carrier Org ID]],Q160), 2))</f>
        <v>TRUE</v>
      </c>
      <c r="AA160" s="295" t="str">
        <f>IF(V160=ROUND(SUMIFS(AN_TME23[[#All],[TOTAL Truncated Unadjusted Claims Expenses (A21 -A19)]], AN_TME23[[#All],[Insurance Category Code]],3, AN_TME23[[#All],[Advanced Network/Insurance Carrier Org ID]],Q160),2), "TRUE", ROUND(V160-SUMIFS(AN_TME23[[#All],[TOTAL Truncated Unadjusted Claims Expenses (A21 -A19)]], AN_TME23[[#All],[Insurance Category Code]],3, AN_TME23[[#All],[Advanced Network/Insurance Carrier Org ID]],Q160), 2))</f>
        <v>TRUE</v>
      </c>
      <c r="AB160" s="461" t="str">
        <f t="shared" ref="AB160:AB191" si="18">IF(T160=0, "TRUE",IF((R160/12)&gt;T160,"TRUE",(R160/12)-T160))</f>
        <v>TRUE</v>
      </c>
      <c r="AC160" s="282" t="b">
        <f>ROUND(SUMIFS(AN_TME23[[#All],[TOTAL Non-Truncated Unadjusted Claims Expenses]], AN_TME23[[#All],[Insurance Category Code]],3, AN_TME23[[#All],[Advanced Network/Insurance Carrier Org ID]],Q160),2)&gt;=ROUND(SUMIFS(AN_TME23[[#All],[TOTAL Truncated Unadjusted Claims Expenses (A21 -A19)]], AN_TME23[[#All],[Insurance Category Code]],3, AN_TME23[[#All],[Advanced Network/Insurance Carrier Org ID]],Q160), 2)</f>
        <v>1</v>
      </c>
      <c r="AD160" s="295" t="b">
        <f>ROUND(SUMIFS(AN_TME23[[#All],[TOTAL Truncated Unadjusted Claims Expenses (A21 -A19)]], AN_TME23[[#All],[Insurance Category Code]],3, AN_TME23[[#All],[Advanced Network/Insurance Carrier Org ID]],Q160)+SUMIFS(AN_TME23[[#All],[Total Claims Excluded because of Truncation]], AN_TME23[[#All],[Insurance Category Code]],3, AN_TME23[[#All],[Advanced Network/Insurance Carrier Org ID]],Q160),2)=ROUND(SUMIFS(AN_TME23[[#All],[TOTAL Non-Truncated Unadjusted Claims Expenses]], AN_TME23[[#All],[Insurance Category Code]],3, AN_TME23[[#All],[Advanced Network/Insurance Carrier Org ID]],Q160),2)</f>
        <v>1</v>
      </c>
      <c r="AF160" s="323" t="str">
        <f t="shared" si="17"/>
        <v>NA</v>
      </c>
    </row>
    <row r="161" spans="2:32" outlineLevel="1" x14ac:dyDescent="0.25">
      <c r="B161" s="236">
        <v>102</v>
      </c>
      <c r="C161" s="463">
        <f>ROUND(SUMIFS(Age_Sex22[[#All],[Total Member Months by Age/Sex Band]], Age_Sex22[[#All],[Advanced Network ID]], $B161, Age_Sex22[[#All],[Insurance Category Code]],3),2)</f>
        <v>0</v>
      </c>
      <c r="D161" s="268">
        <f>ROUND(SUMIFS(Age_Sex22[[#All],[Total Dollars Excluded from Spending After Applying Truncation at the Member Level]], Age_Sex22[[#All],[Advanced Network ID]], $B161, Age_Sex22[[#All],[Insurance Category Code]],3),2)</f>
        <v>0</v>
      </c>
      <c r="E161" s="229">
        <f>ROUND(SUMIFS(Age_Sex22[[#All],[Count of Members whose Spending was Truncated]], Age_Sex22[[#All],[Advanced Network ID]], $B161, Age_Sex22[[#All],[Insurance Category Code]],3),2)</f>
        <v>0</v>
      </c>
      <c r="F161" s="230">
        <f>ROUND(SUMIFS(Age_Sex22[[#All],[Total Spending before Truncation is Applied]], Age_Sex22[[#All],[Advanced Network ID]], $B161, Age_Sex22[[#All],[Insurance Category Code]],3),2)</f>
        <v>0</v>
      </c>
      <c r="G161" s="232">
        <f>ROUND(SUMIFS(Age_Sex22[[#All],[Total Spending After Applying Truncation at the Member Level]], Age_Sex22[[#All],[Advanced Network ID]], $B161, Age_Sex22[[#All],[Insurance Category Code]],3), 2)</f>
        <v>0</v>
      </c>
      <c r="H161" s="416" t="str">
        <f>IF(C161=ROUND(SUMIFS(AN_TME22[[#All],[Member Months]], AN_TME22[[#All],[Insurance Category Code]],3, AN_TME22[[#All],[Advanced Network/Insurance Carrier Org ID]],B161),2), "TRUE", ROUND(C161-SUMIFS(AN_TME22[[#All],[Member Months]], AN_TME22[[#All],[Insurance Category Code]],3, AN_TME22[[#All],[Advanced Network/Insurance Carrier Org ID]],B161),2))</f>
        <v>TRUE</v>
      </c>
      <c r="I161" s="280" t="str">
        <f>IF(D161=ROUND(SUMIFS(AN_TME22[[#All],[Total Claims Excluded because of Truncation]], AN_TME22[[#All],[Insurance Category Code]],3, AN_TME22[[#All],[Advanced Network/Insurance Carrier Org ID]],B161),2), "TRUE", ROUND(D161-SUMIFS(AN_TME22[[#All],[Total Claims Excluded because of Truncation]], AN_TME22[[#All],[Insurance Category Code]],3, AN_TME22[[#All],[Advanced Network/Insurance Carrier Org ID]],B161),2))</f>
        <v>TRUE</v>
      </c>
      <c r="J161" s="281" t="str">
        <f>IF(E161=ROUND(SUMIFS(AN_TME22[[#All],[Count of Members with Claims Truncated]], AN_TME22[[#All],[Insurance Category Code]],3, AN_TME22[[#All],[Advanced Network/Insurance Carrier Org ID]],B161),2), "TRUE", ROUND(E161-SUMIFS(AN_TME22[[#All],[Count of Members with Claims Truncated]], AN_TME22[[#All],[Insurance Category Code]],3, AN_TME22[[#All],[Advanced Network/Insurance Carrier Org ID]],B161),2))</f>
        <v>TRUE</v>
      </c>
      <c r="K161" s="282" t="str">
        <f>IF(F161=ROUND(SUMIFS(AN_TME22[[#All],[TOTAL Non-Truncated Unadjusted Claims Expenses]], AN_TME22[[#All],[Insurance Category Code]],3, AN_TME22[[#All],[Advanced Network/Insurance Carrier Org ID]],B161),2), "TRUE", ROUND(F161-SUMIFS(AN_TME22[[#All],[TOTAL Non-Truncated Unadjusted Claims Expenses]], AN_TME22[[#All],[Insurance Category Code]],3, AN_TME22[[#All],[Advanced Network/Insurance Carrier Org ID]],B161),2))</f>
        <v>TRUE</v>
      </c>
      <c r="L161" s="295" t="str">
        <f>IF(G161=ROUND(SUMIFS(AN_TME22[[#All],[TOTAL Truncated Unadjusted Claims Expenses (A21 -A19)]], AN_TME22[[#All],[Insurance Category Code]],3, AN_TME22[[#All],[Advanced Network/Insurance Carrier Org ID]],B161),2), "TRUE", ROUND(G161-SUMIFS(AN_TME22[[#All],[TOTAL Truncated Unadjusted Claims Expenses (A21 -A19)]], AN_TME22[[#All],[Insurance Category Code]],3, AN_TME22[[#All],[Advanced Network/Insurance Carrier Org ID]],B161),2))</f>
        <v>TRUE</v>
      </c>
      <c r="M161" s="461" t="str">
        <f t="shared" si="15"/>
        <v>TRUE</v>
      </c>
      <c r="N161" s="282" t="b">
        <f>ROUND(SUMIFS(AN_TME22[[#All],[TOTAL Non-Truncated Unadjusted Claims Expenses]], AN_TME22[[#All],[Insurance Category Code]],3, AN_TME22[[#All],[Advanced Network/Insurance Carrier Org ID]],B161),2)&gt;=ROUND(SUMIFS(AN_TME22[[#All],[TOTAL Truncated Unadjusted Claims Expenses (A21 -A19)]], AN_TME22[[#All],[Insurance Category Code]],3, AN_TME22[[#All],[Advanced Network/Insurance Carrier Org ID]],B161),2)</f>
        <v>1</v>
      </c>
      <c r="O161" s="295" t="b">
        <f>ROUND(SUMIFS(AN_TME22[[#All],[TOTAL Truncated Unadjusted Claims Expenses (A21 -A19)]], AN_TME22[[#All],[Insurance Category Code]],3, AN_TME22[[#All],[Advanced Network/Insurance Carrier Org ID]],B161)+SUMIFS(AN_TME22[[#All],[Total Claims Excluded because of Truncation]], AN_TME22[[#All],[Insurance Category Code]],3, AN_TME22[[#All],[Advanced Network/Insurance Carrier Org ID]],B161),2)=ROUND(SUMIFS(AN_TME22[[#All],[TOTAL Non-Truncated Unadjusted Claims Expenses]], AN_TME22[[#All],[Insurance Category Code]],3, AN_TME22[[#All],[Advanced Network/Insurance Carrier Org ID]],B161), 2)</f>
        <v>1</v>
      </c>
      <c r="Q161" s="236">
        <v>102</v>
      </c>
      <c r="R161" s="463">
        <f>ROUND(SUMIFS(Age_Sex23[[#All],[Total Member Months by Age/Sex Band]], Age_Sex23[[#All],[Advanced Network ID]], $Q161, Age_Sex23[[#All],[Insurance Category Code]],3), 2)</f>
        <v>0</v>
      </c>
      <c r="S161" s="268">
        <f>ROUND(SUMIFS(Age_Sex23[[#All],[Total Dollars Excluded from Spending After Applying Truncation at the Member Level]], Age_Sex23[[#All],[Advanced Network ID]], $B161, Age_Sex23[[#All],[Insurance Category Code]],3), 2)</f>
        <v>0</v>
      </c>
      <c r="T161" s="229">
        <f>ROUND(SUMIFS(Age_Sex23[[#All],[Count of Members whose Spending was Truncated]], Age_Sex23[[#All],[Advanced Network ID]], $B161, Age_Sex23[[#All],[Insurance Category Code]],3),2)</f>
        <v>0</v>
      </c>
      <c r="U161" s="230">
        <f>ROUND(SUMIFS(Age_Sex23[[#All],[Total Spending before Truncation is Applied]], Age_Sex23[[#All],[Advanced Network ID]], $B161, Age_Sex23[[#All],[Insurance Category Code]],3),2)</f>
        <v>0</v>
      </c>
      <c r="V161" s="232">
        <f>ROUND(SUMIFS(Age_Sex23[[#All],[Total Spending After Applying Truncation at the Member Level]], Age_Sex23[[#All],[Advanced Network ID]], $B161, Age_Sex23[[#All],[Insurance Category Code]],3),2)</f>
        <v>0</v>
      </c>
      <c r="W161" s="416" t="str">
        <f>IF(R161=ROUND(SUMIFS(AN_TME23[[#All],[Member Months]], AN_TME23[[#All],[Insurance Category Code]],3, AN_TME23[[#All],[Advanced Network/Insurance Carrier Org ID]],Q161),2), "TRUE", ROUND(R161-SUMIFS(AN_TME23[[#All],[Member Months]], AN_TME23[[#All],[Insurance Category Code]],3, AN_TME23[[#All],[Advanced Network/Insurance Carrier Org ID]],Q161),2))</f>
        <v>TRUE</v>
      </c>
      <c r="X161" s="280" t="str">
        <f>IF(S161=ROUND(SUMIFS(AN_TME23[[#All],[Total Claims Excluded because of Truncation]], AN_TME23[[#All],[Insurance Category Code]],3, AN_TME23[[#All],[Advanced Network/Insurance Carrier Org ID]],Q161),2), "TRUE", ROUND(S161-SUMIFS(AN_TME23[[#All],[Total Claims Excluded because of Truncation]], AN_TME23[[#All],[Insurance Category Code]],3, AN_TME23[[#All],[Advanced Network/Insurance Carrier Org ID]],Q161),2))</f>
        <v>TRUE</v>
      </c>
      <c r="Y161" s="281" t="str">
        <f>IF(T161=ROUND(SUMIFS(AN_TME23[[#All],[Count of Members with Claims Truncated]], AN_TME23[[#All],[Insurance Category Code]],3, AN_TME23[[#All],[Advanced Network/Insurance Carrier Org ID]],Q161),2), "TRUE", ROUND(T161-SUMIFS(AN_TME23[[#All],[Count of Members with Claims Truncated]], AN_TME23[[#All],[Insurance Category Code]],3, AN_TME23[[#All],[Advanced Network/Insurance Carrier Org ID]],Q161),2))</f>
        <v>TRUE</v>
      </c>
      <c r="Z161" s="282" t="str">
        <f>IF(U161=ROUND(SUMIFS(AN_TME23[[#All],[TOTAL Non-Truncated Unadjusted Claims Expenses]], AN_TME23[[#All],[Insurance Category Code]],3, AN_TME23[[#All],[Advanced Network/Insurance Carrier Org ID]],Q161),2), "TRUE", ROUND(U161-SUMIFS(AN_TME23[[#All],[TOTAL Non-Truncated Unadjusted Claims Expenses]], AN_TME23[[#All],[Insurance Category Code]],3, AN_TME23[[#All],[Advanced Network/Insurance Carrier Org ID]],Q161), 2))</f>
        <v>TRUE</v>
      </c>
      <c r="AA161" s="295" t="str">
        <f>IF(V161=ROUND(SUMIFS(AN_TME23[[#All],[TOTAL Truncated Unadjusted Claims Expenses (A21 -A19)]], AN_TME23[[#All],[Insurance Category Code]],3, AN_TME23[[#All],[Advanced Network/Insurance Carrier Org ID]],Q161),2), "TRUE", ROUND(V161-SUMIFS(AN_TME23[[#All],[TOTAL Truncated Unadjusted Claims Expenses (A21 -A19)]], AN_TME23[[#All],[Insurance Category Code]],3, AN_TME23[[#All],[Advanced Network/Insurance Carrier Org ID]],Q161), 2))</f>
        <v>TRUE</v>
      </c>
      <c r="AB161" s="461" t="str">
        <f t="shared" si="18"/>
        <v>TRUE</v>
      </c>
      <c r="AC161" s="282" t="b">
        <f>ROUND(SUMIFS(AN_TME23[[#All],[TOTAL Non-Truncated Unadjusted Claims Expenses]], AN_TME23[[#All],[Insurance Category Code]],3, AN_TME23[[#All],[Advanced Network/Insurance Carrier Org ID]],Q161),2)&gt;=ROUND(SUMIFS(AN_TME23[[#All],[TOTAL Truncated Unadjusted Claims Expenses (A21 -A19)]], AN_TME23[[#All],[Insurance Category Code]],3, AN_TME23[[#All],[Advanced Network/Insurance Carrier Org ID]],Q161), 2)</f>
        <v>1</v>
      </c>
      <c r="AD161" s="295" t="b">
        <f>ROUND(SUMIFS(AN_TME23[[#All],[TOTAL Truncated Unadjusted Claims Expenses (A21 -A19)]], AN_TME23[[#All],[Insurance Category Code]],3, AN_TME23[[#All],[Advanced Network/Insurance Carrier Org ID]],Q161)+SUMIFS(AN_TME23[[#All],[Total Claims Excluded because of Truncation]], AN_TME23[[#All],[Insurance Category Code]],3, AN_TME23[[#All],[Advanced Network/Insurance Carrier Org ID]],Q161),2)=ROUND(SUMIFS(AN_TME23[[#All],[TOTAL Non-Truncated Unadjusted Claims Expenses]], AN_TME23[[#All],[Insurance Category Code]],3, AN_TME23[[#All],[Advanced Network/Insurance Carrier Org ID]],Q161),2)</f>
        <v>1</v>
      </c>
      <c r="AF161" s="323" t="str">
        <f t="shared" si="17"/>
        <v>NA</v>
      </c>
    </row>
    <row r="162" spans="2:32" outlineLevel="1" x14ac:dyDescent="0.25">
      <c r="B162" s="236">
        <v>103</v>
      </c>
      <c r="C162" s="463">
        <f>ROUND(SUMIFS(Age_Sex22[[#All],[Total Member Months by Age/Sex Band]], Age_Sex22[[#All],[Advanced Network ID]], $B162, Age_Sex22[[#All],[Insurance Category Code]],3),2)</f>
        <v>0</v>
      </c>
      <c r="D162" s="268">
        <f>ROUND(SUMIFS(Age_Sex22[[#All],[Total Dollars Excluded from Spending After Applying Truncation at the Member Level]], Age_Sex22[[#All],[Advanced Network ID]], $B162, Age_Sex22[[#All],[Insurance Category Code]],3),2)</f>
        <v>0</v>
      </c>
      <c r="E162" s="229">
        <f>ROUND(SUMIFS(Age_Sex22[[#All],[Count of Members whose Spending was Truncated]], Age_Sex22[[#All],[Advanced Network ID]], $B162, Age_Sex22[[#All],[Insurance Category Code]],3),2)</f>
        <v>0</v>
      </c>
      <c r="F162" s="230">
        <f>ROUND(SUMIFS(Age_Sex22[[#All],[Total Spending before Truncation is Applied]], Age_Sex22[[#All],[Advanced Network ID]], $B162, Age_Sex22[[#All],[Insurance Category Code]],3),2)</f>
        <v>0</v>
      </c>
      <c r="G162" s="232">
        <f>ROUND(SUMIFS(Age_Sex22[[#All],[Total Spending After Applying Truncation at the Member Level]], Age_Sex22[[#All],[Advanced Network ID]], $B162, Age_Sex22[[#All],[Insurance Category Code]],3), 2)</f>
        <v>0</v>
      </c>
      <c r="H162" s="416" t="str">
        <f>IF(C162=ROUND(SUMIFS(AN_TME22[[#All],[Member Months]], AN_TME22[[#All],[Insurance Category Code]],3, AN_TME22[[#All],[Advanced Network/Insurance Carrier Org ID]],B162),2), "TRUE", ROUND(C162-SUMIFS(AN_TME22[[#All],[Member Months]], AN_TME22[[#All],[Insurance Category Code]],3, AN_TME22[[#All],[Advanced Network/Insurance Carrier Org ID]],B162),2))</f>
        <v>TRUE</v>
      </c>
      <c r="I162" s="280" t="str">
        <f>IF(D162=ROUND(SUMIFS(AN_TME22[[#All],[Total Claims Excluded because of Truncation]], AN_TME22[[#All],[Insurance Category Code]],3, AN_TME22[[#All],[Advanced Network/Insurance Carrier Org ID]],B162),2), "TRUE", ROUND(D162-SUMIFS(AN_TME22[[#All],[Total Claims Excluded because of Truncation]], AN_TME22[[#All],[Insurance Category Code]],3, AN_TME22[[#All],[Advanced Network/Insurance Carrier Org ID]],B162),2))</f>
        <v>TRUE</v>
      </c>
      <c r="J162" s="281" t="str">
        <f>IF(E162=ROUND(SUMIFS(AN_TME22[[#All],[Count of Members with Claims Truncated]], AN_TME22[[#All],[Insurance Category Code]],3, AN_TME22[[#All],[Advanced Network/Insurance Carrier Org ID]],B162),2), "TRUE", ROUND(E162-SUMIFS(AN_TME22[[#All],[Count of Members with Claims Truncated]], AN_TME22[[#All],[Insurance Category Code]],3, AN_TME22[[#All],[Advanced Network/Insurance Carrier Org ID]],B162),2))</f>
        <v>TRUE</v>
      </c>
      <c r="K162" s="282" t="str">
        <f>IF(F162=ROUND(SUMIFS(AN_TME22[[#All],[TOTAL Non-Truncated Unadjusted Claims Expenses]], AN_TME22[[#All],[Insurance Category Code]],3, AN_TME22[[#All],[Advanced Network/Insurance Carrier Org ID]],B162),2), "TRUE", ROUND(F162-SUMIFS(AN_TME22[[#All],[TOTAL Non-Truncated Unadjusted Claims Expenses]], AN_TME22[[#All],[Insurance Category Code]],3, AN_TME22[[#All],[Advanced Network/Insurance Carrier Org ID]],B162),2))</f>
        <v>TRUE</v>
      </c>
      <c r="L162" s="295" t="str">
        <f>IF(G162=ROUND(SUMIFS(AN_TME22[[#All],[TOTAL Truncated Unadjusted Claims Expenses (A21 -A19)]], AN_TME22[[#All],[Insurance Category Code]],3, AN_TME22[[#All],[Advanced Network/Insurance Carrier Org ID]],B162),2), "TRUE", ROUND(G162-SUMIFS(AN_TME22[[#All],[TOTAL Truncated Unadjusted Claims Expenses (A21 -A19)]], AN_TME22[[#All],[Insurance Category Code]],3, AN_TME22[[#All],[Advanced Network/Insurance Carrier Org ID]],B162),2))</f>
        <v>TRUE</v>
      </c>
      <c r="M162" s="461" t="str">
        <f t="shared" si="15"/>
        <v>TRUE</v>
      </c>
      <c r="N162" s="282" t="b">
        <f>ROUND(SUMIFS(AN_TME22[[#All],[TOTAL Non-Truncated Unadjusted Claims Expenses]], AN_TME22[[#All],[Insurance Category Code]],3, AN_TME22[[#All],[Advanced Network/Insurance Carrier Org ID]],B162),2)&gt;=ROUND(SUMIFS(AN_TME22[[#All],[TOTAL Truncated Unadjusted Claims Expenses (A21 -A19)]], AN_TME22[[#All],[Insurance Category Code]],3, AN_TME22[[#All],[Advanced Network/Insurance Carrier Org ID]],B162),2)</f>
        <v>1</v>
      </c>
      <c r="O162" s="295" t="b">
        <f>ROUND(SUMIFS(AN_TME22[[#All],[TOTAL Truncated Unadjusted Claims Expenses (A21 -A19)]], AN_TME22[[#All],[Insurance Category Code]],3, AN_TME22[[#All],[Advanced Network/Insurance Carrier Org ID]],B162)+SUMIFS(AN_TME22[[#All],[Total Claims Excluded because of Truncation]], AN_TME22[[#All],[Insurance Category Code]],3, AN_TME22[[#All],[Advanced Network/Insurance Carrier Org ID]],B162),2)=ROUND(SUMIFS(AN_TME22[[#All],[TOTAL Non-Truncated Unadjusted Claims Expenses]], AN_TME22[[#All],[Insurance Category Code]],3, AN_TME22[[#All],[Advanced Network/Insurance Carrier Org ID]],B162), 2)</f>
        <v>1</v>
      </c>
      <c r="Q162" s="236">
        <v>103</v>
      </c>
      <c r="R162" s="463">
        <f>ROUND(SUMIFS(Age_Sex23[[#All],[Total Member Months by Age/Sex Band]], Age_Sex23[[#All],[Advanced Network ID]], $Q162, Age_Sex23[[#All],[Insurance Category Code]],3), 2)</f>
        <v>0</v>
      </c>
      <c r="S162" s="268">
        <f>ROUND(SUMIFS(Age_Sex23[[#All],[Total Dollars Excluded from Spending After Applying Truncation at the Member Level]], Age_Sex23[[#All],[Advanced Network ID]], $B162, Age_Sex23[[#All],[Insurance Category Code]],3), 2)</f>
        <v>0</v>
      </c>
      <c r="T162" s="229">
        <f>ROUND(SUMIFS(Age_Sex23[[#All],[Count of Members whose Spending was Truncated]], Age_Sex23[[#All],[Advanced Network ID]], $B162, Age_Sex23[[#All],[Insurance Category Code]],3),2)</f>
        <v>0</v>
      </c>
      <c r="U162" s="230">
        <f>ROUND(SUMIFS(Age_Sex23[[#All],[Total Spending before Truncation is Applied]], Age_Sex23[[#All],[Advanced Network ID]], $B162, Age_Sex23[[#All],[Insurance Category Code]],3),2)</f>
        <v>0</v>
      </c>
      <c r="V162" s="232">
        <f>ROUND(SUMIFS(Age_Sex23[[#All],[Total Spending After Applying Truncation at the Member Level]], Age_Sex23[[#All],[Advanced Network ID]], $B162, Age_Sex23[[#All],[Insurance Category Code]],3),2)</f>
        <v>0</v>
      </c>
      <c r="W162" s="416" t="str">
        <f>IF(R162=ROUND(SUMIFS(AN_TME23[[#All],[Member Months]], AN_TME23[[#All],[Insurance Category Code]],3, AN_TME23[[#All],[Advanced Network/Insurance Carrier Org ID]],Q162),2), "TRUE", ROUND(R162-SUMIFS(AN_TME23[[#All],[Member Months]], AN_TME23[[#All],[Insurance Category Code]],3, AN_TME23[[#All],[Advanced Network/Insurance Carrier Org ID]],Q162),2))</f>
        <v>TRUE</v>
      </c>
      <c r="X162" s="280" t="str">
        <f>IF(S162=ROUND(SUMIFS(AN_TME23[[#All],[Total Claims Excluded because of Truncation]], AN_TME23[[#All],[Insurance Category Code]],3, AN_TME23[[#All],[Advanced Network/Insurance Carrier Org ID]],Q162),2), "TRUE", ROUND(S162-SUMIFS(AN_TME23[[#All],[Total Claims Excluded because of Truncation]], AN_TME23[[#All],[Insurance Category Code]],3, AN_TME23[[#All],[Advanced Network/Insurance Carrier Org ID]],Q162),2))</f>
        <v>TRUE</v>
      </c>
      <c r="Y162" s="281" t="str">
        <f>IF(T162=ROUND(SUMIFS(AN_TME23[[#All],[Count of Members with Claims Truncated]], AN_TME23[[#All],[Insurance Category Code]],3, AN_TME23[[#All],[Advanced Network/Insurance Carrier Org ID]],Q162),2), "TRUE", ROUND(T162-SUMIFS(AN_TME23[[#All],[Count of Members with Claims Truncated]], AN_TME23[[#All],[Insurance Category Code]],3, AN_TME23[[#All],[Advanced Network/Insurance Carrier Org ID]],Q162),2))</f>
        <v>TRUE</v>
      </c>
      <c r="Z162" s="282" t="str">
        <f>IF(U162=ROUND(SUMIFS(AN_TME23[[#All],[TOTAL Non-Truncated Unadjusted Claims Expenses]], AN_TME23[[#All],[Insurance Category Code]],3, AN_TME23[[#All],[Advanced Network/Insurance Carrier Org ID]],Q162),2), "TRUE", ROUND(U162-SUMIFS(AN_TME23[[#All],[TOTAL Non-Truncated Unadjusted Claims Expenses]], AN_TME23[[#All],[Insurance Category Code]],3, AN_TME23[[#All],[Advanced Network/Insurance Carrier Org ID]],Q162), 2))</f>
        <v>TRUE</v>
      </c>
      <c r="AA162" s="295" t="str">
        <f>IF(V162=ROUND(SUMIFS(AN_TME23[[#All],[TOTAL Truncated Unadjusted Claims Expenses (A21 -A19)]], AN_TME23[[#All],[Insurance Category Code]],3, AN_TME23[[#All],[Advanced Network/Insurance Carrier Org ID]],Q162),2), "TRUE", ROUND(V162-SUMIFS(AN_TME23[[#All],[TOTAL Truncated Unadjusted Claims Expenses (A21 -A19)]], AN_TME23[[#All],[Insurance Category Code]],3, AN_TME23[[#All],[Advanced Network/Insurance Carrier Org ID]],Q162), 2))</f>
        <v>TRUE</v>
      </c>
      <c r="AB162" s="461" t="str">
        <f t="shared" si="18"/>
        <v>TRUE</v>
      </c>
      <c r="AC162" s="282" t="b">
        <f>ROUND(SUMIFS(AN_TME23[[#All],[TOTAL Non-Truncated Unadjusted Claims Expenses]], AN_TME23[[#All],[Insurance Category Code]],3, AN_TME23[[#All],[Advanced Network/Insurance Carrier Org ID]],Q162),2)&gt;=ROUND(SUMIFS(AN_TME23[[#All],[TOTAL Truncated Unadjusted Claims Expenses (A21 -A19)]], AN_TME23[[#All],[Insurance Category Code]],3, AN_TME23[[#All],[Advanced Network/Insurance Carrier Org ID]],Q162), 2)</f>
        <v>1</v>
      </c>
      <c r="AD162" s="295" t="b">
        <f>ROUND(SUMIFS(AN_TME23[[#All],[TOTAL Truncated Unadjusted Claims Expenses (A21 -A19)]], AN_TME23[[#All],[Insurance Category Code]],3, AN_TME23[[#All],[Advanced Network/Insurance Carrier Org ID]],Q162)+SUMIFS(AN_TME23[[#All],[Total Claims Excluded because of Truncation]], AN_TME23[[#All],[Insurance Category Code]],3, AN_TME23[[#All],[Advanced Network/Insurance Carrier Org ID]],Q162),2)=ROUND(SUMIFS(AN_TME23[[#All],[TOTAL Non-Truncated Unadjusted Claims Expenses]], AN_TME23[[#All],[Insurance Category Code]],3, AN_TME23[[#All],[Advanced Network/Insurance Carrier Org ID]],Q162),2)</f>
        <v>1</v>
      </c>
      <c r="AF162" s="323" t="str">
        <f t="shared" si="17"/>
        <v>NA</v>
      </c>
    </row>
    <row r="163" spans="2:32" outlineLevel="1" x14ac:dyDescent="0.25">
      <c r="B163" s="236">
        <v>104</v>
      </c>
      <c r="C163" s="463">
        <f>ROUND(SUMIFS(Age_Sex22[[#All],[Total Member Months by Age/Sex Band]], Age_Sex22[[#All],[Advanced Network ID]], $B163, Age_Sex22[[#All],[Insurance Category Code]],3),2)</f>
        <v>0</v>
      </c>
      <c r="D163" s="268">
        <f>ROUND(SUMIFS(Age_Sex22[[#All],[Total Dollars Excluded from Spending After Applying Truncation at the Member Level]], Age_Sex22[[#All],[Advanced Network ID]], $B163, Age_Sex22[[#All],[Insurance Category Code]],3),2)</f>
        <v>0</v>
      </c>
      <c r="E163" s="229">
        <f>ROUND(SUMIFS(Age_Sex22[[#All],[Count of Members whose Spending was Truncated]], Age_Sex22[[#All],[Advanced Network ID]], $B163, Age_Sex22[[#All],[Insurance Category Code]],3),2)</f>
        <v>0</v>
      </c>
      <c r="F163" s="230">
        <f>ROUND(SUMIFS(Age_Sex22[[#All],[Total Spending before Truncation is Applied]], Age_Sex22[[#All],[Advanced Network ID]], $B163, Age_Sex22[[#All],[Insurance Category Code]],3),2)</f>
        <v>0</v>
      </c>
      <c r="G163" s="232">
        <f>ROUND(SUMIFS(Age_Sex22[[#All],[Total Spending After Applying Truncation at the Member Level]], Age_Sex22[[#All],[Advanced Network ID]], $B163, Age_Sex22[[#All],[Insurance Category Code]],3), 2)</f>
        <v>0</v>
      </c>
      <c r="H163" s="416" t="str">
        <f>IF(C163=ROUND(SUMIFS(AN_TME22[[#All],[Member Months]], AN_TME22[[#All],[Insurance Category Code]],3, AN_TME22[[#All],[Advanced Network/Insurance Carrier Org ID]],B163),2), "TRUE", ROUND(C163-SUMIFS(AN_TME22[[#All],[Member Months]], AN_TME22[[#All],[Insurance Category Code]],3, AN_TME22[[#All],[Advanced Network/Insurance Carrier Org ID]],B163),2))</f>
        <v>TRUE</v>
      </c>
      <c r="I163" s="280" t="str">
        <f>IF(D163=ROUND(SUMIFS(AN_TME22[[#All],[Total Claims Excluded because of Truncation]], AN_TME22[[#All],[Insurance Category Code]],3, AN_TME22[[#All],[Advanced Network/Insurance Carrier Org ID]],B163),2), "TRUE", ROUND(D163-SUMIFS(AN_TME22[[#All],[Total Claims Excluded because of Truncation]], AN_TME22[[#All],[Insurance Category Code]],3, AN_TME22[[#All],[Advanced Network/Insurance Carrier Org ID]],B163),2))</f>
        <v>TRUE</v>
      </c>
      <c r="J163" s="281" t="str">
        <f>IF(E163=ROUND(SUMIFS(AN_TME22[[#All],[Count of Members with Claims Truncated]], AN_TME22[[#All],[Insurance Category Code]],3, AN_TME22[[#All],[Advanced Network/Insurance Carrier Org ID]],B163),2), "TRUE", ROUND(E163-SUMIFS(AN_TME22[[#All],[Count of Members with Claims Truncated]], AN_TME22[[#All],[Insurance Category Code]],3, AN_TME22[[#All],[Advanced Network/Insurance Carrier Org ID]],B163),2))</f>
        <v>TRUE</v>
      </c>
      <c r="K163" s="282" t="str">
        <f>IF(F163=ROUND(SUMIFS(AN_TME22[[#All],[TOTAL Non-Truncated Unadjusted Claims Expenses]], AN_TME22[[#All],[Insurance Category Code]],3, AN_TME22[[#All],[Advanced Network/Insurance Carrier Org ID]],B163),2), "TRUE", ROUND(F163-SUMIFS(AN_TME22[[#All],[TOTAL Non-Truncated Unadjusted Claims Expenses]], AN_TME22[[#All],[Insurance Category Code]],3, AN_TME22[[#All],[Advanced Network/Insurance Carrier Org ID]],B163),2))</f>
        <v>TRUE</v>
      </c>
      <c r="L163" s="295" t="str">
        <f>IF(G163=ROUND(SUMIFS(AN_TME22[[#All],[TOTAL Truncated Unadjusted Claims Expenses (A21 -A19)]], AN_TME22[[#All],[Insurance Category Code]],3, AN_TME22[[#All],[Advanced Network/Insurance Carrier Org ID]],B163),2), "TRUE", ROUND(G163-SUMIFS(AN_TME22[[#All],[TOTAL Truncated Unadjusted Claims Expenses (A21 -A19)]], AN_TME22[[#All],[Insurance Category Code]],3, AN_TME22[[#All],[Advanced Network/Insurance Carrier Org ID]],B163),2))</f>
        <v>TRUE</v>
      </c>
      <c r="M163" s="461" t="str">
        <f t="shared" si="15"/>
        <v>TRUE</v>
      </c>
      <c r="N163" s="282" t="b">
        <f>ROUND(SUMIFS(AN_TME22[[#All],[TOTAL Non-Truncated Unadjusted Claims Expenses]], AN_TME22[[#All],[Insurance Category Code]],3, AN_TME22[[#All],[Advanced Network/Insurance Carrier Org ID]],B163),2)&gt;=ROUND(SUMIFS(AN_TME22[[#All],[TOTAL Truncated Unadjusted Claims Expenses (A21 -A19)]], AN_TME22[[#All],[Insurance Category Code]],3, AN_TME22[[#All],[Advanced Network/Insurance Carrier Org ID]],B163),2)</f>
        <v>1</v>
      </c>
      <c r="O163" s="295" t="b">
        <f>ROUND(SUMIFS(AN_TME22[[#All],[TOTAL Truncated Unadjusted Claims Expenses (A21 -A19)]], AN_TME22[[#All],[Insurance Category Code]],3, AN_TME22[[#All],[Advanced Network/Insurance Carrier Org ID]],B163)+SUMIFS(AN_TME22[[#All],[Total Claims Excluded because of Truncation]], AN_TME22[[#All],[Insurance Category Code]],3, AN_TME22[[#All],[Advanced Network/Insurance Carrier Org ID]],B163),2)=ROUND(SUMIFS(AN_TME22[[#All],[TOTAL Non-Truncated Unadjusted Claims Expenses]], AN_TME22[[#All],[Insurance Category Code]],3, AN_TME22[[#All],[Advanced Network/Insurance Carrier Org ID]],B163), 2)</f>
        <v>1</v>
      </c>
      <c r="Q163" s="236">
        <v>104</v>
      </c>
      <c r="R163" s="463">
        <f>ROUND(SUMIFS(Age_Sex23[[#All],[Total Member Months by Age/Sex Band]], Age_Sex23[[#All],[Advanced Network ID]], $Q163, Age_Sex23[[#All],[Insurance Category Code]],3), 2)</f>
        <v>0</v>
      </c>
      <c r="S163" s="268">
        <f>ROUND(SUMIFS(Age_Sex23[[#All],[Total Dollars Excluded from Spending After Applying Truncation at the Member Level]], Age_Sex23[[#All],[Advanced Network ID]], $B163, Age_Sex23[[#All],[Insurance Category Code]],3), 2)</f>
        <v>0</v>
      </c>
      <c r="T163" s="229">
        <f>ROUND(SUMIFS(Age_Sex23[[#All],[Count of Members whose Spending was Truncated]], Age_Sex23[[#All],[Advanced Network ID]], $B163, Age_Sex23[[#All],[Insurance Category Code]],3),2)</f>
        <v>0</v>
      </c>
      <c r="U163" s="230">
        <f>ROUND(SUMIFS(Age_Sex23[[#All],[Total Spending before Truncation is Applied]], Age_Sex23[[#All],[Advanced Network ID]], $B163, Age_Sex23[[#All],[Insurance Category Code]],3),2)</f>
        <v>0</v>
      </c>
      <c r="V163" s="232">
        <f>ROUND(SUMIFS(Age_Sex23[[#All],[Total Spending After Applying Truncation at the Member Level]], Age_Sex23[[#All],[Advanced Network ID]], $B163, Age_Sex23[[#All],[Insurance Category Code]],3),2)</f>
        <v>0</v>
      </c>
      <c r="W163" s="416" t="str">
        <f>IF(R163=ROUND(SUMIFS(AN_TME23[[#All],[Member Months]], AN_TME23[[#All],[Insurance Category Code]],3, AN_TME23[[#All],[Advanced Network/Insurance Carrier Org ID]],Q163),2), "TRUE", ROUND(R163-SUMIFS(AN_TME23[[#All],[Member Months]], AN_TME23[[#All],[Insurance Category Code]],3, AN_TME23[[#All],[Advanced Network/Insurance Carrier Org ID]],Q163),2))</f>
        <v>TRUE</v>
      </c>
      <c r="X163" s="280" t="str">
        <f>IF(S163=ROUND(SUMIFS(AN_TME23[[#All],[Total Claims Excluded because of Truncation]], AN_TME23[[#All],[Insurance Category Code]],3, AN_TME23[[#All],[Advanced Network/Insurance Carrier Org ID]],Q163),2), "TRUE", ROUND(S163-SUMIFS(AN_TME23[[#All],[Total Claims Excluded because of Truncation]], AN_TME23[[#All],[Insurance Category Code]],3, AN_TME23[[#All],[Advanced Network/Insurance Carrier Org ID]],Q163),2))</f>
        <v>TRUE</v>
      </c>
      <c r="Y163" s="281" t="str">
        <f>IF(T163=ROUND(SUMIFS(AN_TME23[[#All],[Count of Members with Claims Truncated]], AN_TME23[[#All],[Insurance Category Code]],3, AN_TME23[[#All],[Advanced Network/Insurance Carrier Org ID]],Q163),2), "TRUE", ROUND(T163-SUMIFS(AN_TME23[[#All],[Count of Members with Claims Truncated]], AN_TME23[[#All],[Insurance Category Code]],3, AN_TME23[[#All],[Advanced Network/Insurance Carrier Org ID]],Q163),2))</f>
        <v>TRUE</v>
      </c>
      <c r="Z163" s="282" t="str">
        <f>IF(U163=ROUND(SUMIFS(AN_TME23[[#All],[TOTAL Non-Truncated Unadjusted Claims Expenses]], AN_TME23[[#All],[Insurance Category Code]],3, AN_TME23[[#All],[Advanced Network/Insurance Carrier Org ID]],Q163),2), "TRUE", ROUND(U163-SUMIFS(AN_TME23[[#All],[TOTAL Non-Truncated Unadjusted Claims Expenses]], AN_TME23[[#All],[Insurance Category Code]],3, AN_TME23[[#All],[Advanced Network/Insurance Carrier Org ID]],Q163), 2))</f>
        <v>TRUE</v>
      </c>
      <c r="AA163" s="295" t="str">
        <f>IF(V163=ROUND(SUMIFS(AN_TME23[[#All],[TOTAL Truncated Unadjusted Claims Expenses (A21 -A19)]], AN_TME23[[#All],[Insurance Category Code]],3, AN_TME23[[#All],[Advanced Network/Insurance Carrier Org ID]],Q163),2), "TRUE", ROUND(V163-SUMIFS(AN_TME23[[#All],[TOTAL Truncated Unadjusted Claims Expenses (A21 -A19)]], AN_TME23[[#All],[Insurance Category Code]],3, AN_TME23[[#All],[Advanced Network/Insurance Carrier Org ID]],Q163), 2))</f>
        <v>TRUE</v>
      </c>
      <c r="AB163" s="461" t="str">
        <f t="shared" si="18"/>
        <v>TRUE</v>
      </c>
      <c r="AC163" s="282" t="b">
        <f>ROUND(SUMIFS(AN_TME23[[#All],[TOTAL Non-Truncated Unadjusted Claims Expenses]], AN_TME23[[#All],[Insurance Category Code]],3, AN_TME23[[#All],[Advanced Network/Insurance Carrier Org ID]],Q163),2)&gt;=ROUND(SUMIFS(AN_TME23[[#All],[TOTAL Truncated Unadjusted Claims Expenses (A21 -A19)]], AN_TME23[[#All],[Insurance Category Code]],3, AN_TME23[[#All],[Advanced Network/Insurance Carrier Org ID]],Q163), 2)</f>
        <v>1</v>
      </c>
      <c r="AD163" s="295" t="b">
        <f>ROUND(SUMIFS(AN_TME23[[#All],[TOTAL Truncated Unadjusted Claims Expenses (A21 -A19)]], AN_TME23[[#All],[Insurance Category Code]],3, AN_TME23[[#All],[Advanced Network/Insurance Carrier Org ID]],Q163)+SUMIFS(AN_TME23[[#All],[Total Claims Excluded because of Truncation]], AN_TME23[[#All],[Insurance Category Code]],3, AN_TME23[[#All],[Advanced Network/Insurance Carrier Org ID]],Q163),2)=ROUND(SUMIFS(AN_TME23[[#All],[TOTAL Non-Truncated Unadjusted Claims Expenses]], AN_TME23[[#All],[Insurance Category Code]],3, AN_TME23[[#All],[Advanced Network/Insurance Carrier Org ID]],Q163),2)</f>
        <v>1</v>
      </c>
      <c r="AF163" s="323" t="str">
        <f t="shared" si="17"/>
        <v>NA</v>
      </c>
    </row>
    <row r="164" spans="2:32" outlineLevel="1" x14ac:dyDescent="0.25">
      <c r="B164" s="236">
        <v>105</v>
      </c>
      <c r="C164" s="463">
        <f>ROUND(SUMIFS(Age_Sex22[[#All],[Total Member Months by Age/Sex Band]], Age_Sex22[[#All],[Advanced Network ID]], $B164, Age_Sex22[[#All],[Insurance Category Code]],3),2)</f>
        <v>0</v>
      </c>
      <c r="D164" s="268">
        <f>ROUND(SUMIFS(Age_Sex22[[#All],[Total Dollars Excluded from Spending After Applying Truncation at the Member Level]], Age_Sex22[[#All],[Advanced Network ID]], $B164, Age_Sex22[[#All],[Insurance Category Code]],3),2)</f>
        <v>0</v>
      </c>
      <c r="E164" s="229">
        <f>ROUND(SUMIFS(Age_Sex22[[#All],[Count of Members whose Spending was Truncated]], Age_Sex22[[#All],[Advanced Network ID]], $B164, Age_Sex22[[#All],[Insurance Category Code]],3),2)</f>
        <v>0</v>
      </c>
      <c r="F164" s="230">
        <f>ROUND(SUMIFS(Age_Sex22[[#All],[Total Spending before Truncation is Applied]], Age_Sex22[[#All],[Advanced Network ID]], $B164, Age_Sex22[[#All],[Insurance Category Code]],3),2)</f>
        <v>0</v>
      </c>
      <c r="G164" s="232">
        <f>ROUND(SUMIFS(Age_Sex22[[#All],[Total Spending After Applying Truncation at the Member Level]], Age_Sex22[[#All],[Advanced Network ID]], $B164, Age_Sex22[[#All],[Insurance Category Code]],3), 2)</f>
        <v>0</v>
      </c>
      <c r="H164" s="416" t="str">
        <f>IF(C164=ROUND(SUMIFS(AN_TME22[[#All],[Member Months]], AN_TME22[[#All],[Insurance Category Code]],3, AN_TME22[[#All],[Advanced Network/Insurance Carrier Org ID]],B164),2), "TRUE", ROUND(C164-SUMIFS(AN_TME22[[#All],[Member Months]], AN_TME22[[#All],[Insurance Category Code]],3, AN_TME22[[#All],[Advanced Network/Insurance Carrier Org ID]],B164),2))</f>
        <v>TRUE</v>
      </c>
      <c r="I164" s="280" t="str">
        <f>IF(D164=ROUND(SUMIFS(AN_TME22[[#All],[Total Claims Excluded because of Truncation]], AN_TME22[[#All],[Insurance Category Code]],3, AN_TME22[[#All],[Advanced Network/Insurance Carrier Org ID]],B164),2), "TRUE", ROUND(D164-SUMIFS(AN_TME22[[#All],[Total Claims Excluded because of Truncation]], AN_TME22[[#All],[Insurance Category Code]],3, AN_TME22[[#All],[Advanced Network/Insurance Carrier Org ID]],B164),2))</f>
        <v>TRUE</v>
      </c>
      <c r="J164" s="281" t="str">
        <f>IF(E164=ROUND(SUMIFS(AN_TME22[[#All],[Count of Members with Claims Truncated]], AN_TME22[[#All],[Insurance Category Code]],3, AN_TME22[[#All],[Advanced Network/Insurance Carrier Org ID]],B164),2), "TRUE", ROUND(E164-SUMIFS(AN_TME22[[#All],[Count of Members with Claims Truncated]], AN_TME22[[#All],[Insurance Category Code]],3, AN_TME22[[#All],[Advanced Network/Insurance Carrier Org ID]],B164),2))</f>
        <v>TRUE</v>
      </c>
      <c r="K164" s="282" t="str">
        <f>IF(F164=ROUND(SUMIFS(AN_TME22[[#All],[TOTAL Non-Truncated Unadjusted Claims Expenses]], AN_TME22[[#All],[Insurance Category Code]],3, AN_TME22[[#All],[Advanced Network/Insurance Carrier Org ID]],B164),2), "TRUE", ROUND(F164-SUMIFS(AN_TME22[[#All],[TOTAL Non-Truncated Unadjusted Claims Expenses]], AN_TME22[[#All],[Insurance Category Code]],3, AN_TME22[[#All],[Advanced Network/Insurance Carrier Org ID]],B164),2))</f>
        <v>TRUE</v>
      </c>
      <c r="L164" s="295" t="str">
        <f>IF(G164=ROUND(SUMIFS(AN_TME22[[#All],[TOTAL Truncated Unadjusted Claims Expenses (A21 -A19)]], AN_TME22[[#All],[Insurance Category Code]],3, AN_TME22[[#All],[Advanced Network/Insurance Carrier Org ID]],B164),2), "TRUE", ROUND(G164-SUMIFS(AN_TME22[[#All],[TOTAL Truncated Unadjusted Claims Expenses (A21 -A19)]], AN_TME22[[#All],[Insurance Category Code]],3, AN_TME22[[#All],[Advanced Network/Insurance Carrier Org ID]],B164),2))</f>
        <v>TRUE</v>
      </c>
      <c r="M164" s="461" t="str">
        <f t="shared" si="15"/>
        <v>TRUE</v>
      </c>
      <c r="N164" s="282" t="b">
        <f>ROUND(SUMIFS(AN_TME22[[#All],[TOTAL Non-Truncated Unadjusted Claims Expenses]], AN_TME22[[#All],[Insurance Category Code]],3, AN_TME22[[#All],[Advanced Network/Insurance Carrier Org ID]],B164),2)&gt;=ROUND(SUMIFS(AN_TME22[[#All],[TOTAL Truncated Unadjusted Claims Expenses (A21 -A19)]], AN_TME22[[#All],[Insurance Category Code]],3, AN_TME22[[#All],[Advanced Network/Insurance Carrier Org ID]],B164),2)</f>
        <v>1</v>
      </c>
      <c r="O164" s="295" t="b">
        <f>ROUND(SUMIFS(AN_TME22[[#All],[TOTAL Truncated Unadjusted Claims Expenses (A21 -A19)]], AN_TME22[[#All],[Insurance Category Code]],3, AN_TME22[[#All],[Advanced Network/Insurance Carrier Org ID]],B164)+SUMIFS(AN_TME22[[#All],[Total Claims Excluded because of Truncation]], AN_TME22[[#All],[Insurance Category Code]],3, AN_TME22[[#All],[Advanced Network/Insurance Carrier Org ID]],B164),2)=ROUND(SUMIFS(AN_TME22[[#All],[TOTAL Non-Truncated Unadjusted Claims Expenses]], AN_TME22[[#All],[Insurance Category Code]],3, AN_TME22[[#All],[Advanced Network/Insurance Carrier Org ID]],B164), 2)</f>
        <v>1</v>
      </c>
      <c r="Q164" s="236">
        <v>105</v>
      </c>
      <c r="R164" s="463">
        <f>ROUND(SUMIFS(Age_Sex23[[#All],[Total Member Months by Age/Sex Band]], Age_Sex23[[#All],[Advanced Network ID]], $Q164, Age_Sex23[[#All],[Insurance Category Code]],3), 2)</f>
        <v>0</v>
      </c>
      <c r="S164" s="268">
        <f>ROUND(SUMIFS(Age_Sex23[[#All],[Total Dollars Excluded from Spending After Applying Truncation at the Member Level]], Age_Sex23[[#All],[Advanced Network ID]], $B164, Age_Sex23[[#All],[Insurance Category Code]],3), 2)</f>
        <v>0</v>
      </c>
      <c r="T164" s="229">
        <f>ROUND(SUMIFS(Age_Sex23[[#All],[Count of Members whose Spending was Truncated]], Age_Sex23[[#All],[Advanced Network ID]], $B164, Age_Sex23[[#All],[Insurance Category Code]],3),2)</f>
        <v>0</v>
      </c>
      <c r="U164" s="230">
        <f>ROUND(SUMIFS(Age_Sex23[[#All],[Total Spending before Truncation is Applied]], Age_Sex23[[#All],[Advanced Network ID]], $B164, Age_Sex23[[#All],[Insurance Category Code]],3),2)</f>
        <v>0</v>
      </c>
      <c r="V164" s="232">
        <f>ROUND(SUMIFS(Age_Sex23[[#All],[Total Spending After Applying Truncation at the Member Level]], Age_Sex23[[#All],[Advanced Network ID]], $B164, Age_Sex23[[#All],[Insurance Category Code]],3),2)</f>
        <v>0</v>
      </c>
      <c r="W164" s="416" t="str">
        <f>IF(R164=ROUND(SUMIFS(AN_TME23[[#All],[Member Months]], AN_TME23[[#All],[Insurance Category Code]],3, AN_TME23[[#All],[Advanced Network/Insurance Carrier Org ID]],Q164),2), "TRUE", ROUND(R164-SUMIFS(AN_TME23[[#All],[Member Months]], AN_TME23[[#All],[Insurance Category Code]],3, AN_TME23[[#All],[Advanced Network/Insurance Carrier Org ID]],Q164),2))</f>
        <v>TRUE</v>
      </c>
      <c r="X164" s="280" t="str">
        <f>IF(S164=ROUND(SUMIFS(AN_TME23[[#All],[Total Claims Excluded because of Truncation]], AN_TME23[[#All],[Insurance Category Code]],3, AN_TME23[[#All],[Advanced Network/Insurance Carrier Org ID]],Q164),2), "TRUE", ROUND(S164-SUMIFS(AN_TME23[[#All],[Total Claims Excluded because of Truncation]], AN_TME23[[#All],[Insurance Category Code]],3, AN_TME23[[#All],[Advanced Network/Insurance Carrier Org ID]],Q164),2))</f>
        <v>TRUE</v>
      </c>
      <c r="Y164" s="281" t="str">
        <f>IF(T164=ROUND(SUMIFS(AN_TME23[[#All],[Count of Members with Claims Truncated]], AN_TME23[[#All],[Insurance Category Code]],3, AN_TME23[[#All],[Advanced Network/Insurance Carrier Org ID]],Q164),2), "TRUE", ROUND(T164-SUMIFS(AN_TME23[[#All],[Count of Members with Claims Truncated]], AN_TME23[[#All],[Insurance Category Code]],3, AN_TME23[[#All],[Advanced Network/Insurance Carrier Org ID]],Q164),2))</f>
        <v>TRUE</v>
      </c>
      <c r="Z164" s="282" t="str">
        <f>IF(U164=ROUND(SUMIFS(AN_TME23[[#All],[TOTAL Non-Truncated Unadjusted Claims Expenses]], AN_TME23[[#All],[Insurance Category Code]],3, AN_TME23[[#All],[Advanced Network/Insurance Carrier Org ID]],Q164),2), "TRUE", ROUND(U164-SUMIFS(AN_TME23[[#All],[TOTAL Non-Truncated Unadjusted Claims Expenses]], AN_TME23[[#All],[Insurance Category Code]],3, AN_TME23[[#All],[Advanced Network/Insurance Carrier Org ID]],Q164), 2))</f>
        <v>TRUE</v>
      </c>
      <c r="AA164" s="295" t="str">
        <f>IF(V164=ROUND(SUMIFS(AN_TME23[[#All],[TOTAL Truncated Unadjusted Claims Expenses (A21 -A19)]], AN_TME23[[#All],[Insurance Category Code]],3, AN_TME23[[#All],[Advanced Network/Insurance Carrier Org ID]],Q164),2), "TRUE", ROUND(V164-SUMIFS(AN_TME23[[#All],[TOTAL Truncated Unadjusted Claims Expenses (A21 -A19)]], AN_TME23[[#All],[Insurance Category Code]],3, AN_TME23[[#All],[Advanced Network/Insurance Carrier Org ID]],Q164), 2))</f>
        <v>TRUE</v>
      </c>
      <c r="AB164" s="461" t="str">
        <f t="shared" si="18"/>
        <v>TRUE</v>
      </c>
      <c r="AC164" s="282" t="b">
        <f>ROUND(SUMIFS(AN_TME23[[#All],[TOTAL Non-Truncated Unadjusted Claims Expenses]], AN_TME23[[#All],[Insurance Category Code]],3, AN_TME23[[#All],[Advanced Network/Insurance Carrier Org ID]],Q164),2)&gt;=ROUND(SUMIFS(AN_TME23[[#All],[TOTAL Truncated Unadjusted Claims Expenses (A21 -A19)]], AN_TME23[[#All],[Insurance Category Code]],3, AN_TME23[[#All],[Advanced Network/Insurance Carrier Org ID]],Q164), 2)</f>
        <v>1</v>
      </c>
      <c r="AD164" s="295" t="b">
        <f>ROUND(SUMIFS(AN_TME23[[#All],[TOTAL Truncated Unadjusted Claims Expenses (A21 -A19)]], AN_TME23[[#All],[Insurance Category Code]],3, AN_TME23[[#All],[Advanced Network/Insurance Carrier Org ID]],Q164)+SUMIFS(AN_TME23[[#All],[Total Claims Excluded because of Truncation]], AN_TME23[[#All],[Insurance Category Code]],3, AN_TME23[[#All],[Advanced Network/Insurance Carrier Org ID]],Q164),2)=ROUND(SUMIFS(AN_TME23[[#All],[TOTAL Non-Truncated Unadjusted Claims Expenses]], AN_TME23[[#All],[Insurance Category Code]],3, AN_TME23[[#All],[Advanced Network/Insurance Carrier Org ID]],Q164),2)</f>
        <v>1</v>
      </c>
      <c r="AF164" s="323" t="str">
        <f t="shared" si="17"/>
        <v>NA</v>
      </c>
    </row>
    <row r="165" spans="2:32" outlineLevel="1" x14ac:dyDescent="0.25">
      <c r="B165" s="236">
        <v>106</v>
      </c>
      <c r="C165" s="463">
        <f>ROUND(SUMIFS(Age_Sex22[[#All],[Total Member Months by Age/Sex Band]], Age_Sex22[[#All],[Advanced Network ID]], $B165, Age_Sex22[[#All],[Insurance Category Code]],3),2)</f>
        <v>0</v>
      </c>
      <c r="D165" s="268">
        <f>ROUND(SUMIFS(Age_Sex22[[#All],[Total Dollars Excluded from Spending After Applying Truncation at the Member Level]], Age_Sex22[[#All],[Advanced Network ID]], $B165, Age_Sex22[[#All],[Insurance Category Code]],3),2)</f>
        <v>0</v>
      </c>
      <c r="E165" s="229">
        <f>ROUND(SUMIFS(Age_Sex22[[#All],[Count of Members whose Spending was Truncated]], Age_Sex22[[#All],[Advanced Network ID]], $B165, Age_Sex22[[#All],[Insurance Category Code]],3),2)</f>
        <v>0</v>
      </c>
      <c r="F165" s="230">
        <f>ROUND(SUMIFS(Age_Sex22[[#All],[Total Spending before Truncation is Applied]], Age_Sex22[[#All],[Advanced Network ID]], $B165, Age_Sex22[[#All],[Insurance Category Code]],3),2)</f>
        <v>0</v>
      </c>
      <c r="G165" s="232">
        <f>ROUND(SUMIFS(Age_Sex22[[#All],[Total Spending After Applying Truncation at the Member Level]], Age_Sex22[[#All],[Advanced Network ID]], $B165, Age_Sex22[[#All],[Insurance Category Code]],3), 2)</f>
        <v>0</v>
      </c>
      <c r="H165" s="416" t="str">
        <f>IF(C165=ROUND(SUMIFS(AN_TME22[[#All],[Member Months]], AN_TME22[[#All],[Insurance Category Code]],3, AN_TME22[[#All],[Advanced Network/Insurance Carrier Org ID]],B165),2), "TRUE", ROUND(C165-SUMIFS(AN_TME22[[#All],[Member Months]], AN_TME22[[#All],[Insurance Category Code]],3, AN_TME22[[#All],[Advanced Network/Insurance Carrier Org ID]],B165),2))</f>
        <v>TRUE</v>
      </c>
      <c r="I165" s="280" t="str">
        <f>IF(D165=ROUND(SUMIFS(AN_TME22[[#All],[Total Claims Excluded because of Truncation]], AN_TME22[[#All],[Insurance Category Code]],3, AN_TME22[[#All],[Advanced Network/Insurance Carrier Org ID]],B165),2), "TRUE", ROUND(D165-SUMIFS(AN_TME22[[#All],[Total Claims Excluded because of Truncation]], AN_TME22[[#All],[Insurance Category Code]],3, AN_TME22[[#All],[Advanced Network/Insurance Carrier Org ID]],B165),2))</f>
        <v>TRUE</v>
      </c>
      <c r="J165" s="281" t="str">
        <f>IF(E165=ROUND(SUMIFS(AN_TME22[[#All],[Count of Members with Claims Truncated]], AN_TME22[[#All],[Insurance Category Code]],3, AN_TME22[[#All],[Advanced Network/Insurance Carrier Org ID]],B165),2), "TRUE", ROUND(E165-SUMIFS(AN_TME22[[#All],[Count of Members with Claims Truncated]], AN_TME22[[#All],[Insurance Category Code]],3, AN_TME22[[#All],[Advanced Network/Insurance Carrier Org ID]],B165),2))</f>
        <v>TRUE</v>
      </c>
      <c r="K165" s="282" t="str">
        <f>IF(F165=ROUND(SUMIFS(AN_TME22[[#All],[TOTAL Non-Truncated Unadjusted Claims Expenses]], AN_TME22[[#All],[Insurance Category Code]],3, AN_TME22[[#All],[Advanced Network/Insurance Carrier Org ID]],B165),2), "TRUE", ROUND(F165-SUMIFS(AN_TME22[[#All],[TOTAL Non-Truncated Unadjusted Claims Expenses]], AN_TME22[[#All],[Insurance Category Code]],3, AN_TME22[[#All],[Advanced Network/Insurance Carrier Org ID]],B165),2))</f>
        <v>TRUE</v>
      </c>
      <c r="L165" s="295" t="str">
        <f>IF(G165=ROUND(SUMIFS(AN_TME22[[#All],[TOTAL Truncated Unadjusted Claims Expenses (A21 -A19)]], AN_TME22[[#All],[Insurance Category Code]],3, AN_TME22[[#All],[Advanced Network/Insurance Carrier Org ID]],B165),2), "TRUE", ROUND(G165-SUMIFS(AN_TME22[[#All],[TOTAL Truncated Unadjusted Claims Expenses (A21 -A19)]], AN_TME22[[#All],[Insurance Category Code]],3, AN_TME22[[#All],[Advanced Network/Insurance Carrier Org ID]],B165),2))</f>
        <v>TRUE</v>
      </c>
      <c r="M165" s="461" t="str">
        <f t="shared" si="15"/>
        <v>TRUE</v>
      </c>
      <c r="N165" s="282" t="b">
        <f>ROUND(SUMIFS(AN_TME22[[#All],[TOTAL Non-Truncated Unadjusted Claims Expenses]], AN_TME22[[#All],[Insurance Category Code]],3, AN_TME22[[#All],[Advanced Network/Insurance Carrier Org ID]],B165),2)&gt;=ROUND(SUMIFS(AN_TME22[[#All],[TOTAL Truncated Unadjusted Claims Expenses (A21 -A19)]], AN_TME22[[#All],[Insurance Category Code]],3, AN_TME22[[#All],[Advanced Network/Insurance Carrier Org ID]],B165),2)</f>
        <v>1</v>
      </c>
      <c r="O165" s="295" t="b">
        <f>ROUND(SUMIFS(AN_TME22[[#All],[TOTAL Truncated Unadjusted Claims Expenses (A21 -A19)]], AN_TME22[[#All],[Insurance Category Code]],3, AN_TME22[[#All],[Advanced Network/Insurance Carrier Org ID]],B165)+SUMIFS(AN_TME22[[#All],[Total Claims Excluded because of Truncation]], AN_TME22[[#All],[Insurance Category Code]],3, AN_TME22[[#All],[Advanced Network/Insurance Carrier Org ID]],B165),2)=ROUND(SUMIFS(AN_TME22[[#All],[TOTAL Non-Truncated Unadjusted Claims Expenses]], AN_TME22[[#All],[Insurance Category Code]],3, AN_TME22[[#All],[Advanced Network/Insurance Carrier Org ID]],B165), 2)</f>
        <v>1</v>
      </c>
      <c r="Q165" s="236">
        <v>106</v>
      </c>
      <c r="R165" s="463">
        <f>ROUND(SUMIFS(Age_Sex23[[#All],[Total Member Months by Age/Sex Band]], Age_Sex23[[#All],[Advanced Network ID]], $Q165, Age_Sex23[[#All],[Insurance Category Code]],3), 2)</f>
        <v>0</v>
      </c>
      <c r="S165" s="268">
        <f>ROUND(SUMIFS(Age_Sex23[[#All],[Total Dollars Excluded from Spending After Applying Truncation at the Member Level]], Age_Sex23[[#All],[Advanced Network ID]], $B165, Age_Sex23[[#All],[Insurance Category Code]],3), 2)</f>
        <v>0</v>
      </c>
      <c r="T165" s="229">
        <f>ROUND(SUMIFS(Age_Sex23[[#All],[Count of Members whose Spending was Truncated]], Age_Sex23[[#All],[Advanced Network ID]], $B165, Age_Sex23[[#All],[Insurance Category Code]],3),2)</f>
        <v>0</v>
      </c>
      <c r="U165" s="230">
        <f>ROUND(SUMIFS(Age_Sex23[[#All],[Total Spending before Truncation is Applied]], Age_Sex23[[#All],[Advanced Network ID]], $B165, Age_Sex23[[#All],[Insurance Category Code]],3),2)</f>
        <v>0</v>
      </c>
      <c r="V165" s="232">
        <f>ROUND(SUMIFS(Age_Sex23[[#All],[Total Spending After Applying Truncation at the Member Level]], Age_Sex23[[#All],[Advanced Network ID]], $B165, Age_Sex23[[#All],[Insurance Category Code]],3),2)</f>
        <v>0</v>
      </c>
      <c r="W165" s="416" t="str">
        <f>IF(R165=ROUND(SUMIFS(AN_TME23[[#All],[Member Months]], AN_TME23[[#All],[Insurance Category Code]],3, AN_TME23[[#All],[Advanced Network/Insurance Carrier Org ID]],Q165),2), "TRUE", ROUND(R165-SUMIFS(AN_TME23[[#All],[Member Months]], AN_TME23[[#All],[Insurance Category Code]],3, AN_TME23[[#All],[Advanced Network/Insurance Carrier Org ID]],Q165),2))</f>
        <v>TRUE</v>
      </c>
      <c r="X165" s="280" t="str">
        <f>IF(S165=ROUND(SUMIFS(AN_TME23[[#All],[Total Claims Excluded because of Truncation]], AN_TME23[[#All],[Insurance Category Code]],3, AN_TME23[[#All],[Advanced Network/Insurance Carrier Org ID]],Q165),2), "TRUE", ROUND(S165-SUMIFS(AN_TME23[[#All],[Total Claims Excluded because of Truncation]], AN_TME23[[#All],[Insurance Category Code]],3, AN_TME23[[#All],[Advanced Network/Insurance Carrier Org ID]],Q165),2))</f>
        <v>TRUE</v>
      </c>
      <c r="Y165" s="281" t="str">
        <f>IF(T165=ROUND(SUMIFS(AN_TME23[[#All],[Count of Members with Claims Truncated]], AN_TME23[[#All],[Insurance Category Code]],3, AN_TME23[[#All],[Advanced Network/Insurance Carrier Org ID]],Q165),2), "TRUE", ROUND(T165-SUMIFS(AN_TME23[[#All],[Count of Members with Claims Truncated]], AN_TME23[[#All],[Insurance Category Code]],3, AN_TME23[[#All],[Advanced Network/Insurance Carrier Org ID]],Q165),2))</f>
        <v>TRUE</v>
      </c>
      <c r="Z165" s="282" t="str">
        <f>IF(U165=ROUND(SUMIFS(AN_TME23[[#All],[TOTAL Non-Truncated Unadjusted Claims Expenses]], AN_TME23[[#All],[Insurance Category Code]],3, AN_TME23[[#All],[Advanced Network/Insurance Carrier Org ID]],Q165),2), "TRUE", ROUND(U165-SUMIFS(AN_TME23[[#All],[TOTAL Non-Truncated Unadjusted Claims Expenses]], AN_TME23[[#All],[Insurance Category Code]],3, AN_TME23[[#All],[Advanced Network/Insurance Carrier Org ID]],Q165), 2))</f>
        <v>TRUE</v>
      </c>
      <c r="AA165" s="295" t="str">
        <f>IF(V165=ROUND(SUMIFS(AN_TME23[[#All],[TOTAL Truncated Unadjusted Claims Expenses (A21 -A19)]], AN_TME23[[#All],[Insurance Category Code]],3, AN_TME23[[#All],[Advanced Network/Insurance Carrier Org ID]],Q165),2), "TRUE", ROUND(V165-SUMIFS(AN_TME23[[#All],[TOTAL Truncated Unadjusted Claims Expenses (A21 -A19)]], AN_TME23[[#All],[Insurance Category Code]],3, AN_TME23[[#All],[Advanced Network/Insurance Carrier Org ID]],Q165), 2))</f>
        <v>TRUE</v>
      </c>
      <c r="AB165" s="461" t="str">
        <f t="shared" si="18"/>
        <v>TRUE</v>
      </c>
      <c r="AC165" s="282" t="b">
        <f>ROUND(SUMIFS(AN_TME23[[#All],[TOTAL Non-Truncated Unadjusted Claims Expenses]], AN_TME23[[#All],[Insurance Category Code]],3, AN_TME23[[#All],[Advanced Network/Insurance Carrier Org ID]],Q165),2)&gt;=ROUND(SUMIFS(AN_TME23[[#All],[TOTAL Truncated Unadjusted Claims Expenses (A21 -A19)]], AN_TME23[[#All],[Insurance Category Code]],3, AN_TME23[[#All],[Advanced Network/Insurance Carrier Org ID]],Q165), 2)</f>
        <v>1</v>
      </c>
      <c r="AD165" s="295" t="b">
        <f>ROUND(SUMIFS(AN_TME23[[#All],[TOTAL Truncated Unadjusted Claims Expenses (A21 -A19)]], AN_TME23[[#All],[Insurance Category Code]],3, AN_TME23[[#All],[Advanced Network/Insurance Carrier Org ID]],Q165)+SUMIFS(AN_TME23[[#All],[Total Claims Excluded because of Truncation]], AN_TME23[[#All],[Insurance Category Code]],3, AN_TME23[[#All],[Advanced Network/Insurance Carrier Org ID]],Q165),2)=ROUND(SUMIFS(AN_TME23[[#All],[TOTAL Non-Truncated Unadjusted Claims Expenses]], AN_TME23[[#All],[Insurance Category Code]],3, AN_TME23[[#All],[Advanced Network/Insurance Carrier Org ID]],Q165),2)</f>
        <v>1</v>
      </c>
      <c r="AF165" s="323" t="str">
        <f t="shared" si="17"/>
        <v>NA</v>
      </c>
    </row>
    <row r="166" spans="2:32" outlineLevel="1" x14ac:dyDescent="0.25">
      <c r="B166" s="236">
        <v>107</v>
      </c>
      <c r="C166" s="463">
        <f>ROUND(SUMIFS(Age_Sex22[[#All],[Total Member Months by Age/Sex Band]], Age_Sex22[[#All],[Advanced Network ID]], $B166, Age_Sex22[[#All],[Insurance Category Code]],3),2)</f>
        <v>0</v>
      </c>
      <c r="D166" s="268">
        <f>ROUND(SUMIFS(Age_Sex22[[#All],[Total Dollars Excluded from Spending After Applying Truncation at the Member Level]], Age_Sex22[[#All],[Advanced Network ID]], $B166, Age_Sex22[[#All],[Insurance Category Code]],3),2)</f>
        <v>0</v>
      </c>
      <c r="E166" s="229">
        <f>ROUND(SUMIFS(Age_Sex22[[#All],[Count of Members whose Spending was Truncated]], Age_Sex22[[#All],[Advanced Network ID]], $B166, Age_Sex22[[#All],[Insurance Category Code]],3),2)</f>
        <v>0</v>
      </c>
      <c r="F166" s="230">
        <f>ROUND(SUMIFS(Age_Sex22[[#All],[Total Spending before Truncation is Applied]], Age_Sex22[[#All],[Advanced Network ID]], $B166, Age_Sex22[[#All],[Insurance Category Code]],3),2)</f>
        <v>0</v>
      </c>
      <c r="G166" s="232">
        <f>ROUND(SUMIFS(Age_Sex22[[#All],[Total Spending After Applying Truncation at the Member Level]], Age_Sex22[[#All],[Advanced Network ID]], $B166, Age_Sex22[[#All],[Insurance Category Code]],3), 2)</f>
        <v>0</v>
      </c>
      <c r="H166" s="416" t="str">
        <f>IF(C166=ROUND(SUMIFS(AN_TME22[[#All],[Member Months]], AN_TME22[[#All],[Insurance Category Code]],3, AN_TME22[[#All],[Advanced Network/Insurance Carrier Org ID]],B166),2), "TRUE", ROUND(C166-SUMIFS(AN_TME22[[#All],[Member Months]], AN_TME22[[#All],[Insurance Category Code]],3, AN_TME22[[#All],[Advanced Network/Insurance Carrier Org ID]],B166),2))</f>
        <v>TRUE</v>
      </c>
      <c r="I166" s="280" t="str">
        <f>IF(D166=ROUND(SUMIFS(AN_TME22[[#All],[Total Claims Excluded because of Truncation]], AN_TME22[[#All],[Insurance Category Code]],3, AN_TME22[[#All],[Advanced Network/Insurance Carrier Org ID]],B166),2), "TRUE", ROUND(D166-SUMIFS(AN_TME22[[#All],[Total Claims Excluded because of Truncation]], AN_TME22[[#All],[Insurance Category Code]],3, AN_TME22[[#All],[Advanced Network/Insurance Carrier Org ID]],B166),2))</f>
        <v>TRUE</v>
      </c>
      <c r="J166" s="281" t="str">
        <f>IF(E166=ROUND(SUMIFS(AN_TME22[[#All],[Count of Members with Claims Truncated]], AN_TME22[[#All],[Insurance Category Code]],3, AN_TME22[[#All],[Advanced Network/Insurance Carrier Org ID]],B166),2), "TRUE", ROUND(E166-SUMIFS(AN_TME22[[#All],[Count of Members with Claims Truncated]], AN_TME22[[#All],[Insurance Category Code]],3, AN_TME22[[#All],[Advanced Network/Insurance Carrier Org ID]],B166),2))</f>
        <v>TRUE</v>
      </c>
      <c r="K166" s="282" t="str">
        <f>IF(F166=ROUND(SUMIFS(AN_TME22[[#All],[TOTAL Non-Truncated Unadjusted Claims Expenses]], AN_TME22[[#All],[Insurance Category Code]],3, AN_TME22[[#All],[Advanced Network/Insurance Carrier Org ID]],B166),2), "TRUE", ROUND(F166-SUMIFS(AN_TME22[[#All],[TOTAL Non-Truncated Unadjusted Claims Expenses]], AN_TME22[[#All],[Insurance Category Code]],3, AN_TME22[[#All],[Advanced Network/Insurance Carrier Org ID]],B166),2))</f>
        <v>TRUE</v>
      </c>
      <c r="L166" s="295" t="str">
        <f>IF(G166=ROUND(SUMIFS(AN_TME22[[#All],[TOTAL Truncated Unadjusted Claims Expenses (A21 -A19)]], AN_TME22[[#All],[Insurance Category Code]],3, AN_TME22[[#All],[Advanced Network/Insurance Carrier Org ID]],B166),2), "TRUE", ROUND(G166-SUMIFS(AN_TME22[[#All],[TOTAL Truncated Unadjusted Claims Expenses (A21 -A19)]], AN_TME22[[#All],[Insurance Category Code]],3, AN_TME22[[#All],[Advanced Network/Insurance Carrier Org ID]],B166),2))</f>
        <v>TRUE</v>
      </c>
      <c r="M166" s="461" t="str">
        <f t="shared" si="15"/>
        <v>TRUE</v>
      </c>
      <c r="N166" s="282" t="b">
        <f>ROUND(SUMIFS(AN_TME22[[#All],[TOTAL Non-Truncated Unadjusted Claims Expenses]], AN_TME22[[#All],[Insurance Category Code]],3, AN_TME22[[#All],[Advanced Network/Insurance Carrier Org ID]],B166),2)&gt;=ROUND(SUMIFS(AN_TME22[[#All],[TOTAL Truncated Unadjusted Claims Expenses (A21 -A19)]], AN_TME22[[#All],[Insurance Category Code]],3, AN_TME22[[#All],[Advanced Network/Insurance Carrier Org ID]],B166),2)</f>
        <v>1</v>
      </c>
      <c r="O166" s="295" t="b">
        <f>ROUND(SUMIFS(AN_TME22[[#All],[TOTAL Truncated Unadjusted Claims Expenses (A21 -A19)]], AN_TME22[[#All],[Insurance Category Code]],3, AN_TME22[[#All],[Advanced Network/Insurance Carrier Org ID]],B166)+SUMIFS(AN_TME22[[#All],[Total Claims Excluded because of Truncation]], AN_TME22[[#All],[Insurance Category Code]],3, AN_TME22[[#All],[Advanced Network/Insurance Carrier Org ID]],B166),2)=ROUND(SUMIFS(AN_TME22[[#All],[TOTAL Non-Truncated Unadjusted Claims Expenses]], AN_TME22[[#All],[Insurance Category Code]],3, AN_TME22[[#All],[Advanced Network/Insurance Carrier Org ID]],B166), 2)</f>
        <v>1</v>
      </c>
      <c r="Q166" s="236">
        <v>107</v>
      </c>
      <c r="R166" s="463">
        <f>ROUND(SUMIFS(Age_Sex23[[#All],[Total Member Months by Age/Sex Band]], Age_Sex23[[#All],[Advanced Network ID]], $Q166, Age_Sex23[[#All],[Insurance Category Code]],3), 2)</f>
        <v>0</v>
      </c>
      <c r="S166" s="268">
        <f>ROUND(SUMIFS(Age_Sex23[[#All],[Total Dollars Excluded from Spending After Applying Truncation at the Member Level]], Age_Sex23[[#All],[Advanced Network ID]], $B166, Age_Sex23[[#All],[Insurance Category Code]],3), 2)</f>
        <v>0</v>
      </c>
      <c r="T166" s="229">
        <f>ROUND(SUMIFS(Age_Sex23[[#All],[Count of Members whose Spending was Truncated]], Age_Sex23[[#All],[Advanced Network ID]], $B166, Age_Sex23[[#All],[Insurance Category Code]],3),2)</f>
        <v>0</v>
      </c>
      <c r="U166" s="230">
        <f>ROUND(SUMIFS(Age_Sex23[[#All],[Total Spending before Truncation is Applied]], Age_Sex23[[#All],[Advanced Network ID]], $B166, Age_Sex23[[#All],[Insurance Category Code]],3),2)</f>
        <v>0</v>
      </c>
      <c r="V166" s="232">
        <f>ROUND(SUMIFS(Age_Sex23[[#All],[Total Spending After Applying Truncation at the Member Level]], Age_Sex23[[#All],[Advanced Network ID]], $B166, Age_Sex23[[#All],[Insurance Category Code]],3),2)</f>
        <v>0</v>
      </c>
      <c r="W166" s="416" t="str">
        <f>IF(R166=ROUND(SUMIFS(AN_TME23[[#All],[Member Months]], AN_TME23[[#All],[Insurance Category Code]],3, AN_TME23[[#All],[Advanced Network/Insurance Carrier Org ID]],Q166),2), "TRUE", ROUND(R166-SUMIFS(AN_TME23[[#All],[Member Months]], AN_TME23[[#All],[Insurance Category Code]],3, AN_TME23[[#All],[Advanced Network/Insurance Carrier Org ID]],Q166),2))</f>
        <v>TRUE</v>
      </c>
      <c r="X166" s="280" t="str">
        <f>IF(S166=ROUND(SUMIFS(AN_TME23[[#All],[Total Claims Excluded because of Truncation]], AN_TME23[[#All],[Insurance Category Code]],3, AN_TME23[[#All],[Advanced Network/Insurance Carrier Org ID]],Q166),2), "TRUE", ROUND(S166-SUMIFS(AN_TME23[[#All],[Total Claims Excluded because of Truncation]], AN_TME23[[#All],[Insurance Category Code]],3, AN_TME23[[#All],[Advanced Network/Insurance Carrier Org ID]],Q166),2))</f>
        <v>TRUE</v>
      </c>
      <c r="Y166" s="281" t="str">
        <f>IF(T166=ROUND(SUMIFS(AN_TME23[[#All],[Count of Members with Claims Truncated]], AN_TME23[[#All],[Insurance Category Code]],3, AN_TME23[[#All],[Advanced Network/Insurance Carrier Org ID]],Q166),2), "TRUE", ROUND(T166-SUMIFS(AN_TME23[[#All],[Count of Members with Claims Truncated]], AN_TME23[[#All],[Insurance Category Code]],3, AN_TME23[[#All],[Advanced Network/Insurance Carrier Org ID]],Q166),2))</f>
        <v>TRUE</v>
      </c>
      <c r="Z166" s="282" t="str">
        <f>IF(U166=ROUND(SUMIFS(AN_TME23[[#All],[TOTAL Non-Truncated Unadjusted Claims Expenses]], AN_TME23[[#All],[Insurance Category Code]],3, AN_TME23[[#All],[Advanced Network/Insurance Carrier Org ID]],Q166),2), "TRUE", ROUND(U166-SUMIFS(AN_TME23[[#All],[TOTAL Non-Truncated Unadjusted Claims Expenses]], AN_TME23[[#All],[Insurance Category Code]],3, AN_TME23[[#All],[Advanced Network/Insurance Carrier Org ID]],Q166), 2))</f>
        <v>TRUE</v>
      </c>
      <c r="AA166" s="295" t="str">
        <f>IF(V166=ROUND(SUMIFS(AN_TME23[[#All],[TOTAL Truncated Unadjusted Claims Expenses (A21 -A19)]], AN_TME23[[#All],[Insurance Category Code]],3, AN_TME23[[#All],[Advanced Network/Insurance Carrier Org ID]],Q166),2), "TRUE", ROUND(V166-SUMIFS(AN_TME23[[#All],[TOTAL Truncated Unadjusted Claims Expenses (A21 -A19)]], AN_TME23[[#All],[Insurance Category Code]],3, AN_TME23[[#All],[Advanced Network/Insurance Carrier Org ID]],Q166), 2))</f>
        <v>TRUE</v>
      </c>
      <c r="AB166" s="461" t="str">
        <f t="shared" si="18"/>
        <v>TRUE</v>
      </c>
      <c r="AC166" s="282" t="b">
        <f>ROUND(SUMIFS(AN_TME23[[#All],[TOTAL Non-Truncated Unadjusted Claims Expenses]], AN_TME23[[#All],[Insurance Category Code]],3, AN_TME23[[#All],[Advanced Network/Insurance Carrier Org ID]],Q166),2)&gt;=ROUND(SUMIFS(AN_TME23[[#All],[TOTAL Truncated Unadjusted Claims Expenses (A21 -A19)]], AN_TME23[[#All],[Insurance Category Code]],3, AN_TME23[[#All],[Advanced Network/Insurance Carrier Org ID]],Q166), 2)</f>
        <v>1</v>
      </c>
      <c r="AD166" s="295" t="b">
        <f>ROUND(SUMIFS(AN_TME23[[#All],[TOTAL Truncated Unadjusted Claims Expenses (A21 -A19)]], AN_TME23[[#All],[Insurance Category Code]],3, AN_TME23[[#All],[Advanced Network/Insurance Carrier Org ID]],Q166)+SUMIFS(AN_TME23[[#All],[Total Claims Excluded because of Truncation]], AN_TME23[[#All],[Insurance Category Code]],3, AN_TME23[[#All],[Advanced Network/Insurance Carrier Org ID]],Q166),2)=ROUND(SUMIFS(AN_TME23[[#All],[TOTAL Non-Truncated Unadjusted Claims Expenses]], AN_TME23[[#All],[Insurance Category Code]],3, AN_TME23[[#All],[Advanced Network/Insurance Carrier Org ID]],Q166),2)</f>
        <v>1</v>
      </c>
      <c r="AF166" s="323" t="str">
        <f t="shared" si="17"/>
        <v>NA</v>
      </c>
    </row>
    <row r="167" spans="2:32" outlineLevel="1" x14ac:dyDescent="0.25">
      <c r="B167" s="236">
        <v>108</v>
      </c>
      <c r="C167" s="463">
        <f>ROUND(SUMIFS(Age_Sex22[[#All],[Total Member Months by Age/Sex Band]], Age_Sex22[[#All],[Advanced Network ID]], $B167, Age_Sex22[[#All],[Insurance Category Code]],3),2)</f>
        <v>0</v>
      </c>
      <c r="D167" s="268">
        <f>ROUND(SUMIFS(Age_Sex22[[#All],[Total Dollars Excluded from Spending After Applying Truncation at the Member Level]], Age_Sex22[[#All],[Advanced Network ID]], $B167, Age_Sex22[[#All],[Insurance Category Code]],3),2)</f>
        <v>0</v>
      </c>
      <c r="E167" s="229">
        <f>ROUND(SUMIFS(Age_Sex22[[#All],[Count of Members whose Spending was Truncated]], Age_Sex22[[#All],[Advanced Network ID]], $B167, Age_Sex22[[#All],[Insurance Category Code]],3),2)</f>
        <v>0</v>
      </c>
      <c r="F167" s="230">
        <f>ROUND(SUMIFS(Age_Sex22[[#All],[Total Spending before Truncation is Applied]], Age_Sex22[[#All],[Advanced Network ID]], $B167, Age_Sex22[[#All],[Insurance Category Code]],3),2)</f>
        <v>0</v>
      </c>
      <c r="G167" s="232">
        <f>ROUND(SUMIFS(Age_Sex22[[#All],[Total Spending After Applying Truncation at the Member Level]], Age_Sex22[[#All],[Advanced Network ID]], $B167, Age_Sex22[[#All],[Insurance Category Code]],3), 2)</f>
        <v>0</v>
      </c>
      <c r="H167" s="416" t="str">
        <f>IF(C167=ROUND(SUMIFS(AN_TME22[[#All],[Member Months]], AN_TME22[[#All],[Insurance Category Code]],3, AN_TME22[[#All],[Advanced Network/Insurance Carrier Org ID]],B167),2), "TRUE", ROUND(C167-SUMIFS(AN_TME22[[#All],[Member Months]], AN_TME22[[#All],[Insurance Category Code]],3, AN_TME22[[#All],[Advanced Network/Insurance Carrier Org ID]],B167),2))</f>
        <v>TRUE</v>
      </c>
      <c r="I167" s="280" t="str">
        <f>IF(D167=ROUND(SUMIFS(AN_TME22[[#All],[Total Claims Excluded because of Truncation]], AN_TME22[[#All],[Insurance Category Code]],3, AN_TME22[[#All],[Advanced Network/Insurance Carrier Org ID]],B167),2), "TRUE", ROUND(D167-SUMIFS(AN_TME22[[#All],[Total Claims Excluded because of Truncation]], AN_TME22[[#All],[Insurance Category Code]],3, AN_TME22[[#All],[Advanced Network/Insurance Carrier Org ID]],B167),2))</f>
        <v>TRUE</v>
      </c>
      <c r="J167" s="281" t="str">
        <f>IF(E167=ROUND(SUMIFS(AN_TME22[[#All],[Count of Members with Claims Truncated]], AN_TME22[[#All],[Insurance Category Code]],3, AN_TME22[[#All],[Advanced Network/Insurance Carrier Org ID]],B167),2), "TRUE", ROUND(E167-SUMIFS(AN_TME22[[#All],[Count of Members with Claims Truncated]], AN_TME22[[#All],[Insurance Category Code]],3, AN_TME22[[#All],[Advanced Network/Insurance Carrier Org ID]],B167),2))</f>
        <v>TRUE</v>
      </c>
      <c r="K167" s="282" t="str">
        <f>IF(F167=ROUND(SUMIFS(AN_TME22[[#All],[TOTAL Non-Truncated Unadjusted Claims Expenses]], AN_TME22[[#All],[Insurance Category Code]],3, AN_TME22[[#All],[Advanced Network/Insurance Carrier Org ID]],B167),2), "TRUE", ROUND(F167-SUMIFS(AN_TME22[[#All],[TOTAL Non-Truncated Unadjusted Claims Expenses]], AN_TME22[[#All],[Insurance Category Code]],3, AN_TME22[[#All],[Advanced Network/Insurance Carrier Org ID]],B167),2))</f>
        <v>TRUE</v>
      </c>
      <c r="L167" s="295" t="str">
        <f>IF(G167=ROUND(SUMIFS(AN_TME22[[#All],[TOTAL Truncated Unadjusted Claims Expenses (A21 -A19)]], AN_TME22[[#All],[Insurance Category Code]],3, AN_TME22[[#All],[Advanced Network/Insurance Carrier Org ID]],B167),2), "TRUE", ROUND(G167-SUMIFS(AN_TME22[[#All],[TOTAL Truncated Unadjusted Claims Expenses (A21 -A19)]], AN_TME22[[#All],[Insurance Category Code]],3, AN_TME22[[#All],[Advanced Network/Insurance Carrier Org ID]],B167),2))</f>
        <v>TRUE</v>
      </c>
      <c r="M167" s="461" t="str">
        <f t="shared" si="15"/>
        <v>TRUE</v>
      </c>
      <c r="N167" s="282" t="b">
        <f>ROUND(SUMIFS(AN_TME22[[#All],[TOTAL Non-Truncated Unadjusted Claims Expenses]], AN_TME22[[#All],[Insurance Category Code]],3, AN_TME22[[#All],[Advanced Network/Insurance Carrier Org ID]],B167),2)&gt;=ROUND(SUMIFS(AN_TME22[[#All],[TOTAL Truncated Unadjusted Claims Expenses (A21 -A19)]], AN_TME22[[#All],[Insurance Category Code]],3, AN_TME22[[#All],[Advanced Network/Insurance Carrier Org ID]],B167),2)</f>
        <v>1</v>
      </c>
      <c r="O167" s="295" t="b">
        <f>ROUND(SUMIFS(AN_TME22[[#All],[TOTAL Truncated Unadjusted Claims Expenses (A21 -A19)]], AN_TME22[[#All],[Insurance Category Code]],3, AN_TME22[[#All],[Advanced Network/Insurance Carrier Org ID]],B167)+SUMIFS(AN_TME22[[#All],[Total Claims Excluded because of Truncation]], AN_TME22[[#All],[Insurance Category Code]],3, AN_TME22[[#All],[Advanced Network/Insurance Carrier Org ID]],B167),2)=ROUND(SUMIFS(AN_TME22[[#All],[TOTAL Non-Truncated Unadjusted Claims Expenses]], AN_TME22[[#All],[Insurance Category Code]],3, AN_TME22[[#All],[Advanced Network/Insurance Carrier Org ID]],B167), 2)</f>
        <v>1</v>
      </c>
      <c r="Q167" s="236">
        <v>108</v>
      </c>
      <c r="R167" s="463">
        <f>ROUND(SUMIFS(Age_Sex23[[#All],[Total Member Months by Age/Sex Band]], Age_Sex23[[#All],[Advanced Network ID]], $Q167, Age_Sex23[[#All],[Insurance Category Code]],3), 2)</f>
        <v>0</v>
      </c>
      <c r="S167" s="268">
        <f>ROUND(SUMIFS(Age_Sex23[[#All],[Total Dollars Excluded from Spending After Applying Truncation at the Member Level]], Age_Sex23[[#All],[Advanced Network ID]], $B167, Age_Sex23[[#All],[Insurance Category Code]],3), 2)</f>
        <v>0</v>
      </c>
      <c r="T167" s="229">
        <f>ROUND(SUMIFS(Age_Sex23[[#All],[Count of Members whose Spending was Truncated]], Age_Sex23[[#All],[Advanced Network ID]], $B167, Age_Sex23[[#All],[Insurance Category Code]],3),2)</f>
        <v>0</v>
      </c>
      <c r="U167" s="230">
        <f>ROUND(SUMIFS(Age_Sex23[[#All],[Total Spending before Truncation is Applied]], Age_Sex23[[#All],[Advanced Network ID]], $B167, Age_Sex23[[#All],[Insurance Category Code]],3),2)</f>
        <v>0</v>
      </c>
      <c r="V167" s="232">
        <f>ROUND(SUMIFS(Age_Sex23[[#All],[Total Spending After Applying Truncation at the Member Level]], Age_Sex23[[#All],[Advanced Network ID]], $B167, Age_Sex23[[#All],[Insurance Category Code]],3),2)</f>
        <v>0</v>
      </c>
      <c r="W167" s="416" t="str">
        <f>IF(R167=ROUND(SUMIFS(AN_TME23[[#All],[Member Months]], AN_TME23[[#All],[Insurance Category Code]],3, AN_TME23[[#All],[Advanced Network/Insurance Carrier Org ID]],Q167),2), "TRUE", ROUND(R167-SUMIFS(AN_TME23[[#All],[Member Months]], AN_TME23[[#All],[Insurance Category Code]],3, AN_TME23[[#All],[Advanced Network/Insurance Carrier Org ID]],Q167),2))</f>
        <v>TRUE</v>
      </c>
      <c r="X167" s="280" t="str">
        <f>IF(S167=ROUND(SUMIFS(AN_TME23[[#All],[Total Claims Excluded because of Truncation]], AN_TME23[[#All],[Insurance Category Code]],3, AN_TME23[[#All],[Advanced Network/Insurance Carrier Org ID]],Q167),2), "TRUE", ROUND(S167-SUMIFS(AN_TME23[[#All],[Total Claims Excluded because of Truncation]], AN_TME23[[#All],[Insurance Category Code]],3, AN_TME23[[#All],[Advanced Network/Insurance Carrier Org ID]],Q167),2))</f>
        <v>TRUE</v>
      </c>
      <c r="Y167" s="281" t="str">
        <f>IF(T167=ROUND(SUMIFS(AN_TME23[[#All],[Count of Members with Claims Truncated]], AN_TME23[[#All],[Insurance Category Code]],3, AN_TME23[[#All],[Advanced Network/Insurance Carrier Org ID]],Q167),2), "TRUE", ROUND(T167-SUMIFS(AN_TME23[[#All],[Count of Members with Claims Truncated]], AN_TME23[[#All],[Insurance Category Code]],3, AN_TME23[[#All],[Advanced Network/Insurance Carrier Org ID]],Q167),2))</f>
        <v>TRUE</v>
      </c>
      <c r="Z167" s="282" t="str">
        <f>IF(U167=ROUND(SUMIFS(AN_TME23[[#All],[TOTAL Non-Truncated Unadjusted Claims Expenses]], AN_TME23[[#All],[Insurance Category Code]],3, AN_TME23[[#All],[Advanced Network/Insurance Carrier Org ID]],Q167),2), "TRUE", ROUND(U167-SUMIFS(AN_TME23[[#All],[TOTAL Non-Truncated Unadjusted Claims Expenses]], AN_TME23[[#All],[Insurance Category Code]],3, AN_TME23[[#All],[Advanced Network/Insurance Carrier Org ID]],Q167), 2))</f>
        <v>TRUE</v>
      </c>
      <c r="AA167" s="295" t="str">
        <f>IF(V167=ROUND(SUMIFS(AN_TME23[[#All],[TOTAL Truncated Unadjusted Claims Expenses (A21 -A19)]], AN_TME23[[#All],[Insurance Category Code]],3, AN_TME23[[#All],[Advanced Network/Insurance Carrier Org ID]],Q167),2), "TRUE", ROUND(V167-SUMIFS(AN_TME23[[#All],[TOTAL Truncated Unadjusted Claims Expenses (A21 -A19)]], AN_TME23[[#All],[Insurance Category Code]],3, AN_TME23[[#All],[Advanced Network/Insurance Carrier Org ID]],Q167), 2))</f>
        <v>TRUE</v>
      </c>
      <c r="AB167" s="461" t="str">
        <f t="shared" si="18"/>
        <v>TRUE</v>
      </c>
      <c r="AC167" s="282" t="b">
        <f>ROUND(SUMIFS(AN_TME23[[#All],[TOTAL Non-Truncated Unadjusted Claims Expenses]], AN_TME23[[#All],[Insurance Category Code]],3, AN_TME23[[#All],[Advanced Network/Insurance Carrier Org ID]],Q167),2)&gt;=ROUND(SUMIFS(AN_TME23[[#All],[TOTAL Truncated Unadjusted Claims Expenses (A21 -A19)]], AN_TME23[[#All],[Insurance Category Code]],3, AN_TME23[[#All],[Advanced Network/Insurance Carrier Org ID]],Q167), 2)</f>
        <v>1</v>
      </c>
      <c r="AD167" s="295" t="b">
        <f>ROUND(SUMIFS(AN_TME23[[#All],[TOTAL Truncated Unadjusted Claims Expenses (A21 -A19)]], AN_TME23[[#All],[Insurance Category Code]],3, AN_TME23[[#All],[Advanced Network/Insurance Carrier Org ID]],Q167)+SUMIFS(AN_TME23[[#All],[Total Claims Excluded because of Truncation]], AN_TME23[[#All],[Insurance Category Code]],3, AN_TME23[[#All],[Advanced Network/Insurance Carrier Org ID]],Q167),2)=ROUND(SUMIFS(AN_TME23[[#All],[TOTAL Non-Truncated Unadjusted Claims Expenses]], AN_TME23[[#All],[Insurance Category Code]],3, AN_TME23[[#All],[Advanced Network/Insurance Carrier Org ID]],Q167),2)</f>
        <v>1</v>
      </c>
      <c r="AF167" s="323" t="str">
        <f t="shared" si="17"/>
        <v>NA</v>
      </c>
    </row>
    <row r="168" spans="2:32" outlineLevel="1" x14ac:dyDescent="0.25">
      <c r="B168" s="236">
        <v>109</v>
      </c>
      <c r="C168" s="463">
        <f>ROUND(SUMIFS(Age_Sex22[[#All],[Total Member Months by Age/Sex Band]], Age_Sex22[[#All],[Advanced Network ID]], $B168, Age_Sex22[[#All],[Insurance Category Code]],3),2)</f>
        <v>0</v>
      </c>
      <c r="D168" s="268">
        <f>ROUND(SUMIFS(Age_Sex22[[#All],[Total Dollars Excluded from Spending After Applying Truncation at the Member Level]], Age_Sex22[[#All],[Advanced Network ID]], $B168, Age_Sex22[[#All],[Insurance Category Code]],3),2)</f>
        <v>0</v>
      </c>
      <c r="E168" s="229">
        <f>ROUND(SUMIFS(Age_Sex22[[#All],[Count of Members whose Spending was Truncated]], Age_Sex22[[#All],[Advanced Network ID]], $B168, Age_Sex22[[#All],[Insurance Category Code]],3),2)</f>
        <v>0</v>
      </c>
      <c r="F168" s="230">
        <f>ROUND(SUMIFS(Age_Sex22[[#All],[Total Spending before Truncation is Applied]], Age_Sex22[[#All],[Advanced Network ID]], $B168, Age_Sex22[[#All],[Insurance Category Code]],3),2)</f>
        <v>0</v>
      </c>
      <c r="G168" s="232">
        <f>ROUND(SUMIFS(Age_Sex22[[#All],[Total Spending After Applying Truncation at the Member Level]], Age_Sex22[[#All],[Advanced Network ID]], $B168, Age_Sex22[[#All],[Insurance Category Code]],3), 2)</f>
        <v>0</v>
      </c>
      <c r="H168" s="416" t="str">
        <f>IF(C168=ROUND(SUMIFS(AN_TME22[[#All],[Member Months]], AN_TME22[[#All],[Insurance Category Code]],3, AN_TME22[[#All],[Advanced Network/Insurance Carrier Org ID]],B168),2), "TRUE", ROUND(C168-SUMIFS(AN_TME22[[#All],[Member Months]], AN_TME22[[#All],[Insurance Category Code]],3, AN_TME22[[#All],[Advanced Network/Insurance Carrier Org ID]],B168),2))</f>
        <v>TRUE</v>
      </c>
      <c r="I168" s="280" t="str">
        <f>IF(D168=ROUND(SUMIFS(AN_TME22[[#All],[Total Claims Excluded because of Truncation]], AN_TME22[[#All],[Insurance Category Code]],3, AN_TME22[[#All],[Advanced Network/Insurance Carrier Org ID]],B168),2), "TRUE", ROUND(D168-SUMIFS(AN_TME22[[#All],[Total Claims Excluded because of Truncation]], AN_TME22[[#All],[Insurance Category Code]],3, AN_TME22[[#All],[Advanced Network/Insurance Carrier Org ID]],B168),2))</f>
        <v>TRUE</v>
      </c>
      <c r="J168" s="281" t="str">
        <f>IF(E168=ROUND(SUMIFS(AN_TME22[[#All],[Count of Members with Claims Truncated]], AN_TME22[[#All],[Insurance Category Code]],3, AN_TME22[[#All],[Advanced Network/Insurance Carrier Org ID]],B168),2), "TRUE", ROUND(E168-SUMIFS(AN_TME22[[#All],[Count of Members with Claims Truncated]], AN_TME22[[#All],[Insurance Category Code]],3, AN_TME22[[#All],[Advanced Network/Insurance Carrier Org ID]],B168),2))</f>
        <v>TRUE</v>
      </c>
      <c r="K168" s="282" t="str">
        <f>IF(F168=ROUND(SUMIFS(AN_TME22[[#All],[TOTAL Non-Truncated Unadjusted Claims Expenses]], AN_TME22[[#All],[Insurance Category Code]],3, AN_TME22[[#All],[Advanced Network/Insurance Carrier Org ID]],B168),2), "TRUE", ROUND(F168-SUMIFS(AN_TME22[[#All],[TOTAL Non-Truncated Unadjusted Claims Expenses]], AN_TME22[[#All],[Insurance Category Code]],3, AN_TME22[[#All],[Advanced Network/Insurance Carrier Org ID]],B168),2))</f>
        <v>TRUE</v>
      </c>
      <c r="L168" s="295" t="str">
        <f>IF(G168=ROUND(SUMIFS(AN_TME22[[#All],[TOTAL Truncated Unadjusted Claims Expenses (A21 -A19)]], AN_TME22[[#All],[Insurance Category Code]],3, AN_TME22[[#All],[Advanced Network/Insurance Carrier Org ID]],B168),2), "TRUE", ROUND(G168-SUMIFS(AN_TME22[[#All],[TOTAL Truncated Unadjusted Claims Expenses (A21 -A19)]], AN_TME22[[#All],[Insurance Category Code]],3, AN_TME22[[#All],[Advanced Network/Insurance Carrier Org ID]],B168),2))</f>
        <v>TRUE</v>
      </c>
      <c r="M168" s="461" t="str">
        <f t="shared" si="15"/>
        <v>TRUE</v>
      </c>
      <c r="N168" s="282" t="b">
        <f>ROUND(SUMIFS(AN_TME22[[#All],[TOTAL Non-Truncated Unadjusted Claims Expenses]], AN_TME22[[#All],[Insurance Category Code]],3, AN_TME22[[#All],[Advanced Network/Insurance Carrier Org ID]],B168),2)&gt;=ROUND(SUMIFS(AN_TME22[[#All],[TOTAL Truncated Unadjusted Claims Expenses (A21 -A19)]], AN_TME22[[#All],[Insurance Category Code]],3, AN_TME22[[#All],[Advanced Network/Insurance Carrier Org ID]],B168),2)</f>
        <v>1</v>
      </c>
      <c r="O168" s="295" t="b">
        <f>ROUND(SUMIFS(AN_TME22[[#All],[TOTAL Truncated Unadjusted Claims Expenses (A21 -A19)]], AN_TME22[[#All],[Insurance Category Code]],3, AN_TME22[[#All],[Advanced Network/Insurance Carrier Org ID]],B168)+SUMIFS(AN_TME22[[#All],[Total Claims Excluded because of Truncation]], AN_TME22[[#All],[Insurance Category Code]],3, AN_TME22[[#All],[Advanced Network/Insurance Carrier Org ID]],B168),2)=ROUND(SUMIFS(AN_TME22[[#All],[TOTAL Non-Truncated Unadjusted Claims Expenses]], AN_TME22[[#All],[Insurance Category Code]],3, AN_TME22[[#All],[Advanced Network/Insurance Carrier Org ID]],B168), 2)</f>
        <v>1</v>
      </c>
      <c r="Q168" s="236">
        <v>109</v>
      </c>
      <c r="R168" s="463">
        <f>ROUND(SUMIFS(Age_Sex23[[#All],[Total Member Months by Age/Sex Band]], Age_Sex23[[#All],[Advanced Network ID]], $Q168, Age_Sex23[[#All],[Insurance Category Code]],3), 2)</f>
        <v>0</v>
      </c>
      <c r="S168" s="268">
        <f>ROUND(SUMIFS(Age_Sex23[[#All],[Total Dollars Excluded from Spending After Applying Truncation at the Member Level]], Age_Sex23[[#All],[Advanced Network ID]], $B168, Age_Sex23[[#All],[Insurance Category Code]],3), 2)</f>
        <v>0</v>
      </c>
      <c r="T168" s="229">
        <f>ROUND(SUMIFS(Age_Sex23[[#All],[Count of Members whose Spending was Truncated]], Age_Sex23[[#All],[Advanced Network ID]], $B168, Age_Sex23[[#All],[Insurance Category Code]],3),2)</f>
        <v>0</v>
      </c>
      <c r="U168" s="230">
        <f>ROUND(SUMIFS(Age_Sex23[[#All],[Total Spending before Truncation is Applied]], Age_Sex23[[#All],[Advanced Network ID]], $B168, Age_Sex23[[#All],[Insurance Category Code]],3),2)</f>
        <v>0</v>
      </c>
      <c r="V168" s="232">
        <f>ROUND(SUMIFS(Age_Sex23[[#All],[Total Spending After Applying Truncation at the Member Level]], Age_Sex23[[#All],[Advanced Network ID]], $B168, Age_Sex23[[#All],[Insurance Category Code]],3),2)</f>
        <v>0</v>
      </c>
      <c r="W168" s="416" t="str">
        <f>IF(R168=ROUND(SUMIFS(AN_TME23[[#All],[Member Months]], AN_TME23[[#All],[Insurance Category Code]],3, AN_TME23[[#All],[Advanced Network/Insurance Carrier Org ID]],Q168),2), "TRUE", ROUND(R168-SUMIFS(AN_TME23[[#All],[Member Months]], AN_TME23[[#All],[Insurance Category Code]],3, AN_TME23[[#All],[Advanced Network/Insurance Carrier Org ID]],Q168),2))</f>
        <v>TRUE</v>
      </c>
      <c r="X168" s="280" t="str">
        <f>IF(S168=ROUND(SUMIFS(AN_TME23[[#All],[Total Claims Excluded because of Truncation]], AN_TME23[[#All],[Insurance Category Code]],3, AN_TME23[[#All],[Advanced Network/Insurance Carrier Org ID]],Q168),2), "TRUE", ROUND(S168-SUMIFS(AN_TME23[[#All],[Total Claims Excluded because of Truncation]], AN_TME23[[#All],[Insurance Category Code]],3, AN_TME23[[#All],[Advanced Network/Insurance Carrier Org ID]],Q168),2))</f>
        <v>TRUE</v>
      </c>
      <c r="Y168" s="281" t="str">
        <f>IF(T168=ROUND(SUMIFS(AN_TME23[[#All],[Count of Members with Claims Truncated]], AN_TME23[[#All],[Insurance Category Code]],3, AN_TME23[[#All],[Advanced Network/Insurance Carrier Org ID]],Q168),2), "TRUE", ROUND(T168-SUMIFS(AN_TME23[[#All],[Count of Members with Claims Truncated]], AN_TME23[[#All],[Insurance Category Code]],3, AN_TME23[[#All],[Advanced Network/Insurance Carrier Org ID]],Q168),2))</f>
        <v>TRUE</v>
      </c>
      <c r="Z168" s="282" t="str">
        <f>IF(U168=ROUND(SUMIFS(AN_TME23[[#All],[TOTAL Non-Truncated Unadjusted Claims Expenses]], AN_TME23[[#All],[Insurance Category Code]],3, AN_TME23[[#All],[Advanced Network/Insurance Carrier Org ID]],Q168),2), "TRUE", ROUND(U168-SUMIFS(AN_TME23[[#All],[TOTAL Non-Truncated Unadjusted Claims Expenses]], AN_TME23[[#All],[Insurance Category Code]],3, AN_TME23[[#All],[Advanced Network/Insurance Carrier Org ID]],Q168), 2))</f>
        <v>TRUE</v>
      </c>
      <c r="AA168" s="295" t="str">
        <f>IF(V168=ROUND(SUMIFS(AN_TME23[[#All],[TOTAL Truncated Unadjusted Claims Expenses (A21 -A19)]], AN_TME23[[#All],[Insurance Category Code]],3, AN_TME23[[#All],[Advanced Network/Insurance Carrier Org ID]],Q168),2), "TRUE", ROUND(V168-SUMIFS(AN_TME23[[#All],[TOTAL Truncated Unadjusted Claims Expenses (A21 -A19)]], AN_TME23[[#All],[Insurance Category Code]],3, AN_TME23[[#All],[Advanced Network/Insurance Carrier Org ID]],Q168), 2))</f>
        <v>TRUE</v>
      </c>
      <c r="AB168" s="461" t="str">
        <f t="shared" si="18"/>
        <v>TRUE</v>
      </c>
      <c r="AC168" s="282" t="b">
        <f>ROUND(SUMIFS(AN_TME23[[#All],[TOTAL Non-Truncated Unadjusted Claims Expenses]], AN_TME23[[#All],[Insurance Category Code]],3, AN_TME23[[#All],[Advanced Network/Insurance Carrier Org ID]],Q168),2)&gt;=ROUND(SUMIFS(AN_TME23[[#All],[TOTAL Truncated Unadjusted Claims Expenses (A21 -A19)]], AN_TME23[[#All],[Insurance Category Code]],3, AN_TME23[[#All],[Advanced Network/Insurance Carrier Org ID]],Q168), 2)</f>
        <v>1</v>
      </c>
      <c r="AD168" s="295" t="b">
        <f>ROUND(SUMIFS(AN_TME23[[#All],[TOTAL Truncated Unadjusted Claims Expenses (A21 -A19)]], AN_TME23[[#All],[Insurance Category Code]],3, AN_TME23[[#All],[Advanced Network/Insurance Carrier Org ID]],Q168)+SUMIFS(AN_TME23[[#All],[Total Claims Excluded because of Truncation]], AN_TME23[[#All],[Insurance Category Code]],3, AN_TME23[[#All],[Advanced Network/Insurance Carrier Org ID]],Q168),2)=ROUND(SUMIFS(AN_TME23[[#All],[TOTAL Non-Truncated Unadjusted Claims Expenses]], AN_TME23[[#All],[Insurance Category Code]],3, AN_TME23[[#All],[Advanced Network/Insurance Carrier Org ID]],Q168),2)</f>
        <v>1</v>
      </c>
      <c r="AF168" s="323" t="str">
        <f t="shared" si="17"/>
        <v>NA</v>
      </c>
    </row>
    <row r="169" spans="2:32" outlineLevel="1" x14ac:dyDescent="0.25">
      <c r="B169" s="236">
        <v>110</v>
      </c>
      <c r="C169" s="463">
        <f>ROUND(SUMIFS(Age_Sex22[[#All],[Total Member Months by Age/Sex Band]], Age_Sex22[[#All],[Advanced Network ID]], $B169, Age_Sex22[[#All],[Insurance Category Code]],3),2)</f>
        <v>0</v>
      </c>
      <c r="D169" s="268">
        <f>ROUND(SUMIFS(Age_Sex22[[#All],[Total Dollars Excluded from Spending After Applying Truncation at the Member Level]], Age_Sex22[[#All],[Advanced Network ID]], $B169, Age_Sex22[[#All],[Insurance Category Code]],3),2)</f>
        <v>0</v>
      </c>
      <c r="E169" s="229">
        <f>ROUND(SUMIFS(Age_Sex22[[#All],[Count of Members whose Spending was Truncated]], Age_Sex22[[#All],[Advanced Network ID]], $B169, Age_Sex22[[#All],[Insurance Category Code]],3),2)</f>
        <v>0</v>
      </c>
      <c r="F169" s="230">
        <f>ROUND(SUMIFS(Age_Sex22[[#All],[Total Spending before Truncation is Applied]], Age_Sex22[[#All],[Advanced Network ID]], $B169, Age_Sex22[[#All],[Insurance Category Code]],3),2)</f>
        <v>0</v>
      </c>
      <c r="G169" s="232">
        <f>ROUND(SUMIFS(Age_Sex22[[#All],[Total Spending After Applying Truncation at the Member Level]], Age_Sex22[[#All],[Advanced Network ID]], $B169, Age_Sex22[[#All],[Insurance Category Code]],3), 2)</f>
        <v>0</v>
      </c>
      <c r="H169" s="416" t="str">
        <f>IF(C169=ROUND(SUMIFS(AN_TME22[[#All],[Member Months]], AN_TME22[[#All],[Insurance Category Code]],3, AN_TME22[[#All],[Advanced Network/Insurance Carrier Org ID]],B169),2), "TRUE", ROUND(C169-SUMIFS(AN_TME22[[#All],[Member Months]], AN_TME22[[#All],[Insurance Category Code]],3, AN_TME22[[#All],[Advanced Network/Insurance Carrier Org ID]],B169),2))</f>
        <v>TRUE</v>
      </c>
      <c r="I169" s="280" t="str">
        <f>IF(D169=ROUND(SUMIFS(AN_TME22[[#All],[Total Claims Excluded because of Truncation]], AN_TME22[[#All],[Insurance Category Code]],3, AN_TME22[[#All],[Advanced Network/Insurance Carrier Org ID]],B169),2), "TRUE", ROUND(D169-SUMIFS(AN_TME22[[#All],[Total Claims Excluded because of Truncation]], AN_TME22[[#All],[Insurance Category Code]],3, AN_TME22[[#All],[Advanced Network/Insurance Carrier Org ID]],B169),2))</f>
        <v>TRUE</v>
      </c>
      <c r="J169" s="281" t="str">
        <f>IF(E169=ROUND(SUMIFS(AN_TME22[[#All],[Count of Members with Claims Truncated]], AN_TME22[[#All],[Insurance Category Code]],3, AN_TME22[[#All],[Advanced Network/Insurance Carrier Org ID]],B169),2), "TRUE", ROUND(E169-SUMIFS(AN_TME22[[#All],[Count of Members with Claims Truncated]], AN_TME22[[#All],[Insurance Category Code]],3, AN_TME22[[#All],[Advanced Network/Insurance Carrier Org ID]],B169),2))</f>
        <v>TRUE</v>
      </c>
      <c r="K169" s="282" t="str">
        <f>IF(F169=ROUND(SUMIFS(AN_TME22[[#All],[TOTAL Non-Truncated Unadjusted Claims Expenses]], AN_TME22[[#All],[Insurance Category Code]],3, AN_TME22[[#All],[Advanced Network/Insurance Carrier Org ID]],B169),2), "TRUE", ROUND(F169-SUMIFS(AN_TME22[[#All],[TOTAL Non-Truncated Unadjusted Claims Expenses]], AN_TME22[[#All],[Insurance Category Code]],3, AN_TME22[[#All],[Advanced Network/Insurance Carrier Org ID]],B169),2))</f>
        <v>TRUE</v>
      </c>
      <c r="L169" s="295" t="str">
        <f>IF(G169=ROUND(SUMIFS(AN_TME22[[#All],[TOTAL Truncated Unadjusted Claims Expenses (A21 -A19)]], AN_TME22[[#All],[Insurance Category Code]],3, AN_TME22[[#All],[Advanced Network/Insurance Carrier Org ID]],B169),2), "TRUE", ROUND(G169-SUMIFS(AN_TME22[[#All],[TOTAL Truncated Unadjusted Claims Expenses (A21 -A19)]], AN_TME22[[#All],[Insurance Category Code]],3, AN_TME22[[#All],[Advanced Network/Insurance Carrier Org ID]],B169),2))</f>
        <v>TRUE</v>
      </c>
      <c r="M169" s="461" t="str">
        <f t="shared" si="15"/>
        <v>TRUE</v>
      </c>
      <c r="N169" s="282" t="b">
        <f>ROUND(SUMIFS(AN_TME22[[#All],[TOTAL Non-Truncated Unadjusted Claims Expenses]], AN_TME22[[#All],[Insurance Category Code]],3, AN_TME22[[#All],[Advanced Network/Insurance Carrier Org ID]],B169),2)&gt;=ROUND(SUMIFS(AN_TME22[[#All],[TOTAL Truncated Unadjusted Claims Expenses (A21 -A19)]], AN_TME22[[#All],[Insurance Category Code]],3, AN_TME22[[#All],[Advanced Network/Insurance Carrier Org ID]],B169),2)</f>
        <v>1</v>
      </c>
      <c r="O169" s="295" t="b">
        <f>ROUND(SUMIFS(AN_TME22[[#All],[TOTAL Truncated Unadjusted Claims Expenses (A21 -A19)]], AN_TME22[[#All],[Insurance Category Code]],3, AN_TME22[[#All],[Advanced Network/Insurance Carrier Org ID]],B169)+SUMIFS(AN_TME22[[#All],[Total Claims Excluded because of Truncation]], AN_TME22[[#All],[Insurance Category Code]],3, AN_TME22[[#All],[Advanced Network/Insurance Carrier Org ID]],B169),2)=ROUND(SUMIFS(AN_TME22[[#All],[TOTAL Non-Truncated Unadjusted Claims Expenses]], AN_TME22[[#All],[Insurance Category Code]],3, AN_TME22[[#All],[Advanced Network/Insurance Carrier Org ID]],B169), 2)</f>
        <v>1</v>
      </c>
      <c r="Q169" s="236">
        <v>110</v>
      </c>
      <c r="R169" s="463">
        <f>ROUND(SUMIFS(Age_Sex23[[#All],[Total Member Months by Age/Sex Band]], Age_Sex23[[#All],[Advanced Network ID]], $Q169, Age_Sex23[[#All],[Insurance Category Code]],3), 2)</f>
        <v>0</v>
      </c>
      <c r="S169" s="268">
        <f>ROUND(SUMIFS(Age_Sex23[[#All],[Total Dollars Excluded from Spending After Applying Truncation at the Member Level]], Age_Sex23[[#All],[Advanced Network ID]], $B169, Age_Sex23[[#All],[Insurance Category Code]],3), 2)</f>
        <v>0</v>
      </c>
      <c r="T169" s="229">
        <f>ROUND(SUMIFS(Age_Sex23[[#All],[Count of Members whose Spending was Truncated]], Age_Sex23[[#All],[Advanced Network ID]], $B169, Age_Sex23[[#All],[Insurance Category Code]],3),2)</f>
        <v>0</v>
      </c>
      <c r="U169" s="230">
        <f>ROUND(SUMIFS(Age_Sex23[[#All],[Total Spending before Truncation is Applied]], Age_Sex23[[#All],[Advanced Network ID]], $B169, Age_Sex23[[#All],[Insurance Category Code]],3),2)</f>
        <v>0</v>
      </c>
      <c r="V169" s="232">
        <f>ROUND(SUMIFS(Age_Sex23[[#All],[Total Spending After Applying Truncation at the Member Level]], Age_Sex23[[#All],[Advanced Network ID]], $B169, Age_Sex23[[#All],[Insurance Category Code]],3),2)</f>
        <v>0</v>
      </c>
      <c r="W169" s="416" t="str">
        <f>IF(R169=ROUND(SUMIFS(AN_TME23[[#All],[Member Months]], AN_TME23[[#All],[Insurance Category Code]],3, AN_TME23[[#All],[Advanced Network/Insurance Carrier Org ID]],Q169),2), "TRUE", ROUND(R169-SUMIFS(AN_TME23[[#All],[Member Months]], AN_TME23[[#All],[Insurance Category Code]],3, AN_TME23[[#All],[Advanced Network/Insurance Carrier Org ID]],Q169),2))</f>
        <v>TRUE</v>
      </c>
      <c r="X169" s="280" t="str">
        <f>IF(S169=ROUND(SUMIFS(AN_TME23[[#All],[Total Claims Excluded because of Truncation]], AN_TME23[[#All],[Insurance Category Code]],3, AN_TME23[[#All],[Advanced Network/Insurance Carrier Org ID]],Q169),2), "TRUE", ROUND(S169-SUMIFS(AN_TME23[[#All],[Total Claims Excluded because of Truncation]], AN_TME23[[#All],[Insurance Category Code]],3, AN_TME23[[#All],[Advanced Network/Insurance Carrier Org ID]],Q169),2))</f>
        <v>TRUE</v>
      </c>
      <c r="Y169" s="281" t="str">
        <f>IF(T169=ROUND(SUMIFS(AN_TME23[[#All],[Count of Members with Claims Truncated]], AN_TME23[[#All],[Insurance Category Code]],3, AN_TME23[[#All],[Advanced Network/Insurance Carrier Org ID]],Q169),2), "TRUE", ROUND(T169-SUMIFS(AN_TME23[[#All],[Count of Members with Claims Truncated]], AN_TME23[[#All],[Insurance Category Code]],3, AN_TME23[[#All],[Advanced Network/Insurance Carrier Org ID]],Q169),2))</f>
        <v>TRUE</v>
      </c>
      <c r="Z169" s="282" t="str">
        <f>IF(U169=ROUND(SUMIFS(AN_TME23[[#All],[TOTAL Non-Truncated Unadjusted Claims Expenses]], AN_TME23[[#All],[Insurance Category Code]],3, AN_TME23[[#All],[Advanced Network/Insurance Carrier Org ID]],Q169),2), "TRUE", ROUND(U169-SUMIFS(AN_TME23[[#All],[TOTAL Non-Truncated Unadjusted Claims Expenses]], AN_TME23[[#All],[Insurance Category Code]],3, AN_TME23[[#All],[Advanced Network/Insurance Carrier Org ID]],Q169), 2))</f>
        <v>TRUE</v>
      </c>
      <c r="AA169" s="295" t="str">
        <f>IF(V169=ROUND(SUMIFS(AN_TME23[[#All],[TOTAL Truncated Unadjusted Claims Expenses (A21 -A19)]], AN_TME23[[#All],[Insurance Category Code]],3, AN_TME23[[#All],[Advanced Network/Insurance Carrier Org ID]],Q169),2), "TRUE", ROUND(V169-SUMIFS(AN_TME23[[#All],[TOTAL Truncated Unadjusted Claims Expenses (A21 -A19)]], AN_TME23[[#All],[Insurance Category Code]],3, AN_TME23[[#All],[Advanced Network/Insurance Carrier Org ID]],Q169), 2))</f>
        <v>TRUE</v>
      </c>
      <c r="AB169" s="461" t="str">
        <f t="shared" si="18"/>
        <v>TRUE</v>
      </c>
      <c r="AC169" s="282" t="b">
        <f>ROUND(SUMIFS(AN_TME23[[#All],[TOTAL Non-Truncated Unadjusted Claims Expenses]], AN_TME23[[#All],[Insurance Category Code]],3, AN_TME23[[#All],[Advanced Network/Insurance Carrier Org ID]],Q169),2)&gt;=ROUND(SUMIFS(AN_TME23[[#All],[TOTAL Truncated Unadjusted Claims Expenses (A21 -A19)]], AN_TME23[[#All],[Insurance Category Code]],3, AN_TME23[[#All],[Advanced Network/Insurance Carrier Org ID]],Q169), 2)</f>
        <v>1</v>
      </c>
      <c r="AD169" s="295" t="b">
        <f>ROUND(SUMIFS(AN_TME23[[#All],[TOTAL Truncated Unadjusted Claims Expenses (A21 -A19)]], AN_TME23[[#All],[Insurance Category Code]],3, AN_TME23[[#All],[Advanced Network/Insurance Carrier Org ID]],Q169)+SUMIFS(AN_TME23[[#All],[Total Claims Excluded because of Truncation]], AN_TME23[[#All],[Insurance Category Code]],3, AN_TME23[[#All],[Advanced Network/Insurance Carrier Org ID]],Q169),2)=ROUND(SUMIFS(AN_TME23[[#All],[TOTAL Non-Truncated Unadjusted Claims Expenses]], AN_TME23[[#All],[Insurance Category Code]],3, AN_TME23[[#All],[Advanced Network/Insurance Carrier Org ID]],Q169),2)</f>
        <v>1</v>
      </c>
      <c r="AF169" s="323" t="str">
        <f t="shared" si="17"/>
        <v>NA</v>
      </c>
    </row>
    <row r="170" spans="2:32" outlineLevel="1" x14ac:dyDescent="0.25">
      <c r="B170" s="236">
        <v>111</v>
      </c>
      <c r="C170" s="463">
        <f>ROUND(SUMIFS(Age_Sex22[[#All],[Total Member Months by Age/Sex Band]], Age_Sex22[[#All],[Advanced Network ID]], $B170, Age_Sex22[[#All],[Insurance Category Code]],3),2)</f>
        <v>0</v>
      </c>
      <c r="D170" s="268">
        <f>ROUND(SUMIFS(Age_Sex22[[#All],[Total Dollars Excluded from Spending After Applying Truncation at the Member Level]], Age_Sex22[[#All],[Advanced Network ID]], $B170, Age_Sex22[[#All],[Insurance Category Code]],3),2)</f>
        <v>0</v>
      </c>
      <c r="E170" s="229">
        <f>ROUND(SUMIFS(Age_Sex22[[#All],[Count of Members whose Spending was Truncated]], Age_Sex22[[#All],[Advanced Network ID]], $B170, Age_Sex22[[#All],[Insurance Category Code]],3),2)</f>
        <v>0</v>
      </c>
      <c r="F170" s="230">
        <f>ROUND(SUMIFS(Age_Sex22[[#All],[Total Spending before Truncation is Applied]], Age_Sex22[[#All],[Advanced Network ID]], $B170, Age_Sex22[[#All],[Insurance Category Code]],3),2)</f>
        <v>0</v>
      </c>
      <c r="G170" s="232">
        <f>ROUND(SUMIFS(Age_Sex22[[#All],[Total Spending After Applying Truncation at the Member Level]], Age_Sex22[[#All],[Advanced Network ID]], $B170, Age_Sex22[[#All],[Insurance Category Code]],3), 2)</f>
        <v>0</v>
      </c>
      <c r="H170" s="416" t="str">
        <f>IF(C170=ROUND(SUMIFS(AN_TME22[[#All],[Member Months]], AN_TME22[[#All],[Insurance Category Code]],3, AN_TME22[[#All],[Advanced Network/Insurance Carrier Org ID]],B170),2), "TRUE", ROUND(C170-SUMIFS(AN_TME22[[#All],[Member Months]], AN_TME22[[#All],[Insurance Category Code]],3, AN_TME22[[#All],[Advanced Network/Insurance Carrier Org ID]],B170),2))</f>
        <v>TRUE</v>
      </c>
      <c r="I170" s="280" t="str">
        <f>IF(D170=ROUND(SUMIFS(AN_TME22[[#All],[Total Claims Excluded because of Truncation]], AN_TME22[[#All],[Insurance Category Code]],3, AN_TME22[[#All],[Advanced Network/Insurance Carrier Org ID]],B170),2), "TRUE", ROUND(D170-SUMIFS(AN_TME22[[#All],[Total Claims Excluded because of Truncation]], AN_TME22[[#All],[Insurance Category Code]],3, AN_TME22[[#All],[Advanced Network/Insurance Carrier Org ID]],B170),2))</f>
        <v>TRUE</v>
      </c>
      <c r="J170" s="281" t="str">
        <f>IF(E170=ROUND(SUMIFS(AN_TME22[[#All],[Count of Members with Claims Truncated]], AN_TME22[[#All],[Insurance Category Code]],3, AN_TME22[[#All],[Advanced Network/Insurance Carrier Org ID]],B170),2), "TRUE", ROUND(E170-SUMIFS(AN_TME22[[#All],[Count of Members with Claims Truncated]], AN_TME22[[#All],[Insurance Category Code]],3, AN_TME22[[#All],[Advanced Network/Insurance Carrier Org ID]],B170),2))</f>
        <v>TRUE</v>
      </c>
      <c r="K170" s="282" t="str">
        <f>IF(F170=ROUND(SUMIFS(AN_TME22[[#All],[TOTAL Non-Truncated Unadjusted Claims Expenses]], AN_TME22[[#All],[Insurance Category Code]],3, AN_TME22[[#All],[Advanced Network/Insurance Carrier Org ID]],B170),2), "TRUE", ROUND(F170-SUMIFS(AN_TME22[[#All],[TOTAL Non-Truncated Unadjusted Claims Expenses]], AN_TME22[[#All],[Insurance Category Code]],3, AN_TME22[[#All],[Advanced Network/Insurance Carrier Org ID]],B170),2))</f>
        <v>TRUE</v>
      </c>
      <c r="L170" s="295" t="str">
        <f>IF(G170=ROUND(SUMIFS(AN_TME22[[#All],[TOTAL Truncated Unadjusted Claims Expenses (A21 -A19)]], AN_TME22[[#All],[Insurance Category Code]],3, AN_TME22[[#All],[Advanced Network/Insurance Carrier Org ID]],B170),2), "TRUE", ROUND(G170-SUMIFS(AN_TME22[[#All],[TOTAL Truncated Unadjusted Claims Expenses (A21 -A19)]], AN_TME22[[#All],[Insurance Category Code]],3, AN_TME22[[#All],[Advanced Network/Insurance Carrier Org ID]],B170),2))</f>
        <v>TRUE</v>
      </c>
      <c r="M170" s="461" t="str">
        <f t="shared" si="15"/>
        <v>TRUE</v>
      </c>
      <c r="N170" s="282" t="b">
        <f>ROUND(SUMIFS(AN_TME22[[#All],[TOTAL Non-Truncated Unadjusted Claims Expenses]], AN_TME22[[#All],[Insurance Category Code]],3, AN_TME22[[#All],[Advanced Network/Insurance Carrier Org ID]],B170),2)&gt;=ROUND(SUMIFS(AN_TME22[[#All],[TOTAL Truncated Unadjusted Claims Expenses (A21 -A19)]], AN_TME22[[#All],[Insurance Category Code]],3, AN_TME22[[#All],[Advanced Network/Insurance Carrier Org ID]],B170),2)</f>
        <v>1</v>
      </c>
      <c r="O170" s="295" t="b">
        <f>ROUND(SUMIFS(AN_TME22[[#All],[TOTAL Truncated Unadjusted Claims Expenses (A21 -A19)]], AN_TME22[[#All],[Insurance Category Code]],3, AN_TME22[[#All],[Advanced Network/Insurance Carrier Org ID]],B170)+SUMIFS(AN_TME22[[#All],[Total Claims Excluded because of Truncation]], AN_TME22[[#All],[Insurance Category Code]],3, AN_TME22[[#All],[Advanced Network/Insurance Carrier Org ID]],B170),2)=ROUND(SUMIFS(AN_TME22[[#All],[TOTAL Non-Truncated Unadjusted Claims Expenses]], AN_TME22[[#All],[Insurance Category Code]],3, AN_TME22[[#All],[Advanced Network/Insurance Carrier Org ID]],B170), 2)</f>
        <v>1</v>
      </c>
      <c r="Q170" s="236">
        <v>111</v>
      </c>
      <c r="R170" s="463">
        <f>ROUND(SUMIFS(Age_Sex23[[#All],[Total Member Months by Age/Sex Band]], Age_Sex23[[#All],[Advanced Network ID]], $Q170, Age_Sex23[[#All],[Insurance Category Code]],3), 2)</f>
        <v>0</v>
      </c>
      <c r="S170" s="268">
        <f>ROUND(SUMIFS(Age_Sex23[[#All],[Total Dollars Excluded from Spending After Applying Truncation at the Member Level]], Age_Sex23[[#All],[Advanced Network ID]], $B170, Age_Sex23[[#All],[Insurance Category Code]],3), 2)</f>
        <v>0</v>
      </c>
      <c r="T170" s="229">
        <f>ROUND(SUMIFS(Age_Sex23[[#All],[Count of Members whose Spending was Truncated]], Age_Sex23[[#All],[Advanced Network ID]], $B170, Age_Sex23[[#All],[Insurance Category Code]],3),2)</f>
        <v>0</v>
      </c>
      <c r="U170" s="230">
        <f>ROUND(SUMIFS(Age_Sex23[[#All],[Total Spending before Truncation is Applied]], Age_Sex23[[#All],[Advanced Network ID]], $B170, Age_Sex23[[#All],[Insurance Category Code]],3),2)</f>
        <v>0</v>
      </c>
      <c r="V170" s="232">
        <f>ROUND(SUMIFS(Age_Sex23[[#All],[Total Spending After Applying Truncation at the Member Level]], Age_Sex23[[#All],[Advanced Network ID]], $B170, Age_Sex23[[#All],[Insurance Category Code]],3),2)</f>
        <v>0</v>
      </c>
      <c r="W170" s="416" t="str">
        <f>IF(R170=ROUND(SUMIFS(AN_TME23[[#All],[Member Months]], AN_TME23[[#All],[Insurance Category Code]],3, AN_TME23[[#All],[Advanced Network/Insurance Carrier Org ID]],Q170),2), "TRUE", ROUND(R170-SUMIFS(AN_TME23[[#All],[Member Months]], AN_TME23[[#All],[Insurance Category Code]],3, AN_TME23[[#All],[Advanced Network/Insurance Carrier Org ID]],Q170),2))</f>
        <v>TRUE</v>
      </c>
      <c r="X170" s="280" t="str">
        <f>IF(S170=ROUND(SUMIFS(AN_TME23[[#All],[Total Claims Excluded because of Truncation]], AN_TME23[[#All],[Insurance Category Code]],3, AN_TME23[[#All],[Advanced Network/Insurance Carrier Org ID]],Q170),2), "TRUE", ROUND(S170-SUMIFS(AN_TME23[[#All],[Total Claims Excluded because of Truncation]], AN_TME23[[#All],[Insurance Category Code]],3, AN_TME23[[#All],[Advanced Network/Insurance Carrier Org ID]],Q170),2))</f>
        <v>TRUE</v>
      </c>
      <c r="Y170" s="281" t="str">
        <f>IF(T170=ROUND(SUMIFS(AN_TME23[[#All],[Count of Members with Claims Truncated]], AN_TME23[[#All],[Insurance Category Code]],3, AN_TME23[[#All],[Advanced Network/Insurance Carrier Org ID]],Q170),2), "TRUE", ROUND(T170-SUMIFS(AN_TME23[[#All],[Count of Members with Claims Truncated]], AN_TME23[[#All],[Insurance Category Code]],3, AN_TME23[[#All],[Advanced Network/Insurance Carrier Org ID]],Q170),2))</f>
        <v>TRUE</v>
      </c>
      <c r="Z170" s="282" t="str">
        <f>IF(U170=ROUND(SUMIFS(AN_TME23[[#All],[TOTAL Non-Truncated Unadjusted Claims Expenses]], AN_TME23[[#All],[Insurance Category Code]],3, AN_TME23[[#All],[Advanced Network/Insurance Carrier Org ID]],Q170),2), "TRUE", ROUND(U170-SUMIFS(AN_TME23[[#All],[TOTAL Non-Truncated Unadjusted Claims Expenses]], AN_TME23[[#All],[Insurance Category Code]],3, AN_TME23[[#All],[Advanced Network/Insurance Carrier Org ID]],Q170), 2))</f>
        <v>TRUE</v>
      </c>
      <c r="AA170" s="295" t="str">
        <f>IF(V170=ROUND(SUMIFS(AN_TME23[[#All],[TOTAL Truncated Unadjusted Claims Expenses (A21 -A19)]], AN_TME23[[#All],[Insurance Category Code]],3, AN_TME23[[#All],[Advanced Network/Insurance Carrier Org ID]],Q170),2), "TRUE", ROUND(V170-SUMIFS(AN_TME23[[#All],[TOTAL Truncated Unadjusted Claims Expenses (A21 -A19)]], AN_TME23[[#All],[Insurance Category Code]],3, AN_TME23[[#All],[Advanced Network/Insurance Carrier Org ID]],Q170), 2))</f>
        <v>TRUE</v>
      </c>
      <c r="AB170" s="461" t="str">
        <f t="shared" si="18"/>
        <v>TRUE</v>
      </c>
      <c r="AC170" s="282" t="b">
        <f>ROUND(SUMIFS(AN_TME23[[#All],[TOTAL Non-Truncated Unadjusted Claims Expenses]], AN_TME23[[#All],[Insurance Category Code]],3, AN_TME23[[#All],[Advanced Network/Insurance Carrier Org ID]],Q170),2)&gt;=ROUND(SUMIFS(AN_TME23[[#All],[TOTAL Truncated Unadjusted Claims Expenses (A21 -A19)]], AN_TME23[[#All],[Insurance Category Code]],3, AN_TME23[[#All],[Advanced Network/Insurance Carrier Org ID]],Q170), 2)</f>
        <v>1</v>
      </c>
      <c r="AD170" s="295" t="b">
        <f>ROUND(SUMIFS(AN_TME23[[#All],[TOTAL Truncated Unadjusted Claims Expenses (A21 -A19)]], AN_TME23[[#All],[Insurance Category Code]],3, AN_TME23[[#All],[Advanced Network/Insurance Carrier Org ID]],Q170)+SUMIFS(AN_TME23[[#All],[Total Claims Excluded because of Truncation]], AN_TME23[[#All],[Insurance Category Code]],3, AN_TME23[[#All],[Advanced Network/Insurance Carrier Org ID]],Q170),2)=ROUND(SUMIFS(AN_TME23[[#All],[TOTAL Non-Truncated Unadjusted Claims Expenses]], AN_TME23[[#All],[Insurance Category Code]],3, AN_TME23[[#All],[Advanced Network/Insurance Carrier Org ID]],Q170),2)</f>
        <v>1</v>
      </c>
      <c r="AF170" s="323" t="str">
        <f t="shared" si="17"/>
        <v>NA</v>
      </c>
    </row>
    <row r="171" spans="2:32" outlineLevel="1" x14ac:dyDescent="0.25">
      <c r="B171" s="236">
        <v>112</v>
      </c>
      <c r="C171" s="463">
        <f>ROUND(SUMIFS(Age_Sex22[[#All],[Total Member Months by Age/Sex Band]], Age_Sex22[[#All],[Advanced Network ID]], $B171, Age_Sex22[[#All],[Insurance Category Code]],3),2)</f>
        <v>0</v>
      </c>
      <c r="D171" s="268">
        <f>ROUND(SUMIFS(Age_Sex22[[#All],[Total Dollars Excluded from Spending After Applying Truncation at the Member Level]], Age_Sex22[[#All],[Advanced Network ID]], $B171, Age_Sex22[[#All],[Insurance Category Code]],3),2)</f>
        <v>0</v>
      </c>
      <c r="E171" s="229">
        <f>ROUND(SUMIFS(Age_Sex22[[#All],[Count of Members whose Spending was Truncated]], Age_Sex22[[#All],[Advanced Network ID]], $B171, Age_Sex22[[#All],[Insurance Category Code]],3),2)</f>
        <v>0</v>
      </c>
      <c r="F171" s="230">
        <f>ROUND(SUMIFS(Age_Sex22[[#All],[Total Spending before Truncation is Applied]], Age_Sex22[[#All],[Advanced Network ID]], $B171, Age_Sex22[[#All],[Insurance Category Code]],3),2)</f>
        <v>0</v>
      </c>
      <c r="G171" s="232">
        <f>ROUND(SUMIFS(Age_Sex22[[#All],[Total Spending After Applying Truncation at the Member Level]], Age_Sex22[[#All],[Advanced Network ID]], $B171, Age_Sex22[[#All],[Insurance Category Code]],3), 2)</f>
        <v>0</v>
      </c>
      <c r="H171" s="416" t="str">
        <f>IF(C171=ROUND(SUMIFS(AN_TME22[[#All],[Member Months]], AN_TME22[[#All],[Insurance Category Code]],3, AN_TME22[[#All],[Advanced Network/Insurance Carrier Org ID]],B171),2), "TRUE", ROUND(C171-SUMIFS(AN_TME22[[#All],[Member Months]], AN_TME22[[#All],[Insurance Category Code]],3, AN_TME22[[#All],[Advanced Network/Insurance Carrier Org ID]],B171),2))</f>
        <v>TRUE</v>
      </c>
      <c r="I171" s="280" t="str">
        <f>IF(D171=ROUND(SUMIFS(AN_TME22[[#All],[Total Claims Excluded because of Truncation]], AN_TME22[[#All],[Insurance Category Code]],3, AN_TME22[[#All],[Advanced Network/Insurance Carrier Org ID]],B171),2), "TRUE", ROUND(D171-SUMIFS(AN_TME22[[#All],[Total Claims Excluded because of Truncation]], AN_TME22[[#All],[Insurance Category Code]],3, AN_TME22[[#All],[Advanced Network/Insurance Carrier Org ID]],B171),2))</f>
        <v>TRUE</v>
      </c>
      <c r="J171" s="281" t="str">
        <f>IF(E171=ROUND(SUMIFS(AN_TME22[[#All],[Count of Members with Claims Truncated]], AN_TME22[[#All],[Insurance Category Code]],3, AN_TME22[[#All],[Advanced Network/Insurance Carrier Org ID]],B171),2), "TRUE", ROUND(E171-SUMIFS(AN_TME22[[#All],[Count of Members with Claims Truncated]], AN_TME22[[#All],[Insurance Category Code]],3, AN_TME22[[#All],[Advanced Network/Insurance Carrier Org ID]],B171),2))</f>
        <v>TRUE</v>
      </c>
      <c r="K171" s="282" t="str">
        <f>IF(F171=ROUND(SUMIFS(AN_TME22[[#All],[TOTAL Non-Truncated Unadjusted Claims Expenses]], AN_TME22[[#All],[Insurance Category Code]],3, AN_TME22[[#All],[Advanced Network/Insurance Carrier Org ID]],B171),2), "TRUE", ROUND(F171-SUMIFS(AN_TME22[[#All],[TOTAL Non-Truncated Unadjusted Claims Expenses]], AN_TME22[[#All],[Insurance Category Code]],3, AN_TME22[[#All],[Advanced Network/Insurance Carrier Org ID]],B171),2))</f>
        <v>TRUE</v>
      </c>
      <c r="L171" s="295" t="str">
        <f>IF(G171=ROUND(SUMIFS(AN_TME22[[#All],[TOTAL Truncated Unadjusted Claims Expenses (A21 -A19)]], AN_TME22[[#All],[Insurance Category Code]],3, AN_TME22[[#All],[Advanced Network/Insurance Carrier Org ID]],B171),2), "TRUE", ROUND(G171-SUMIFS(AN_TME22[[#All],[TOTAL Truncated Unadjusted Claims Expenses (A21 -A19)]], AN_TME22[[#All],[Insurance Category Code]],3, AN_TME22[[#All],[Advanced Network/Insurance Carrier Org ID]],B171),2))</f>
        <v>TRUE</v>
      </c>
      <c r="M171" s="461" t="str">
        <f t="shared" si="15"/>
        <v>TRUE</v>
      </c>
      <c r="N171" s="282" t="b">
        <f>ROUND(SUMIFS(AN_TME22[[#All],[TOTAL Non-Truncated Unadjusted Claims Expenses]], AN_TME22[[#All],[Insurance Category Code]],3, AN_TME22[[#All],[Advanced Network/Insurance Carrier Org ID]],B171),2)&gt;=ROUND(SUMIFS(AN_TME22[[#All],[TOTAL Truncated Unadjusted Claims Expenses (A21 -A19)]], AN_TME22[[#All],[Insurance Category Code]],3, AN_TME22[[#All],[Advanced Network/Insurance Carrier Org ID]],B171),2)</f>
        <v>1</v>
      </c>
      <c r="O171" s="295" t="b">
        <f>ROUND(SUMIFS(AN_TME22[[#All],[TOTAL Truncated Unadjusted Claims Expenses (A21 -A19)]], AN_TME22[[#All],[Insurance Category Code]],3, AN_TME22[[#All],[Advanced Network/Insurance Carrier Org ID]],B171)+SUMIFS(AN_TME22[[#All],[Total Claims Excluded because of Truncation]], AN_TME22[[#All],[Insurance Category Code]],3, AN_TME22[[#All],[Advanced Network/Insurance Carrier Org ID]],B171),2)=ROUND(SUMIFS(AN_TME22[[#All],[TOTAL Non-Truncated Unadjusted Claims Expenses]], AN_TME22[[#All],[Insurance Category Code]],3, AN_TME22[[#All],[Advanced Network/Insurance Carrier Org ID]],B171), 2)</f>
        <v>1</v>
      </c>
      <c r="Q171" s="236">
        <v>112</v>
      </c>
      <c r="R171" s="463">
        <f>ROUND(SUMIFS(Age_Sex23[[#All],[Total Member Months by Age/Sex Band]], Age_Sex23[[#All],[Advanced Network ID]], $Q171, Age_Sex23[[#All],[Insurance Category Code]],3), 2)</f>
        <v>0</v>
      </c>
      <c r="S171" s="268">
        <f>ROUND(SUMIFS(Age_Sex23[[#All],[Total Dollars Excluded from Spending After Applying Truncation at the Member Level]], Age_Sex23[[#All],[Advanced Network ID]], $B171, Age_Sex23[[#All],[Insurance Category Code]],3), 2)</f>
        <v>0</v>
      </c>
      <c r="T171" s="229">
        <f>ROUND(SUMIFS(Age_Sex23[[#All],[Count of Members whose Spending was Truncated]], Age_Sex23[[#All],[Advanced Network ID]], $B171, Age_Sex23[[#All],[Insurance Category Code]],3),2)</f>
        <v>0</v>
      </c>
      <c r="U171" s="230">
        <f>ROUND(SUMIFS(Age_Sex23[[#All],[Total Spending before Truncation is Applied]], Age_Sex23[[#All],[Advanced Network ID]], $B171, Age_Sex23[[#All],[Insurance Category Code]],3),2)</f>
        <v>0</v>
      </c>
      <c r="V171" s="232">
        <f>ROUND(SUMIFS(Age_Sex23[[#All],[Total Spending After Applying Truncation at the Member Level]], Age_Sex23[[#All],[Advanced Network ID]], $B171, Age_Sex23[[#All],[Insurance Category Code]],3),2)</f>
        <v>0</v>
      </c>
      <c r="W171" s="416" t="str">
        <f>IF(R171=ROUND(SUMIFS(AN_TME23[[#All],[Member Months]], AN_TME23[[#All],[Insurance Category Code]],3, AN_TME23[[#All],[Advanced Network/Insurance Carrier Org ID]],Q171),2), "TRUE", ROUND(R171-SUMIFS(AN_TME23[[#All],[Member Months]], AN_TME23[[#All],[Insurance Category Code]],3, AN_TME23[[#All],[Advanced Network/Insurance Carrier Org ID]],Q171),2))</f>
        <v>TRUE</v>
      </c>
      <c r="X171" s="280" t="str">
        <f>IF(S171=ROUND(SUMIFS(AN_TME23[[#All],[Total Claims Excluded because of Truncation]], AN_TME23[[#All],[Insurance Category Code]],3, AN_TME23[[#All],[Advanced Network/Insurance Carrier Org ID]],Q171),2), "TRUE", ROUND(S171-SUMIFS(AN_TME23[[#All],[Total Claims Excluded because of Truncation]], AN_TME23[[#All],[Insurance Category Code]],3, AN_TME23[[#All],[Advanced Network/Insurance Carrier Org ID]],Q171),2))</f>
        <v>TRUE</v>
      </c>
      <c r="Y171" s="281" t="str">
        <f>IF(T171=ROUND(SUMIFS(AN_TME23[[#All],[Count of Members with Claims Truncated]], AN_TME23[[#All],[Insurance Category Code]],3, AN_TME23[[#All],[Advanced Network/Insurance Carrier Org ID]],Q171),2), "TRUE", ROUND(T171-SUMIFS(AN_TME23[[#All],[Count of Members with Claims Truncated]], AN_TME23[[#All],[Insurance Category Code]],3, AN_TME23[[#All],[Advanced Network/Insurance Carrier Org ID]],Q171),2))</f>
        <v>TRUE</v>
      </c>
      <c r="Z171" s="282" t="str">
        <f>IF(U171=ROUND(SUMIFS(AN_TME23[[#All],[TOTAL Non-Truncated Unadjusted Claims Expenses]], AN_TME23[[#All],[Insurance Category Code]],3, AN_TME23[[#All],[Advanced Network/Insurance Carrier Org ID]],Q171),2), "TRUE", ROUND(U171-SUMIFS(AN_TME23[[#All],[TOTAL Non-Truncated Unadjusted Claims Expenses]], AN_TME23[[#All],[Insurance Category Code]],3, AN_TME23[[#All],[Advanced Network/Insurance Carrier Org ID]],Q171), 2))</f>
        <v>TRUE</v>
      </c>
      <c r="AA171" s="295" t="str">
        <f>IF(V171=ROUND(SUMIFS(AN_TME23[[#All],[TOTAL Truncated Unadjusted Claims Expenses (A21 -A19)]], AN_TME23[[#All],[Insurance Category Code]],3, AN_TME23[[#All],[Advanced Network/Insurance Carrier Org ID]],Q171),2), "TRUE", ROUND(V171-SUMIFS(AN_TME23[[#All],[TOTAL Truncated Unadjusted Claims Expenses (A21 -A19)]], AN_TME23[[#All],[Insurance Category Code]],3, AN_TME23[[#All],[Advanced Network/Insurance Carrier Org ID]],Q171), 2))</f>
        <v>TRUE</v>
      </c>
      <c r="AB171" s="461" t="str">
        <f t="shared" si="18"/>
        <v>TRUE</v>
      </c>
      <c r="AC171" s="282" t="b">
        <f>ROUND(SUMIFS(AN_TME23[[#All],[TOTAL Non-Truncated Unadjusted Claims Expenses]], AN_TME23[[#All],[Insurance Category Code]],3, AN_TME23[[#All],[Advanced Network/Insurance Carrier Org ID]],Q171),2)&gt;=ROUND(SUMIFS(AN_TME23[[#All],[TOTAL Truncated Unadjusted Claims Expenses (A21 -A19)]], AN_TME23[[#All],[Insurance Category Code]],3, AN_TME23[[#All],[Advanced Network/Insurance Carrier Org ID]],Q171), 2)</f>
        <v>1</v>
      </c>
      <c r="AD171" s="295" t="b">
        <f>ROUND(SUMIFS(AN_TME23[[#All],[TOTAL Truncated Unadjusted Claims Expenses (A21 -A19)]], AN_TME23[[#All],[Insurance Category Code]],3, AN_TME23[[#All],[Advanced Network/Insurance Carrier Org ID]],Q171)+SUMIFS(AN_TME23[[#All],[Total Claims Excluded because of Truncation]], AN_TME23[[#All],[Insurance Category Code]],3, AN_TME23[[#All],[Advanced Network/Insurance Carrier Org ID]],Q171),2)=ROUND(SUMIFS(AN_TME23[[#All],[TOTAL Non-Truncated Unadjusted Claims Expenses]], AN_TME23[[#All],[Insurance Category Code]],3, AN_TME23[[#All],[Advanced Network/Insurance Carrier Org ID]],Q171),2)</f>
        <v>1</v>
      </c>
      <c r="AF171" s="323" t="str">
        <f t="shared" si="17"/>
        <v>NA</v>
      </c>
    </row>
    <row r="172" spans="2:32" outlineLevel="1" x14ac:dyDescent="0.25">
      <c r="B172" s="236">
        <v>113</v>
      </c>
      <c r="C172" s="463">
        <f>ROUND(SUMIFS(Age_Sex22[[#All],[Total Member Months by Age/Sex Band]], Age_Sex22[[#All],[Advanced Network ID]], $B172, Age_Sex22[[#All],[Insurance Category Code]],3),2)</f>
        <v>0</v>
      </c>
      <c r="D172" s="268">
        <f>ROUND(SUMIFS(Age_Sex22[[#All],[Total Dollars Excluded from Spending After Applying Truncation at the Member Level]], Age_Sex22[[#All],[Advanced Network ID]], $B172, Age_Sex22[[#All],[Insurance Category Code]],3),2)</f>
        <v>0</v>
      </c>
      <c r="E172" s="229">
        <f>ROUND(SUMIFS(Age_Sex22[[#All],[Count of Members whose Spending was Truncated]], Age_Sex22[[#All],[Advanced Network ID]], $B172, Age_Sex22[[#All],[Insurance Category Code]],3),2)</f>
        <v>0</v>
      </c>
      <c r="F172" s="230">
        <f>ROUND(SUMIFS(Age_Sex22[[#All],[Total Spending before Truncation is Applied]], Age_Sex22[[#All],[Advanced Network ID]], $B172, Age_Sex22[[#All],[Insurance Category Code]],3),2)</f>
        <v>0</v>
      </c>
      <c r="G172" s="232">
        <f>ROUND(SUMIFS(Age_Sex22[[#All],[Total Spending After Applying Truncation at the Member Level]], Age_Sex22[[#All],[Advanced Network ID]], $B172, Age_Sex22[[#All],[Insurance Category Code]],3), 2)</f>
        <v>0</v>
      </c>
      <c r="H172" s="416" t="str">
        <f>IF(C172=ROUND(SUMIFS(AN_TME22[[#All],[Member Months]], AN_TME22[[#All],[Insurance Category Code]],3, AN_TME22[[#All],[Advanced Network/Insurance Carrier Org ID]],B172),2), "TRUE", ROUND(C172-SUMIFS(AN_TME22[[#All],[Member Months]], AN_TME22[[#All],[Insurance Category Code]],3, AN_TME22[[#All],[Advanced Network/Insurance Carrier Org ID]],B172),2))</f>
        <v>TRUE</v>
      </c>
      <c r="I172" s="280" t="str">
        <f>IF(D172=ROUND(SUMIFS(AN_TME22[[#All],[Total Claims Excluded because of Truncation]], AN_TME22[[#All],[Insurance Category Code]],3, AN_TME22[[#All],[Advanced Network/Insurance Carrier Org ID]],B172),2), "TRUE", ROUND(D172-SUMIFS(AN_TME22[[#All],[Total Claims Excluded because of Truncation]], AN_TME22[[#All],[Insurance Category Code]],3, AN_TME22[[#All],[Advanced Network/Insurance Carrier Org ID]],B172),2))</f>
        <v>TRUE</v>
      </c>
      <c r="J172" s="281" t="str">
        <f>IF(E172=ROUND(SUMIFS(AN_TME22[[#All],[Count of Members with Claims Truncated]], AN_TME22[[#All],[Insurance Category Code]],3, AN_TME22[[#All],[Advanced Network/Insurance Carrier Org ID]],B172),2), "TRUE", ROUND(E172-SUMIFS(AN_TME22[[#All],[Count of Members with Claims Truncated]], AN_TME22[[#All],[Insurance Category Code]],3, AN_TME22[[#All],[Advanced Network/Insurance Carrier Org ID]],B172),2))</f>
        <v>TRUE</v>
      </c>
      <c r="K172" s="282" t="str">
        <f>IF(F172=ROUND(SUMIFS(AN_TME22[[#All],[TOTAL Non-Truncated Unadjusted Claims Expenses]], AN_TME22[[#All],[Insurance Category Code]],3, AN_TME22[[#All],[Advanced Network/Insurance Carrier Org ID]],B172),2), "TRUE", ROUND(F172-SUMIFS(AN_TME22[[#All],[TOTAL Non-Truncated Unadjusted Claims Expenses]], AN_TME22[[#All],[Insurance Category Code]],3, AN_TME22[[#All],[Advanced Network/Insurance Carrier Org ID]],B172),2))</f>
        <v>TRUE</v>
      </c>
      <c r="L172" s="295" t="str">
        <f>IF(G172=ROUND(SUMIFS(AN_TME22[[#All],[TOTAL Truncated Unadjusted Claims Expenses (A21 -A19)]], AN_TME22[[#All],[Insurance Category Code]],3, AN_TME22[[#All],[Advanced Network/Insurance Carrier Org ID]],B172),2), "TRUE", ROUND(G172-SUMIFS(AN_TME22[[#All],[TOTAL Truncated Unadjusted Claims Expenses (A21 -A19)]], AN_TME22[[#All],[Insurance Category Code]],3, AN_TME22[[#All],[Advanced Network/Insurance Carrier Org ID]],B172),2))</f>
        <v>TRUE</v>
      </c>
      <c r="M172" s="461" t="str">
        <f t="shared" si="15"/>
        <v>TRUE</v>
      </c>
      <c r="N172" s="282" t="b">
        <f>ROUND(SUMIFS(AN_TME22[[#All],[TOTAL Non-Truncated Unadjusted Claims Expenses]], AN_TME22[[#All],[Insurance Category Code]],3, AN_TME22[[#All],[Advanced Network/Insurance Carrier Org ID]],B172),2)&gt;=ROUND(SUMIFS(AN_TME22[[#All],[TOTAL Truncated Unadjusted Claims Expenses (A21 -A19)]], AN_TME22[[#All],[Insurance Category Code]],3, AN_TME22[[#All],[Advanced Network/Insurance Carrier Org ID]],B172),2)</f>
        <v>1</v>
      </c>
      <c r="O172" s="295" t="b">
        <f>ROUND(SUMIFS(AN_TME22[[#All],[TOTAL Truncated Unadjusted Claims Expenses (A21 -A19)]], AN_TME22[[#All],[Insurance Category Code]],3, AN_TME22[[#All],[Advanced Network/Insurance Carrier Org ID]],B172)+SUMIFS(AN_TME22[[#All],[Total Claims Excluded because of Truncation]], AN_TME22[[#All],[Insurance Category Code]],3, AN_TME22[[#All],[Advanced Network/Insurance Carrier Org ID]],B172),2)=ROUND(SUMIFS(AN_TME22[[#All],[TOTAL Non-Truncated Unadjusted Claims Expenses]], AN_TME22[[#All],[Insurance Category Code]],3, AN_TME22[[#All],[Advanced Network/Insurance Carrier Org ID]],B172), 2)</f>
        <v>1</v>
      </c>
      <c r="Q172" s="236">
        <v>113</v>
      </c>
      <c r="R172" s="463">
        <f>ROUND(SUMIFS(Age_Sex23[[#All],[Total Member Months by Age/Sex Band]], Age_Sex23[[#All],[Advanced Network ID]], $Q172, Age_Sex23[[#All],[Insurance Category Code]],3), 2)</f>
        <v>0</v>
      </c>
      <c r="S172" s="268">
        <f>ROUND(SUMIFS(Age_Sex23[[#All],[Total Dollars Excluded from Spending After Applying Truncation at the Member Level]], Age_Sex23[[#All],[Advanced Network ID]], $B172, Age_Sex23[[#All],[Insurance Category Code]],3), 2)</f>
        <v>0</v>
      </c>
      <c r="T172" s="229">
        <f>ROUND(SUMIFS(Age_Sex23[[#All],[Count of Members whose Spending was Truncated]], Age_Sex23[[#All],[Advanced Network ID]], $B172, Age_Sex23[[#All],[Insurance Category Code]],3),2)</f>
        <v>0</v>
      </c>
      <c r="U172" s="230">
        <f>ROUND(SUMIFS(Age_Sex23[[#All],[Total Spending before Truncation is Applied]], Age_Sex23[[#All],[Advanced Network ID]], $B172, Age_Sex23[[#All],[Insurance Category Code]],3),2)</f>
        <v>0</v>
      </c>
      <c r="V172" s="232">
        <f>ROUND(SUMIFS(Age_Sex23[[#All],[Total Spending After Applying Truncation at the Member Level]], Age_Sex23[[#All],[Advanced Network ID]], $B172, Age_Sex23[[#All],[Insurance Category Code]],3),2)</f>
        <v>0</v>
      </c>
      <c r="W172" s="416" t="str">
        <f>IF(R172=ROUND(SUMIFS(AN_TME23[[#All],[Member Months]], AN_TME23[[#All],[Insurance Category Code]],3, AN_TME23[[#All],[Advanced Network/Insurance Carrier Org ID]],Q172),2), "TRUE", ROUND(R172-SUMIFS(AN_TME23[[#All],[Member Months]], AN_TME23[[#All],[Insurance Category Code]],3, AN_TME23[[#All],[Advanced Network/Insurance Carrier Org ID]],Q172),2))</f>
        <v>TRUE</v>
      </c>
      <c r="X172" s="280" t="str">
        <f>IF(S172=ROUND(SUMIFS(AN_TME23[[#All],[Total Claims Excluded because of Truncation]], AN_TME23[[#All],[Insurance Category Code]],3, AN_TME23[[#All],[Advanced Network/Insurance Carrier Org ID]],Q172),2), "TRUE", ROUND(S172-SUMIFS(AN_TME23[[#All],[Total Claims Excluded because of Truncation]], AN_TME23[[#All],[Insurance Category Code]],3, AN_TME23[[#All],[Advanced Network/Insurance Carrier Org ID]],Q172),2))</f>
        <v>TRUE</v>
      </c>
      <c r="Y172" s="281" t="str">
        <f>IF(T172=ROUND(SUMIFS(AN_TME23[[#All],[Count of Members with Claims Truncated]], AN_TME23[[#All],[Insurance Category Code]],3, AN_TME23[[#All],[Advanced Network/Insurance Carrier Org ID]],Q172),2), "TRUE", ROUND(T172-SUMIFS(AN_TME23[[#All],[Count of Members with Claims Truncated]], AN_TME23[[#All],[Insurance Category Code]],3, AN_TME23[[#All],[Advanced Network/Insurance Carrier Org ID]],Q172),2))</f>
        <v>TRUE</v>
      </c>
      <c r="Z172" s="282" t="str">
        <f>IF(U172=ROUND(SUMIFS(AN_TME23[[#All],[TOTAL Non-Truncated Unadjusted Claims Expenses]], AN_TME23[[#All],[Insurance Category Code]],3, AN_TME23[[#All],[Advanced Network/Insurance Carrier Org ID]],Q172),2), "TRUE", ROUND(U172-SUMIFS(AN_TME23[[#All],[TOTAL Non-Truncated Unadjusted Claims Expenses]], AN_TME23[[#All],[Insurance Category Code]],3, AN_TME23[[#All],[Advanced Network/Insurance Carrier Org ID]],Q172), 2))</f>
        <v>TRUE</v>
      </c>
      <c r="AA172" s="295" t="str">
        <f>IF(V172=ROUND(SUMIFS(AN_TME23[[#All],[TOTAL Truncated Unadjusted Claims Expenses (A21 -A19)]], AN_TME23[[#All],[Insurance Category Code]],3, AN_TME23[[#All],[Advanced Network/Insurance Carrier Org ID]],Q172),2), "TRUE", ROUND(V172-SUMIFS(AN_TME23[[#All],[TOTAL Truncated Unadjusted Claims Expenses (A21 -A19)]], AN_TME23[[#All],[Insurance Category Code]],3, AN_TME23[[#All],[Advanced Network/Insurance Carrier Org ID]],Q172), 2))</f>
        <v>TRUE</v>
      </c>
      <c r="AB172" s="461" t="str">
        <f t="shared" si="18"/>
        <v>TRUE</v>
      </c>
      <c r="AC172" s="282" t="b">
        <f>ROUND(SUMIFS(AN_TME23[[#All],[TOTAL Non-Truncated Unadjusted Claims Expenses]], AN_TME23[[#All],[Insurance Category Code]],3, AN_TME23[[#All],[Advanced Network/Insurance Carrier Org ID]],Q172),2)&gt;=ROUND(SUMIFS(AN_TME23[[#All],[TOTAL Truncated Unadjusted Claims Expenses (A21 -A19)]], AN_TME23[[#All],[Insurance Category Code]],3, AN_TME23[[#All],[Advanced Network/Insurance Carrier Org ID]],Q172), 2)</f>
        <v>1</v>
      </c>
      <c r="AD172" s="295" t="b">
        <f>ROUND(SUMIFS(AN_TME23[[#All],[TOTAL Truncated Unadjusted Claims Expenses (A21 -A19)]], AN_TME23[[#All],[Insurance Category Code]],3, AN_TME23[[#All],[Advanced Network/Insurance Carrier Org ID]],Q172)+SUMIFS(AN_TME23[[#All],[Total Claims Excluded because of Truncation]], AN_TME23[[#All],[Insurance Category Code]],3, AN_TME23[[#All],[Advanced Network/Insurance Carrier Org ID]],Q172),2)=ROUND(SUMIFS(AN_TME23[[#All],[TOTAL Non-Truncated Unadjusted Claims Expenses]], AN_TME23[[#All],[Insurance Category Code]],3, AN_TME23[[#All],[Advanced Network/Insurance Carrier Org ID]],Q172),2)</f>
        <v>1</v>
      </c>
      <c r="AF172" s="323" t="str">
        <f t="shared" si="17"/>
        <v>NA</v>
      </c>
    </row>
    <row r="173" spans="2:32" outlineLevel="1" x14ac:dyDescent="0.25">
      <c r="B173" s="236">
        <v>114</v>
      </c>
      <c r="C173" s="463">
        <f>ROUND(SUMIFS(Age_Sex22[[#All],[Total Member Months by Age/Sex Band]], Age_Sex22[[#All],[Advanced Network ID]], $B173, Age_Sex22[[#All],[Insurance Category Code]],3),2)</f>
        <v>0</v>
      </c>
      <c r="D173" s="268">
        <f>ROUND(SUMIFS(Age_Sex22[[#All],[Total Dollars Excluded from Spending After Applying Truncation at the Member Level]], Age_Sex22[[#All],[Advanced Network ID]], $B173, Age_Sex22[[#All],[Insurance Category Code]],3),2)</f>
        <v>0</v>
      </c>
      <c r="E173" s="229">
        <f>ROUND(SUMIFS(Age_Sex22[[#All],[Count of Members whose Spending was Truncated]], Age_Sex22[[#All],[Advanced Network ID]], $B173, Age_Sex22[[#All],[Insurance Category Code]],3),2)</f>
        <v>0</v>
      </c>
      <c r="F173" s="230">
        <f>ROUND(SUMIFS(Age_Sex22[[#All],[Total Spending before Truncation is Applied]], Age_Sex22[[#All],[Advanced Network ID]], $B173, Age_Sex22[[#All],[Insurance Category Code]],3),2)</f>
        <v>0</v>
      </c>
      <c r="G173" s="232">
        <f>ROUND(SUMIFS(Age_Sex22[[#All],[Total Spending After Applying Truncation at the Member Level]], Age_Sex22[[#All],[Advanced Network ID]], $B173, Age_Sex22[[#All],[Insurance Category Code]],3), 2)</f>
        <v>0</v>
      </c>
      <c r="H173" s="416" t="str">
        <f>IF(C173=ROUND(SUMIFS(AN_TME22[[#All],[Member Months]], AN_TME22[[#All],[Insurance Category Code]],3, AN_TME22[[#All],[Advanced Network/Insurance Carrier Org ID]],B173),2), "TRUE", ROUND(C173-SUMIFS(AN_TME22[[#All],[Member Months]], AN_TME22[[#All],[Insurance Category Code]],3, AN_TME22[[#All],[Advanced Network/Insurance Carrier Org ID]],B173),2))</f>
        <v>TRUE</v>
      </c>
      <c r="I173" s="280" t="str">
        <f>IF(D173=ROUND(SUMIFS(AN_TME22[[#All],[Total Claims Excluded because of Truncation]], AN_TME22[[#All],[Insurance Category Code]],3, AN_TME22[[#All],[Advanced Network/Insurance Carrier Org ID]],B173),2), "TRUE", ROUND(D173-SUMIFS(AN_TME22[[#All],[Total Claims Excluded because of Truncation]], AN_TME22[[#All],[Insurance Category Code]],3, AN_TME22[[#All],[Advanced Network/Insurance Carrier Org ID]],B173),2))</f>
        <v>TRUE</v>
      </c>
      <c r="J173" s="281" t="str">
        <f>IF(E173=ROUND(SUMIFS(AN_TME22[[#All],[Count of Members with Claims Truncated]], AN_TME22[[#All],[Insurance Category Code]],3, AN_TME22[[#All],[Advanced Network/Insurance Carrier Org ID]],B173),2), "TRUE", ROUND(E173-SUMIFS(AN_TME22[[#All],[Count of Members with Claims Truncated]], AN_TME22[[#All],[Insurance Category Code]],3, AN_TME22[[#All],[Advanced Network/Insurance Carrier Org ID]],B173),2))</f>
        <v>TRUE</v>
      </c>
      <c r="K173" s="282" t="str">
        <f>IF(F173=ROUND(SUMIFS(AN_TME22[[#All],[TOTAL Non-Truncated Unadjusted Claims Expenses]], AN_TME22[[#All],[Insurance Category Code]],3, AN_TME22[[#All],[Advanced Network/Insurance Carrier Org ID]],B173),2), "TRUE", ROUND(F173-SUMIFS(AN_TME22[[#All],[TOTAL Non-Truncated Unadjusted Claims Expenses]], AN_TME22[[#All],[Insurance Category Code]],3, AN_TME22[[#All],[Advanced Network/Insurance Carrier Org ID]],B173),2))</f>
        <v>TRUE</v>
      </c>
      <c r="L173" s="295" t="str">
        <f>IF(G173=ROUND(SUMIFS(AN_TME22[[#All],[TOTAL Truncated Unadjusted Claims Expenses (A21 -A19)]], AN_TME22[[#All],[Insurance Category Code]],3, AN_TME22[[#All],[Advanced Network/Insurance Carrier Org ID]],B173),2), "TRUE", ROUND(G173-SUMIFS(AN_TME22[[#All],[TOTAL Truncated Unadjusted Claims Expenses (A21 -A19)]], AN_TME22[[#All],[Insurance Category Code]],3, AN_TME22[[#All],[Advanced Network/Insurance Carrier Org ID]],B173),2))</f>
        <v>TRUE</v>
      </c>
      <c r="M173" s="461" t="str">
        <f t="shared" si="15"/>
        <v>TRUE</v>
      </c>
      <c r="N173" s="282" t="b">
        <f>ROUND(SUMIFS(AN_TME22[[#All],[TOTAL Non-Truncated Unadjusted Claims Expenses]], AN_TME22[[#All],[Insurance Category Code]],3, AN_TME22[[#All],[Advanced Network/Insurance Carrier Org ID]],B173),2)&gt;=ROUND(SUMIFS(AN_TME22[[#All],[TOTAL Truncated Unadjusted Claims Expenses (A21 -A19)]], AN_TME22[[#All],[Insurance Category Code]],3, AN_TME22[[#All],[Advanced Network/Insurance Carrier Org ID]],B173),2)</f>
        <v>1</v>
      </c>
      <c r="O173" s="295" t="b">
        <f>ROUND(SUMIFS(AN_TME22[[#All],[TOTAL Truncated Unadjusted Claims Expenses (A21 -A19)]], AN_TME22[[#All],[Insurance Category Code]],3, AN_TME22[[#All],[Advanced Network/Insurance Carrier Org ID]],B173)+SUMIFS(AN_TME22[[#All],[Total Claims Excluded because of Truncation]], AN_TME22[[#All],[Insurance Category Code]],3, AN_TME22[[#All],[Advanced Network/Insurance Carrier Org ID]],B173),2)=ROUND(SUMIFS(AN_TME22[[#All],[TOTAL Non-Truncated Unadjusted Claims Expenses]], AN_TME22[[#All],[Insurance Category Code]],3, AN_TME22[[#All],[Advanced Network/Insurance Carrier Org ID]],B173), 2)</f>
        <v>1</v>
      </c>
      <c r="Q173" s="236">
        <v>114</v>
      </c>
      <c r="R173" s="463">
        <f>ROUND(SUMIFS(Age_Sex23[[#All],[Total Member Months by Age/Sex Band]], Age_Sex23[[#All],[Advanced Network ID]], $Q173, Age_Sex23[[#All],[Insurance Category Code]],3), 2)</f>
        <v>0</v>
      </c>
      <c r="S173" s="268">
        <f>ROUND(SUMIFS(Age_Sex23[[#All],[Total Dollars Excluded from Spending After Applying Truncation at the Member Level]], Age_Sex23[[#All],[Advanced Network ID]], $B173, Age_Sex23[[#All],[Insurance Category Code]],3), 2)</f>
        <v>0</v>
      </c>
      <c r="T173" s="229">
        <f>ROUND(SUMIFS(Age_Sex23[[#All],[Count of Members whose Spending was Truncated]], Age_Sex23[[#All],[Advanced Network ID]], $B173, Age_Sex23[[#All],[Insurance Category Code]],3),2)</f>
        <v>0</v>
      </c>
      <c r="U173" s="230">
        <f>ROUND(SUMIFS(Age_Sex23[[#All],[Total Spending before Truncation is Applied]], Age_Sex23[[#All],[Advanced Network ID]], $B173, Age_Sex23[[#All],[Insurance Category Code]],3),2)</f>
        <v>0</v>
      </c>
      <c r="V173" s="232">
        <f>ROUND(SUMIFS(Age_Sex23[[#All],[Total Spending After Applying Truncation at the Member Level]], Age_Sex23[[#All],[Advanced Network ID]], $B173, Age_Sex23[[#All],[Insurance Category Code]],3),2)</f>
        <v>0</v>
      </c>
      <c r="W173" s="416" t="str">
        <f>IF(R173=ROUND(SUMIFS(AN_TME23[[#All],[Member Months]], AN_TME23[[#All],[Insurance Category Code]],3, AN_TME23[[#All],[Advanced Network/Insurance Carrier Org ID]],Q173),2), "TRUE", ROUND(R173-SUMIFS(AN_TME23[[#All],[Member Months]], AN_TME23[[#All],[Insurance Category Code]],3, AN_TME23[[#All],[Advanced Network/Insurance Carrier Org ID]],Q173),2))</f>
        <v>TRUE</v>
      </c>
      <c r="X173" s="280" t="str">
        <f>IF(S173=ROUND(SUMIFS(AN_TME23[[#All],[Total Claims Excluded because of Truncation]], AN_TME23[[#All],[Insurance Category Code]],3, AN_TME23[[#All],[Advanced Network/Insurance Carrier Org ID]],Q173),2), "TRUE", ROUND(S173-SUMIFS(AN_TME23[[#All],[Total Claims Excluded because of Truncation]], AN_TME23[[#All],[Insurance Category Code]],3, AN_TME23[[#All],[Advanced Network/Insurance Carrier Org ID]],Q173),2))</f>
        <v>TRUE</v>
      </c>
      <c r="Y173" s="281" t="str">
        <f>IF(T173=ROUND(SUMIFS(AN_TME23[[#All],[Count of Members with Claims Truncated]], AN_TME23[[#All],[Insurance Category Code]],3, AN_TME23[[#All],[Advanced Network/Insurance Carrier Org ID]],Q173),2), "TRUE", ROUND(T173-SUMIFS(AN_TME23[[#All],[Count of Members with Claims Truncated]], AN_TME23[[#All],[Insurance Category Code]],3, AN_TME23[[#All],[Advanced Network/Insurance Carrier Org ID]],Q173),2))</f>
        <v>TRUE</v>
      </c>
      <c r="Z173" s="282" t="str">
        <f>IF(U173=ROUND(SUMIFS(AN_TME23[[#All],[TOTAL Non-Truncated Unadjusted Claims Expenses]], AN_TME23[[#All],[Insurance Category Code]],3, AN_TME23[[#All],[Advanced Network/Insurance Carrier Org ID]],Q173),2), "TRUE", ROUND(U173-SUMIFS(AN_TME23[[#All],[TOTAL Non-Truncated Unadjusted Claims Expenses]], AN_TME23[[#All],[Insurance Category Code]],3, AN_TME23[[#All],[Advanced Network/Insurance Carrier Org ID]],Q173), 2))</f>
        <v>TRUE</v>
      </c>
      <c r="AA173" s="295" t="str">
        <f>IF(V173=ROUND(SUMIFS(AN_TME23[[#All],[TOTAL Truncated Unadjusted Claims Expenses (A21 -A19)]], AN_TME23[[#All],[Insurance Category Code]],3, AN_TME23[[#All],[Advanced Network/Insurance Carrier Org ID]],Q173),2), "TRUE", ROUND(V173-SUMIFS(AN_TME23[[#All],[TOTAL Truncated Unadjusted Claims Expenses (A21 -A19)]], AN_TME23[[#All],[Insurance Category Code]],3, AN_TME23[[#All],[Advanced Network/Insurance Carrier Org ID]],Q173), 2))</f>
        <v>TRUE</v>
      </c>
      <c r="AB173" s="461" t="str">
        <f t="shared" si="18"/>
        <v>TRUE</v>
      </c>
      <c r="AC173" s="282" t="b">
        <f>ROUND(SUMIFS(AN_TME23[[#All],[TOTAL Non-Truncated Unadjusted Claims Expenses]], AN_TME23[[#All],[Insurance Category Code]],3, AN_TME23[[#All],[Advanced Network/Insurance Carrier Org ID]],Q173),2)&gt;=ROUND(SUMIFS(AN_TME23[[#All],[TOTAL Truncated Unadjusted Claims Expenses (A21 -A19)]], AN_TME23[[#All],[Insurance Category Code]],3, AN_TME23[[#All],[Advanced Network/Insurance Carrier Org ID]],Q173), 2)</f>
        <v>1</v>
      </c>
      <c r="AD173" s="295" t="b">
        <f>ROUND(SUMIFS(AN_TME23[[#All],[TOTAL Truncated Unadjusted Claims Expenses (A21 -A19)]], AN_TME23[[#All],[Insurance Category Code]],3, AN_TME23[[#All],[Advanced Network/Insurance Carrier Org ID]],Q173)+SUMIFS(AN_TME23[[#All],[Total Claims Excluded because of Truncation]], AN_TME23[[#All],[Insurance Category Code]],3, AN_TME23[[#All],[Advanced Network/Insurance Carrier Org ID]],Q173),2)=ROUND(SUMIFS(AN_TME23[[#All],[TOTAL Non-Truncated Unadjusted Claims Expenses]], AN_TME23[[#All],[Insurance Category Code]],3, AN_TME23[[#All],[Advanced Network/Insurance Carrier Org ID]],Q173),2)</f>
        <v>1</v>
      </c>
      <c r="AF173" s="323" t="str">
        <f t="shared" si="17"/>
        <v>NA</v>
      </c>
    </row>
    <row r="174" spans="2:32" outlineLevel="1" x14ac:dyDescent="0.25">
      <c r="B174" s="236">
        <v>115</v>
      </c>
      <c r="C174" s="463">
        <f>ROUND(SUMIFS(Age_Sex22[[#All],[Total Member Months by Age/Sex Band]], Age_Sex22[[#All],[Advanced Network ID]], $B174, Age_Sex22[[#All],[Insurance Category Code]],3),2)</f>
        <v>0</v>
      </c>
      <c r="D174" s="268">
        <f>ROUND(SUMIFS(Age_Sex22[[#All],[Total Dollars Excluded from Spending After Applying Truncation at the Member Level]], Age_Sex22[[#All],[Advanced Network ID]], $B174, Age_Sex22[[#All],[Insurance Category Code]],3),2)</f>
        <v>0</v>
      </c>
      <c r="E174" s="229">
        <f>ROUND(SUMIFS(Age_Sex22[[#All],[Count of Members whose Spending was Truncated]], Age_Sex22[[#All],[Advanced Network ID]], $B174, Age_Sex22[[#All],[Insurance Category Code]],3),2)</f>
        <v>0</v>
      </c>
      <c r="F174" s="230">
        <f>ROUND(SUMIFS(Age_Sex22[[#All],[Total Spending before Truncation is Applied]], Age_Sex22[[#All],[Advanced Network ID]], $B174, Age_Sex22[[#All],[Insurance Category Code]],3),2)</f>
        <v>0</v>
      </c>
      <c r="G174" s="232">
        <f>ROUND(SUMIFS(Age_Sex22[[#All],[Total Spending After Applying Truncation at the Member Level]], Age_Sex22[[#All],[Advanced Network ID]], $B174, Age_Sex22[[#All],[Insurance Category Code]],3), 2)</f>
        <v>0</v>
      </c>
      <c r="H174" s="416" t="str">
        <f>IF(C174=ROUND(SUMIFS(AN_TME22[[#All],[Member Months]], AN_TME22[[#All],[Insurance Category Code]],3, AN_TME22[[#All],[Advanced Network/Insurance Carrier Org ID]],B174),2), "TRUE", ROUND(C174-SUMIFS(AN_TME22[[#All],[Member Months]], AN_TME22[[#All],[Insurance Category Code]],3, AN_TME22[[#All],[Advanced Network/Insurance Carrier Org ID]],B174),2))</f>
        <v>TRUE</v>
      </c>
      <c r="I174" s="280" t="str">
        <f>IF(D174=ROUND(SUMIFS(AN_TME22[[#All],[Total Claims Excluded because of Truncation]], AN_TME22[[#All],[Insurance Category Code]],3, AN_TME22[[#All],[Advanced Network/Insurance Carrier Org ID]],B174),2), "TRUE", ROUND(D174-SUMIFS(AN_TME22[[#All],[Total Claims Excluded because of Truncation]], AN_TME22[[#All],[Insurance Category Code]],3, AN_TME22[[#All],[Advanced Network/Insurance Carrier Org ID]],B174),2))</f>
        <v>TRUE</v>
      </c>
      <c r="J174" s="281" t="str">
        <f>IF(E174=ROUND(SUMIFS(AN_TME22[[#All],[Count of Members with Claims Truncated]], AN_TME22[[#All],[Insurance Category Code]],3, AN_TME22[[#All],[Advanced Network/Insurance Carrier Org ID]],B174),2), "TRUE", ROUND(E174-SUMIFS(AN_TME22[[#All],[Count of Members with Claims Truncated]], AN_TME22[[#All],[Insurance Category Code]],3, AN_TME22[[#All],[Advanced Network/Insurance Carrier Org ID]],B174),2))</f>
        <v>TRUE</v>
      </c>
      <c r="K174" s="282" t="str">
        <f>IF(F174=ROUND(SUMIFS(AN_TME22[[#All],[TOTAL Non-Truncated Unadjusted Claims Expenses]], AN_TME22[[#All],[Insurance Category Code]],3, AN_TME22[[#All],[Advanced Network/Insurance Carrier Org ID]],B174),2), "TRUE", ROUND(F174-SUMIFS(AN_TME22[[#All],[TOTAL Non-Truncated Unadjusted Claims Expenses]], AN_TME22[[#All],[Insurance Category Code]],3, AN_TME22[[#All],[Advanced Network/Insurance Carrier Org ID]],B174),2))</f>
        <v>TRUE</v>
      </c>
      <c r="L174" s="295" t="str">
        <f>IF(G174=ROUND(SUMIFS(AN_TME22[[#All],[TOTAL Truncated Unadjusted Claims Expenses (A21 -A19)]], AN_TME22[[#All],[Insurance Category Code]],3, AN_TME22[[#All],[Advanced Network/Insurance Carrier Org ID]],B174),2), "TRUE", ROUND(G174-SUMIFS(AN_TME22[[#All],[TOTAL Truncated Unadjusted Claims Expenses (A21 -A19)]], AN_TME22[[#All],[Insurance Category Code]],3, AN_TME22[[#All],[Advanced Network/Insurance Carrier Org ID]],B174),2))</f>
        <v>TRUE</v>
      </c>
      <c r="M174" s="461" t="str">
        <f t="shared" si="15"/>
        <v>TRUE</v>
      </c>
      <c r="N174" s="282" t="b">
        <f>ROUND(SUMIFS(AN_TME22[[#All],[TOTAL Non-Truncated Unadjusted Claims Expenses]], AN_TME22[[#All],[Insurance Category Code]],3, AN_TME22[[#All],[Advanced Network/Insurance Carrier Org ID]],B174),2)&gt;=ROUND(SUMIFS(AN_TME22[[#All],[TOTAL Truncated Unadjusted Claims Expenses (A21 -A19)]], AN_TME22[[#All],[Insurance Category Code]],3, AN_TME22[[#All],[Advanced Network/Insurance Carrier Org ID]],B174),2)</f>
        <v>1</v>
      </c>
      <c r="O174" s="295" t="b">
        <f>ROUND(SUMIFS(AN_TME22[[#All],[TOTAL Truncated Unadjusted Claims Expenses (A21 -A19)]], AN_TME22[[#All],[Insurance Category Code]],3, AN_TME22[[#All],[Advanced Network/Insurance Carrier Org ID]],B174)+SUMIFS(AN_TME22[[#All],[Total Claims Excluded because of Truncation]], AN_TME22[[#All],[Insurance Category Code]],3, AN_TME22[[#All],[Advanced Network/Insurance Carrier Org ID]],B174),2)=ROUND(SUMIFS(AN_TME22[[#All],[TOTAL Non-Truncated Unadjusted Claims Expenses]], AN_TME22[[#All],[Insurance Category Code]],3, AN_TME22[[#All],[Advanced Network/Insurance Carrier Org ID]],B174), 2)</f>
        <v>1</v>
      </c>
      <c r="Q174" s="236">
        <v>115</v>
      </c>
      <c r="R174" s="463">
        <f>ROUND(SUMIFS(Age_Sex23[[#All],[Total Member Months by Age/Sex Band]], Age_Sex23[[#All],[Advanced Network ID]], $Q174, Age_Sex23[[#All],[Insurance Category Code]],3), 2)</f>
        <v>0</v>
      </c>
      <c r="S174" s="268">
        <f>ROUND(SUMIFS(Age_Sex23[[#All],[Total Dollars Excluded from Spending After Applying Truncation at the Member Level]], Age_Sex23[[#All],[Advanced Network ID]], $B174, Age_Sex23[[#All],[Insurance Category Code]],3), 2)</f>
        <v>0</v>
      </c>
      <c r="T174" s="229">
        <f>ROUND(SUMIFS(Age_Sex23[[#All],[Count of Members whose Spending was Truncated]], Age_Sex23[[#All],[Advanced Network ID]], $B174, Age_Sex23[[#All],[Insurance Category Code]],3),2)</f>
        <v>0</v>
      </c>
      <c r="U174" s="230">
        <f>ROUND(SUMIFS(Age_Sex23[[#All],[Total Spending before Truncation is Applied]], Age_Sex23[[#All],[Advanced Network ID]], $B174, Age_Sex23[[#All],[Insurance Category Code]],3),2)</f>
        <v>0</v>
      </c>
      <c r="V174" s="232">
        <f>ROUND(SUMIFS(Age_Sex23[[#All],[Total Spending After Applying Truncation at the Member Level]], Age_Sex23[[#All],[Advanced Network ID]], $B174, Age_Sex23[[#All],[Insurance Category Code]],3),2)</f>
        <v>0</v>
      </c>
      <c r="W174" s="416" t="str">
        <f>IF(R174=ROUND(SUMIFS(AN_TME23[[#All],[Member Months]], AN_TME23[[#All],[Insurance Category Code]],3, AN_TME23[[#All],[Advanced Network/Insurance Carrier Org ID]],Q174),2), "TRUE", ROUND(R174-SUMIFS(AN_TME23[[#All],[Member Months]], AN_TME23[[#All],[Insurance Category Code]],3, AN_TME23[[#All],[Advanced Network/Insurance Carrier Org ID]],Q174),2))</f>
        <v>TRUE</v>
      </c>
      <c r="X174" s="280" t="str">
        <f>IF(S174=ROUND(SUMIFS(AN_TME23[[#All],[Total Claims Excluded because of Truncation]], AN_TME23[[#All],[Insurance Category Code]],3, AN_TME23[[#All],[Advanced Network/Insurance Carrier Org ID]],Q174),2), "TRUE", ROUND(S174-SUMIFS(AN_TME23[[#All],[Total Claims Excluded because of Truncation]], AN_TME23[[#All],[Insurance Category Code]],3, AN_TME23[[#All],[Advanced Network/Insurance Carrier Org ID]],Q174),2))</f>
        <v>TRUE</v>
      </c>
      <c r="Y174" s="281" t="str">
        <f>IF(T174=ROUND(SUMIFS(AN_TME23[[#All],[Count of Members with Claims Truncated]], AN_TME23[[#All],[Insurance Category Code]],3, AN_TME23[[#All],[Advanced Network/Insurance Carrier Org ID]],Q174),2), "TRUE", ROUND(T174-SUMIFS(AN_TME23[[#All],[Count of Members with Claims Truncated]], AN_TME23[[#All],[Insurance Category Code]],3, AN_TME23[[#All],[Advanced Network/Insurance Carrier Org ID]],Q174),2))</f>
        <v>TRUE</v>
      </c>
      <c r="Z174" s="282" t="str">
        <f>IF(U174=ROUND(SUMIFS(AN_TME23[[#All],[TOTAL Non-Truncated Unadjusted Claims Expenses]], AN_TME23[[#All],[Insurance Category Code]],3, AN_TME23[[#All],[Advanced Network/Insurance Carrier Org ID]],Q174),2), "TRUE", ROUND(U174-SUMIFS(AN_TME23[[#All],[TOTAL Non-Truncated Unadjusted Claims Expenses]], AN_TME23[[#All],[Insurance Category Code]],3, AN_TME23[[#All],[Advanced Network/Insurance Carrier Org ID]],Q174), 2))</f>
        <v>TRUE</v>
      </c>
      <c r="AA174" s="295" t="str">
        <f>IF(V174=ROUND(SUMIFS(AN_TME23[[#All],[TOTAL Truncated Unadjusted Claims Expenses (A21 -A19)]], AN_TME23[[#All],[Insurance Category Code]],3, AN_TME23[[#All],[Advanced Network/Insurance Carrier Org ID]],Q174),2), "TRUE", ROUND(V174-SUMIFS(AN_TME23[[#All],[TOTAL Truncated Unadjusted Claims Expenses (A21 -A19)]], AN_TME23[[#All],[Insurance Category Code]],3, AN_TME23[[#All],[Advanced Network/Insurance Carrier Org ID]],Q174), 2))</f>
        <v>TRUE</v>
      </c>
      <c r="AB174" s="461" t="str">
        <f t="shared" si="18"/>
        <v>TRUE</v>
      </c>
      <c r="AC174" s="282" t="b">
        <f>ROUND(SUMIFS(AN_TME23[[#All],[TOTAL Non-Truncated Unadjusted Claims Expenses]], AN_TME23[[#All],[Insurance Category Code]],3, AN_TME23[[#All],[Advanced Network/Insurance Carrier Org ID]],Q174),2)&gt;=ROUND(SUMIFS(AN_TME23[[#All],[TOTAL Truncated Unadjusted Claims Expenses (A21 -A19)]], AN_TME23[[#All],[Insurance Category Code]],3, AN_TME23[[#All],[Advanced Network/Insurance Carrier Org ID]],Q174), 2)</f>
        <v>1</v>
      </c>
      <c r="AD174" s="295" t="b">
        <f>ROUND(SUMIFS(AN_TME23[[#All],[TOTAL Truncated Unadjusted Claims Expenses (A21 -A19)]], AN_TME23[[#All],[Insurance Category Code]],3, AN_TME23[[#All],[Advanced Network/Insurance Carrier Org ID]],Q174)+SUMIFS(AN_TME23[[#All],[Total Claims Excluded because of Truncation]], AN_TME23[[#All],[Insurance Category Code]],3, AN_TME23[[#All],[Advanced Network/Insurance Carrier Org ID]],Q174),2)=ROUND(SUMIFS(AN_TME23[[#All],[TOTAL Non-Truncated Unadjusted Claims Expenses]], AN_TME23[[#All],[Insurance Category Code]],3, AN_TME23[[#All],[Advanced Network/Insurance Carrier Org ID]],Q174),2)</f>
        <v>1</v>
      </c>
      <c r="AF174" s="323" t="str">
        <f t="shared" si="17"/>
        <v>NA</v>
      </c>
    </row>
    <row r="175" spans="2:32" outlineLevel="1" x14ac:dyDescent="0.25">
      <c r="B175" s="236">
        <v>116</v>
      </c>
      <c r="C175" s="463">
        <f>ROUND(SUMIFS(Age_Sex22[[#All],[Total Member Months by Age/Sex Band]], Age_Sex22[[#All],[Advanced Network ID]], $B175, Age_Sex22[[#All],[Insurance Category Code]],3),2)</f>
        <v>0</v>
      </c>
      <c r="D175" s="268">
        <f>ROUND(SUMIFS(Age_Sex22[[#All],[Total Dollars Excluded from Spending After Applying Truncation at the Member Level]], Age_Sex22[[#All],[Advanced Network ID]], $B175, Age_Sex22[[#All],[Insurance Category Code]],3),2)</f>
        <v>0</v>
      </c>
      <c r="E175" s="229">
        <f>ROUND(SUMIFS(Age_Sex22[[#All],[Count of Members whose Spending was Truncated]], Age_Sex22[[#All],[Advanced Network ID]], $B175, Age_Sex22[[#All],[Insurance Category Code]],3),2)</f>
        <v>0</v>
      </c>
      <c r="F175" s="230">
        <f>ROUND(SUMIFS(Age_Sex22[[#All],[Total Spending before Truncation is Applied]], Age_Sex22[[#All],[Advanced Network ID]], $B175, Age_Sex22[[#All],[Insurance Category Code]],3),2)</f>
        <v>0</v>
      </c>
      <c r="G175" s="232">
        <f>ROUND(SUMIFS(Age_Sex22[[#All],[Total Spending After Applying Truncation at the Member Level]], Age_Sex22[[#All],[Advanced Network ID]], $B175, Age_Sex22[[#All],[Insurance Category Code]],3), 2)</f>
        <v>0</v>
      </c>
      <c r="H175" s="416" t="str">
        <f>IF(C175=ROUND(SUMIFS(AN_TME22[[#All],[Member Months]], AN_TME22[[#All],[Insurance Category Code]],3, AN_TME22[[#All],[Advanced Network/Insurance Carrier Org ID]],B175),2), "TRUE", ROUND(C175-SUMIFS(AN_TME22[[#All],[Member Months]], AN_TME22[[#All],[Insurance Category Code]],3, AN_TME22[[#All],[Advanced Network/Insurance Carrier Org ID]],B175),2))</f>
        <v>TRUE</v>
      </c>
      <c r="I175" s="280" t="str">
        <f>IF(D175=ROUND(SUMIFS(AN_TME22[[#All],[Total Claims Excluded because of Truncation]], AN_TME22[[#All],[Insurance Category Code]],3, AN_TME22[[#All],[Advanced Network/Insurance Carrier Org ID]],B175),2), "TRUE", ROUND(D175-SUMIFS(AN_TME22[[#All],[Total Claims Excluded because of Truncation]], AN_TME22[[#All],[Insurance Category Code]],3, AN_TME22[[#All],[Advanced Network/Insurance Carrier Org ID]],B175),2))</f>
        <v>TRUE</v>
      </c>
      <c r="J175" s="281" t="str">
        <f>IF(E175=ROUND(SUMIFS(AN_TME22[[#All],[Count of Members with Claims Truncated]], AN_TME22[[#All],[Insurance Category Code]],3, AN_TME22[[#All],[Advanced Network/Insurance Carrier Org ID]],B175),2), "TRUE", ROUND(E175-SUMIFS(AN_TME22[[#All],[Count of Members with Claims Truncated]], AN_TME22[[#All],[Insurance Category Code]],3, AN_TME22[[#All],[Advanced Network/Insurance Carrier Org ID]],B175),2))</f>
        <v>TRUE</v>
      </c>
      <c r="K175" s="282" t="str">
        <f>IF(F175=ROUND(SUMIFS(AN_TME22[[#All],[TOTAL Non-Truncated Unadjusted Claims Expenses]], AN_TME22[[#All],[Insurance Category Code]],3, AN_TME22[[#All],[Advanced Network/Insurance Carrier Org ID]],B175),2), "TRUE", ROUND(F175-SUMIFS(AN_TME22[[#All],[TOTAL Non-Truncated Unadjusted Claims Expenses]], AN_TME22[[#All],[Insurance Category Code]],3, AN_TME22[[#All],[Advanced Network/Insurance Carrier Org ID]],B175),2))</f>
        <v>TRUE</v>
      </c>
      <c r="L175" s="295" t="str">
        <f>IF(G175=ROUND(SUMIFS(AN_TME22[[#All],[TOTAL Truncated Unadjusted Claims Expenses (A21 -A19)]], AN_TME22[[#All],[Insurance Category Code]],3, AN_TME22[[#All],[Advanced Network/Insurance Carrier Org ID]],B175),2), "TRUE", ROUND(G175-SUMIFS(AN_TME22[[#All],[TOTAL Truncated Unadjusted Claims Expenses (A21 -A19)]], AN_TME22[[#All],[Insurance Category Code]],3, AN_TME22[[#All],[Advanced Network/Insurance Carrier Org ID]],B175),2))</f>
        <v>TRUE</v>
      </c>
      <c r="M175" s="461" t="str">
        <f t="shared" si="15"/>
        <v>TRUE</v>
      </c>
      <c r="N175" s="282" t="b">
        <f>ROUND(SUMIFS(AN_TME22[[#All],[TOTAL Non-Truncated Unadjusted Claims Expenses]], AN_TME22[[#All],[Insurance Category Code]],3, AN_TME22[[#All],[Advanced Network/Insurance Carrier Org ID]],B175),2)&gt;=ROUND(SUMIFS(AN_TME22[[#All],[TOTAL Truncated Unadjusted Claims Expenses (A21 -A19)]], AN_TME22[[#All],[Insurance Category Code]],3, AN_TME22[[#All],[Advanced Network/Insurance Carrier Org ID]],B175),2)</f>
        <v>1</v>
      </c>
      <c r="O175" s="295" t="b">
        <f>ROUND(SUMIFS(AN_TME22[[#All],[TOTAL Truncated Unadjusted Claims Expenses (A21 -A19)]], AN_TME22[[#All],[Insurance Category Code]],3, AN_TME22[[#All],[Advanced Network/Insurance Carrier Org ID]],B175)+SUMIFS(AN_TME22[[#All],[Total Claims Excluded because of Truncation]], AN_TME22[[#All],[Insurance Category Code]],3, AN_TME22[[#All],[Advanced Network/Insurance Carrier Org ID]],B175),2)=ROUND(SUMIFS(AN_TME22[[#All],[TOTAL Non-Truncated Unadjusted Claims Expenses]], AN_TME22[[#All],[Insurance Category Code]],3, AN_TME22[[#All],[Advanced Network/Insurance Carrier Org ID]],B175), 2)</f>
        <v>1</v>
      </c>
      <c r="Q175" s="236">
        <v>116</v>
      </c>
      <c r="R175" s="463">
        <f>ROUND(SUMIFS(Age_Sex23[[#All],[Total Member Months by Age/Sex Band]], Age_Sex23[[#All],[Advanced Network ID]], $Q175, Age_Sex23[[#All],[Insurance Category Code]],3), 2)</f>
        <v>0</v>
      </c>
      <c r="S175" s="268">
        <f>ROUND(SUMIFS(Age_Sex23[[#All],[Total Dollars Excluded from Spending After Applying Truncation at the Member Level]], Age_Sex23[[#All],[Advanced Network ID]], $B175, Age_Sex23[[#All],[Insurance Category Code]],3), 2)</f>
        <v>0</v>
      </c>
      <c r="T175" s="229">
        <f>ROUND(SUMIFS(Age_Sex23[[#All],[Count of Members whose Spending was Truncated]], Age_Sex23[[#All],[Advanced Network ID]], $B175, Age_Sex23[[#All],[Insurance Category Code]],3),2)</f>
        <v>0</v>
      </c>
      <c r="U175" s="230">
        <f>ROUND(SUMIFS(Age_Sex23[[#All],[Total Spending before Truncation is Applied]], Age_Sex23[[#All],[Advanced Network ID]], $B175, Age_Sex23[[#All],[Insurance Category Code]],3),2)</f>
        <v>0</v>
      </c>
      <c r="V175" s="232">
        <f>ROUND(SUMIFS(Age_Sex23[[#All],[Total Spending After Applying Truncation at the Member Level]], Age_Sex23[[#All],[Advanced Network ID]], $B175, Age_Sex23[[#All],[Insurance Category Code]],3),2)</f>
        <v>0</v>
      </c>
      <c r="W175" s="416" t="str">
        <f>IF(R175=ROUND(SUMIFS(AN_TME23[[#All],[Member Months]], AN_TME23[[#All],[Insurance Category Code]],3, AN_TME23[[#All],[Advanced Network/Insurance Carrier Org ID]],Q175),2), "TRUE", ROUND(R175-SUMIFS(AN_TME23[[#All],[Member Months]], AN_TME23[[#All],[Insurance Category Code]],3, AN_TME23[[#All],[Advanced Network/Insurance Carrier Org ID]],Q175),2))</f>
        <v>TRUE</v>
      </c>
      <c r="X175" s="280" t="str">
        <f>IF(S175=ROUND(SUMIFS(AN_TME23[[#All],[Total Claims Excluded because of Truncation]], AN_TME23[[#All],[Insurance Category Code]],3, AN_TME23[[#All],[Advanced Network/Insurance Carrier Org ID]],Q175),2), "TRUE", ROUND(S175-SUMIFS(AN_TME23[[#All],[Total Claims Excluded because of Truncation]], AN_TME23[[#All],[Insurance Category Code]],3, AN_TME23[[#All],[Advanced Network/Insurance Carrier Org ID]],Q175),2))</f>
        <v>TRUE</v>
      </c>
      <c r="Y175" s="281" t="str">
        <f>IF(T175=ROUND(SUMIFS(AN_TME23[[#All],[Count of Members with Claims Truncated]], AN_TME23[[#All],[Insurance Category Code]],3, AN_TME23[[#All],[Advanced Network/Insurance Carrier Org ID]],Q175),2), "TRUE", ROUND(T175-SUMIFS(AN_TME23[[#All],[Count of Members with Claims Truncated]], AN_TME23[[#All],[Insurance Category Code]],3, AN_TME23[[#All],[Advanced Network/Insurance Carrier Org ID]],Q175),2))</f>
        <v>TRUE</v>
      </c>
      <c r="Z175" s="282" t="str">
        <f>IF(U175=ROUND(SUMIFS(AN_TME23[[#All],[TOTAL Non-Truncated Unadjusted Claims Expenses]], AN_TME23[[#All],[Insurance Category Code]],3, AN_TME23[[#All],[Advanced Network/Insurance Carrier Org ID]],Q175),2), "TRUE", ROUND(U175-SUMIFS(AN_TME23[[#All],[TOTAL Non-Truncated Unadjusted Claims Expenses]], AN_TME23[[#All],[Insurance Category Code]],3, AN_TME23[[#All],[Advanced Network/Insurance Carrier Org ID]],Q175), 2))</f>
        <v>TRUE</v>
      </c>
      <c r="AA175" s="295" t="str">
        <f>IF(V175=ROUND(SUMIFS(AN_TME23[[#All],[TOTAL Truncated Unadjusted Claims Expenses (A21 -A19)]], AN_TME23[[#All],[Insurance Category Code]],3, AN_TME23[[#All],[Advanced Network/Insurance Carrier Org ID]],Q175),2), "TRUE", ROUND(V175-SUMIFS(AN_TME23[[#All],[TOTAL Truncated Unadjusted Claims Expenses (A21 -A19)]], AN_TME23[[#All],[Insurance Category Code]],3, AN_TME23[[#All],[Advanced Network/Insurance Carrier Org ID]],Q175), 2))</f>
        <v>TRUE</v>
      </c>
      <c r="AB175" s="461" t="str">
        <f t="shared" si="18"/>
        <v>TRUE</v>
      </c>
      <c r="AC175" s="282" t="b">
        <f>ROUND(SUMIFS(AN_TME23[[#All],[TOTAL Non-Truncated Unadjusted Claims Expenses]], AN_TME23[[#All],[Insurance Category Code]],3, AN_TME23[[#All],[Advanced Network/Insurance Carrier Org ID]],Q175),2)&gt;=ROUND(SUMIFS(AN_TME23[[#All],[TOTAL Truncated Unadjusted Claims Expenses (A21 -A19)]], AN_TME23[[#All],[Insurance Category Code]],3, AN_TME23[[#All],[Advanced Network/Insurance Carrier Org ID]],Q175), 2)</f>
        <v>1</v>
      </c>
      <c r="AD175" s="295" t="b">
        <f>ROUND(SUMIFS(AN_TME23[[#All],[TOTAL Truncated Unadjusted Claims Expenses (A21 -A19)]], AN_TME23[[#All],[Insurance Category Code]],3, AN_TME23[[#All],[Advanced Network/Insurance Carrier Org ID]],Q175)+SUMIFS(AN_TME23[[#All],[Total Claims Excluded because of Truncation]], AN_TME23[[#All],[Insurance Category Code]],3, AN_TME23[[#All],[Advanced Network/Insurance Carrier Org ID]],Q175),2)=ROUND(SUMIFS(AN_TME23[[#All],[TOTAL Non-Truncated Unadjusted Claims Expenses]], AN_TME23[[#All],[Insurance Category Code]],3, AN_TME23[[#All],[Advanced Network/Insurance Carrier Org ID]],Q175),2)</f>
        <v>1</v>
      </c>
      <c r="AF175" s="323" t="str">
        <f t="shared" si="17"/>
        <v>NA</v>
      </c>
    </row>
    <row r="176" spans="2:32" outlineLevel="1" x14ac:dyDescent="0.25">
      <c r="B176" s="236">
        <v>117</v>
      </c>
      <c r="C176" s="463">
        <f>ROUND(SUMIFS(Age_Sex22[[#All],[Total Member Months by Age/Sex Band]], Age_Sex22[[#All],[Advanced Network ID]], $B176, Age_Sex22[[#All],[Insurance Category Code]],3),2)</f>
        <v>0</v>
      </c>
      <c r="D176" s="268">
        <f>ROUND(SUMIFS(Age_Sex22[[#All],[Total Dollars Excluded from Spending After Applying Truncation at the Member Level]], Age_Sex22[[#All],[Advanced Network ID]], $B176, Age_Sex22[[#All],[Insurance Category Code]],3),2)</f>
        <v>0</v>
      </c>
      <c r="E176" s="229">
        <f>ROUND(SUMIFS(Age_Sex22[[#All],[Count of Members whose Spending was Truncated]], Age_Sex22[[#All],[Advanced Network ID]], $B176, Age_Sex22[[#All],[Insurance Category Code]],3),2)</f>
        <v>0</v>
      </c>
      <c r="F176" s="230">
        <f>ROUND(SUMIFS(Age_Sex22[[#All],[Total Spending before Truncation is Applied]], Age_Sex22[[#All],[Advanced Network ID]], $B176, Age_Sex22[[#All],[Insurance Category Code]],3),2)</f>
        <v>0</v>
      </c>
      <c r="G176" s="232">
        <f>ROUND(SUMIFS(Age_Sex22[[#All],[Total Spending After Applying Truncation at the Member Level]], Age_Sex22[[#All],[Advanced Network ID]], $B176, Age_Sex22[[#All],[Insurance Category Code]],3), 2)</f>
        <v>0</v>
      </c>
      <c r="H176" s="416" t="str">
        <f>IF(C176=ROUND(SUMIFS(AN_TME22[[#All],[Member Months]], AN_TME22[[#All],[Insurance Category Code]],3, AN_TME22[[#All],[Advanced Network/Insurance Carrier Org ID]],B176),2), "TRUE", ROUND(C176-SUMIFS(AN_TME22[[#All],[Member Months]], AN_TME22[[#All],[Insurance Category Code]],3, AN_TME22[[#All],[Advanced Network/Insurance Carrier Org ID]],B176),2))</f>
        <v>TRUE</v>
      </c>
      <c r="I176" s="280" t="str">
        <f>IF(D176=ROUND(SUMIFS(AN_TME22[[#All],[Total Claims Excluded because of Truncation]], AN_TME22[[#All],[Insurance Category Code]],3, AN_TME22[[#All],[Advanced Network/Insurance Carrier Org ID]],B176),2), "TRUE", ROUND(D176-SUMIFS(AN_TME22[[#All],[Total Claims Excluded because of Truncation]], AN_TME22[[#All],[Insurance Category Code]],3, AN_TME22[[#All],[Advanced Network/Insurance Carrier Org ID]],B176),2))</f>
        <v>TRUE</v>
      </c>
      <c r="J176" s="281" t="str">
        <f>IF(E176=ROUND(SUMIFS(AN_TME22[[#All],[Count of Members with Claims Truncated]], AN_TME22[[#All],[Insurance Category Code]],3, AN_TME22[[#All],[Advanced Network/Insurance Carrier Org ID]],B176),2), "TRUE", ROUND(E176-SUMIFS(AN_TME22[[#All],[Count of Members with Claims Truncated]], AN_TME22[[#All],[Insurance Category Code]],3, AN_TME22[[#All],[Advanced Network/Insurance Carrier Org ID]],B176),2))</f>
        <v>TRUE</v>
      </c>
      <c r="K176" s="282" t="str">
        <f>IF(F176=ROUND(SUMIFS(AN_TME22[[#All],[TOTAL Non-Truncated Unadjusted Claims Expenses]], AN_TME22[[#All],[Insurance Category Code]],3, AN_TME22[[#All],[Advanced Network/Insurance Carrier Org ID]],B176),2), "TRUE", ROUND(F176-SUMIFS(AN_TME22[[#All],[TOTAL Non-Truncated Unadjusted Claims Expenses]], AN_TME22[[#All],[Insurance Category Code]],3, AN_TME22[[#All],[Advanced Network/Insurance Carrier Org ID]],B176),2))</f>
        <v>TRUE</v>
      </c>
      <c r="L176" s="295" t="str">
        <f>IF(G176=ROUND(SUMIFS(AN_TME22[[#All],[TOTAL Truncated Unadjusted Claims Expenses (A21 -A19)]], AN_TME22[[#All],[Insurance Category Code]],3, AN_TME22[[#All],[Advanced Network/Insurance Carrier Org ID]],B176),2), "TRUE", ROUND(G176-SUMIFS(AN_TME22[[#All],[TOTAL Truncated Unadjusted Claims Expenses (A21 -A19)]], AN_TME22[[#All],[Insurance Category Code]],3, AN_TME22[[#All],[Advanced Network/Insurance Carrier Org ID]],B176),2))</f>
        <v>TRUE</v>
      </c>
      <c r="M176" s="461" t="str">
        <f t="shared" si="15"/>
        <v>TRUE</v>
      </c>
      <c r="N176" s="282" t="b">
        <f>ROUND(SUMIFS(AN_TME22[[#All],[TOTAL Non-Truncated Unadjusted Claims Expenses]], AN_TME22[[#All],[Insurance Category Code]],3, AN_TME22[[#All],[Advanced Network/Insurance Carrier Org ID]],B176),2)&gt;=ROUND(SUMIFS(AN_TME22[[#All],[TOTAL Truncated Unadjusted Claims Expenses (A21 -A19)]], AN_TME22[[#All],[Insurance Category Code]],3, AN_TME22[[#All],[Advanced Network/Insurance Carrier Org ID]],B176),2)</f>
        <v>1</v>
      </c>
      <c r="O176" s="295" t="b">
        <f>ROUND(SUMIFS(AN_TME22[[#All],[TOTAL Truncated Unadjusted Claims Expenses (A21 -A19)]], AN_TME22[[#All],[Insurance Category Code]],3, AN_TME22[[#All],[Advanced Network/Insurance Carrier Org ID]],B176)+SUMIFS(AN_TME22[[#All],[Total Claims Excluded because of Truncation]], AN_TME22[[#All],[Insurance Category Code]],3, AN_TME22[[#All],[Advanced Network/Insurance Carrier Org ID]],B176),2)=ROUND(SUMIFS(AN_TME22[[#All],[TOTAL Non-Truncated Unadjusted Claims Expenses]], AN_TME22[[#All],[Insurance Category Code]],3, AN_TME22[[#All],[Advanced Network/Insurance Carrier Org ID]],B176), 2)</f>
        <v>1</v>
      </c>
      <c r="Q176" s="236">
        <v>117</v>
      </c>
      <c r="R176" s="463">
        <f>ROUND(SUMIFS(Age_Sex23[[#All],[Total Member Months by Age/Sex Band]], Age_Sex23[[#All],[Advanced Network ID]], $Q176, Age_Sex23[[#All],[Insurance Category Code]],3), 2)</f>
        <v>0</v>
      </c>
      <c r="S176" s="268">
        <f>ROUND(SUMIFS(Age_Sex23[[#All],[Total Dollars Excluded from Spending After Applying Truncation at the Member Level]], Age_Sex23[[#All],[Advanced Network ID]], $B176, Age_Sex23[[#All],[Insurance Category Code]],3), 2)</f>
        <v>0</v>
      </c>
      <c r="T176" s="229">
        <f>ROUND(SUMIFS(Age_Sex23[[#All],[Count of Members whose Spending was Truncated]], Age_Sex23[[#All],[Advanced Network ID]], $B176, Age_Sex23[[#All],[Insurance Category Code]],3),2)</f>
        <v>0</v>
      </c>
      <c r="U176" s="230">
        <f>ROUND(SUMIFS(Age_Sex23[[#All],[Total Spending before Truncation is Applied]], Age_Sex23[[#All],[Advanced Network ID]], $B176, Age_Sex23[[#All],[Insurance Category Code]],3),2)</f>
        <v>0</v>
      </c>
      <c r="V176" s="232">
        <f>ROUND(SUMIFS(Age_Sex23[[#All],[Total Spending After Applying Truncation at the Member Level]], Age_Sex23[[#All],[Advanced Network ID]], $B176, Age_Sex23[[#All],[Insurance Category Code]],3),2)</f>
        <v>0</v>
      </c>
      <c r="W176" s="416" t="str">
        <f>IF(R176=ROUND(SUMIFS(AN_TME23[[#All],[Member Months]], AN_TME23[[#All],[Insurance Category Code]],3, AN_TME23[[#All],[Advanced Network/Insurance Carrier Org ID]],Q176),2), "TRUE", ROUND(R176-SUMIFS(AN_TME23[[#All],[Member Months]], AN_TME23[[#All],[Insurance Category Code]],3, AN_TME23[[#All],[Advanced Network/Insurance Carrier Org ID]],Q176),2))</f>
        <v>TRUE</v>
      </c>
      <c r="X176" s="280" t="str">
        <f>IF(S176=ROUND(SUMIFS(AN_TME23[[#All],[Total Claims Excluded because of Truncation]], AN_TME23[[#All],[Insurance Category Code]],3, AN_TME23[[#All],[Advanced Network/Insurance Carrier Org ID]],Q176),2), "TRUE", ROUND(S176-SUMIFS(AN_TME23[[#All],[Total Claims Excluded because of Truncation]], AN_TME23[[#All],[Insurance Category Code]],3, AN_TME23[[#All],[Advanced Network/Insurance Carrier Org ID]],Q176),2))</f>
        <v>TRUE</v>
      </c>
      <c r="Y176" s="281" t="str">
        <f>IF(T176=ROUND(SUMIFS(AN_TME23[[#All],[Count of Members with Claims Truncated]], AN_TME23[[#All],[Insurance Category Code]],3, AN_TME23[[#All],[Advanced Network/Insurance Carrier Org ID]],Q176),2), "TRUE", ROUND(T176-SUMIFS(AN_TME23[[#All],[Count of Members with Claims Truncated]], AN_TME23[[#All],[Insurance Category Code]],3, AN_TME23[[#All],[Advanced Network/Insurance Carrier Org ID]],Q176),2))</f>
        <v>TRUE</v>
      </c>
      <c r="Z176" s="282" t="str">
        <f>IF(U176=ROUND(SUMIFS(AN_TME23[[#All],[TOTAL Non-Truncated Unadjusted Claims Expenses]], AN_TME23[[#All],[Insurance Category Code]],3, AN_TME23[[#All],[Advanced Network/Insurance Carrier Org ID]],Q176),2), "TRUE", ROUND(U176-SUMIFS(AN_TME23[[#All],[TOTAL Non-Truncated Unadjusted Claims Expenses]], AN_TME23[[#All],[Insurance Category Code]],3, AN_TME23[[#All],[Advanced Network/Insurance Carrier Org ID]],Q176), 2))</f>
        <v>TRUE</v>
      </c>
      <c r="AA176" s="295" t="str">
        <f>IF(V176=ROUND(SUMIFS(AN_TME23[[#All],[TOTAL Truncated Unadjusted Claims Expenses (A21 -A19)]], AN_TME23[[#All],[Insurance Category Code]],3, AN_TME23[[#All],[Advanced Network/Insurance Carrier Org ID]],Q176),2), "TRUE", ROUND(V176-SUMIFS(AN_TME23[[#All],[TOTAL Truncated Unadjusted Claims Expenses (A21 -A19)]], AN_TME23[[#All],[Insurance Category Code]],3, AN_TME23[[#All],[Advanced Network/Insurance Carrier Org ID]],Q176), 2))</f>
        <v>TRUE</v>
      </c>
      <c r="AB176" s="461" t="str">
        <f t="shared" si="18"/>
        <v>TRUE</v>
      </c>
      <c r="AC176" s="282" t="b">
        <f>ROUND(SUMIFS(AN_TME23[[#All],[TOTAL Non-Truncated Unadjusted Claims Expenses]], AN_TME23[[#All],[Insurance Category Code]],3, AN_TME23[[#All],[Advanced Network/Insurance Carrier Org ID]],Q176),2)&gt;=ROUND(SUMIFS(AN_TME23[[#All],[TOTAL Truncated Unadjusted Claims Expenses (A21 -A19)]], AN_TME23[[#All],[Insurance Category Code]],3, AN_TME23[[#All],[Advanced Network/Insurance Carrier Org ID]],Q176), 2)</f>
        <v>1</v>
      </c>
      <c r="AD176" s="295" t="b">
        <f>ROUND(SUMIFS(AN_TME23[[#All],[TOTAL Truncated Unadjusted Claims Expenses (A21 -A19)]], AN_TME23[[#All],[Insurance Category Code]],3, AN_TME23[[#All],[Advanced Network/Insurance Carrier Org ID]],Q176)+SUMIFS(AN_TME23[[#All],[Total Claims Excluded because of Truncation]], AN_TME23[[#All],[Insurance Category Code]],3, AN_TME23[[#All],[Advanced Network/Insurance Carrier Org ID]],Q176),2)=ROUND(SUMIFS(AN_TME23[[#All],[TOTAL Non-Truncated Unadjusted Claims Expenses]], AN_TME23[[#All],[Insurance Category Code]],3, AN_TME23[[#All],[Advanced Network/Insurance Carrier Org ID]],Q176),2)</f>
        <v>1</v>
      </c>
      <c r="AF176" s="323" t="str">
        <f t="shared" si="17"/>
        <v>NA</v>
      </c>
    </row>
    <row r="177" spans="2:32" outlineLevel="1" x14ac:dyDescent="0.25">
      <c r="B177" s="236">
        <v>118</v>
      </c>
      <c r="C177" s="463">
        <f>ROUND(SUMIFS(Age_Sex22[[#All],[Total Member Months by Age/Sex Band]], Age_Sex22[[#All],[Advanced Network ID]], $B177, Age_Sex22[[#All],[Insurance Category Code]],3),2)</f>
        <v>0</v>
      </c>
      <c r="D177" s="268">
        <f>ROUND(SUMIFS(Age_Sex22[[#All],[Total Dollars Excluded from Spending After Applying Truncation at the Member Level]], Age_Sex22[[#All],[Advanced Network ID]], $B177, Age_Sex22[[#All],[Insurance Category Code]],3),2)</f>
        <v>0</v>
      </c>
      <c r="E177" s="229">
        <f>ROUND(SUMIFS(Age_Sex22[[#All],[Count of Members whose Spending was Truncated]], Age_Sex22[[#All],[Advanced Network ID]], $B177, Age_Sex22[[#All],[Insurance Category Code]],3),2)</f>
        <v>0</v>
      </c>
      <c r="F177" s="230">
        <f>ROUND(SUMIFS(Age_Sex22[[#All],[Total Spending before Truncation is Applied]], Age_Sex22[[#All],[Advanced Network ID]], $B177, Age_Sex22[[#All],[Insurance Category Code]],3),2)</f>
        <v>0</v>
      </c>
      <c r="G177" s="232">
        <f>ROUND(SUMIFS(Age_Sex22[[#All],[Total Spending After Applying Truncation at the Member Level]], Age_Sex22[[#All],[Advanced Network ID]], $B177, Age_Sex22[[#All],[Insurance Category Code]],3), 2)</f>
        <v>0</v>
      </c>
      <c r="H177" s="416" t="str">
        <f>IF(C177=ROUND(SUMIFS(AN_TME22[[#All],[Member Months]], AN_TME22[[#All],[Insurance Category Code]],3, AN_TME22[[#All],[Advanced Network/Insurance Carrier Org ID]],B177),2), "TRUE", ROUND(C177-SUMIFS(AN_TME22[[#All],[Member Months]], AN_TME22[[#All],[Insurance Category Code]],3, AN_TME22[[#All],[Advanced Network/Insurance Carrier Org ID]],B177),2))</f>
        <v>TRUE</v>
      </c>
      <c r="I177" s="280" t="str">
        <f>IF(D177=ROUND(SUMIFS(AN_TME22[[#All],[Total Claims Excluded because of Truncation]], AN_TME22[[#All],[Insurance Category Code]],3, AN_TME22[[#All],[Advanced Network/Insurance Carrier Org ID]],B177),2), "TRUE", ROUND(D177-SUMIFS(AN_TME22[[#All],[Total Claims Excluded because of Truncation]], AN_TME22[[#All],[Insurance Category Code]],3, AN_TME22[[#All],[Advanced Network/Insurance Carrier Org ID]],B177),2))</f>
        <v>TRUE</v>
      </c>
      <c r="J177" s="281" t="str">
        <f>IF(E177=ROUND(SUMIFS(AN_TME22[[#All],[Count of Members with Claims Truncated]], AN_TME22[[#All],[Insurance Category Code]],3, AN_TME22[[#All],[Advanced Network/Insurance Carrier Org ID]],B177),2), "TRUE", ROUND(E177-SUMIFS(AN_TME22[[#All],[Count of Members with Claims Truncated]], AN_TME22[[#All],[Insurance Category Code]],3, AN_TME22[[#All],[Advanced Network/Insurance Carrier Org ID]],B177),2))</f>
        <v>TRUE</v>
      </c>
      <c r="K177" s="282" t="str">
        <f>IF(F177=ROUND(SUMIFS(AN_TME22[[#All],[TOTAL Non-Truncated Unadjusted Claims Expenses]], AN_TME22[[#All],[Insurance Category Code]],3, AN_TME22[[#All],[Advanced Network/Insurance Carrier Org ID]],B177),2), "TRUE", ROUND(F177-SUMIFS(AN_TME22[[#All],[TOTAL Non-Truncated Unadjusted Claims Expenses]], AN_TME22[[#All],[Insurance Category Code]],3, AN_TME22[[#All],[Advanced Network/Insurance Carrier Org ID]],B177),2))</f>
        <v>TRUE</v>
      </c>
      <c r="L177" s="295" t="str">
        <f>IF(G177=ROUND(SUMIFS(AN_TME22[[#All],[TOTAL Truncated Unadjusted Claims Expenses (A21 -A19)]], AN_TME22[[#All],[Insurance Category Code]],3, AN_TME22[[#All],[Advanced Network/Insurance Carrier Org ID]],B177),2), "TRUE", ROUND(G177-SUMIFS(AN_TME22[[#All],[TOTAL Truncated Unadjusted Claims Expenses (A21 -A19)]], AN_TME22[[#All],[Insurance Category Code]],3, AN_TME22[[#All],[Advanced Network/Insurance Carrier Org ID]],B177),2))</f>
        <v>TRUE</v>
      </c>
      <c r="M177" s="461" t="str">
        <f t="shared" si="15"/>
        <v>TRUE</v>
      </c>
      <c r="N177" s="282" t="b">
        <f>ROUND(SUMIFS(AN_TME22[[#All],[TOTAL Non-Truncated Unadjusted Claims Expenses]], AN_TME22[[#All],[Insurance Category Code]],3, AN_TME22[[#All],[Advanced Network/Insurance Carrier Org ID]],B177),2)&gt;=ROUND(SUMIFS(AN_TME22[[#All],[TOTAL Truncated Unadjusted Claims Expenses (A21 -A19)]], AN_TME22[[#All],[Insurance Category Code]],3, AN_TME22[[#All],[Advanced Network/Insurance Carrier Org ID]],B177),2)</f>
        <v>1</v>
      </c>
      <c r="O177" s="295" t="b">
        <f>ROUND(SUMIFS(AN_TME22[[#All],[TOTAL Truncated Unadjusted Claims Expenses (A21 -A19)]], AN_TME22[[#All],[Insurance Category Code]],3, AN_TME22[[#All],[Advanced Network/Insurance Carrier Org ID]],B177)+SUMIFS(AN_TME22[[#All],[Total Claims Excluded because of Truncation]], AN_TME22[[#All],[Insurance Category Code]],3, AN_TME22[[#All],[Advanced Network/Insurance Carrier Org ID]],B177),2)=ROUND(SUMIFS(AN_TME22[[#All],[TOTAL Non-Truncated Unadjusted Claims Expenses]], AN_TME22[[#All],[Insurance Category Code]],3, AN_TME22[[#All],[Advanced Network/Insurance Carrier Org ID]],B177), 2)</f>
        <v>1</v>
      </c>
      <c r="Q177" s="236">
        <v>118</v>
      </c>
      <c r="R177" s="463">
        <f>ROUND(SUMIFS(Age_Sex23[[#All],[Total Member Months by Age/Sex Band]], Age_Sex23[[#All],[Advanced Network ID]], $Q177, Age_Sex23[[#All],[Insurance Category Code]],3), 2)</f>
        <v>0</v>
      </c>
      <c r="S177" s="268">
        <f>ROUND(SUMIFS(Age_Sex23[[#All],[Total Dollars Excluded from Spending After Applying Truncation at the Member Level]], Age_Sex23[[#All],[Advanced Network ID]], $B177, Age_Sex23[[#All],[Insurance Category Code]],3), 2)</f>
        <v>0</v>
      </c>
      <c r="T177" s="229">
        <f>ROUND(SUMIFS(Age_Sex23[[#All],[Count of Members whose Spending was Truncated]], Age_Sex23[[#All],[Advanced Network ID]], $B177, Age_Sex23[[#All],[Insurance Category Code]],3),2)</f>
        <v>0</v>
      </c>
      <c r="U177" s="230">
        <f>ROUND(SUMIFS(Age_Sex23[[#All],[Total Spending before Truncation is Applied]], Age_Sex23[[#All],[Advanced Network ID]], $B177, Age_Sex23[[#All],[Insurance Category Code]],3),2)</f>
        <v>0</v>
      </c>
      <c r="V177" s="232">
        <f>ROUND(SUMIFS(Age_Sex23[[#All],[Total Spending After Applying Truncation at the Member Level]], Age_Sex23[[#All],[Advanced Network ID]], $B177, Age_Sex23[[#All],[Insurance Category Code]],3),2)</f>
        <v>0</v>
      </c>
      <c r="W177" s="416" t="str">
        <f>IF(R177=ROUND(SUMIFS(AN_TME23[[#All],[Member Months]], AN_TME23[[#All],[Insurance Category Code]],3, AN_TME23[[#All],[Advanced Network/Insurance Carrier Org ID]],Q177),2), "TRUE", ROUND(R177-SUMIFS(AN_TME23[[#All],[Member Months]], AN_TME23[[#All],[Insurance Category Code]],3, AN_TME23[[#All],[Advanced Network/Insurance Carrier Org ID]],Q177),2))</f>
        <v>TRUE</v>
      </c>
      <c r="X177" s="280" t="str">
        <f>IF(S177=ROUND(SUMIFS(AN_TME23[[#All],[Total Claims Excluded because of Truncation]], AN_TME23[[#All],[Insurance Category Code]],3, AN_TME23[[#All],[Advanced Network/Insurance Carrier Org ID]],Q177),2), "TRUE", ROUND(S177-SUMIFS(AN_TME23[[#All],[Total Claims Excluded because of Truncation]], AN_TME23[[#All],[Insurance Category Code]],3, AN_TME23[[#All],[Advanced Network/Insurance Carrier Org ID]],Q177),2))</f>
        <v>TRUE</v>
      </c>
      <c r="Y177" s="281" t="str">
        <f>IF(T177=ROUND(SUMIFS(AN_TME23[[#All],[Count of Members with Claims Truncated]], AN_TME23[[#All],[Insurance Category Code]],3, AN_TME23[[#All],[Advanced Network/Insurance Carrier Org ID]],Q177),2), "TRUE", ROUND(T177-SUMIFS(AN_TME23[[#All],[Count of Members with Claims Truncated]], AN_TME23[[#All],[Insurance Category Code]],3, AN_TME23[[#All],[Advanced Network/Insurance Carrier Org ID]],Q177),2))</f>
        <v>TRUE</v>
      </c>
      <c r="Z177" s="282" t="str">
        <f>IF(U177=ROUND(SUMIFS(AN_TME23[[#All],[TOTAL Non-Truncated Unadjusted Claims Expenses]], AN_TME23[[#All],[Insurance Category Code]],3, AN_TME23[[#All],[Advanced Network/Insurance Carrier Org ID]],Q177),2), "TRUE", ROUND(U177-SUMIFS(AN_TME23[[#All],[TOTAL Non-Truncated Unadjusted Claims Expenses]], AN_TME23[[#All],[Insurance Category Code]],3, AN_TME23[[#All],[Advanced Network/Insurance Carrier Org ID]],Q177), 2))</f>
        <v>TRUE</v>
      </c>
      <c r="AA177" s="295" t="str">
        <f>IF(V177=ROUND(SUMIFS(AN_TME23[[#All],[TOTAL Truncated Unadjusted Claims Expenses (A21 -A19)]], AN_TME23[[#All],[Insurance Category Code]],3, AN_TME23[[#All],[Advanced Network/Insurance Carrier Org ID]],Q177),2), "TRUE", ROUND(V177-SUMIFS(AN_TME23[[#All],[TOTAL Truncated Unadjusted Claims Expenses (A21 -A19)]], AN_TME23[[#All],[Insurance Category Code]],3, AN_TME23[[#All],[Advanced Network/Insurance Carrier Org ID]],Q177), 2))</f>
        <v>TRUE</v>
      </c>
      <c r="AB177" s="461" t="str">
        <f t="shared" si="18"/>
        <v>TRUE</v>
      </c>
      <c r="AC177" s="282" t="b">
        <f>ROUND(SUMIFS(AN_TME23[[#All],[TOTAL Non-Truncated Unadjusted Claims Expenses]], AN_TME23[[#All],[Insurance Category Code]],3, AN_TME23[[#All],[Advanced Network/Insurance Carrier Org ID]],Q177),2)&gt;=ROUND(SUMIFS(AN_TME23[[#All],[TOTAL Truncated Unadjusted Claims Expenses (A21 -A19)]], AN_TME23[[#All],[Insurance Category Code]],3, AN_TME23[[#All],[Advanced Network/Insurance Carrier Org ID]],Q177), 2)</f>
        <v>1</v>
      </c>
      <c r="AD177" s="295" t="b">
        <f>ROUND(SUMIFS(AN_TME23[[#All],[TOTAL Truncated Unadjusted Claims Expenses (A21 -A19)]], AN_TME23[[#All],[Insurance Category Code]],3, AN_TME23[[#All],[Advanced Network/Insurance Carrier Org ID]],Q177)+SUMIFS(AN_TME23[[#All],[Total Claims Excluded because of Truncation]], AN_TME23[[#All],[Insurance Category Code]],3, AN_TME23[[#All],[Advanced Network/Insurance Carrier Org ID]],Q177),2)=ROUND(SUMIFS(AN_TME23[[#All],[TOTAL Non-Truncated Unadjusted Claims Expenses]], AN_TME23[[#All],[Insurance Category Code]],3, AN_TME23[[#All],[Advanced Network/Insurance Carrier Org ID]],Q177),2)</f>
        <v>1</v>
      </c>
      <c r="AF177" s="323" t="str">
        <f t="shared" si="17"/>
        <v>NA</v>
      </c>
    </row>
    <row r="178" spans="2:32" outlineLevel="1" x14ac:dyDescent="0.25">
      <c r="B178" s="236">
        <v>119</v>
      </c>
      <c r="C178" s="463">
        <f>ROUND(SUMIFS(Age_Sex22[[#All],[Total Member Months by Age/Sex Band]], Age_Sex22[[#All],[Advanced Network ID]], $B178, Age_Sex22[[#All],[Insurance Category Code]],3),2)</f>
        <v>0</v>
      </c>
      <c r="D178" s="268">
        <f>ROUND(SUMIFS(Age_Sex22[[#All],[Total Dollars Excluded from Spending After Applying Truncation at the Member Level]], Age_Sex22[[#All],[Advanced Network ID]], $B178, Age_Sex22[[#All],[Insurance Category Code]],3),2)</f>
        <v>0</v>
      </c>
      <c r="E178" s="229">
        <f>ROUND(SUMIFS(Age_Sex22[[#All],[Count of Members whose Spending was Truncated]], Age_Sex22[[#All],[Advanced Network ID]], $B178, Age_Sex22[[#All],[Insurance Category Code]],3),2)</f>
        <v>0</v>
      </c>
      <c r="F178" s="230">
        <f>ROUND(SUMIFS(Age_Sex22[[#All],[Total Spending before Truncation is Applied]], Age_Sex22[[#All],[Advanced Network ID]], $B178, Age_Sex22[[#All],[Insurance Category Code]],3),2)</f>
        <v>0</v>
      </c>
      <c r="G178" s="232">
        <f>ROUND(SUMIFS(Age_Sex22[[#All],[Total Spending After Applying Truncation at the Member Level]], Age_Sex22[[#All],[Advanced Network ID]], $B178, Age_Sex22[[#All],[Insurance Category Code]],3), 2)</f>
        <v>0</v>
      </c>
      <c r="H178" s="416" t="str">
        <f>IF(C178=ROUND(SUMIFS(AN_TME22[[#All],[Member Months]], AN_TME22[[#All],[Insurance Category Code]],3, AN_TME22[[#All],[Advanced Network/Insurance Carrier Org ID]],B178),2), "TRUE", ROUND(C178-SUMIFS(AN_TME22[[#All],[Member Months]], AN_TME22[[#All],[Insurance Category Code]],3, AN_TME22[[#All],[Advanced Network/Insurance Carrier Org ID]],B178),2))</f>
        <v>TRUE</v>
      </c>
      <c r="I178" s="280" t="str">
        <f>IF(D178=ROUND(SUMIFS(AN_TME22[[#All],[Total Claims Excluded because of Truncation]], AN_TME22[[#All],[Insurance Category Code]],3, AN_TME22[[#All],[Advanced Network/Insurance Carrier Org ID]],B178),2), "TRUE", ROUND(D178-SUMIFS(AN_TME22[[#All],[Total Claims Excluded because of Truncation]], AN_TME22[[#All],[Insurance Category Code]],3, AN_TME22[[#All],[Advanced Network/Insurance Carrier Org ID]],B178),2))</f>
        <v>TRUE</v>
      </c>
      <c r="J178" s="281" t="str">
        <f>IF(E178=ROUND(SUMIFS(AN_TME22[[#All],[Count of Members with Claims Truncated]], AN_TME22[[#All],[Insurance Category Code]],3, AN_TME22[[#All],[Advanced Network/Insurance Carrier Org ID]],B178),2), "TRUE", ROUND(E178-SUMIFS(AN_TME22[[#All],[Count of Members with Claims Truncated]], AN_TME22[[#All],[Insurance Category Code]],3, AN_TME22[[#All],[Advanced Network/Insurance Carrier Org ID]],B178),2))</f>
        <v>TRUE</v>
      </c>
      <c r="K178" s="282" t="str">
        <f>IF(F178=ROUND(SUMIFS(AN_TME22[[#All],[TOTAL Non-Truncated Unadjusted Claims Expenses]], AN_TME22[[#All],[Insurance Category Code]],3, AN_TME22[[#All],[Advanced Network/Insurance Carrier Org ID]],B178),2), "TRUE", ROUND(F178-SUMIFS(AN_TME22[[#All],[TOTAL Non-Truncated Unadjusted Claims Expenses]], AN_TME22[[#All],[Insurance Category Code]],3, AN_TME22[[#All],[Advanced Network/Insurance Carrier Org ID]],B178),2))</f>
        <v>TRUE</v>
      </c>
      <c r="L178" s="295" t="str">
        <f>IF(G178=ROUND(SUMIFS(AN_TME22[[#All],[TOTAL Truncated Unadjusted Claims Expenses (A21 -A19)]], AN_TME22[[#All],[Insurance Category Code]],3, AN_TME22[[#All],[Advanced Network/Insurance Carrier Org ID]],B178),2), "TRUE", ROUND(G178-SUMIFS(AN_TME22[[#All],[TOTAL Truncated Unadjusted Claims Expenses (A21 -A19)]], AN_TME22[[#All],[Insurance Category Code]],3, AN_TME22[[#All],[Advanced Network/Insurance Carrier Org ID]],B178),2))</f>
        <v>TRUE</v>
      </c>
      <c r="M178" s="461" t="str">
        <f t="shared" si="15"/>
        <v>TRUE</v>
      </c>
      <c r="N178" s="282" t="b">
        <f>ROUND(SUMIFS(AN_TME22[[#All],[TOTAL Non-Truncated Unadjusted Claims Expenses]], AN_TME22[[#All],[Insurance Category Code]],3, AN_TME22[[#All],[Advanced Network/Insurance Carrier Org ID]],B178),2)&gt;=ROUND(SUMIFS(AN_TME22[[#All],[TOTAL Truncated Unadjusted Claims Expenses (A21 -A19)]], AN_TME22[[#All],[Insurance Category Code]],3, AN_TME22[[#All],[Advanced Network/Insurance Carrier Org ID]],B178),2)</f>
        <v>1</v>
      </c>
      <c r="O178" s="295" t="b">
        <f>ROUND(SUMIFS(AN_TME22[[#All],[TOTAL Truncated Unadjusted Claims Expenses (A21 -A19)]], AN_TME22[[#All],[Insurance Category Code]],3, AN_TME22[[#All],[Advanced Network/Insurance Carrier Org ID]],B178)+SUMIFS(AN_TME22[[#All],[Total Claims Excluded because of Truncation]], AN_TME22[[#All],[Insurance Category Code]],3, AN_TME22[[#All],[Advanced Network/Insurance Carrier Org ID]],B178),2)=ROUND(SUMIFS(AN_TME22[[#All],[TOTAL Non-Truncated Unadjusted Claims Expenses]], AN_TME22[[#All],[Insurance Category Code]],3, AN_TME22[[#All],[Advanced Network/Insurance Carrier Org ID]],B178), 2)</f>
        <v>1</v>
      </c>
      <c r="Q178" s="236">
        <v>119</v>
      </c>
      <c r="R178" s="463">
        <f>ROUND(SUMIFS(Age_Sex23[[#All],[Total Member Months by Age/Sex Band]], Age_Sex23[[#All],[Advanced Network ID]], $Q178, Age_Sex23[[#All],[Insurance Category Code]],3), 2)</f>
        <v>0</v>
      </c>
      <c r="S178" s="268">
        <f>ROUND(SUMIFS(Age_Sex23[[#All],[Total Dollars Excluded from Spending After Applying Truncation at the Member Level]], Age_Sex23[[#All],[Advanced Network ID]], $B178, Age_Sex23[[#All],[Insurance Category Code]],3), 2)</f>
        <v>0</v>
      </c>
      <c r="T178" s="229">
        <f>ROUND(SUMIFS(Age_Sex23[[#All],[Count of Members whose Spending was Truncated]], Age_Sex23[[#All],[Advanced Network ID]], $B178, Age_Sex23[[#All],[Insurance Category Code]],3),2)</f>
        <v>0</v>
      </c>
      <c r="U178" s="230">
        <f>ROUND(SUMIFS(Age_Sex23[[#All],[Total Spending before Truncation is Applied]], Age_Sex23[[#All],[Advanced Network ID]], $B178, Age_Sex23[[#All],[Insurance Category Code]],3),2)</f>
        <v>0</v>
      </c>
      <c r="V178" s="232">
        <f>ROUND(SUMIFS(Age_Sex23[[#All],[Total Spending After Applying Truncation at the Member Level]], Age_Sex23[[#All],[Advanced Network ID]], $B178, Age_Sex23[[#All],[Insurance Category Code]],3),2)</f>
        <v>0</v>
      </c>
      <c r="W178" s="416" t="str">
        <f>IF(R178=ROUND(SUMIFS(AN_TME23[[#All],[Member Months]], AN_TME23[[#All],[Insurance Category Code]],3, AN_TME23[[#All],[Advanced Network/Insurance Carrier Org ID]],Q178),2), "TRUE", ROUND(R178-SUMIFS(AN_TME23[[#All],[Member Months]], AN_TME23[[#All],[Insurance Category Code]],3, AN_TME23[[#All],[Advanced Network/Insurance Carrier Org ID]],Q178),2))</f>
        <v>TRUE</v>
      </c>
      <c r="X178" s="280" t="str">
        <f>IF(S178=ROUND(SUMIFS(AN_TME23[[#All],[Total Claims Excluded because of Truncation]], AN_TME23[[#All],[Insurance Category Code]],3, AN_TME23[[#All],[Advanced Network/Insurance Carrier Org ID]],Q178),2), "TRUE", ROUND(S178-SUMIFS(AN_TME23[[#All],[Total Claims Excluded because of Truncation]], AN_TME23[[#All],[Insurance Category Code]],3, AN_TME23[[#All],[Advanced Network/Insurance Carrier Org ID]],Q178),2))</f>
        <v>TRUE</v>
      </c>
      <c r="Y178" s="281" t="str">
        <f>IF(T178=ROUND(SUMIFS(AN_TME23[[#All],[Count of Members with Claims Truncated]], AN_TME23[[#All],[Insurance Category Code]],3, AN_TME23[[#All],[Advanced Network/Insurance Carrier Org ID]],Q178),2), "TRUE", ROUND(T178-SUMIFS(AN_TME23[[#All],[Count of Members with Claims Truncated]], AN_TME23[[#All],[Insurance Category Code]],3, AN_TME23[[#All],[Advanced Network/Insurance Carrier Org ID]],Q178),2))</f>
        <v>TRUE</v>
      </c>
      <c r="Z178" s="282" t="str">
        <f>IF(U178=ROUND(SUMIFS(AN_TME23[[#All],[TOTAL Non-Truncated Unadjusted Claims Expenses]], AN_TME23[[#All],[Insurance Category Code]],3, AN_TME23[[#All],[Advanced Network/Insurance Carrier Org ID]],Q178),2), "TRUE", ROUND(U178-SUMIFS(AN_TME23[[#All],[TOTAL Non-Truncated Unadjusted Claims Expenses]], AN_TME23[[#All],[Insurance Category Code]],3, AN_TME23[[#All],[Advanced Network/Insurance Carrier Org ID]],Q178), 2))</f>
        <v>TRUE</v>
      </c>
      <c r="AA178" s="295" t="str">
        <f>IF(V178=ROUND(SUMIFS(AN_TME23[[#All],[TOTAL Truncated Unadjusted Claims Expenses (A21 -A19)]], AN_TME23[[#All],[Insurance Category Code]],3, AN_TME23[[#All],[Advanced Network/Insurance Carrier Org ID]],Q178),2), "TRUE", ROUND(V178-SUMIFS(AN_TME23[[#All],[TOTAL Truncated Unadjusted Claims Expenses (A21 -A19)]], AN_TME23[[#All],[Insurance Category Code]],3, AN_TME23[[#All],[Advanced Network/Insurance Carrier Org ID]],Q178), 2))</f>
        <v>TRUE</v>
      </c>
      <c r="AB178" s="461" t="str">
        <f t="shared" si="18"/>
        <v>TRUE</v>
      </c>
      <c r="AC178" s="282" t="b">
        <f>ROUND(SUMIFS(AN_TME23[[#All],[TOTAL Non-Truncated Unadjusted Claims Expenses]], AN_TME23[[#All],[Insurance Category Code]],3, AN_TME23[[#All],[Advanced Network/Insurance Carrier Org ID]],Q178),2)&gt;=ROUND(SUMIFS(AN_TME23[[#All],[TOTAL Truncated Unadjusted Claims Expenses (A21 -A19)]], AN_TME23[[#All],[Insurance Category Code]],3, AN_TME23[[#All],[Advanced Network/Insurance Carrier Org ID]],Q178), 2)</f>
        <v>1</v>
      </c>
      <c r="AD178" s="295" t="b">
        <f>ROUND(SUMIFS(AN_TME23[[#All],[TOTAL Truncated Unadjusted Claims Expenses (A21 -A19)]], AN_TME23[[#All],[Insurance Category Code]],3, AN_TME23[[#All],[Advanced Network/Insurance Carrier Org ID]],Q178)+SUMIFS(AN_TME23[[#All],[Total Claims Excluded because of Truncation]], AN_TME23[[#All],[Insurance Category Code]],3, AN_TME23[[#All],[Advanced Network/Insurance Carrier Org ID]],Q178),2)=ROUND(SUMIFS(AN_TME23[[#All],[TOTAL Non-Truncated Unadjusted Claims Expenses]], AN_TME23[[#All],[Insurance Category Code]],3, AN_TME23[[#All],[Advanced Network/Insurance Carrier Org ID]],Q178),2)</f>
        <v>1</v>
      </c>
      <c r="AF178" s="323" t="str">
        <f t="shared" si="17"/>
        <v>NA</v>
      </c>
    </row>
    <row r="179" spans="2:32" outlineLevel="1" x14ac:dyDescent="0.25">
      <c r="B179" s="236">
        <v>120</v>
      </c>
      <c r="C179" s="463">
        <f>ROUND(SUMIFS(Age_Sex22[[#All],[Total Member Months by Age/Sex Band]], Age_Sex22[[#All],[Advanced Network ID]], $B179, Age_Sex22[[#All],[Insurance Category Code]],3),2)</f>
        <v>0</v>
      </c>
      <c r="D179" s="268">
        <f>ROUND(SUMIFS(Age_Sex22[[#All],[Total Dollars Excluded from Spending After Applying Truncation at the Member Level]], Age_Sex22[[#All],[Advanced Network ID]], $B179, Age_Sex22[[#All],[Insurance Category Code]],3),2)</f>
        <v>0</v>
      </c>
      <c r="E179" s="229">
        <f>ROUND(SUMIFS(Age_Sex22[[#All],[Count of Members whose Spending was Truncated]], Age_Sex22[[#All],[Advanced Network ID]], $B179, Age_Sex22[[#All],[Insurance Category Code]],3),2)</f>
        <v>0</v>
      </c>
      <c r="F179" s="230">
        <f>ROUND(SUMIFS(Age_Sex22[[#All],[Total Spending before Truncation is Applied]], Age_Sex22[[#All],[Advanced Network ID]], $B179, Age_Sex22[[#All],[Insurance Category Code]],3),2)</f>
        <v>0</v>
      </c>
      <c r="G179" s="232">
        <f>ROUND(SUMIFS(Age_Sex22[[#All],[Total Spending After Applying Truncation at the Member Level]], Age_Sex22[[#All],[Advanced Network ID]], $B179, Age_Sex22[[#All],[Insurance Category Code]],3), 2)</f>
        <v>0</v>
      </c>
      <c r="H179" s="416" t="str">
        <f>IF(C179=ROUND(SUMIFS(AN_TME22[[#All],[Member Months]], AN_TME22[[#All],[Insurance Category Code]],3, AN_TME22[[#All],[Advanced Network/Insurance Carrier Org ID]],B179),2), "TRUE", ROUND(C179-SUMIFS(AN_TME22[[#All],[Member Months]], AN_TME22[[#All],[Insurance Category Code]],3, AN_TME22[[#All],[Advanced Network/Insurance Carrier Org ID]],B179),2))</f>
        <v>TRUE</v>
      </c>
      <c r="I179" s="280" t="str">
        <f>IF(D179=ROUND(SUMIFS(AN_TME22[[#All],[Total Claims Excluded because of Truncation]], AN_TME22[[#All],[Insurance Category Code]],3, AN_TME22[[#All],[Advanced Network/Insurance Carrier Org ID]],B179),2), "TRUE", ROUND(D179-SUMIFS(AN_TME22[[#All],[Total Claims Excluded because of Truncation]], AN_TME22[[#All],[Insurance Category Code]],3, AN_TME22[[#All],[Advanced Network/Insurance Carrier Org ID]],B179),2))</f>
        <v>TRUE</v>
      </c>
      <c r="J179" s="281" t="str">
        <f>IF(E179=ROUND(SUMIFS(AN_TME22[[#All],[Count of Members with Claims Truncated]], AN_TME22[[#All],[Insurance Category Code]],3, AN_TME22[[#All],[Advanced Network/Insurance Carrier Org ID]],B179),2), "TRUE", ROUND(E179-SUMIFS(AN_TME22[[#All],[Count of Members with Claims Truncated]], AN_TME22[[#All],[Insurance Category Code]],3, AN_TME22[[#All],[Advanced Network/Insurance Carrier Org ID]],B179),2))</f>
        <v>TRUE</v>
      </c>
      <c r="K179" s="282" t="str">
        <f>IF(F179=ROUND(SUMIFS(AN_TME22[[#All],[TOTAL Non-Truncated Unadjusted Claims Expenses]], AN_TME22[[#All],[Insurance Category Code]],3, AN_TME22[[#All],[Advanced Network/Insurance Carrier Org ID]],B179),2), "TRUE", ROUND(F179-SUMIFS(AN_TME22[[#All],[TOTAL Non-Truncated Unadjusted Claims Expenses]], AN_TME22[[#All],[Insurance Category Code]],3, AN_TME22[[#All],[Advanced Network/Insurance Carrier Org ID]],B179),2))</f>
        <v>TRUE</v>
      </c>
      <c r="L179" s="295" t="str">
        <f>IF(G179=ROUND(SUMIFS(AN_TME22[[#All],[TOTAL Truncated Unadjusted Claims Expenses (A21 -A19)]], AN_TME22[[#All],[Insurance Category Code]],3, AN_TME22[[#All],[Advanced Network/Insurance Carrier Org ID]],B179),2), "TRUE", ROUND(G179-SUMIFS(AN_TME22[[#All],[TOTAL Truncated Unadjusted Claims Expenses (A21 -A19)]], AN_TME22[[#All],[Insurance Category Code]],3, AN_TME22[[#All],[Advanced Network/Insurance Carrier Org ID]],B179),2))</f>
        <v>TRUE</v>
      </c>
      <c r="M179" s="461" t="str">
        <f t="shared" si="15"/>
        <v>TRUE</v>
      </c>
      <c r="N179" s="282" t="b">
        <f>ROUND(SUMIFS(AN_TME22[[#All],[TOTAL Non-Truncated Unadjusted Claims Expenses]], AN_TME22[[#All],[Insurance Category Code]],3, AN_TME22[[#All],[Advanced Network/Insurance Carrier Org ID]],B179),2)&gt;=ROUND(SUMIFS(AN_TME22[[#All],[TOTAL Truncated Unadjusted Claims Expenses (A21 -A19)]], AN_TME22[[#All],[Insurance Category Code]],3, AN_TME22[[#All],[Advanced Network/Insurance Carrier Org ID]],B179),2)</f>
        <v>1</v>
      </c>
      <c r="O179" s="295" t="b">
        <f>ROUND(SUMIFS(AN_TME22[[#All],[TOTAL Truncated Unadjusted Claims Expenses (A21 -A19)]], AN_TME22[[#All],[Insurance Category Code]],3, AN_TME22[[#All],[Advanced Network/Insurance Carrier Org ID]],B179)+SUMIFS(AN_TME22[[#All],[Total Claims Excluded because of Truncation]], AN_TME22[[#All],[Insurance Category Code]],3, AN_TME22[[#All],[Advanced Network/Insurance Carrier Org ID]],B179),2)=ROUND(SUMIFS(AN_TME22[[#All],[TOTAL Non-Truncated Unadjusted Claims Expenses]], AN_TME22[[#All],[Insurance Category Code]],3, AN_TME22[[#All],[Advanced Network/Insurance Carrier Org ID]],B179), 2)</f>
        <v>1</v>
      </c>
      <c r="Q179" s="236">
        <v>120</v>
      </c>
      <c r="R179" s="463">
        <f>ROUND(SUMIFS(Age_Sex23[[#All],[Total Member Months by Age/Sex Band]], Age_Sex23[[#All],[Advanced Network ID]], $Q179, Age_Sex23[[#All],[Insurance Category Code]],3), 2)</f>
        <v>0</v>
      </c>
      <c r="S179" s="268">
        <f>ROUND(SUMIFS(Age_Sex23[[#All],[Total Dollars Excluded from Spending After Applying Truncation at the Member Level]], Age_Sex23[[#All],[Advanced Network ID]], $B179, Age_Sex23[[#All],[Insurance Category Code]],3), 2)</f>
        <v>0</v>
      </c>
      <c r="T179" s="229">
        <f>ROUND(SUMIFS(Age_Sex23[[#All],[Count of Members whose Spending was Truncated]], Age_Sex23[[#All],[Advanced Network ID]], $B179, Age_Sex23[[#All],[Insurance Category Code]],3),2)</f>
        <v>0</v>
      </c>
      <c r="U179" s="230">
        <f>ROUND(SUMIFS(Age_Sex23[[#All],[Total Spending before Truncation is Applied]], Age_Sex23[[#All],[Advanced Network ID]], $B179, Age_Sex23[[#All],[Insurance Category Code]],3),2)</f>
        <v>0</v>
      </c>
      <c r="V179" s="232">
        <f>ROUND(SUMIFS(Age_Sex23[[#All],[Total Spending After Applying Truncation at the Member Level]], Age_Sex23[[#All],[Advanced Network ID]], $B179, Age_Sex23[[#All],[Insurance Category Code]],3),2)</f>
        <v>0</v>
      </c>
      <c r="W179" s="416" t="str">
        <f>IF(R179=ROUND(SUMIFS(AN_TME23[[#All],[Member Months]], AN_TME23[[#All],[Insurance Category Code]],3, AN_TME23[[#All],[Advanced Network/Insurance Carrier Org ID]],Q179),2), "TRUE", ROUND(R179-SUMIFS(AN_TME23[[#All],[Member Months]], AN_TME23[[#All],[Insurance Category Code]],3, AN_TME23[[#All],[Advanced Network/Insurance Carrier Org ID]],Q179),2))</f>
        <v>TRUE</v>
      </c>
      <c r="X179" s="280" t="str">
        <f>IF(S179=ROUND(SUMIFS(AN_TME23[[#All],[Total Claims Excluded because of Truncation]], AN_TME23[[#All],[Insurance Category Code]],3, AN_TME23[[#All],[Advanced Network/Insurance Carrier Org ID]],Q179),2), "TRUE", ROUND(S179-SUMIFS(AN_TME23[[#All],[Total Claims Excluded because of Truncation]], AN_TME23[[#All],[Insurance Category Code]],3, AN_TME23[[#All],[Advanced Network/Insurance Carrier Org ID]],Q179),2))</f>
        <v>TRUE</v>
      </c>
      <c r="Y179" s="281" t="str">
        <f>IF(T179=ROUND(SUMIFS(AN_TME23[[#All],[Count of Members with Claims Truncated]], AN_TME23[[#All],[Insurance Category Code]],3, AN_TME23[[#All],[Advanced Network/Insurance Carrier Org ID]],Q179),2), "TRUE", ROUND(T179-SUMIFS(AN_TME23[[#All],[Count of Members with Claims Truncated]], AN_TME23[[#All],[Insurance Category Code]],3, AN_TME23[[#All],[Advanced Network/Insurance Carrier Org ID]],Q179),2))</f>
        <v>TRUE</v>
      </c>
      <c r="Z179" s="282" t="str">
        <f>IF(U179=ROUND(SUMIFS(AN_TME23[[#All],[TOTAL Non-Truncated Unadjusted Claims Expenses]], AN_TME23[[#All],[Insurance Category Code]],3, AN_TME23[[#All],[Advanced Network/Insurance Carrier Org ID]],Q179),2), "TRUE", ROUND(U179-SUMIFS(AN_TME23[[#All],[TOTAL Non-Truncated Unadjusted Claims Expenses]], AN_TME23[[#All],[Insurance Category Code]],3, AN_TME23[[#All],[Advanced Network/Insurance Carrier Org ID]],Q179), 2))</f>
        <v>TRUE</v>
      </c>
      <c r="AA179" s="295" t="str">
        <f>IF(V179=ROUND(SUMIFS(AN_TME23[[#All],[TOTAL Truncated Unadjusted Claims Expenses (A21 -A19)]], AN_TME23[[#All],[Insurance Category Code]],3, AN_TME23[[#All],[Advanced Network/Insurance Carrier Org ID]],Q179),2), "TRUE", ROUND(V179-SUMIFS(AN_TME23[[#All],[TOTAL Truncated Unadjusted Claims Expenses (A21 -A19)]], AN_TME23[[#All],[Insurance Category Code]],3, AN_TME23[[#All],[Advanced Network/Insurance Carrier Org ID]],Q179), 2))</f>
        <v>TRUE</v>
      </c>
      <c r="AB179" s="461" t="str">
        <f t="shared" si="18"/>
        <v>TRUE</v>
      </c>
      <c r="AC179" s="282" t="b">
        <f>ROUND(SUMIFS(AN_TME23[[#All],[TOTAL Non-Truncated Unadjusted Claims Expenses]], AN_TME23[[#All],[Insurance Category Code]],3, AN_TME23[[#All],[Advanced Network/Insurance Carrier Org ID]],Q179),2)&gt;=ROUND(SUMIFS(AN_TME23[[#All],[TOTAL Truncated Unadjusted Claims Expenses (A21 -A19)]], AN_TME23[[#All],[Insurance Category Code]],3, AN_TME23[[#All],[Advanced Network/Insurance Carrier Org ID]],Q179), 2)</f>
        <v>1</v>
      </c>
      <c r="AD179" s="295" t="b">
        <f>ROUND(SUMIFS(AN_TME23[[#All],[TOTAL Truncated Unadjusted Claims Expenses (A21 -A19)]], AN_TME23[[#All],[Insurance Category Code]],3, AN_TME23[[#All],[Advanced Network/Insurance Carrier Org ID]],Q179)+SUMIFS(AN_TME23[[#All],[Total Claims Excluded because of Truncation]], AN_TME23[[#All],[Insurance Category Code]],3, AN_TME23[[#All],[Advanced Network/Insurance Carrier Org ID]],Q179),2)=ROUND(SUMIFS(AN_TME23[[#All],[TOTAL Non-Truncated Unadjusted Claims Expenses]], AN_TME23[[#All],[Insurance Category Code]],3, AN_TME23[[#All],[Advanced Network/Insurance Carrier Org ID]],Q179),2)</f>
        <v>1</v>
      </c>
      <c r="AF179" s="323" t="str">
        <f t="shared" si="17"/>
        <v>NA</v>
      </c>
    </row>
    <row r="180" spans="2:32" outlineLevel="1" x14ac:dyDescent="0.25">
      <c r="B180" s="236">
        <v>121</v>
      </c>
      <c r="C180" s="463">
        <f>ROUND(SUMIFS(Age_Sex22[[#All],[Total Member Months by Age/Sex Band]], Age_Sex22[[#All],[Advanced Network ID]], $B180, Age_Sex22[[#All],[Insurance Category Code]],3),2)</f>
        <v>0</v>
      </c>
      <c r="D180" s="268">
        <f>ROUND(SUMIFS(Age_Sex22[[#All],[Total Dollars Excluded from Spending After Applying Truncation at the Member Level]], Age_Sex22[[#All],[Advanced Network ID]], $B180, Age_Sex22[[#All],[Insurance Category Code]],3),2)</f>
        <v>0</v>
      </c>
      <c r="E180" s="229">
        <f>ROUND(SUMIFS(Age_Sex22[[#All],[Count of Members whose Spending was Truncated]], Age_Sex22[[#All],[Advanced Network ID]], $B180, Age_Sex22[[#All],[Insurance Category Code]],3),2)</f>
        <v>0</v>
      </c>
      <c r="F180" s="230">
        <f>ROUND(SUMIFS(Age_Sex22[[#All],[Total Spending before Truncation is Applied]], Age_Sex22[[#All],[Advanced Network ID]], $B180, Age_Sex22[[#All],[Insurance Category Code]],3),2)</f>
        <v>0</v>
      </c>
      <c r="G180" s="232">
        <f>ROUND(SUMIFS(Age_Sex22[[#All],[Total Spending After Applying Truncation at the Member Level]], Age_Sex22[[#All],[Advanced Network ID]], $B180, Age_Sex22[[#All],[Insurance Category Code]],3), 2)</f>
        <v>0</v>
      </c>
      <c r="H180" s="416" t="str">
        <f>IF(C180=ROUND(SUMIFS(AN_TME22[[#All],[Member Months]], AN_TME22[[#All],[Insurance Category Code]],3, AN_TME22[[#All],[Advanced Network/Insurance Carrier Org ID]],B180),2), "TRUE", ROUND(C180-SUMIFS(AN_TME22[[#All],[Member Months]], AN_TME22[[#All],[Insurance Category Code]],3, AN_TME22[[#All],[Advanced Network/Insurance Carrier Org ID]],B180),2))</f>
        <v>TRUE</v>
      </c>
      <c r="I180" s="280" t="str">
        <f>IF(D180=ROUND(SUMIFS(AN_TME22[[#All],[Total Claims Excluded because of Truncation]], AN_TME22[[#All],[Insurance Category Code]],3, AN_TME22[[#All],[Advanced Network/Insurance Carrier Org ID]],B180),2), "TRUE", ROUND(D180-SUMIFS(AN_TME22[[#All],[Total Claims Excluded because of Truncation]], AN_TME22[[#All],[Insurance Category Code]],3, AN_TME22[[#All],[Advanced Network/Insurance Carrier Org ID]],B180),2))</f>
        <v>TRUE</v>
      </c>
      <c r="J180" s="281" t="str">
        <f>IF(E180=ROUND(SUMIFS(AN_TME22[[#All],[Count of Members with Claims Truncated]], AN_TME22[[#All],[Insurance Category Code]],3, AN_TME22[[#All],[Advanced Network/Insurance Carrier Org ID]],B180),2), "TRUE", ROUND(E180-SUMIFS(AN_TME22[[#All],[Count of Members with Claims Truncated]], AN_TME22[[#All],[Insurance Category Code]],3, AN_TME22[[#All],[Advanced Network/Insurance Carrier Org ID]],B180),2))</f>
        <v>TRUE</v>
      </c>
      <c r="K180" s="282" t="str">
        <f>IF(F180=ROUND(SUMIFS(AN_TME22[[#All],[TOTAL Non-Truncated Unadjusted Claims Expenses]], AN_TME22[[#All],[Insurance Category Code]],3, AN_TME22[[#All],[Advanced Network/Insurance Carrier Org ID]],B180),2), "TRUE", ROUND(F180-SUMIFS(AN_TME22[[#All],[TOTAL Non-Truncated Unadjusted Claims Expenses]], AN_TME22[[#All],[Insurance Category Code]],3, AN_TME22[[#All],[Advanced Network/Insurance Carrier Org ID]],B180),2))</f>
        <v>TRUE</v>
      </c>
      <c r="L180" s="295" t="str">
        <f>IF(G180=ROUND(SUMIFS(AN_TME22[[#All],[TOTAL Truncated Unadjusted Claims Expenses (A21 -A19)]], AN_TME22[[#All],[Insurance Category Code]],3, AN_TME22[[#All],[Advanced Network/Insurance Carrier Org ID]],B180),2), "TRUE", ROUND(G180-SUMIFS(AN_TME22[[#All],[TOTAL Truncated Unadjusted Claims Expenses (A21 -A19)]], AN_TME22[[#All],[Insurance Category Code]],3, AN_TME22[[#All],[Advanced Network/Insurance Carrier Org ID]],B180),2))</f>
        <v>TRUE</v>
      </c>
      <c r="M180" s="461" t="str">
        <f t="shared" si="15"/>
        <v>TRUE</v>
      </c>
      <c r="N180" s="282" t="b">
        <f>ROUND(SUMIFS(AN_TME22[[#All],[TOTAL Non-Truncated Unadjusted Claims Expenses]], AN_TME22[[#All],[Insurance Category Code]],3, AN_TME22[[#All],[Advanced Network/Insurance Carrier Org ID]],B180),2)&gt;=ROUND(SUMIFS(AN_TME22[[#All],[TOTAL Truncated Unadjusted Claims Expenses (A21 -A19)]], AN_TME22[[#All],[Insurance Category Code]],3, AN_TME22[[#All],[Advanced Network/Insurance Carrier Org ID]],B180),2)</f>
        <v>1</v>
      </c>
      <c r="O180" s="295" t="b">
        <f>ROUND(SUMIFS(AN_TME22[[#All],[TOTAL Truncated Unadjusted Claims Expenses (A21 -A19)]], AN_TME22[[#All],[Insurance Category Code]],3, AN_TME22[[#All],[Advanced Network/Insurance Carrier Org ID]],B180)+SUMIFS(AN_TME22[[#All],[Total Claims Excluded because of Truncation]], AN_TME22[[#All],[Insurance Category Code]],3, AN_TME22[[#All],[Advanced Network/Insurance Carrier Org ID]],B180),2)=ROUND(SUMIFS(AN_TME22[[#All],[TOTAL Non-Truncated Unadjusted Claims Expenses]], AN_TME22[[#All],[Insurance Category Code]],3, AN_TME22[[#All],[Advanced Network/Insurance Carrier Org ID]],B180), 2)</f>
        <v>1</v>
      </c>
      <c r="Q180" s="236">
        <v>121</v>
      </c>
      <c r="R180" s="463">
        <f>ROUND(SUMIFS(Age_Sex23[[#All],[Total Member Months by Age/Sex Band]], Age_Sex23[[#All],[Advanced Network ID]], $Q180, Age_Sex23[[#All],[Insurance Category Code]],3), 2)</f>
        <v>0</v>
      </c>
      <c r="S180" s="268">
        <f>ROUND(SUMIFS(Age_Sex23[[#All],[Total Dollars Excluded from Spending After Applying Truncation at the Member Level]], Age_Sex23[[#All],[Advanced Network ID]], $B180, Age_Sex23[[#All],[Insurance Category Code]],3), 2)</f>
        <v>0</v>
      </c>
      <c r="T180" s="229">
        <f>ROUND(SUMIFS(Age_Sex23[[#All],[Count of Members whose Spending was Truncated]], Age_Sex23[[#All],[Advanced Network ID]], $B180, Age_Sex23[[#All],[Insurance Category Code]],3),2)</f>
        <v>0</v>
      </c>
      <c r="U180" s="230">
        <f>ROUND(SUMIFS(Age_Sex23[[#All],[Total Spending before Truncation is Applied]], Age_Sex23[[#All],[Advanced Network ID]], $B180, Age_Sex23[[#All],[Insurance Category Code]],3),2)</f>
        <v>0</v>
      </c>
      <c r="V180" s="232">
        <f>ROUND(SUMIFS(Age_Sex23[[#All],[Total Spending After Applying Truncation at the Member Level]], Age_Sex23[[#All],[Advanced Network ID]], $B180, Age_Sex23[[#All],[Insurance Category Code]],3),2)</f>
        <v>0</v>
      </c>
      <c r="W180" s="416" t="str">
        <f>IF(R180=ROUND(SUMIFS(AN_TME23[[#All],[Member Months]], AN_TME23[[#All],[Insurance Category Code]],3, AN_TME23[[#All],[Advanced Network/Insurance Carrier Org ID]],Q180),2), "TRUE", ROUND(R180-SUMIFS(AN_TME23[[#All],[Member Months]], AN_TME23[[#All],[Insurance Category Code]],3, AN_TME23[[#All],[Advanced Network/Insurance Carrier Org ID]],Q180),2))</f>
        <v>TRUE</v>
      </c>
      <c r="X180" s="280" t="str">
        <f>IF(S180=ROUND(SUMIFS(AN_TME23[[#All],[Total Claims Excluded because of Truncation]], AN_TME23[[#All],[Insurance Category Code]],3, AN_TME23[[#All],[Advanced Network/Insurance Carrier Org ID]],Q180),2), "TRUE", ROUND(S180-SUMIFS(AN_TME23[[#All],[Total Claims Excluded because of Truncation]], AN_TME23[[#All],[Insurance Category Code]],3, AN_TME23[[#All],[Advanced Network/Insurance Carrier Org ID]],Q180),2))</f>
        <v>TRUE</v>
      </c>
      <c r="Y180" s="281" t="str">
        <f>IF(T180=ROUND(SUMIFS(AN_TME23[[#All],[Count of Members with Claims Truncated]], AN_TME23[[#All],[Insurance Category Code]],3, AN_TME23[[#All],[Advanced Network/Insurance Carrier Org ID]],Q180),2), "TRUE", ROUND(T180-SUMIFS(AN_TME23[[#All],[Count of Members with Claims Truncated]], AN_TME23[[#All],[Insurance Category Code]],3, AN_TME23[[#All],[Advanced Network/Insurance Carrier Org ID]],Q180),2))</f>
        <v>TRUE</v>
      </c>
      <c r="Z180" s="282" t="str">
        <f>IF(U180=ROUND(SUMIFS(AN_TME23[[#All],[TOTAL Non-Truncated Unadjusted Claims Expenses]], AN_TME23[[#All],[Insurance Category Code]],3, AN_TME23[[#All],[Advanced Network/Insurance Carrier Org ID]],Q180),2), "TRUE", ROUND(U180-SUMIFS(AN_TME23[[#All],[TOTAL Non-Truncated Unadjusted Claims Expenses]], AN_TME23[[#All],[Insurance Category Code]],3, AN_TME23[[#All],[Advanced Network/Insurance Carrier Org ID]],Q180), 2))</f>
        <v>TRUE</v>
      </c>
      <c r="AA180" s="295" t="str">
        <f>IF(V180=ROUND(SUMIFS(AN_TME23[[#All],[TOTAL Truncated Unadjusted Claims Expenses (A21 -A19)]], AN_TME23[[#All],[Insurance Category Code]],3, AN_TME23[[#All],[Advanced Network/Insurance Carrier Org ID]],Q180),2), "TRUE", ROUND(V180-SUMIFS(AN_TME23[[#All],[TOTAL Truncated Unadjusted Claims Expenses (A21 -A19)]], AN_TME23[[#All],[Insurance Category Code]],3, AN_TME23[[#All],[Advanced Network/Insurance Carrier Org ID]],Q180), 2))</f>
        <v>TRUE</v>
      </c>
      <c r="AB180" s="461" t="str">
        <f t="shared" si="18"/>
        <v>TRUE</v>
      </c>
      <c r="AC180" s="282" t="b">
        <f>ROUND(SUMIFS(AN_TME23[[#All],[TOTAL Non-Truncated Unadjusted Claims Expenses]], AN_TME23[[#All],[Insurance Category Code]],3, AN_TME23[[#All],[Advanced Network/Insurance Carrier Org ID]],Q180),2)&gt;=ROUND(SUMIFS(AN_TME23[[#All],[TOTAL Truncated Unadjusted Claims Expenses (A21 -A19)]], AN_TME23[[#All],[Insurance Category Code]],3, AN_TME23[[#All],[Advanced Network/Insurance Carrier Org ID]],Q180), 2)</f>
        <v>1</v>
      </c>
      <c r="AD180" s="295" t="b">
        <f>ROUND(SUMIFS(AN_TME23[[#All],[TOTAL Truncated Unadjusted Claims Expenses (A21 -A19)]], AN_TME23[[#All],[Insurance Category Code]],3, AN_TME23[[#All],[Advanced Network/Insurance Carrier Org ID]],Q180)+SUMIFS(AN_TME23[[#All],[Total Claims Excluded because of Truncation]], AN_TME23[[#All],[Insurance Category Code]],3, AN_TME23[[#All],[Advanced Network/Insurance Carrier Org ID]],Q180),2)=ROUND(SUMIFS(AN_TME23[[#All],[TOTAL Non-Truncated Unadjusted Claims Expenses]], AN_TME23[[#All],[Insurance Category Code]],3, AN_TME23[[#All],[Advanced Network/Insurance Carrier Org ID]],Q180),2)</f>
        <v>1</v>
      </c>
      <c r="AF180" s="323" t="str">
        <f t="shared" si="17"/>
        <v>NA</v>
      </c>
    </row>
    <row r="181" spans="2:32" outlineLevel="1" x14ac:dyDescent="0.25">
      <c r="B181" s="236">
        <v>122</v>
      </c>
      <c r="C181" s="463">
        <f>ROUND(SUMIFS(Age_Sex22[[#All],[Total Member Months by Age/Sex Band]], Age_Sex22[[#All],[Advanced Network ID]], $B181, Age_Sex22[[#All],[Insurance Category Code]],3),2)</f>
        <v>0</v>
      </c>
      <c r="D181" s="268">
        <f>ROUND(SUMIFS(Age_Sex22[[#All],[Total Dollars Excluded from Spending After Applying Truncation at the Member Level]], Age_Sex22[[#All],[Advanced Network ID]], $B181, Age_Sex22[[#All],[Insurance Category Code]],3),2)</f>
        <v>0</v>
      </c>
      <c r="E181" s="229">
        <f>ROUND(SUMIFS(Age_Sex22[[#All],[Count of Members whose Spending was Truncated]], Age_Sex22[[#All],[Advanced Network ID]], $B181, Age_Sex22[[#All],[Insurance Category Code]],3),2)</f>
        <v>0</v>
      </c>
      <c r="F181" s="230">
        <f>ROUND(SUMIFS(Age_Sex22[[#All],[Total Spending before Truncation is Applied]], Age_Sex22[[#All],[Advanced Network ID]], $B181, Age_Sex22[[#All],[Insurance Category Code]],3),2)</f>
        <v>0</v>
      </c>
      <c r="G181" s="232">
        <f>ROUND(SUMIFS(Age_Sex22[[#All],[Total Spending After Applying Truncation at the Member Level]], Age_Sex22[[#All],[Advanced Network ID]], $B181, Age_Sex22[[#All],[Insurance Category Code]],3), 2)</f>
        <v>0</v>
      </c>
      <c r="H181" s="416" t="str">
        <f>IF(C181=ROUND(SUMIFS(AN_TME22[[#All],[Member Months]], AN_TME22[[#All],[Insurance Category Code]],3, AN_TME22[[#All],[Advanced Network/Insurance Carrier Org ID]],B181),2), "TRUE", ROUND(C181-SUMIFS(AN_TME22[[#All],[Member Months]], AN_TME22[[#All],[Insurance Category Code]],3, AN_TME22[[#All],[Advanced Network/Insurance Carrier Org ID]],B181),2))</f>
        <v>TRUE</v>
      </c>
      <c r="I181" s="280" t="str">
        <f>IF(D181=ROUND(SUMIFS(AN_TME22[[#All],[Total Claims Excluded because of Truncation]], AN_TME22[[#All],[Insurance Category Code]],3, AN_TME22[[#All],[Advanced Network/Insurance Carrier Org ID]],B181),2), "TRUE", ROUND(D181-SUMIFS(AN_TME22[[#All],[Total Claims Excluded because of Truncation]], AN_TME22[[#All],[Insurance Category Code]],3, AN_TME22[[#All],[Advanced Network/Insurance Carrier Org ID]],B181),2))</f>
        <v>TRUE</v>
      </c>
      <c r="J181" s="281" t="str">
        <f>IF(E181=ROUND(SUMIFS(AN_TME22[[#All],[Count of Members with Claims Truncated]], AN_TME22[[#All],[Insurance Category Code]],3, AN_TME22[[#All],[Advanced Network/Insurance Carrier Org ID]],B181),2), "TRUE", ROUND(E181-SUMIFS(AN_TME22[[#All],[Count of Members with Claims Truncated]], AN_TME22[[#All],[Insurance Category Code]],3, AN_TME22[[#All],[Advanced Network/Insurance Carrier Org ID]],B181),2))</f>
        <v>TRUE</v>
      </c>
      <c r="K181" s="282" t="str">
        <f>IF(F181=ROUND(SUMIFS(AN_TME22[[#All],[TOTAL Non-Truncated Unadjusted Claims Expenses]], AN_TME22[[#All],[Insurance Category Code]],3, AN_TME22[[#All],[Advanced Network/Insurance Carrier Org ID]],B181),2), "TRUE", ROUND(F181-SUMIFS(AN_TME22[[#All],[TOTAL Non-Truncated Unadjusted Claims Expenses]], AN_TME22[[#All],[Insurance Category Code]],3, AN_TME22[[#All],[Advanced Network/Insurance Carrier Org ID]],B181),2))</f>
        <v>TRUE</v>
      </c>
      <c r="L181" s="295" t="str">
        <f>IF(G181=ROUND(SUMIFS(AN_TME22[[#All],[TOTAL Truncated Unadjusted Claims Expenses (A21 -A19)]], AN_TME22[[#All],[Insurance Category Code]],3, AN_TME22[[#All],[Advanced Network/Insurance Carrier Org ID]],B181),2), "TRUE", ROUND(G181-SUMIFS(AN_TME22[[#All],[TOTAL Truncated Unadjusted Claims Expenses (A21 -A19)]], AN_TME22[[#All],[Insurance Category Code]],3, AN_TME22[[#All],[Advanced Network/Insurance Carrier Org ID]],B181),2))</f>
        <v>TRUE</v>
      </c>
      <c r="M181" s="461" t="str">
        <f t="shared" si="15"/>
        <v>TRUE</v>
      </c>
      <c r="N181" s="282" t="b">
        <f>ROUND(SUMIFS(AN_TME22[[#All],[TOTAL Non-Truncated Unadjusted Claims Expenses]], AN_TME22[[#All],[Insurance Category Code]],3, AN_TME22[[#All],[Advanced Network/Insurance Carrier Org ID]],B181),2)&gt;=ROUND(SUMIFS(AN_TME22[[#All],[TOTAL Truncated Unadjusted Claims Expenses (A21 -A19)]], AN_TME22[[#All],[Insurance Category Code]],3, AN_TME22[[#All],[Advanced Network/Insurance Carrier Org ID]],B181),2)</f>
        <v>1</v>
      </c>
      <c r="O181" s="295" t="b">
        <f>ROUND(SUMIFS(AN_TME22[[#All],[TOTAL Truncated Unadjusted Claims Expenses (A21 -A19)]], AN_TME22[[#All],[Insurance Category Code]],3, AN_TME22[[#All],[Advanced Network/Insurance Carrier Org ID]],B181)+SUMIFS(AN_TME22[[#All],[Total Claims Excluded because of Truncation]], AN_TME22[[#All],[Insurance Category Code]],3, AN_TME22[[#All],[Advanced Network/Insurance Carrier Org ID]],B181),2)=ROUND(SUMIFS(AN_TME22[[#All],[TOTAL Non-Truncated Unadjusted Claims Expenses]], AN_TME22[[#All],[Insurance Category Code]],3, AN_TME22[[#All],[Advanced Network/Insurance Carrier Org ID]],B181), 2)</f>
        <v>1</v>
      </c>
      <c r="Q181" s="236">
        <v>122</v>
      </c>
      <c r="R181" s="463">
        <f>ROUND(SUMIFS(Age_Sex23[[#All],[Total Member Months by Age/Sex Band]], Age_Sex23[[#All],[Advanced Network ID]], $Q181, Age_Sex23[[#All],[Insurance Category Code]],3), 2)</f>
        <v>0</v>
      </c>
      <c r="S181" s="268">
        <f>ROUND(SUMIFS(Age_Sex23[[#All],[Total Dollars Excluded from Spending After Applying Truncation at the Member Level]], Age_Sex23[[#All],[Advanced Network ID]], $B181, Age_Sex23[[#All],[Insurance Category Code]],3), 2)</f>
        <v>0</v>
      </c>
      <c r="T181" s="229">
        <f>ROUND(SUMIFS(Age_Sex23[[#All],[Count of Members whose Spending was Truncated]], Age_Sex23[[#All],[Advanced Network ID]], $B181, Age_Sex23[[#All],[Insurance Category Code]],3),2)</f>
        <v>0</v>
      </c>
      <c r="U181" s="230">
        <f>ROUND(SUMIFS(Age_Sex23[[#All],[Total Spending before Truncation is Applied]], Age_Sex23[[#All],[Advanced Network ID]], $B181, Age_Sex23[[#All],[Insurance Category Code]],3),2)</f>
        <v>0</v>
      </c>
      <c r="V181" s="232">
        <f>ROUND(SUMIFS(Age_Sex23[[#All],[Total Spending After Applying Truncation at the Member Level]], Age_Sex23[[#All],[Advanced Network ID]], $B181, Age_Sex23[[#All],[Insurance Category Code]],3),2)</f>
        <v>0</v>
      </c>
      <c r="W181" s="416" t="str">
        <f>IF(R181=ROUND(SUMIFS(AN_TME23[[#All],[Member Months]], AN_TME23[[#All],[Insurance Category Code]],3, AN_TME23[[#All],[Advanced Network/Insurance Carrier Org ID]],Q181),2), "TRUE", ROUND(R181-SUMIFS(AN_TME23[[#All],[Member Months]], AN_TME23[[#All],[Insurance Category Code]],3, AN_TME23[[#All],[Advanced Network/Insurance Carrier Org ID]],Q181),2))</f>
        <v>TRUE</v>
      </c>
      <c r="X181" s="280" t="str">
        <f>IF(S181=ROUND(SUMIFS(AN_TME23[[#All],[Total Claims Excluded because of Truncation]], AN_TME23[[#All],[Insurance Category Code]],3, AN_TME23[[#All],[Advanced Network/Insurance Carrier Org ID]],Q181),2), "TRUE", ROUND(S181-SUMIFS(AN_TME23[[#All],[Total Claims Excluded because of Truncation]], AN_TME23[[#All],[Insurance Category Code]],3, AN_TME23[[#All],[Advanced Network/Insurance Carrier Org ID]],Q181),2))</f>
        <v>TRUE</v>
      </c>
      <c r="Y181" s="281" t="str">
        <f>IF(T181=ROUND(SUMIFS(AN_TME23[[#All],[Count of Members with Claims Truncated]], AN_TME23[[#All],[Insurance Category Code]],3, AN_TME23[[#All],[Advanced Network/Insurance Carrier Org ID]],Q181),2), "TRUE", ROUND(T181-SUMIFS(AN_TME23[[#All],[Count of Members with Claims Truncated]], AN_TME23[[#All],[Insurance Category Code]],3, AN_TME23[[#All],[Advanced Network/Insurance Carrier Org ID]],Q181),2))</f>
        <v>TRUE</v>
      </c>
      <c r="Z181" s="282" t="str">
        <f>IF(U181=ROUND(SUMIFS(AN_TME23[[#All],[TOTAL Non-Truncated Unadjusted Claims Expenses]], AN_TME23[[#All],[Insurance Category Code]],3, AN_TME23[[#All],[Advanced Network/Insurance Carrier Org ID]],Q181),2), "TRUE", ROUND(U181-SUMIFS(AN_TME23[[#All],[TOTAL Non-Truncated Unadjusted Claims Expenses]], AN_TME23[[#All],[Insurance Category Code]],3, AN_TME23[[#All],[Advanced Network/Insurance Carrier Org ID]],Q181), 2))</f>
        <v>TRUE</v>
      </c>
      <c r="AA181" s="295" t="str">
        <f>IF(V181=ROUND(SUMIFS(AN_TME23[[#All],[TOTAL Truncated Unadjusted Claims Expenses (A21 -A19)]], AN_TME23[[#All],[Insurance Category Code]],3, AN_TME23[[#All],[Advanced Network/Insurance Carrier Org ID]],Q181),2), "TRUE", ROUND(V181-SUMIFS(AN_TME23[[#All],[TOTAL Truncated Unadjusted Claims Expenses (A21 -A19)]], AN_TME23[[#All],[Insurance Category Code]],3, AN_TME23[[#All],[Advanced Network/Insurance Carrier Org ID]],Q181), 2))</f>
        <v>TRUE</v>
      </c>
      <c r="AB181" s="461" t="str">
        <f t="shared" si="18"/>
        <v>TRUE</v>
      </c>
      <c r="AC181" s="282" t="b">
        <f>ROUND(SUMIFS(AN_TME23[[#All],[TOTAL Non-Truncated Unadjusted Claims Expenses]], AN_TME23[[#All],[Insurance Category Code]],3, AN_TME23[[#All],[Advanced Network/Insurance Carrier Org ID]],Q181),2)&gt;=ROUND(SUMIFS(AN_TME23[[#All],[TOTAL Truncated Unadjusted Claims Expenses (A21 -A19)]], AN_TME23[[#All],[Insurance Category Code]],3, AN_TME23[[#All],[Advanced Network/Insurance Carrier Org ID]],Q181), 2)</f>
        <v>1</v>
      </c>
      <c r="AD181" s="295" t="b">
        <f>ROUND(SUMIFS(AN_TME23[[#All],[TOTAL Truncated Unadjusted Claims Expenses (A21 -A19)]], AN_TME23[[#All],[Insurance Category Code]],3, AN_TME23[[#All],[Advanced Network/Insurance Carrier Org ID]],Q181)+SUMIFS(AN_TME23[[#All],[Total Claims Excluded because of Truncation]], AN_TME23[[#All],[Insurance Category Code]],3, AN_TME23[[#All],[Advanced Network/Insurance Carrier Org ID]],Q181),2)=ROUND(SUMIFS(AN_TME23[[#All],[TOTAL Non-Truncated Unadjusted Claims Expenses]], AN_TME23[[#All],[Insurance Category Code]],3, AN_TME23[[#All],[Advanced Network/Insurance Carrier Org ID]],Q181),2)</f>
        <v>1</v>
      </c>
      <c r="AF181" s="323" t="str">
        <f t="shared" si="17"/>
        <v>NA</v>
      </c>
    </row>
    <row r="182" spans="2:32" outlineLevel="1" x14ac:dyDescent="0.25">
      <c r="B182" s="236">
        <v>123</v>
      </c>
      <c r="C182" s="463">
        <f>ROUND(SUMIFS(Age_Sex22[[#All],[Total Member Months by Age/Sex Band]], Age_Sex22[[#All],[Advanced Network ID]], $B182, Age_Sex22[[#All],[Insurance Category Code]],3),2)</f>
        <v>0</v>
      </c>
      <c r="D182" s="268">
        <f>ROUND(SUMIFS(Age_Sex22[[#All],[Total Dollars Excluded from Spending After Applying Truncation at the Member Level]], Age_Sex22[[#All],[Advanced Network ID]], $B182, Age_Sex22[[#All],[Insurance Category Code]],3),2)</f>
        <v>0</v>
      </c>
      <c r="E182" s="229">
        <f>ROUND(SUMIFS(Age_Sex22[[#All],[Count of Members whose Spending was Truncated]], Age_Sex22[[#All],[Advanced Network ID]], $B182, Age_Sex22[[#All],[Insurance Category Code]],3),2)</f>
        <v>0</v>
      </c>
      <c r="F182" s="230">
        <f>ROUND(SUMIFS(Age_Sex22[[#All],[Total Spending before Truncation is Applied]], Age_Sex22[[#All],[Advanced Network ID]], $B182, Age_Sex22[[#All],[Insurance Category Code]],3),2)</f>
        <v>0</v>
      </c>
      <c r="G182" s="232">
        <f>ROUND(SUMIFS(Age_Sex22[[#All],[Total Spending After Applying Truncation at the Member Level]], Age_Sex22[[#All],[Advanced Network ID]], $B182, Age_Sex22[[#All],[Insurance Category Code]],3), 2)</f>
        <v>0</v>
      </c>
      <c r="H182" s="416" t="str">
        <f>IF(C182=ROUND(SUMIFS(AN_TME22[[#All],[Member Months]], AN_TME22[[#All],[Insurance Category Code]],3, AN_TME22[[#All],[Advanced Network/Insurance Carrier Org ID]],B182),2), "TRUE", ROUND(C182-SUMIFS(AN_TME22[[#All],[Member Months]], AN_TME22[[#All],[Insurance Category Code]],3, AN_TME22[[#All],[Advanced Network/Insurance Carrier Org ID]],B182),2))</f>
        <v>TRUE</v>
      </c>
      <c r="I182" s="280" t="str">
        <f>IF(D182=ROUND(SUMIFS(AN_TME22[[#All],[Total Claims Excluded because of Truncation]], AN_TME22[[#All],[Insurance Category Code]],3, AN_TME22[[#All],[Advanced Network/Insurance Carrier Org ID]],B182),2), "TRUE", ROUND(D182-SUMIFS(AN_TME22[[#All],[Total Claims Excluded because of Truncation]], AN_TME22[[#All],[Insurance Category Code]],3, AN_TME22[[#All],[Advanced Network/Insurance Carrier Org ID]],B182),2))</f>
        <v>TRUE</v>
      </c>
      <c r="J182" s="281" t="str">
        <f>IF(E182=ROUND(SUMIFS(AN_TME22[[#All],[Count of Members with Claims Truncated]], AN_TME22[[#All],[Insurance Category Code]],3, AN_TME22[[#All],[Advanced Network/Insurance Carrier Org ID]],B182),2), "TRUE", ROUND(E182-SUMIFS(AN_TME22[[#All],[Count of Members with Claims Truncated]], AN_TME22[[#All],[Insurance Category Code]],3, AN_TME22[[#All],[Advanced Network/Insurance Carrier Org ID]],B182),2))</f>
        <v>TRUE</v>
      </c>
      <c r="K182" s="282" t="str">
        <f>IF(F182=ROUND(SUMIFS(AN_TME22[[#All],[TOTAL Non-Truncated Unadjusted Claims Expenses]], AN_TME22[[#All],[Insurance Category Code]],3, AN_TME22[[#All],[Advanced Network/Insurance Carrier Org ID]],B182),2), "TRUE", ROUND(F182-SUMIFS(AN_TME22[[#All],[TOTAL Non-Truncated Unadjusted Claims Expenses]], AN_TME22[[#All],[Insurance Category Code]],3, AN_TME22[[#All],[Advanced Network/Insurance Carrier Org ID]],B182),2))</f>
        <v>TRUE</v>
      </c>
      <c r="L182" s="295" t="str">
        <f>IF(G182=ROUND(SUMIFS(AN_TME22[[#All],[TOTAL Truncated Unadjusted Claims Expenses (A21 -A19)]], AN_TME22[[#All],[Insurance Category Code]],3, AN_TME22[[#All],[Advanced Network/Insurance Carrier Org ID]],B182),2), "TRUE", ROUND(G182-SUMIFS(AN_TME22[[#All],[TOTAL Truncated Unadjusted Claims Expenses (A21 -A19)]], AN_TME22[[#All],[Insurance Category Code]],3, AN_TME22[[#All],[Advanced Network/Insurance Carrier Org ID]],B182),2))</f>
        <v>TRUE</v>
      </c>
      <c r="M182" s="461" t="str">
        <f t="shared" si="15"/>
        <v>TRUE</v>
      </c>
      <c r="N182" s="282" t="b">
        <f>ROUND(SUMIFS(AN_TME22[[#All],[TOTAL Non-Truncated Unadjusted Claims Expenses]], AN_TME22[[#All],[Insurance Category Code]],3, AN_TME22[[#All],[Advanced Network/Insurance Carrier Org ID]],B182),2)&gt;=ROUND(SUMIFS(AN_TME22[[#All],[TOTAL Truncated Unadjusted Claims Expenses (A21 -A19)]], AN_TME22[[#All],[Insurance Category Code]],3, AN_TME22[[#All],[Advanced Network/Insurance Carrier Org ID]],B182),2)</f>
        <v>1</v>
      </c>
      <c r="O182" s="295" t="b">
        <f>ROUND(SUMIFS(AN_TME22[[#All],[TOTAL Truncated Unadjusted Claims Expenses (A21 -A19)]], AN_TME22[[#All],[Insurance Category Code]],3, AN_TME22[[#All],[Advanced Network/Insurance Carrier Org ID]],B182)+SUMIFS(AN_TME22[[#All],[Total Claims Excluded because of Truncation]], AN_TME22[[#All],[Insurance Category Code]],3, AN_TME22[[#All],[Advanced Network/Insurance Carrier Org ID]],B182),2)=ROUND(SUMIFS(AN_TME22[[#All],[TOTAL Non-Truncated Unadjusted Claims Expenses]], AN_TME22[[#All],[Insurance Category Code]],3, AN_TME22[[#All],[Advanced Network/Insurance Carrier Org ID]],B182), 2)</f>
        <v>1</v>
      </c>
      <c r="Q182" s="236">
        <v>123</v>
      </c>
      <c r="R182" s="463">
        <f>ROUND(SUMIFS(Age_Sex23[[#All],[Total Member Months by Age/Sex Band]], Age_Sex23[[#All],[Advanced Network ID]], $Q182, Age_Sex23[[#All],[Insurance Category Code]],3), 2)</f>
        <v>0</v>
      </c>
      <c r="S182" s="268">
        <f>ROUND(SUMIFS(Age_Sex23[[#All],[Total Dollars Excluded from Spending After Applying Truncation at the Member Level]], Age_Sex23[[#All],[Advanced Network ID]], $B182, Age_Sex23[[#All],[Insurance Category Code]],3), 2)</f>
        <v>0</v>
      </c>
      <c r="T182" s="229">
        <f>ROUND(SUMIFS(Age_Sex23[[#All],[Count of Members whose Spending was Truncated]], Age_Sex23[[#All],[Advanced Network ID]], $B182, Age_Sex23[[#All],[Insurance Category Code]],3),2)</f>
        <v>0</v>
      </c>
      <c r="U182" s="230">
        <f>ROUND(SUMIFS(Age_Sex23[[#All],[Total Spending before Truncation is Applied]], Age_Sex23[[#All],[Advanced Network ID]], $B182, Age_Sex23[[#All],[Insurance Category Code]],3),2)</f>
        <v>0</v>
      </c>
      <c r="V182" s="232">
        <f>ROUND(SUMIFS(Age_Sex23[[#All],[Total Spending After Applying Truncation at the Member Level]], Age_Sex23[[#All],[Advanced Network ID]], $B182, Age_Sex23[[#All],[Insurance Category Code]],3),2)</f>
        <v>0</v>
      </c>
      <c r="W182" s="416" t="str">
        <f>IF(R182=ROUND(SUMIFS(AN_TME23[[#All],[Member Months]], AN_TME23[[#All],[Insurance Category Code]],3, AN_TME23[[#All],[Advanced Network/Insurance Carrier Org ID]],Q182),2), "TRUE", ROUND(R182-SUMIFS(AN_TME23[[#All],[Member Months]], AN_TME23[[#All],[Insurance Category Code]],3, AN_TME23[[#All],[Advanced Network/Insurance Carrier Org ID]],Q182),2))</f>
        <v>TRUE</v>
      </c>
      <c r="X182" s="280" t="str">
        <f>IF(S182=ROUND(SUMIFS(AN_TME23[[#All],[Total Claims Excluded because of Truncation]], AN_TME23[[#All],[Insurance Category Code]],3, AN_TME23[[#All],[Advanced Network/Insurance Carrier Org ID]],Q182),2), "TRUE", ROUND(S182-SUMIFS(AN_TME23[[#All],[Total Claims Excluded because of Truncation]], AN_TME23[[#All],[Insurance Category Code]],3, AN_TME23[[#All],[Advanced Network/Insurance Carrier Org ID]],Q182),2))</f>
        <v>TRUE</v>
      </c>
      <c r="Y182" s="281" t="str">
        <f>IF(T182=ROUND(SUMIFS(AN_TME23[[#All],[Count of Members with Claims Truncated]], AN_TME23[[#All],[Insurance Category Code]],3, AN_TME23[[#All],[Advanced Network/Insurance Carrier Org ID]],Q182),2), "TRUE", ROUND(T182-SUMIFS(AN_TME23[[#All],[Count of Members with Claims Truncated]], AN_TME23[[#All],[Insurance Category Code]],3, AN_TME23[[#All],[Advanced Network/Insurance Carrier Org ID]],Q182),2))</f>
        <v>TRUE</v>
      </c>
      <c r="Z182" s="282" t="str">
        <f>IF(U182=ROUND(SUMIFS(AN_TME23[[#All],[TOTAL Non-Truncated Unadjusted Claims Expenses]], AN_TME23[[#All],[Insurance Category Code]],3, AN_TME23[[#All],[Advanced Network/Insurance Carrier Org ID]],Q182),2), "TRUE", ROUND(U182-SUMIFS(AN_TME23[[#All],[TOTAL Non-Truncated Unadjusted Claims Expenses]], AN_TME23[[#All],[Insurance Category Code]],3, AN_TME23[[#All],[Advanced Network/Insurance Carrier Org ID]],Q182), 2))</f>
        <v>TRUE</v>
      </c>
      <c r="AA182" s="295" t="str">
        <f>IF(V182=ROUND(SUMIFS(AN_TME23[[#All],[TOTAL Truncated Unadjusted Claims Expenses (A21 -A19)]], AN_TME23[[#All],[Insurance Category Code]],3, AN_TME23[[#All],[Advanced Network/Insurance Carrier Org ID]],Q182),2), "TRUE", ROUND(V182-SUMIFS(AN_TME23[[#All],[TOTAL Truncated Unadjusted Claims Expenses (A21 -A19)]], AN_TME23[[#All],[Insurance Category Code]],3, AN_TME23[[#All],[Advanced Network/Insurance Carrier Org ID]],Q182), 2))</f>
        <v>TRUE</v>
      </c>
      <c r="AB182" s="461" t="str">
        <f t="shared" si="18"/>
        <v>TRUE</v>
      </c>
      <c r="AC182" s="282" t="b">
        <f>ROUND(SUMIFS(AN_TME23[[#All],[TOTAL Non-Truncated Unadjusted Claims Expenses]], AN_TME23[[#All],[Insurance Category Code]],3, AN_TME23[[#All],[Advanced Network/Insurance Carrier Org ID]],Q182),2)&gt;=ROUND(SUMIFS(AN_TME23[[#All],[TOTAL Truncated Unadjusted Claims Expenses (A21 -A19)]], AN_TME23[[#All],[Insurance Category Code]],3, AN_TME23[[#All],[Advanced Network/Insurance Carrier Org ID]],Q182), 2)</f>
        <v>1</v>
      </c>
      <c r="AD182" s="295" t="b">
        <f>ROUND(SUMIFS(AN_TME23[[#All],[TOTAL Truncated Unadjusted Claims Expenses (A21 -A19)]], AN_TME23[[#All],[Insurance Category Code]],3, AN_TME23[[#All],[Advanced Network/Insurance Carrier Org ID]],Q182)+SUMIFS(AN_TME23[[#All],[Total Claims Excluded because of Truncation]], AN_TME23[[#All],[Insurance Category Code]],3, AN_TME23[[#All],[Advanced Network/Insurance Carrier Org ID]],Q182),2)=ROUND(SUMIFS(AN_TME23[[#All],[TOTAL Non-Truncated Unadjusted Claims Expenses]], AN_TME23[[#All],[Insurance Category Code]],3, AN_TME23[[#All],[Advanced Network/Insurance Carrier Org ID]],Q182),2)</f>
        <v>1</v>
      </c>
      <c r="AF182" s="323" t="str">
        <f t="shared" si="17"/>
        <v>NA</v>
      </c>
    </row>
    <row r="183" spans="2:32" outlineLevel="1" x14ac:dyDescent="0.25">
      <c r="B183" s="236">
        <v>124</v>
      </c>
      <c r="C183" s="463">
        <f>ROUND(SUMIFS(Age_Sex22[[#All],[Total Member Months by Age/Sex Band]], Age_Sex22[[#All],[Advanced Network ID]], $B183, Age_Sex22[[#All],[Insurance Category Code]],3),2)</f>
        <v>0</v>
      </c>
      <c r="D183" s="268">
        <f>ROUND(SUMIFS(Age_Sex22[[#All],[Total Dollars Excluded from Spending After Applying Truncation at the Member Level]], Age_Sex22[[#All],[Advanced Network ID]], $B183, Age_Sex22[[#All],[Insurance Category Code]],3),2)</f>
        <v>0</v>
      </c>
      <c r="E183" s="229">
        <f>ROUND(SUMIFS(Age_Sex22[[#All],[Count of Members whose Spending was Truncated]], Age_Sex22[[#All],[Advanced Network ID]], $B183, Age_Sex22[[#All],[Insurance Category Code]],3),2)</f>
        <v>0</v>
      </c>
      <c r="F183" s="230">
        <f>ROUND(SUMIFS(Age_Sex22[[#All],[Total Spending before Truncation is Applied]], Age_Sex22[[#All],[Advanced Network ID]], $B183, Age_Sex22[[#All],[Insurance Category Code]],3),2)</f>
        <v>0</v>
      </c>
      <c r="G183" s="232">
        <f>ROUND(SUMIFS(Age_Sex22[[#All],[Total Spending After Applying Truncation at the Member Level]], Age_Sex22[[#All],[Advanced Network ID]], $B183, Age_Sex22[[#All],[Insurance Category Code]],3), 2)</f>
        <v>0</v>
      </c>
      <c r="H183" s="416" t="str">
        <f>IF(C183=ROUND(SUMIFS(AN_TME22[[#All],[Member Months]], AN_TME22[[#All],[Insurance Category Code]],3, AN_TME22[[#All],[Advanced Network/Insurance Carrier Org ID]],B183),2), "TRUE", ROUND(C183-SUMIFS(AN_TME22[[#All],[Member Months]], AN_TME22[[#All],[Insurance Category Code]],3, AN_TME22[[#All],[Advanced Network/Insurance Carrier Org ID]],B183),2))</f>
        <v>TRUE</v>
      </c>
      <c r="I183" s="280" t="str">
        <f>IF(D183=ROUND(SUMIFS(AN_TME22[[#All],[Total Claims Excluded because of Truncation]], AN_TME22[[#All],[Insurance Category Code]],3, AN_TME22[[#All],[Advanced Network/Insurance Carrier Org ID]],B183),2), "TRUE", ROUND(D183-SUMIFS(AN_TME22[[#All],[Total Claims Excluded because of Truncation]], AN_TME22[[#All],[Insurance Category Code]],3, AN_TME22[[#All],[Advanced Network/Insurance Carrier Org ID]],B183),2))</f>
        <v>TRUE</v>
      </c>
      <c r="J183" s="281" t="str">
        <f>IF(E183=ROUND(SUMIFS(AN_TME22[[#All],[Count of Members with Claims Truncated]], AN_TME22[[#All],[Insurance Category Code]],3, AN_TME22[[#All],[Advanced Network/Insurance Carrier Org ID]],B183),2), "TRUE", ROUND(E183-SUMIFS(AN_TME22[[#All],[Count of Members with Claims Truncated]], AN_TME22[[#All],[Insurance Category Code]],3, AN_TME22[[#All],[Advanced Network/Insurance Carrier Org ID]],B183),2))</f>
        <v>TRUE</v>
      </c>
      <c r="K183" s="282" t="str">
        <f>IF(F183=ROUND(SUMIFS(AN_TME22[[#All],[TOTAL Non-Truncated Unadjusted Claims Expenses]], AN_TME22[[#All],[Insurance Category Code]],3, AN_TME22[[#All],[Advanced Network/Insurance Carrier Org ID]],B183),2), "TRUE", ROUND(F183-SUMIFS(AN_TME22[[#All],[TOTAL Non-Truncated Unadjusted Claims Expenses]], AN_TME22[[#All],[Insurance Category Code]],3, AN_TME22[[#All],[Advanced Network/Insurance Carrier Org ID]],B183),2))</f>
        <v>TRUE</v>
      </c>
      <c r="L183" s="295" t="str">
        <f>IF(G183=ROUND(SUMIFS(AN_TME22[[#All],[TOTAL Truncated Unadjusted Claims Expenses (A21 -A19)]], AN_TME22[[#All],[Insurance Category Code]],3, AN_TME22[[#All],[Advanced Network/Insurance Carrier Org ID]],B183),2), "TRUE", ROUND(G183-SUMIFS(AN_TME22[[#All],[TOTAL Truncated Unadjusted Claims Expenses (A21 -A19)]], AN_TME22[[#All],[Insurance Category Code]],3, AN_TME22[[#All],[Advanced Network/Insurance Carrier Org ID]],B183),2))</f>
        <v>TRUE</v>
      </c>
      <c r="M183" s="461" t="str">
        <f t="shared" si="15"/>
        <v>TRUE</v>
      </c>
      <c r="N183" s="282" t="b">
        <f>ROUND(SUMIFS(AN_TME22[[#All],[TOTAL Non-Truncated Unadjusted Claims Expenses]], AN_TME22[[#All],[Insurance Category Code]],3, AN_TME22[[#All],[Advanced Network/Insurance Carrier Org ID]],B183),2)&gt;=ROUND(SUMIFS(AN_TME22[[#All],[TOTAL Truncated Unadjusted Claims Expenses (A21 -A19)]], AN_TME22[[#All],[Insurance Category Code]],3, AN_TME22[[#All],[Advanced Network/Insurance Carrier Org ID]],B183),2)</f>
        <v>1</v>
      </c>
      <c r="O183" s="295" t="b">
        <f>ROUND(SUMIFS(AN_TME22[[#All],[TOTAL Truncated Unadjusted Claims Expenses (A21 -A19)]], AN_TME22[[#All],[Insurance Category Code]],3, AN_TME22[[#All],[Advanced Network/Insurance Carrier Org ID]],B183)+SUMIFS(AN_TME22[[#All],[Total Claims Excluded because of Truncation]], AN_TME22[[#All],[Insurance Category Code]],3, AN_TME22[[#All],[Advanced Network/Insurance Carrier Org ID]],B183),2)=ROUND(SUMIFS(AN_TME22[[#All],[TOTAL Non-Truncated Unadjusted Claims Expenses]], AN_TME22[[#All],[Insurance Category Code]],3, AN_TME22[[#All],[Advanced Network/Insurance Carrier Org ID]],B183), 2)</f>
        <v>1</v>
      </c>
      <c r="Q183" s="236">
        <v>124</v>
      </c>
      <c r="R183" s="463">
        <f>ROUND(SUMIFS(Age_Sex23[[#All],[Total Member Months by Age/Sex Band]], Age_Sex23[[#All],[Advanced Network ID]], $Q183, Age_Sex23[[#All],[Insurance Category Code]],3), 2)</f>
        <v>0</v>
      </c>
      <c r="S183" s="268">
        <f>ROUND(SUMIFS(Age_Sex23[[#All],[Total Dollars Excluded from Spending After Applying Truncation at the Member Level]], Age_Sex23[[#All],[Advanced Network ID]], $B183, Age_Sex23[[#All],[Insurance Category Code]],3), 2)</f>
        <v>0</v>
      </c>
      <c r="T183" s="229">
        <f>ROUND(SUMIFS(Age_Sex23[[#All],[Count of Members whose Spending was Truncated]], Age_Sex23[[#All],[Advanced Network ID]], $B183, Age_Sex23[[#All],[Insurance Category Code]],3),2)</f>
        <v>0</v>
      </c>
      <c r="U183" s="230">
        <f>ROUND(SUMIFS(Age_Sex23[[#All],[Total Spending before Truncation is Applied]], Age_Sex23[[#All],[Advanced Network ID]], $B183, Age_Sex23[[#All],[Insurance Category Code]],3),2)</f>
        <v>0</v>
      </c>
      <c r="V183" s="232">
        <f>ROUND(SUMIFS(Age_Sex23[[#All],[Total Spending After Applying Truncation at the Member Level]], Age_Sex23[[#All],[Advanced Network ID]], $B183, Age_Sex23[[#All],[Insurance Category Code]],3),2)</f>
        <v>0</v>
      </c>
      <c r="W183" s="416" t="str">
        <f>IF(R183=ROUND(SUMIFS(AN_TME23[[#All],[Member Months]], AN_TME23[[#All],[Insurance Category Code]],3, AN_TME23[[#All],[Advanced Network/Insurance Carrier Org ID]],Q183),2), "TRUE", ROUND(R183-SUMIFS(AN_TME23[[#All],[Member Months]], AN_TME23[[#All],[Insurance Category Code]],3, AN_TME23[[#All],[Advanced Network/Insurance Carrier Org ID]],Q183),2))</f>
        <v>TRUE</v>
      </c>
      <c r="X183" s="280" t="str">
        <f>IF(S183=ROUND(SUMIFS(AN_TME23[[#All],[Total Claims Excluded because of Truncation]], AN_TME23[[#All],[Insurance Category Code]],3, AN_TME23[[#All],[Advanced Network/Insurance Carrier Org ID]],Q183),2), "TRUE", ROUND(S183-SUMIFS(AN_TME23[[#All],[Total Claims Excluded because of Truncation]], AN_TME23[[#All],[Insurance Category Code]],3, AN_TME23[[#All],[Advanced Network/Insurance Carrier Org ID]],Q183),2))</f>
        <v>TRUE</v>
      </c>
      <c r="Y183" s="281" t="str">
        <f>IF(T183=ROUND(SUMIFS(AN_TME23[[#All],[Count of Members with Claims Truncated]], AN_TME23[[#All],[Insurance Category Code]],3, AN_TME23[[#All],[Advanced Network/Insurance Carrier Org ID]],Q183),2), "TRUE", ROUND(T183-SUMIFS(AN_TME23[[#All],[Count of Members with Claims Truncated]], AN_TME23[[#All],[Insurance Category Code]],3, AN_TME23[[#All],[Advanced Network/Insurance Carrier Org ID]],Q183),2))</f>
        <v>TRUE</v>
      </c>
      <c r="Z183" s="282" t="str">
        <f>IF(U183=ROUND(SUMIFS(AN_TME23[[#All],[TOTAL Non-Truncated Unadjusted Claims Expenses]], AN_TME23[[#All],[Insurance Category Code]],3, AN_TME23[[#All],[Advanced Network/Insurance Carrier Org ID]],Q183),2), "TRUE", ROUND(U183-SUMIFS(AN_TME23[[#All],[TOTAL Non-Truncated Unadjusted Claims Expenses]], AN_TME23[[#All],[Insurance Category Code]],3, AN_TME23[[#All],[Advanced Network/Insurance Carrier Org ID]],Q183), 2))</f>
        <v>TRUE</v>
      </c>
      <c r="AA183" s="295" t="str">
        <f>IF(V183=ROUND(SUMIFS(AN_TME23[[#All],[TOTAL Truncated Unadjusted Claims Expenses (A21 -A19)]], AN_TME23[[#All],[Insurance Category Code]],3, AN_TME23[[#All],[Advanced Network/Insurance Carrier Org ID]],Q183),2), "TRUE", ROUND(V183-SUMIFS(AN_TME23[[#All],[TOTAL Truncated Unadjusted Claims Expenses (A21 -A19)]], AN_TME23[[#All],[Insurance Category Code]],3, AN_TME23[[#All],[Advanced Network/Insurance Carrier Org ID]],Q183), 2))</f>
        <v>TRUE</v>
      </c>
      <c r="AB183" s="461" t="str">
        <f t="shared" si="18"/>
        <v>TRUE</v>
      </c>
      <c r="AC183" s="282" t="b">
        <f>ROUND(SUMIFS(AN_TME23[[#All],[TOTAL Non-Truncated Unadjusted Claims Expenses]], AN_TME23[[#All],[Insurance Category Code]],3, AN_TME23[[#All],[Advanced Network/Insurance Carrier Org ID]],Q183),2)&gt;=ROUND(SUMIFS(AN_TME23[[#All],[TOTAL Truncated Unadjusted Claims Expenses (A21 -A19)]], AN_TME23[[#All],[Insurance Category Code]],3, AN_TME23[[#All],[Advanced Network/Insurance Carrier Org ID]],Q183), 2)</f>
        <v>1</v>
      </c>
      <c r="AD183" s="295" t="b">
        <f>ROUND(SUMIFS(AN_TME23[[#All],[TOTAL Truncated Unadjusted Claims Expenses (A21 -A19)]], AN_TME23[[#All],[Insurance Category Code]],3, AN_TME23[[#All],[Advanced Network/Insurance Carrier Org ID]],Q183)+SUMIFS(AN_TME23[[#All],[Total Claims Excluded because of Truncation]], AN_TME23[[#All],[Insurance Category Code]],3, AN_TME23[[#All],[Advanced Network/Insurance Carrier Org ID]],Q183),2)=ROUND(SUMIFS(AN_TME23[[#All],[TOTAL Non-Truncated Unadjusted Claims Expenses]], AN_TME23[[#All],[Insurance Category Code]],3, AN_TME23[[#All],[Advanced Network/Insurance Carrier Org ID]],Q183),2)</f>
        <v>1</v>
      </c>
      <c r="AF183" s="323" t="str">
        <f t="shared" si="17"/>
        <v>NA</v>
      </c>
    </row>
    <row r="184" spans="2:32" outlineLevel="1" x14ac:dyDescent="0.25">
      <c r="B184" s="236">
        <v>125</v>
      </c>
      <c r="C184" s="463">
        <f>ROUND(SUMIFS(Age_Sex22[[#All],[Total Member Months by Age/Sex Band]], Age_Sex22[[#All],[Advanced Network ID]], $B184, Age_Sex22[[#All],[Insurance Category Code]],3),2)</f>
        <v>0</v>
      </c>
      <c r="D184" s="268">
        <f>ROUND(SUMIFS(Age_Sex22[[#All],[Total Dollars Excluded from Spending After Applying Truncation at the Member Level]], Age_Sex22[[#All],[Advanced Network ID]], $B184, Age_Sex22[[#All],[Insurance Category Code]],3),2)</f>
        <v>0</v>
      </c>
      <c r="E184" s="229">
        <f>ROUND(SUMIFS(Age_Sex22[[#All],[Count of Members whose Spending was Truncated]], Age_Sex22[[#All],[Advanced Network ID]], $B184, Age_Sex22[[#All],[Insurance Category Code]],3),2)</f>
        <v>0</v>
      </c>
      <c r="F184" s="230">
        <f>ROUND(SUMIFS(Age_Sex22[[#All],[Total Spending before Truncation is Applied]], Age_Sex22[[#All],[Advanced Network ID]], $B184, Age_Sex22[[#All],[Insurance Category Code]],3),2)</f>
        <v>0</v>
      </c>
      <c r="G184" s="232">
        <f>ROUND(SUMIFS(Age_Sex22[[#All],[Total Spending After Applying Truncation at the Member Level]], Age_Sex22[[#All],[Advanced Network ID]], $B184, Age_Sex22[[#All],[Insurance Category Code]],3), 2)</f>
        <v>0</v>
      </c>
      <c r="H184" s="416" t="str">
        <f>IF(C184=ROUND(SUMIFS(AN_TME22[[#All],[Member Months]], AN_TME22[[#All],[Insurance Category Code]],3, AN_TME22[[#All],[Advanced Network/Insurance Carrier Org ID]],B184),2), "TRUE", ROUND(C184-SUMIFS(AN_TME22[[#All],[Member Months]], AN_TME22[[#All],[Insurance Category Code]],3, AN_TME22[[#All],[Advanced Network/Insurance Carrier Org ID]],B184),2))</f>
        <v>TRUE</v>
      </c>
      <c r="I184" s="280" t="str">
        <f>IF(D184=ROUND(SUMIFS(AN_TME22[[#All],[Total Claims Excluded because of Truncation]], AN_TME22[[#All],[Insurance Category Code]],3, AN_TME22[[#All],[Advanced Network/Insurance Carrier Org ID]],B184),2), "TRUE", ROUND(D184-SUMIFS(AN_TME22[[#All],[Total Claims Excluded because of Truncation]], AN_TME22[[#All],[Insurance Category Code]],3, AN_TME22[[#All],[Advanced Network/Insurance Carrier Org ID]],B184),2))</f>
        <v>TRUE</v>
      </c>
      <c r="J184" s="281" t="str">
        <f>IF(E184=ROUND(SUMIFS(AN_TME22[[#All],[Count of Members with Claims Truncated]], AN_TME22[[#All],[Insurance Category Code]],3, AN_TME22[[#All],[Advanced Network/Insurance Carrier Org ID]],B184),2), "TRUE", ROUND(E184-SUMIFS(AN_TME22[[#All],[Count of Members with Claims Truncated]], AN_TME22[[#All],[Insurance Category Code]],3, AN_TME22[[#All],[Advanced Network/Insurance Carrier Org ID]],B184),2))</f>
        <v>TRUE</v>
      </c>
      <c r="K184" s="282" t="str">
        <f>IF(F184=ROUND(SUMIFS(AN_TME22[[#All],[TOTAL Non-Truncated Unadjusted Claims Expenses]], AN_TME22[[#All],[Insurance Category Code]],3, AN_TME22[[#All],[Advanced Network/Insurance Carrier Org ID]],B184),2), "TRUE", ROUND(F184-SUMIFS(AN_TME22[[#All],[TOTAL Non-Truncated Unadjusted Claims Expenses]], AN_TME22[[#All],[Insurance Category Code]],3, AN_TME22[[#All],[Advanced Network/Insurance Carrier Org ID]],B184),2))</f>
        <v>TRUE</v>
      </c>
      <c r="L184" s="295" t="str">
        <f>IF(G184=ROUND(SUMIFS(AN_TME22[[#All],[TOTAL Truncated Unadjusted Claims Expenses (A21 -A19)]], AN_TME22[[#All],[Insurance Category Code]],3, AN_TME22[[#All],[Advanced Network/Insurance Carrier Org ID]],B184),2), "TRUE", ROUND(G184-SUMIFS(AN_TME22[[#All],[TOTAL Truncated Unadjusted Claims Expenses (A21 -A19)]], AN_TME22[[#All],[Insurance Category Code]],3, AN_TME22[[#All],[Advanced Network/Insurance Carrier Org ID]],B184),2))</f>
        <v>TRUE</v>
      </c>
      <c r="M184" s="461" t="str">
        <f t="shared" si="15"/>
        <v>TRUE</v>
      </c>
      <c r="N184" s="282" t="b">
        <f>ROUND(SUMIFS(AN_TME22[[#All],[TOTAL Non-Truncated Unadjusted Claims Expenses]], AN_TME22[[#All],[Insurance Category Code]],3, AN_TME22[[#All],[Advanced Network/Insurance Carrier Org ID]],B184),2)&gt;=ROUND(SUMIFS(AN_TME22[[#All],[TOTAL Truncated Unadjusted Claims Expenses (A21 -A19)]], AN_TME22[[#All],[Insurance Category Code]],3, AN_TME22[[#All],[Advanced Network/Insurance Carrier Org ID]],B184),2)</f>
        <v>1</v>
      </c>
      <c r="O184" s="295" t="b">
        <f>ROUND(SUMIFS(AN_TME22[[#All],[TOTAL Truncated Unadjusted Claims Expenses (A21 -A19)]], AN_TME22[[#All],[Insurance Category Code]],3, AN_TME22[[#All],[Advanced Network/Insurance Carrier Org ID]],B184)+SUMIFS(AN_TME22[[#All],[Total Claims Excluded because of Truncation]], AN_TME22[[#All],[Insurance Category Code]],3, AN_TME22[[#All],[Advanced Network/Insurance Carrier Org ID]],B184),2)=ROUND(SUMIFS(AN_TME22[[#All],[TOTAL Non-Truncated Unadjusted Claims Expenses]], AN_TME22[[#All],[Insurance Category Code]],3, AN_TME22[[#All],[Advanced Network/Insurance Carrier Org ID]],B184), 2)</f>
        <v>1</v>
      </c>
      <c r="Q184" s="236">
        <v>125</v>
      </c>
      <c r="R184" s="463">
        <f>ROUND(SUMIFS(Age_Sex23[[#All],[Total Member Months by Age/Sex Band]], Age_Sex23[[#All],[Advanced Network ID]], $Q184, Age_Sex23[[#All],[Insurance Category Code]],3), 2)</f>
        <v>0</v>
      </c>
      <c r="S184" s="268">
        <f>ROUND(SUMIFS(Age_Sex23[[#All],[Total Dollars Excluded from Spending After Applying Truncation at the Member Level]], Age_Sex23[[#All],[Advanced Network ID]], $B184, Age_Sex23[[#All],[Insurance Category Code]],3), 2)</f>
        <v>0</v>
      </c>
      <c r="T184" s="229">
        <f>ROUND(SUMIFS(Age_Sex23[[#All],[Count of Members whose Spending was Truncated]], Age_Sex23[[#All],[Advanced Network ID]], $B184, Age_Sex23[[#All],[Insurance Category Code]],3),2)</f>
        <v>0</v>
      </c>
      <c r="U184" s="230">
        <f>ROUND(SUMIFS(Age_Sex23[[#All],[Total Spending before Truncation is Applied]], Age_Sex23[[#All],[Advanced Network ID]], $B184, Age_Sex23[[#All],[Insurance Category Code]],3),2)</f>
        <v>0</v>
      </c>
      <c r="V184" s="232">
        <f>ROUND(SUMIFS(Age_Sex23[[#All],[Total Spending After Applying Truncation at the Member Level]], Age_Sex23[[#All],[Advanced Network ID]], $B184, Age_Sex23[[#All],[Insurance Category Code]],3),2)</f>
        <v>0</v>
      </c>
      <c r="W184" s="416" t="str">
        <f>IF(R184=ROUND(SUMIFS(AN_TME23[[#All],[Member Months]], AN_TME23[[#All],[Insurance Category Code]],3, AN_TME23[[#All],[Advanced Network/Insurance Carrier Org ID]],Q184),2), "TRUE", ROUND(R184-SUMIFS(AN_TME23[[#All],[Member Months]], AN_TME23[[#All],[Insurance Category Code]],3, AN_TME23[[#All],[Advanced Network/Insurance Carrier Org ID]],Q184),2))</f>
        <v>TRUE</v>
      </c>
      <c r="X184" s="280" t="str">
        <f>IF(S184=ROUND(SUMIFS(AN_TME23[[#All],[Total Claims Excluded because of Truncation]], AN_TME23[[#All],[Insurance Category Code]],3, AN_TME23[[#All],[Advanced Network/Insurance Carrier Org ID]],Q184),2), "TRUE", ROUND(S184-SUMIFS(AN_TME23[[#All],[Total Claims Excluded because of Truncation]], AN_TME23[[#All],[Insurance Category Code]],3, AN_TME23[[#All],[Advanced Network/Insurance Carrier Org ID]],Q184),2))</f>
        <v>TRUE</v>
      </c>
      <c r="Y184" s="281" t="str">
        <f>IF(T184=ROUND(SUMIFS(AN_TME23[[#All],[Count of Members with Claims Truncated]], AN_TME23[[#All],[Insurance Category Code]],3, AN_TME23[[#All],[Advanced Network/Insurance Carrier Org ID]],Q184),2), "TRUE", ROUND(T184-SUMIFS(AN_TME23[[#All],[Count of Members with Claims Truncated]], AN_TME23[[#All],[Insurance Category Code]],3, AN_TME23[[#All],[Advanced Network/Insurance Carrier Org ID]],Q184),2))</f>
        <v>TRUE</v>
      </c>
      <c r="Z184" s="282" t="str">
        <f>IF(U184=ROUND(SUMIFS(AN_TME23[[#All],[TOTAL Non-Truncated Unadjusted Claims Expenses]], AN_TME23[[#All],[Insurance Category Code]],3, AN_TME23[[#All],[Advanced Network/Insurance Carrier Org ID]],Q184),2), "TRUE", ROUND(U184-SUMIFS(AN_TME23[[#All],[TOTAL Non-Truncated Unadjusted Claims Expenses]], AN_TME23[[#All],[Insurance Category Code]],3, AN_TME23[[#All],[Advanced Network/Insurance Carrier Org ID]],Q184), 2))</f>
        <v>TRUE</v>
      </c>
      <c r="AA184" s="295" t="str">
        <f>IF(V184=ROUND(SUMIFS(AN_TME23[[#All],[TOTAL Truncated Unadjusted Claims Expenses (A21 -A19)]], AN_TME23[[#All],[Insurance Category Code]],3, AN_TME23[[#All],[Advanced Network/Insurance Carrier Org ID]],Q184),2), "TRUE", ROUND(V184-SUMIFS(AN_TME23[[#All],[TOTAL Truncated Unadjusted Claims Expenses (A21 -A19)]], AN_TME23[[#All],[Insurance Category Code]],3, AN_TME23[[#All],[Advanced Network/Insurance Carrier Org ID]],Q184), 2))</f>
        <v>TRUE</v>
      </c>
      <c r="AB184" s="461" t="str">
        <f t="shared" si="18"/>
        <v>TRUE</v>
      </c>
      <c r="AC184" s="282" t="b">
        <f>ROUND(SUMIFS(AN_TME23[[#All],[TOTAL Non-Truncated Unadjusted Claims Expenses]], AN_TME23[[#All],[Insurance Category Code]],3, AN_TME23[[#All],[Advanced Network/Insurance Carrier Org ID]],Q184),2)&gt;=ROUND(SUMIFS(AN_TME23[[#All],[TOTAL Truncated Unadjusted Claims Expenses (A21 -A19)]], AN_TME23[[#All],[Insurance Category Code]],3, AN_TME23[[#All],[Advanced Network/Insurance Carrier Org ID]],Q184), 2)</f>
        <v>1</v>
      </c>
      <c r="AD184" s="295" t="b">
        <f>ROUND(SUMIFS(AN_TME23[[#All],[TOTAL Truncated Unadjusted Claims Expenses (A21 -A19)]], AN_TME23[[#All],[Insurance Category Code]],3, AN_TME23[[#All],[Advanced Network/Insurance Carrier Org ID]],Q184)+SUMIFS(AN_TME23[[#All],[Total Claims Excluded because of Truncation]], AN_TME23[[#All],[Insurance Category Code]],3, AN_TME23[[#All],[Advanced Network/Insurance Carrier Org ID]],Q184),2)=ROUND(SUMIFS(AN_TME23[[#All],[TOTAL Non-Truncated Unadjusted Claims Expenses]], AN_TME23[[#All],[Insurance Category Code]],3, AN_TME23[[#All],[Advanced Network/Insurance Carrier Org ID]],Q184),2)</f>
        <v>1</v>
      </c>
      <c r="AF184" s="323" t="str">
        <f t="shared" si="17"/>
        <v>NA</v>
      </c>
    </row>
    <row r="185" spans="2:32" outlineLevel="1" x14ac:dyDescent="0.25">
      <c r="B185" s="236">
        <v>126</v>
      </c>
      <c r="C185" s="463">
        <f>ROUND(SUMIFS(Age_Sex22[[#All],[Total Member Months by Age/Sex Band]], Age_Sex22[[#All],[Advanced Network ID]], $B185, Age_Sex22[[#All],[Insurance Category Code]],3),2)</f>
        <v>0</v>
      </c>
      <c r="D185" s="268">
        <f>ROUND(SUMIFS(Age_Sex22[[#All],[Total Dollars Excluded from Spending After Applying Truncation at the Member Level]], Age_Sex22[[#All],[Advanced Network ID]], $B185, Age_Sex22[[#All],[Insurance Category Code]],3),2)</f>
        <v>0</v>
      </c>
      <c r="E185" s="229">
        <f>ROUND(SUMIFS(Age_Sex22[[#All],[Count of Members whose Spending was Truncated]], Age_Sex22[[#All],[Advanced Network ID]], $B185, Age_Sex22[[#All],[Insurance Category Code]],3),2)</f>
        <v>0</v>
      </c>
      <c r="F185" s="230">
        <f>ROUND(SUMIFS(Age_Sex22[[#All],[Total Spending before Truncation is Applied]], Age_Sex22[[#All],[Advanced Network ID]], $B185, Age_Sex22[[#All],[Insurance Category Code]],3),2)</f>
        <v>0</v>
      </c>
      <c r="G185" s="232">
        <f>ROUND(SUMIFS(Age_Sex22[[#All],[Total Spending After Applying Truncation at the Member Level]], Age_Sex22[[#All],[Advanced Network ID]], $B185, Age_Sex22[[#All],[Insurance Category Code]],3), 2)</f>
        <v>0</v>
      </c>
      <c r="H185" s="416" t="str">
        <f>IF(C185=ROUND(SUMIFS(AN_TME22[[#All],[Member Months]], AN_TME22[[#All],[Insurance Category Code]],3, AN_TME22[[#All],[Advanced Network/Insurance Carrier Org ID]],B185),2), "TRUE", ROUND(C185-SUMIFS(AN_TME22[[#All],[Member Months]], AN_TME22[[#All],[Insurance Category Code]],3, AN_TME22[[#All],[Advanced Network/Insurance Carrier Org ID]],B185),2))</f>
        <v>TRUE</v>
      </c>
      <c r="I185" s="280" t="str">
        <f>IF(D185=ROUND(SUMIFS(AN_TME22[[#All],[Total Claims Excluded because of Truncation]], AN_TME22[[#All],[Insurance Category Code]],3, AN_TME22[[#All],[Advanced Network/Insurance Carrier Org ID]],B185),2), "TRUE", ROUND(D185-SUMIFS(AN_TME22[[#All],[Total Claims Excluded because of Truncation]], AN_TME22[[#All],[Insurance Category Code]],3, AN_TME22[[#All],[Advanced Network/Insurance Carrier Org ID]],B185),2))</f>
        <v>TRUE</v>
      </c>
      <c r="J185" s="281" t="str">
        <f>IF(E185=ROUND(SUMIFS(AN_TME22[[#All],[Count of Members with Claims Truncated]], AN_TME22[[#All],[Insurance Category Code]],3, AN_TME22[[#All],[Advanced Network/Insurance Carrier Org ID]],B185),2), "TRUE", ROUND(E185-SUMIFS(AN_TME22[[#All],[Count of Members with Claims Truncated]], AN_TME22[[#All],[Insurance Category Code]],3, AN_TME22[[#All],[Advanced Network/Insurance Carrier Org ID]],B185),2))</f>
        <v>TRUE</v>
      </c>
      <c r="K185" s="282" t="str">
        <f>IF(F185=ROUND(SUMIFS(AN_TME22[[#All],[TOTAL Non-Truncated Unadjusted Claims Expenses]], AN_TME22[[#All],[Insurance Category Code]],3, AN_TME22[[#All],[Advanced Network/Insurance Carrier Org ID]],B185),2), "TRUE", ROUND(F185-SUMIFS(AN_TME22[[#All],[TOTAL Non-Truncated Unadjusted Claims Expenses]], AN_TME22[[#All],[Insurance Category Code]],3, AN_TME22[[#All],[Advanced Network/Insurance Carrier Org ID]],B185),2))</f>
        <v>TRUE</v>
      </c>
      <c r="L185" s="295" t="str">
        <f>IF(G185=ROUND(SUMIFS(AN_TME22[[#All],[TOTAL Truncated Unadjusted Claims Expenses (A21 -A19)]], AN_TME22[[#All],[Insurance Category Code]],3, AN_TME22[[#All],[Advanced Network/Insurance Carrier Org ID]],B185),2), "TRUE", ROUND(G185-SUMIFS(AN_TME22[[#All],[TOTAL Truncated Unadjusted Claims Expenses (A21 -A19)]], AN_TME22[[#All],[Insurance Category Code]],3, AN_TME22[[#All],[Advanced Network/Insurance Carrier Org ID]],B185),2))</f>
        <v>TRUE</v>
      </c>
      <c r="M185" s="461" t="str">
        <f t="shared" si="15"/>
        <v>TRUE</v>
      </c>
      <c r="N185" s="282" t="b">
        <f>ROUND(SUMIFS(AN_TME22[[#All],[TOTAL Non-Truncated Unadjusted Claims Expenses]], AN_TME22[[#All],[Insurance Category Code]],3, AN_TME22[[#All],[Advanced Network/Insurance Carrier Org ID]],B185),2)&gt;=ROUND(SUMIFS(AN_TME22[[#All],[TOTAL Truncated Unadjusted Claims Expenses (A21 -A19)]], AN_TME22[[#All],[Insurance Category Code]],3, AN_TME22[[#All],[Advanced Network/Insurance Carrier Org ID]],B185),2)</f>
        <v>1</v>
      </c>
      <c r="O185" s="295" t="b">
        <f>ROUND(SUMIFS(AN_TME22[[#All],[TOTAL Truncated Unadjusted Claims Expenses (A21 -A19)]], AN_TME22[[#All],[Insurance Category Code]],3, AN_TME22[[#All],[Advanced Network/Insurance Carrier Org ID]],B185)+SUMIFS(AN_TME22[[#All],[Total Claims Excluded because of Truncation]], AN_TME22[[#All],[Insurance Category Code]],3, AN_TME22[[#All],[Advanced Network/Insurance Carrier Org ID]],B185),2)=ROUND(SUMIFS(AN_TME22[[#All],[TOTAL Non-Truncated Unadjusted Claims Expenses]], AN_TME22[[#All],[Insurance Category Code]],3, AN_TME22[[#All],[Advanced Network/Insurance Carrier Org ID]],B185), 2)</f>
        <v>1</v>
      </c>
      <c r="Q185" s="236">
        <v>126</v>
      </c>
      <c r="R185" s="463">
        <f>ROUND(SUMIFS(Age_Sex23[[#All],[Total Member Months by Age/Sex Band]], Age_Sex23[[#All],[Advanced Network ID]], $Q185, Age_Sex23[[#All],[Insurance Category Code]],3), 2)</f>
        <v>0</v>
      </c>
      <c r="S185" s="268">
        <f>ROUND(SUMIFS(Age_Sex23[[#All],[Total Dollars Excluded from Spending After Applying Truncation at the Member Level]], Age_Sex23[[#All],[Advanced Network ID]], $B185, Age_Sex23[[#All],[Insurance Category Code]],3), 2)</f>
        <v>0</v>
      </c>
      <c r="T185" s="229">
        <f>ROUND(SUMIFS(Age_Sex23[[#All],[Count of Members whose Spending was Truncated]], Age_Sex23[[#All],[Advanced Network ID]], $B185, Age_Sex23[[#All],[Insurance Category Code]],3),2)</f>
        <v>0</v>
      </c>
      <c r="U185" s="230">
        <f>ROUND(SUMIFS(Age_Sex23[[#All],[Total Spending before Truncation is Applied]], Age_Sex23[[#All],[Advanced Network ID]], $B185, Age_Sex23[[#All],[Insurance Category Code]],3),2)</f>
        <v>0</v>
      </c>
      <c r="V185" s="232">
        <f>ROUND(SUMIFS(Age_Sex23[[#All],[Total Spending After Applying Truncation at the Member Level]], Age_Sex23[[#All],[Advanced Network ID]], $B185, Age_Sex23[[#All],[Insurance Category Code]],3),2)</f>
        <v>0</v>
      </c>
      <c r="W185" s="416" t="str">
        <f>IF(R185=ROUND(SUMIFS(AN_TME23[[#All],[Member Months]], AN_TME23[[#All],[Insurance Category Code]],3, AN_TME23[[#All],[Advanced Network/Insurance Carrier Org ID]],Q185),2), "TRUE", ROUND(R185-SUMIFS(AN_TME23[[#All],[Member Months]], AN_TME23[[#All],[Insurance Category Code]],3, AN_TME23[[#All],[Advanced Network/Insurance Carrier Org ID]],Q185),2))</f>
        <v>TRUE</v>
      </c>
      <c r="X185" s="280" t="str">
        <f>IF(S185=ROUND(SUMIFS(AN_TME23[[#All],[Total Claims Excluded because of Truncation]], AN_TME23[[#All],[Insurance Category Code]],3, AN_TME23[[#All],[Advanced Network/Insurance Carrier Org ID]],Q185),2), "TRUE", ROUND(S185-SUMIFS(AN_TME23[[#All],[Total Claims Excluded because of Truncation]], AN_TME23[[#All],[Insurance Category Code]],3, AN_TME23[[#All],[Advanced Network/Insurance Carrier Org ID]],Q185),2))</f>
        <v>TRUE</v>
      </c>
      <c r="Y185" s="281" t="str">
        <f>IF(T185=ROUND(SUMIFS(AN_TME23[[#All],[Count of Members with Claims Truncated]], AN_TME23[[#All],[Insurance Category Code]],3, AN_TME23[[#All],[Advanced Network/Insurance Carrier Org ID]],Q185),2), "TRUE", ROUND(T185-SUMIFS(AN_TME23[[#All],[Count of Members with Claims Truncated]], AN_TME23[[#All],[Insurance Category Code]],3, AN_TME23[[#All],[Advanced Network/Insurance Carrier Org ID]],Q185),2))</f>
        <v>TRUE</v>
      </c>
      <c r="Z185" s="282" t="str">
        <f>IF(U185=ROUND(SUMIFS(AN_TME23[[#All],[TOTAL Non-Truncated Unadjusted Claims Expenses]], AN_TME23[[#All],[Insurance Category Code]],3, AN_TME23[[#All],[Advanced Network/Insurance Carrier Org ID]],Q185),2), "TRUE", ROUND(U185-SUMIFS(AN_TME23[[#All],[TOTAL Non-Truncated Unadjusted Claims Expenses]], AN_TME23[[#All],[Insurance Category Code]],3, AN_TME23[[#All],[Advanced Network/Insurance Carrier Org ID]],Q185), 2))</f>
        <v>TRUE</v>
      </c>
      <c r="AA185" s="295" t="str">
        <f>IF(V185=ROUND(SUMIFS(AN_TME23[[#All],[TOTAL Truncated Unadjusted Claims Expenses (A21 -A19)]], AN_TME23[[#All],[Insurance Category Code]],3, AN_TME23[[#All],[Advanced Network/Insurance Carrier Org ID]],Q185),2), "TRUE", ROUND(V185-SUMIFS(AN_TME23[[#All],[TOTAL Truncated Unadjusted Claims Expenses (A21 -A19)]], AN_TME23[[#All],[Insurance Category Code]],3, AN_TME23[[#All],[Advanced Network/Insurance Carrier Org ID]],Q185), 2))</f>
        <v>TRUE</v>
      </c>
      <c r="AB185" s="461" t="str">
        <f t="shared" si="18"/>
        <v>TRUE</v>
      </c>
      <c r="AC185" s="282" t="b">
        <f>ROUND(SUMIFS(AN_TME23[[#All],[TOTAL Non-Truncated Unadjusted Claims Expenses]], AN_TME23[[#All],[Insurance Category Code]],3, AN_TME23[[#All],[Advanced Network/Insurance Carrier Org ID]],Q185),2)&gt;=ROUND(SUMIFS(AN_TME23[[#All],[TOTAL Truncated Unadjusted Claims Expenses (A21 -A19)]], AN_TME23[[#All],[Insurance Category Code]],3, AN_TME23[[#All],[Advanced Network/Insurance Carrier Org ID]],Q185), 2)</f>
        <v>1</v>
      </c>
      <c r="AD185" s="295" t="b">
        <f>ROUND(SUMIFS(AN_TME23[[#All],[TOTAL Truncated Unadjusted Claims Expenses (A21 -A19)]], AN_TME23[[#All],[Insurance Category Code]],3, AN_TME23[[#All],[Advanced Network/Insurance Carrier Org ID]],Q185)+SUMIFS(AN_TME23[[#All],[Total Claims Excluded because of Truncation]], AN_TME23[[#All],[Insurance Category Code]],3, AN_TME23[[#All],[Advanced Network/Insurance Carrier Org ID]],Q185),2)=ROUND(SUMIFS(AN_TME23[[#All],[TOTAL Non-Truncated Unadjusted Claims Expenses]], AN_TME23[[#All],[Insurance Category Code]],3, AN_TME23[[#All],[Advanced Network/Insurance Carrier Org ID]],Q185),2)</f>
        <v>1</v>
      </c>
      <c r="AF185" s="323" t="str">
        <f t="shared" si="17"/>
        <v>NA</v>
      </c>
    </row>
    <row r="186" spans="2:32" outlineLevel="1" x14ac:dyDescent="0.25">
      <c r="B186" s="236">
        <v>127</v>
      </c>
      <c r="C186" s="463">
        <f>ROUND(SUMIFS(Age_Sex22[[#All],[Total Member Months by Age/Sex Band]], Age_Sex22[[#All],[Advanced Network ID]], $B186, Age_Sex22[[#All],[Insurance Category Code]],3),2)</f>
        <v>0</v>
      </c>
      <c r="D186" s="268">
        <f>ROUND(SUMIFS(Age_Sex22[[#All],[Total Dollars Excluded from Spending After Applying Truncation at the Member Level]], Age_Sex22[[#All],[Advanced Network ID]], $B186, Age_Sex22[[#All],[Insurance Category Code]],3),2)</f>
        <v>0</v>
      </c>
      <c r="E186" s="229">
        <f>ROUND(SUMIFS(Age_Sex22[[#All],[Count of Members whose Spending was Truncated]], Age_Sex22[[#All],[Advanced Network ID]], $B186, Age_Sex22[[#All],[Insurance Category Code]],3),2)</f>
        <v>0</v>
      </c>
      <c r="F186" s="230">
        <f>ROUND(SUMIFS(Age_Sex22[[#All],[Total Spending before Truncation is Applied]], Age_Sex22[[#All],[Advanced Network ID]], $B186, Age_Sex22[[#All],[Insurance Category Code]],3),2)</f>
        <v>0</v>
      </c>
      <c r="G186" s="232">
        <f>ROUND(SUMIFS(Age_Sex22[[#All],[Total Spending After Applying Truncation at the Member Level]], Age_Sex22[[#All],[Advanced Network ID]], $B186, Age_Sex22[[#All],[Insurance Category Code]],3), 2)</f>
        <v>0</v>
      </c>
      <c r="H186" s="416" t="str">
        <f>IF(C186=ROUND(SUMIFS(AN_TME22[[#All],[Member Months]], AN_TME22[[#All],[Insurance Category Code]],3, AN_TME22[[#All],[Advanced Network/Insurance Carrier Org ID]],B186),2), "TRUE", ROUND(C186-SUMIFS(AN_TME22[[#All],[Member Months]], AN_TME22[[#All],[Insurance Category Code]],3, AN_TME22[[#All],[Advanced Network/Insurance Carrier Org ID]],B186),2))</f>
        <v>TRUE</v>
      </c>
      <c r="I186" s="280" t="str">
        <f>IF(D186=ROUND(SUMIFS(AN_TME22[[#All],[Total Claims Excluded because of Truncation]], AN_TME22[[#All],[Insurance Category Code]],3, AN_TME22[[#All],[Advanced Network/Insurance Carrier Org ID]],B186),2), "TRUE", ROUND(D186-SUMIFS(AN_TME22[[#All],[Total Claims Excluded because of Truncation]], AN_TME22[[#All],[Insurance Category Code]],3, AN_TME22[[#All],[Advanced Network/Insurance Carrier Org ID]],B186),2))</f>
        <v>TRUE</v>
      </c>
      <c r="J186" s="281" t="str">
        <f>IF(E186=ROUND(SUMIFS(AN_TME22[[#All],[Count of Members with Claims Truncated]], AN_TME22[[#All],[Insurance Category Code]],3, AN_TME22[[#All],[Advanced Network/Insurance Carrier Org ID]],B186),2), "TRUE", ROUND(E186-SUMIFS(AN_TME22[[#All],[Count of Members with Claims Truncated]], AN_TME22[[#All],[Insurance Category Code]],3, AN_TME22[[#All],[Advanced Network/Insurance Carrier Org ID]],B186),2))</f>
        <v>TRUE</v>
      </c>
      <c r="K186" s="282" t="str">
        <f>IF(F186=ROUND(SUMIFS(AN_TME22[[#All],[TOTAL Non-Truncated Unadjusted Claims Expenses]], AN_TME22[[#All],[Insurance Category Code]],3, AN_TME22[[#All],[Advanced Network/Insurance Carrier Org ID]],B186),2), "TRUE", ROUND(F186-SUMIFS(AN_TME22[[#All],[TOTAL Non-Truncated Unadjusted Claims Expenses]], AN_TME22[[#All],[Insurance Category Code]],3, AN_TME22[[#All],[Advanced Network/Insurance Carrier Org ID]],B186),2))</f>
        <v>TRUE</v>
      </c>
      <c r="L186" s="295" t="str">
        <f>IF(G186=ROUND(SUMIFS(AN_TME22[[#All],[TOTAL Truncated Unadjusted Claims Expenses (A21 -A19)]], AN_TME22[[#All],[Insurance Category Code]],3, AN_TME22[[#All],[Advanced Network/Insurance Carrier Org ID]],B186),2), "TRUE", ROUND(G186-SUMIFS(AN_TME22[[#All],[TOTAL Truncated Unadjusted Claims Expenses (A21 -A19)]], AN_TME22[[#All],[Insurance Category Code]],3, AN_TME22[[#All],[Advanced Network/Insurance Carrier Org ID]],B186),2))</f>
        <v>TRUE</v>
      </c>
      <c r="M186" s="461" t="str">
        <f t="shared" si="15"/>
        <v>TRUE</v>
      </c>
      <c r="N186" s="282" t="b">
        <f>ROUND(SUMIFS(AN_TME22[[#All],[TOTAL Non-Truncated Unadjusted Claims Expenses]], AN_TME22[[#All],[Insurance Category Code]],3, AN_TME22[[#All],[Advanced Network/Insurance Carrier Org ID]],B186),2)&gt;=ROUND(SUMIFS(AN_TME22[[#All],[TOTAL Truncated Unadjusted Claims Expenses (A21 -A19)]], AN_TME22[[#All],[Insurance Category Code]],3, AN_TME22[[#All],[Advanced Network/Insurance Carrier Org ID]],B186),2)</f>
        <v>1</v>
      </c>
      <c r="O186" s="295" t="b">
        <f>ROUND(SUMIFS(AN_TME22[[#All],[TOTAL Truncated Unadjusted Claims Expenses (A21 -A19)]], AN_TME22[[#All],[Insurance Category Code]],3, AN_TME22[[#All],[Advanced Network/Insurance Carrier Org ID]],B186)+SUMIFS(AN_TME22[[#All],[Total Claims Excluded because of Truncation]], AN_TME22[[#All],[Insurance Category Code]],3, AN_TME22[[#All],[Advanced Network/Insurance Carrier Org ID]],B186),2)=ROUND(SUMIFS(AN_TME22[[#All],[TOTAL Non-Truncated Unadjusted Claims Expenses]], AN_TME22[[#All],[Insurance Category Code]],3, AN_TME22[[#All],[Advanced Network/Insurance Carrier Org ID]],B186), 2)</f>
        <v>1</v>
      </c>
      <c r="Q186" s="236">
        <v>127</v>
      </c>
      <c r="R186" s="463">
        <f>ROUND(SUMIFS(Age_Sex23[[#All],[Total Member Months by Age/Sex Band]], Age_Sex23[[#All],[Advanced Network ID]], $Q186, Age_Sex23[[#All],[Insurance Category Code]],3), 2)</f>
        <v>0</v>
      </c>
      <c r="S186" s="268">
        <f>ROUND(SUMIFS(Age_Sex23[[#All],[Total Dollars Excluded from Spending After Applying Truncation at the Member Level]], Age_Sex23[[#All],[Advanced Network ID]], $B186, Age_Sex23[[#All],[Insurance Category Code]],3), 2)</f>
        <v>0</v>
      </c>
      <c r="T186" s="229">
        <f>ROUND(SUMIFS(Age_Sex23[[#All],[Count of Members whose Spending was Truncated]], Age_Sex23[[#All],[Advanced Network ID]], $B186, Age_Sex23[[#All],[Insurance Category Code]],3),2)</f>
        <v>0</v>
      </c>
      <c r="U186" s="230">
        <f>ROUND(SUMIFS(Age_Sex23[[#All],[Total Spending before Truncation is Applied]], Age_Sex23[[#All],[Advanced Network ID]], $B186, Age_Sex23[[#All],[Insurance Category Code]],3),2)</f>
        <v>0</v>
      </c>
      <c r="V186" s="232">
        <f>ROUND(SUMIFS(Age_Sex23[[#All],[Total Spending After Applying Truncation at the Member Level]], Age_Sex23[[#All],[Advanced Network ID]], $B186, Age_Sex23[[#All],[Insurance Category Code]],3),2)</f>
        <v>0</v>
      </c>
      <c r="W186" s="416" t="str">
        <f>IF(R186=ROUND(SUMIFS(AN_TME23[[#All],[Member Months]], AN_TME23[[#All],[Insurance Category Code]],3, AN_TME23[[#All],[Advanced Network/Insurance Carrier Org ID]],Q186),2), "TRUE", ROUND(R186-SUMIFS(AN_TME23[[#All],[Member Months]], AN_TME23[[#All],[Insurance Category Code]],3, AN_TME23[[#All],[Advanced Network/Insurance Carrier Org ID]],Q186),2))</f>
        <v>TRUE</v>
      </c>
      <c r="X186" s="280" t="str">
        <f>IF(S186=ROUND(SUMIFS(AN_TME23[[#All],[Total Claims Excluded because of Truncation]], AN_TME23[[#All],[Insurance Category Code]],3, AN_TME23[[#All],[Advanced Network/Insurance Carrier Org ID]],Q186),2), "TRUE", ROUND(S186-SUMIFS(AN_TME23[[#All],[Total Claims Excluded because of Truncation]], AN_TME23[[#All],[Insurance Category Code]],3, AN_TME23[[#All],[Advanced Network/Insurance Carrier Org ID]],Q186),2))</f>
        <v>TRUE</v>
      </c>
      <c r="Y186" s="281" t="str">
        <f>IF(T186=ROUND(SUMIFS(AN_TME23[[#All],[Count of Members with Claims Truncated]], AN_TME23[[#All],[Insurance Category Code]],3, AN_TME23[[#All],[Advanced Network/Insurance Carrier Org ID]],Q186),2), "TRUE", ROUND(T186-SUMIFS(AN_TME23[[#All],[Count of Members with Claims Truncated]], AN_TME23[[#All],[Insurance Category Code]],3, AN_TME23[[#All],[Advanced Network/Insurance Carrier Org ID]],Q186),2))</f>
        <v>TRUE</v>
      </c>
      <c r="Z186" s="282" t="str">
        <f>IF(U186=ROUND(SUMIFS(AN_TME23[[#All],[TOTAL Non-Truncated Unadjusted Claims Expenses]], AN_TME23[[#All],[Insurance Category Code]],3, AN_TME23[[#All],[Advanced Network/Insurance Carrier Org ID]],Q186),2), "TRUE", ROUND(U186-SUMIFS(AN_TME23[[#All],[TOTAL Non-Truncated Unadjusted Claims Expenses]], AN_TME23[[#All],[Insurance Category Code]],3, AN_TME23[[#All],[Advanced Network/Insurance Carrier Org ID]],Q186), 2))</f>
        <v>TRUE</v>
      </c>
      <c r="AA186" s="295" t="str">
        <f>IF(V186=ROUND(SUMIFS(AN_TME23[[#All],[TOTAL Truncated Unadjusted Claims Expenses (A21 -A19)]], AN_TME23[[#All],[Insurance Category Code]],3, AN_TME23[[#All],[Advanced Network/Insurance Carrier Org ID]],Q186),2), "TRUE", ROUND(V186-SUMIFS(AN_TME23[[#All],[TOTAL Truncated Unadjusted Claims Expenses (A21 -A19)]], AN_TME23[[#All],[Insurance Category Code]],3, AN_TME23[[#All],[Advanced Network/Insurance Carrier Org ID]],Q186), 2))</f>
        <v>TRUE</v>
      </c>
      <c r="AB186" s="461" t="str">
        <f t="shared" si="18"/>
        <v>TRUE</v>
      </c>
      <c r="AC186" s="282" t="b">
        <f>ROUND(SUMIFS(AN_TME23[[#All],[TOTAL Non-Truncated Unadjusted Claims Expenses]], AN_TME23[[#All],[Insurance Category Code]],3, AN_TME23[[#All],[Advanced Network/Insurance Carrier Org ID]],Q186),2)&gt;=ROUND(SUMIFS(AN_TME23[[#All],[TOTAL Truncated Unadjusted Claims Expenses (A21 -A19)]], AN_TME23[[#All],[Insurance Category Code]],3, AN_TME23[[#All],[Advanced Network/Insurance Carrier Org ID]],Q186), 2)</f>
        <v>1</v>
      </c>
      <c r="AD186" s="295" t="b">
        <f>ROUND(SUMIFS(AN_TME23[[#All],[TOTAL Truncated Unadjusted Claims Expenses (A21 -A19)]], AN_TME23[[#All],[Insurance Category Code]],3, AN_TME23[[#All],[Advanced Network/Insurance Carrier Org ID]],Q186)+SUMIFS(AN_TME23[[#All],[Total Claims Excluded because of Truncation]], AN_TME23[[#All],[Insurance Category Code]],3, AN_TME23[[#All],[Advanced Network/Insurance Carrier Org ID]],Q186),2)=ROUND(SUMIFS(AN_TME23[[#All],[TOTAL Non-Truncated Unadjusted Claims Expenses]], AN_TME23[[#All],[Insurance Category Code]],3, AN_TME23[[#All],[Advanced Network/Insurance Carrier Org ID]],Q186),2)</f>
        <v>1</v>
      </c>
      <c r="AF186" s="323" t="str">
        <f t="shared" si="17"/>
        <v>NA</v>
      </c>
    </row>
    <row r="187" spans="2:32" outlineLevel="1" x14ac:dyDescent="0.25">
      <c r="B187" s="236">
        <v>128</v>
      </c>
      <c r="C187" s="463">
        <f>ROUND(SUMIFS(Age_Sex22[[#All],[Total Member Months by Age/Sex Band]], Age_Sex22[[#All],[Advanced Network ID]], $B187, Age_Sex22[[#All],[Insurance Category Code]],3),2)</f>
        <v>0</v>
      </c>
      <c r="D187" s="268">
        <f>ROUND(SUMIFS(Age_Sex22[[#All],[Total Dollars Excluded from Spending After Applying Truncation at the Member Level]], Age_Sex22[[#All],[Advanced Network ID]], $B187, Age_Sex22[[#All],[Insurance Category Code]],3),2)</f>
        <v>0</v>
      </c>
      <c r="E187" s="229">
        <f>ROUND(SUMIFS(Age_Sex22[[#All],[Count of Members whose Spending was Truncated]], Age_Sex22[[#All],[Advanced Network ID]], $B187, Age_Sex22[[#All],[Insurance Category Code]],3),2)</f>
        <v>0</v>
      </c>
      <c r="F187" s="230">
        <f>ROUND(SUMIFS(Age_Sex22[[#All],[Total Spending before Truncation is Applied]], Age_Sex22[[#All],[Advanced Network ID]], $B187, Age_Sex22[[#All],[Insurance Category Code]],3),2)</f>
        <v>0</v>
      </c>
      <c r="G187" s="232">
        <f>ROUND(SUMIFS(Age_Sex22[[#All],[Total Spending After Applying Truncation at the Member Level]], Age_Sex22[[#All],[Advanced Network ID]], $B187, Age_Sex22[[#All],[Insurance Category Code]],3), 2)</f>
        <v>0</v>
      </c>
      <c r="H187" s="416" t="str">
        <f>IF(C187=ROUND(SUMIFS(AN_TME22[[#All],[Member Months]], AN_TME22[[#All],[Insurance Category Code]],3, AN_TME22[[#All],[Advanced Network/Insurance Carrier Org ID]],B187),2), "TRUE", ROUND(C187-SUMIFS(AN_TME22[[#All],[Member Months]], AN_TME22[[#All],[Insurance Category Code]],3, AN_TME22[[#All],[Advanced Network/Insurance Carrier Org ID]],B187),2))</f>
        <v>TRUE</v>
      </c>
      <c r="I187" s="280" t="str">
        <f>IF(D187=ROUND(SUMIFS(AN_TME22[[#All],[Total Claims Excluded because of Truncation]], AN_TME22[[#All],[Insurance Category Code]],3, AN_TME22[[#All],[Advanced Network/Insurance Carrier Org ID]],B187),2), "TRUE", ROUND(D187-SUMIFS(AN_TME22[[#All],[Total Claims Excluded because of Truncation]], AN_TME22[[#All],[Insurance Category Code]],3, AN_TME22[[#All],[Advanced Network/Insurance Carrier Org ID]],B187),2))</f>
        <v>TRUE</v>
      </c>
      <c r="J187" s="281" t="str">
        <f>IF(E187=ROUND(SUMIFS(AN_TME22[[#All],[Count of Members with Claims Truncated]], AN_TME22[[#All],[Insurance Category Code]],3, AN_TME22[[#All],[Advanced Network/Insurance Carrier Org ID]],B187),2), "TRUE", ROUND(E187-SUMIFS(AN_TME22[[#All],[Count of Members with Claims Truncated]], AN_TME22[[#All],[Insurance Category Code]],3, AN_TME22[[#All],[Advanced Network/Insurance Carrier Org ID]],B187),2))</f>
        <v>TRUE</v>
      </c>
      <c r="K187" s="282" t="str">
        <f>IF(F187=ROUND(SUMIFS(AN_TME22[[#All],[TOTAL Non-Truncated Unadjusted Claims Expenses]], AN_TME22[[#All],[Insurance Category Code]],3, AN_TME22[[#All],[Advanced Network/Insurance Carrier Org ID]],B187),2), "TRUE", ROUND(F187-SUMIFS(AN_TME22[[#All],[TOTAL Non-Truncated Unadjusted Claims Expenses]], AN_TME22[[#All],[Insurance Category Code]],3, AN_TME22[[#All],[Advanced Network/Insurance Carrier Org ID]],B187),2))</f>
        <v>TRUE</v>
      </c>
      <c r="L187" s="295" t="str">
        <f>IF(G187=ROUND(SUMIFS(AN_TME22[[#All],[TOTAL Truncated Unadjusted Claims Expenses (A21 -A19)]], AN_TME22[[#All],[Insurance Category Code]],3, AN_TME22[[#All],[Advanced Network/Insurance Carrier Org ID]],B187),2), "TRUE", ROUND(G187-SUMIFS(AN_TME22[[#All],[TOTAL Truncated Unadjusted Claims Expenses (A21 -A19)]], AN_TME22[[#All],[Insurance Category Code]],3, AN_TME22[[#All],[Advanced Network/Insurance Carrier Org ID]],B187),2))</f>
        <v>TRUE</v>
      </c>
      <c r="M187" s="461" t="str">
        <f t="shared" si="15"/>
        <v>TRUE</v>
      </c>
      <c r="N187" s="282" t="b">
        <f>ROUND(SUMIFS(AN_TME22[[#All],[TOTAL Non-Truncated Unadjusted Claims Expenses]], AN_TME22[[#All],[Insurance Category Code]],3, AN_TME22[[#All],[Advanced Network/Insurance Carrier Org ID]],B187),2)&gt;=ROUND(SUMIFS(AN_TME22[[#All],[TOTAL Truncated Unadjusted Claims Expenses (A21 -A19)]], AN_TME22[[#All],[Insurance Category Code]],3, AN_TME22[[#All],[Advanced Network/Insurance Carrier Org ID]],B187),2)</f>
        <v>1</v>
      </c>
      <c r="O187" s="295" t="b">
        <f>ROUND(SUMIFS(AN_TME22[[#All],[TOTAL Truncated Unadjusted Claims Expenses (A21 -A19)]], AN_TME22[[#All],[Insurance Category Code]],3, AN_TME22[[#All],[Advanced Network/Insurance Carrier Org ID]],B187)+SUMIFS(AN_TME22[[#All],[Total Claims Excluded because of Truncation]], AN_TME22[[#All],[Insurance Category Code]],3, AN_TME22[[#All],[Advanced Network/Insurance Carrier Org ID]],B187),2)=ROUND(SUMIFS(AN_TME22[[#All],[TOTAL Non-Truncated Unadjusted Claims Expenses]], AN_TME22[[#All],[Insurance Category Code]],3, AN_TME22[[#All],[Advanced Network/Insurance Carrier Org ID]],B187), 2)</f>
        <v>1</v>
      </c>
      <c r="Q187" s="236">
        <v>128</v>
      </c>
      <c r="R187" s="463">
        <f>ROUND(SUMIFS(Age_Sex23[[#All],[Total Member Months by Age/Sex Band]], Age_Sex23[[#All],[Advanced Network ID]], $Q187, Age_Sex23[[#All],[Insurance Category Code]],3), 2)</f>
        <v>0</v>
      </c>
      <c r="S187" s="268">
        <f>ROUND(SUMIFS(Age_Sex23[[#All],[Total Dollars Excluded from Spending After Applying Truncation at the Member Level]], Age_Sex23[[#All],[Advanced Network ID]], $B187, Age_Sex23[[#All],[Insurance Category Code]],3), 2)</f>
        <v>0</v>
      </c>
      <c r="T187" s="229">
        <f>ROUND(SUMIFS(Age_Sex23[[#All],[Count of Members whose Spending was Truncated]], Age_Sex23[[#All],[Advanced Network ID]], $B187, Age_Sex23[[#All],[Insurance Category Code]],3),2)</f>
        <v>0</v>
      </c>
      <c r="U187" s="230">
        <f>ROUND(SUMIFS(Age_Sex23[[#All],[Total Spending before Truncation is Applied]], Age_Sex23[[#All],[Advanced Network ID]], $B187, Age_Sex23[[#All],[Insurance Category Code]],3),2)</f>
        <v>0</v>
      </c>
      <c r="V187" s="232">
        <f>ROUND(SUMIFS(Age_Sex23[[#All],[Total Spending After Applying Truncation at the Member Level]], Age_Sex23[[#All],[Advanced Network ID]], $B187, Age_Sex23[[#All],[Insurance Category Code]],3),2)</f>
        <v>0</v>
      </c>
      <c r="W187" s="416" t="str">
        <f>IF(R187=ROUND(SUMIFS(AN_TME23[[#All],[Member Months]], AN_TME23[[#All],[Insurance Category Code]],3, AN_TME23[[#All],[Advanced Network/Insurance Carrier Org ID]],Q187),2), "TRUE", ROUND(R187-SUMIFS(AN_TME23[[#All],[Member Months]], AN_TME23[[#All],[Insurance Category Code]],3, AN_TME23[[#All],[Advanced Network/Insurance Carrier Org ID]],Q187),2))</f>
        <v>TRUE</v>
      </c>
      <c r="X187" s="280" t="str">
        <f>IF(S187=ROUND(SUMIFS(AN_TME23[[#All],[Total Claims Excluded because of Truncation]], AN_TME23[[#All],[Insurance Category Code]],3, AN_TME23[[#All],[Advanced Network/Insurance Carrier Org ID]],Q187),2), "TRUE", ROUND(S187-SUMIFS(AN_TME23[[#All],[Total Claims Excluded because of Truncation]], AN_TME23[[#All],[Insurance Category Code]],3, AN_TME23[[#All],[Advanced Network/Insurance Carrier Org ID]],Q187),2))</f>
        <v>TRUE</v>
      </c>
      <c r="Y187" s="281" t="str">
        <f>IF(T187=ROUND(SUMIFS(AN_TME23[[#All],[Count of Members with Claims Truncated]], AN_TME23[[#All],[Insurance Category Code]],3, AN_TME23[[#All],[Advanced Network/Insurance Carrier Org ID]],Q187),2), "TRUE", ROUND(T187-SUMIFS(AN_TME23[[#All],[Count of Members with Claims Truncated]], AN_TME23[[#All],[Insurance Category Code]],3, AN_TME23[[#All],[Advanced Network/Insurance Carrier Org ID]],Q187),2))</f>
        <v>TRUE</v>
      </c>
      <c r="Z187" s="282" t="str">
        <f>IF(U187=ROUND(SUMIFS(AN_TME23[[#All],[TOTAL Non-Truncated Unadjusted Claims Expenses]], AN_TME23[[#All],[Insurance Category Code]],3, AN_TME23[[#All],[Advanced Network/Insurance Carrier Org ID]],Q187),2), "TRUE", ROUND(U187-SUMIFS(AN_TME23[[#All],[TOTAL Non-Truncated Unadjusted Claims Expenses]], AN_TME23[[#All],[Insurance Category Code]],3, AN_TME23[[#All],[Advanced Network/Insurance Carrier Org ID]],Q187), 2))</f>
        <v>TRUE</v>
      </c>
      <c r="AA187" s="295" t="str">
        <f>IF(V187=ROUND(SUMIFS(AN_TME23[[#All],[TOTAL Truncated Unadjusted Claims Expenses (A21 -A19)]], AN_TME23[[#All],[Insurance Category Code]],3, AN_TME23[[#All],[Advanced Network/Insurance Carrier Org ID]],Q187),2), "TRUE", ROUND(V187-SUMIFS(AN_TME23[[#All],[TOTAL Truncated Unadjusted Claims Expenses (A21 -A19)]], AN_TME23[[#All],[Insurance Category Code]],3, AN_TME23[[#All],[Advanced Network/Insurance Carrier Org ID]],Q187), 2))</f>
        <v>TRUE</v>
      </c>
      <c r="AB187" s="461" t="str">
        <f t="shared" si="18"/>
        <v>TRUE</v>
      </c>
      <c r="AC187" s="282" t="b">
        <f>ROUND(SUMIFS(AN_TME23[[#All],[TOTAL Non-Truncated Unadjusted Claims Expenses]], AN_TME23[[#All],[Insurance Category Code]],3, AN_TME23[[#All],[Advanced Network/Insurance Carrier Org ID]],Q187),2)&gt;=ROUND(SUMIFS(AN_TME23[[#All],[TOTAL Truncated Unadjusted Claims Expenses (A21 -A19)]], AN_TME23[[#All],[Insurance Category Code]],3, AN_TME23[[#All],[Advanced Network/Insurance Carrier Org ID]],Q187), 2)</f>
        <v>1</v>
      </c>
      <c r="AD187" s="295" t="b">
        <f>ROUND(SUMIFS(AN_TME23[[#All],[TOTAL Truncated Unadjusted Claims Expenses (A21 -A19)]], AN_TME23[[#All],[Insurance Category Code]],3, AN_TME23[[#All],[Advanced Network/Insurance Carrier Org ID]],Q187)+SUMIFS(AN_TME23[[#All],[Total Claims Excluded because of Truncation]], AN_TME23[[#All],[Insurance Category Code]],3, AN_TME23[[#All],[Advanced Network/Insurance Carrier Org ID]],Q187),2)=ROUND(SUMIFS(AN_TME23[[#All],[TOTAL Non-Truncated Unadjusted Claims Expenses]], AN_TME23[[#All],[Insurance Category Code]],3, AN_TME23[[#All],[Advanced Network/Insurance Carrier Org ID]],Q187),2)</f>
        <v>1</v>
      </c>
      <c r="AF187" s="323" t="str">
        <f t="shared" si="17"/>
        <v>NA</v>
      </c>
    </row>
    <row r="188" spans="2:32" outlineLevel="1" x14ac:dyDescent="0.25">
      <c r="B188" s="236">
        <v>129</v>
      </c>
      <c r="C188" s="463">
        <f>ROUND(SUMIFS(Age_Sex22[[#All],[Total Member Months by Age/Sex Band]], Age_Sex22[[#All],[Advanced Network ID]], $B188, Age_Sex22[[#All],[Insurance Category Code]],3),2)</f>
        <v>0</v>
      </c>
      <c r="D188" s="268">
        <f>ROUND(SUMIFS(Age_Sex22[[#All],[Total Dollars Excluded from Spending After Applying Truncation at the Member Level]], Age_Sex22[[#All],[Advanced Network ID]], $B188, Age_Sex22[[#All],[Insurance Category Code]],3),2)</f>
        <v>0</v>
      </c>
      <c r="E188" s="229">
        <f>ROUND(SUMIFS(Age_Sex22[[#All],[Count of Members whose Spending was Truncated]], Age_Sex22[[#All],[Advanced Network ID]], $B188, Age_Sex22[[#All],[Insurance Category Code]],3),2)</f>
        <v>0</v>
      </c>
      <c r="F188" s="230">
        <f>ROUND(SUMIFS(Age_Sex22[[#All],[Total Spending before Truncation is Applied]], Age_Sex22[[#All],[Advanced Network ID]], $B188, Age_Sex22[[#All],[Insurance Category Code]],3),2)</f>
        <v>0</v>
      </c>
      <c r="G188" s="232">
        <f>ROUND(SUMIFS(Age_Sex22[[#All],[Total Spending After Applying Truncation at the Member Level]], Age_Sex22[[#All],[Advanced Network ID]], $B188, Age_Sex22[[#All],[Insurance Category Code]],3), 2)</f>
        <v>0</v>
      </c>
      <c r="H188" s="416" t="str">
        <f>IF(C188=ROUND(SUMIFS(AN_TME22[[#All],[Member Months]], AN_TME22[[#All],[Insurance Category Code]],3, AN_TME22[[#All],[Advanced Network/Insurance Carrier Org ID]],B188),2), "TRUE", ROUND(C188-SUMIFS(AN_TME22[[#All],[Member Months]], AN_TME22[[#All],[Insurance Category Code]],3, AN_TME22[[#All],[Advanced Network/Insurance Carrier Org ID]],B188),2))</f>
        <v>TRUE</v>
      </c>
      <c r="I188" s="280" t="str">
        <f>IF(D188=ROUND(SUMIFS(AN_TME22[[#All],[Total Claims Excluded because of Truncation]], AN_TME22[[#All],[Insurance Category Code]],3, AN_TME22[[#All],[Advanced Network/Insurance Carrier Org ID]],B188),2), "TRUE", ROUND(D188-SUMIFS(AN_TME22[[#All],[Total Claims Excluded because of Truncation]], AN_TME22[[#All],[Insurance Category Code]],3, AN_TME22[[#All],[Advanced Network/Insurance Carrier Org ID]],B188),2))</f>
        <v>TRUE</v>
      </c>
      <c r="J188" s="281" t="str">
        <f>IF(E188=ROUND(SUMIFS(AN_TME22[[#All],[Count of Members with Claims Truncated]], AN_TME22[[#All],[Insurance Category Code]],3, AN_TME22[[#All],[Advanced Network/Insurance Carrier Org ID]],B188),2), "TRUE", ROUND(E188-SUMIFS(AN_TME22[[#All],[Count of Members with Claims Truncated]], AN_TME22[[#All],[Insurance Category Code]],3, AN_TME22[[#All],[Advanced Network/Insurance Carrier Org ID]],B188),2))</f>
        <v>TRUE</v>
      </c>
      <c r="K188" s="282" t="str">
        <f>IF(F188=ROUND(SUMIFS(AN_TME22[[#All],[TOTAL Non-Truncated Unadjusted Claims Expenses]], AN_TME22[[#All],[Insurance Category Code]],3, AN_TME22[[#All],[Advanced Network/Insurance Carrier Org ID]],B188),2), "TRUE", ROUND(F188-SUMIFS(AN_TME22[[#All],[TOTAL Non-Truncated Unadjusted Claims Expenses]], AN_TME22[[#All],[Insurance Category Code]],3, AN_TME22[[#All],[Advanced Network/Insurance Carrier Org ID]],B188),2))</f>
        <v>TRUE</v>
      </c>
      <c r="L188" s="295" t="str">
        <f>IF(G188=ROUND(SUMIFS(AN_TME22[[#All],[TOTAL Truncated Unadjusted Claims Expenses (A21 -A19)]], AN_TME22[[#All],[Insurance Category Code]],3, AN_TME22[[#All],[Advanced Network/Insurance Carrier Org ID]],B188),2), "TRUE", ROUND(G188-SUMIFS(AN_TME22[[#All],[TOTAL Truncated Unadjusted Claims Expenses (A21 -A19)]], AN_TME22[[#All],[Insurance Category Code]],3, AN_TME22[[#All],[Advanced Network/Insurance Carrier Org ID]],B188),2))</f>
        <v>TRUE</v>
      </c>
      <c r="M188" s="461" t="str">
        <f t="shared" si="15"/>
        <v>TRUE</v>
      </c>
      <c r="N188" s="282" t="b">
        <f>ROUND(SUMIFS(AN_TME22[[#All],[TOTAL Non-Truncated Unadjusted Claims Expenses]], AN_TME22[[#All],[Insurance Category Code]],3, AN_TME22[[#All],[Advanced Network/Insurance Carrier Org ID]],B188),2)&gt;=ROUND(SUMIFS(AN_TME22[[#All],[TOTAL Truncated Unadjusted Claims Expenses (A21 -A19)]], AN_TME22[[#All],[Insurance Category Code]],3, AN_TME22[[#All],[Advanced Network/Insurance Carrier Org ID]],B188),2)</f>
        <v>1</v>
      </c>
      <c r="O188" s="295" t="b">
        <f>ROUND(SUMIFS(AN_TME22[[#All],[TOTAL Truncated Unadjusted Claims Expenses (A21 -A19)]], AN_TME22[[#All],[Insurance Category Code]],3, AN_TME22[[#All],[Advanced Network/Insurance Carrier Org ID]],B188)+SUMIFS(AN_TME22[[#All],[Total Claims Excluded because of Truncation]], AN_TME22[[#All],[Insurance Category Code]],3, AN_TME22[[#All],[Advanced Network/Insurance Carrier Org ID]],B188),2)=ROUND(SUMIFS(AN_TME22[[#All],[TOTAL Non-Truncated Unadjusted Claims Expenses]], AN_TME22[[#All],[Insurance Category Code]],3, AN_TME22[[#All],[Advanced Network/Insurance Carrier Org ID]],B188), 2)</f>
        <v>1</v>
      </c>
      <c r="Q188" s="236">
        <v>129</v>
      </c>
      <c r="R188" s="463">
        <f>ROUND(SUMIFS(Age_Sex23[[#All],[Total Member Months by Age/Sex Band]], Age_Sex23[[#All],[Advanced Network ID]], $Q188, Age_Sex23[[#All],[Insurance Category Code]],3), 2)</f>
        <v>0</v>
      </c>
      <c r="S188" s="268">
        <f>ROUND(SUMIFS(Age_Sex23[[#All],[Total Dollars Excluded from Spending After Applying Truncation at the Member Level]], Age_Sex23[[#All],[Advanced Network ID]], $B188, Age_Sex23[[#All],[Insurance Category Code]],3), 2)</f>
        <v>0</v>
      </c>
      <c r="T188" s="229">
        <f>ROUND(SUMIFS(Age_Sex23[[#All],[Count of Members whose Spending was Truncated]], Age_Sex23[[#All],[Advanced Network ID]], $B188, Age_Sex23[[#All],[Insurance Category Code]],3),2)</f>
        <v>0</v>
      </c>
      <c r="U188" s="230">
        <f>ROUND(SUMIFS(Age_Sex23[[#All],[Total Spending before Truncation is Applied]], Age_Sex23[[#All],[Advanced Network ID]], $B188, Age_Sex23[[#All],[Insurance Category Code]],3),2)</f>
        <v>0</v>
      </c>
      <c r="V188" s="232">
        <f>ROUND(SUMIFS(Age_Sex23[[#All],[Total Spending After Applying Truncation at the Member Level]], Age_Sex23[[#All],[Advanced Network ID]], $B188, Age_Sex23[[#All],[Insurance Category Code]],3),2)</f>
        <v>0</v>
      </c>
      <c r="W188" s="416" t="str">
        <f>IF(R188=ROUND(SUMIFS(AN_TME23[[#All],[Member Months]], AN_TME23[[#All],[Insurance Category Code]],3, AN_TME23[[#All],[Advanced Network/Insurance Carrier Org ID]],Q188),2), "TRUE", ROUND(R188-SUMIFS(AN_TME23[[#All],[Member Months]], AN_TME23[[#All],[Insurance Category Code]],3, AN_TME23[[#All],[Advanced Network/Insurance Carrier Org ID]],Q188),2))</f>
        <v>TRUE</v>
      </c>
      <c r="X188" s="280" t="str">
        <f>IF(S188=ROUND(SUMIFS(AN_TME23[[#All],[Total Claims Excluded because of Truncation]], AN_TME23[[#All],[Insurance Category Code]],3, AN_TME23[[#All],[Advanced Network/Insurance Carrier Org ID]],Q188),2), "TRUE", ROUND(S188-SUMIFS(AN_TME23[[#All],[Total Claims Excluded because of Truncation]], AN_TME23[[#All],[Insurance Category Code]],3, AN_TME23[[#All],[Advanced Network/Insurance Carrier Org ID]],Q188),2))</f>
        <v>TRUE</v>
      </c>
      <c r="Y188" s="281" t="str">
        <f>IF(T188=ROUND(SUMIFS(AN_TME23[[#All],[Count of Members with Claims Truncated]], AN_TME23[[#All],[Insurance Category Code]],3, AN_TME23[[#All],[Advanced Network/Insurance Carrier Org ID]],Q188),2), "TRUE", ROUND(T188-SUMIFS(AN_TME23[[#All],[Count of Members with Claims Truncated]], AN_TME23[[#All],[Insurance Category Code]],3, AN_TME23[[#All],[Advanced Network/Insurance Carrier Org ID]],Q188),2))</f>
        <v>TRUE</v>
      </c>
      <c r="Z188" s="282" t="str">
        <f>IF(U188=ROUND(SUMIFS(AN_TME23[[#All],[TOTAL Non-Truncated Unadjusted Claims Expenses]], AN_TME23[[#All],[Insurance Category Code]],3, AN_TME23[[#All],[Advanced Network/Insurance Carrier Org ID]],Q188),2), "TRUE", ROUND(U188-SUMIFS(AN_TME23[[#All],[TOTAL Non-Truncated Unadjusted Claims Expenses]], AN_TME23[[#All],[Insurance Category Code]],3, AN_TME23[[#All],[Advanced Network/Insurance Carrier Org ID]],Q188), 2))</f>
        <v>TRUE</v>
      </c>
      <c r="AA188" s="295" t="str">
        <f>IF(V188=ROUND(SUMIFS(AN_TME23[[#All],[TOTAL Truncated Unadjusted Claims Expenses (A21 -A19)]], AN_TME23[[#All],[Insurance Category Code]],3, AN_TME23[[#All],[Advanced Network/Insurance Carrier Org ID]],Q188),2), "TRUE", ROUND(V188-SUMIFS(AN_TME23[[#All],[TOTAL Truncated Unadjusted Claims Expenses (A21 -A19)]], AN_TME23[[#All],[Insurance Category Code]],3, AN_TME23[[#All],[Advanced Network/Insurance Carrier Org ID]],Q188), 2))</f>
        <v>TRUE</v>
      </c>
      <c r="AB188" s="461" t="str">
        <f t="shared" si="18"/>
        <v>TRUE</v>
      </c>
      <c r="AC188" s="282" t="b">
        <f>ROUND(SUMIFS(AN_TME23[[#All],[TOTAL Non-Truncated Unadjusted Claims Expenses]], AN_TME23[[#All],[Insurance Category Code]],3, AN_TME23[[#All],[Advanced Network/Insurance Carrier Org ID]],Q188),2)&gt;=ROUND(SUMIFS(AN_TME23[[#All],[TOTAL Truncated Unadjusted Claims Expenses (A21 -A19)]], AN_TME23[[#All],[Insurance Category Code]],3, AN_TME23[[#All],[Advanced Network/Insurance Carrier Org ID]],Q188), 2)</f>
        <v>1</v>
      </c>
      <c r="AD188" s="295" t="b">
        <f>ROUND(SUMIFS(AN_TME23[[#All],[TOTAL Truncated Unadjusted Claims Expenses (A21 -A19)]], AN_TME23[[#All],[Insurance Category Code]],3, AN_TME23[[#All],[Advanced Network/Insurance Carrier Org ID]],Q188)+SUMIFS(AN_TME23[[#All],[Total Claims Excluded because of Truncation]], AN_TME23[[#All],[Insurance Category Code]],3, AN_TME23[[#All],[Advanced Network/Insurance Carrier Org ID]],Q188),2)=ROUND(SUMIFS(AN_TME23[[#All],[TOTAL Non-Truncated Unadjusted Claims Expenses]], AN_TME23[[#All],[Insurance Category Code]],3, AN_TME23[[#All],[Advanced Network/Insurance Carrier Org ID]],Q188),2)</f>
        <v>1</v>
      </c>
      <c r="AF188" s="323" t="str">
        <f t="shared" si="17"/>
        <v>NA</v>
      </c>
    </row>
    <row r="189" spans="2:32" outlineLevel="1" x14ac:dyDescent="0.25">
      <c r="B189" s="236">
        <v>130</v>
      </c>
      <c r="C189" s="463">
        <f>ROUND(SUMIFS(Age_Sex22[[#All],[Total Member Months by Age/Sex Band]], Age_Sex22[[#All],[Advanced Network ID]], $B189, Age_Sex22[[#All],[Insurance Category Code]],3),2)</f>
        <v>0</v>
      </c>
      <c r="D189" s="268">
        <f>ROUND(SUMIFS(Age_Sex22[[#All],[Total Dollars Excluded from Spending After Applying Truncation at the Member Level]], Age_Sex22[[#All],[Advanced Network ID]], $B189, Age_Sex22[[#All],[Insurance Category Code]],3),2)</f>
        <v>0</v>
      </c>
      <c r="E189" s="229">
        <f>ROUND(SUMIFS(Age_Sex22[[#All],[Count of Members whose Spending was Truncated]], Age_Sex22[[#All],[Advanced Network ID]], $B189, Age_Sex22[[#All],[Insurance Category Code]],3),2)</f>
        <v>0</v>
      </c>
      <c r="F189" s="230">
        <f>ROUND(SUMIFS(Age_Sex22[[#All],[Total Spending before Truncation is Applied]], Age_Sex22[[#All],[Advanced Network ID]], $B189, Age_Sex22[[#All],[Insurance Category Code]],3),2)</f>
        <v>0</v>
      </c>
      <c r="G189" s="232">
        <f>ROUND(SUMIFS(Age_Sex22[[#All],[Total Spending After Applying Truncation at the Member Level]], Age_Sex22[[#All],[Advanced Network ID]], $B189, Age_Sex22[[#All],[Insurance Category Code]],3), 2)</f>
        <v>0</v>
      </c>
      <c r="H189" s="416" t="str">
        <f>IF(C189=ROUND(SUMIFS(AN_TME22[[#All],[Member Months]], AN_TME22[[#All],[Insurance Category Code]],3, AN_TME22[[#All],[Advanced Network/Insurance Carrier Org ID]],B189),2), "TRUE", ROUND(C189-SUMIFS(AN_TME22[[#All],[Member Months]], AN_TME22[[#All],[Insurance Category Code]],3, AN_TME22[[#All],[Advanced Network/Insurance Carrier Org ID]],B189),2))</f>
        <v>TRUE</v>
      </c>
      <c r="I189" s="280" t="str">
        <f>IF(D189=ROUND(SUMIFS(AN_TME22[[#All],[Total Claims Excluded because of Truncation]], AN_TME22[[#All],[Insurance Category Code]],3, AN_TME22[[#All],[Advanced Network/Insurance Carrier Org ID]],B189),2), "TRUE", ROUND(D189-SUMIFS(AN_TME22[[#All],[Total Claims Excluded because of Truncation]], AN_TME22[[#All],[Insurance Category Code]],3, AN_TME22[[#All],[Advanced Network/Insurance Carrier Org ID]],B189),2))</f>
        <v>TRUE</v>
      </c>
      <c r="J189" s="281" t="str">
        <f>IF(E189=ROUND(SUMIFS(AN_TME22[[#All],[Count of Members with Claims Truncated]], AN_TME22[[#All],[Insurance Category Code]],3, AN_TME22[[#All],[Advanced Network/Insurance Carrier Org ID]],B189),2), "TRUE", ROUND(E189-SUMIFS(AN_TME22[[#All],[Count of Members with Claims Truncated]], AN_TME22[[#All],[Insurance Category Code]],3, AN_TME22[[#All],[Advanced Network/Insurance Carrier Org ID]],B189),2))</f>
        <v>TRUE</v>
      </c>
      <c r="K189" s="282" t="str">
        <f>IF(F189=ROUND(SUMIFS(AN_TME22[[#All],[TOTAL Non-Truncated Unadjusted Claims Expenses]], AN_TME22[[#All],[Insurance Category Code]],3, AN_TME22[[#All],[Advanced Network/Insurance Carrier Org ID]],B189),2), "TRUE", ROUND(F189-SUMIFS(AN_TME22[[#All],[TOTAL Non-Truncated Unadjusted Claims Expenses]], AN_TME22[[#All],[Insurance Category Code]],3, AN_TME22[[#All],[Advanced Network/Insurance Carrier Org ID]],B189),2))</f>
        <v>TRUE</v>
      </c>
      <c r="L189" s="295" t="str">
        <f>IF(G189=ROUND(SUMIFS(AN_TME22[[#All],[TOTAL Truncated Unadjusted Claims Expenses (A21 -A19)]], AN_TME22[[#All],[Insurance Category Code]],3, AN_TME22[[#All],[Advanced Network/Insurance Carrier Org ID]],B189),2), "TRUE", ROUND(G189-SUMIFS(AN_TME22[[#All],[TOTAL Truncated Unadjusted Claims Expenses (A21 -A19)]], AN_TME22[[#All],[Insurance Category Code]],3, AN_TME22[[#All],[Advanced Network/Insurance Carrier Org ID]],B189),2))</f>
        <v>TRUE</v>
      </c>
      <c r="M189" s="461" t="str">
        <f t="shared" si="15"/>
        <v>TRUE</v>
      </c>
      <c r="N189" s="282" t="b">
        <f>ROUND(SUMIFS(AN_TME22[[#All],[TOTAL Non-Truncated Unadjusted Claims Expenses]], AN_TME22[[#All],[Insurance Category Code]],3, AN_TME22[[#All],[Advanced Network/Insurance Carrier Org ID]],B189),2)&gt;=ROUND(SUMIFS(AN_TME22[[#All],[TOTAL Truncated Unadjusted Claims Expenses (A21 -A19)]], AN_TME22[[#All],[Insurance Category Code]],3, AN_TME22[[#All],[Advanced Network/Insurance Carrier Org ID]],B189),2)</f>
        <v>1</v>
      </c>
      <c r="O189" s="295" t="b">
        <f>ROUND(SUMIFS(AN_TME22[[#All],[TOTAL Truncated Unadjusted Claims Expenses (A21 -A19)]], AN_TME22[[#All],[Insurance Category Code]],3, AN_TME22[[#All],[Advanced Network/Insurance Carrier Org ID]],B189)+SUMIFS(AN_TME22[[#All],[Total Claims Excluded because of Truncation]], AN_TME22[[#All],[Insurance Category Code]],3, AN_TME22[[#All],[Advanced Network/Insurance Carrier Org ID]],B189),2)=ROUND(SUMIFS(AN_TME22[[#All],[TOTAL Non-Truncated Unadjusted Claims Expenses]], AN_TME22[[#All],[Insurance Category Code]],3, AN_TME22[[#All],[Advanced Network/Insurance Carrier Org ID]],B189), 2)</f>
        <v>1</v>
      </c>
      <c r="Q189" s="236">
        <v>130</v>
      </c>
      <c r="R189" s="463">
        <f>ROUND(SUMIFS(Age_Sex23[[#All],[Total Member Months by Age/Sex Band]], Age_Sex23[[#All],[Advanced Network ID]], $Q189, Age_Sex23[[#All],[Insurance Category Code]],3), 2)</f>
        <v>0</v>
      </c>
      <c r="S189" s="268">
        <f>ROUND(SUMIFS(Age_Sex23[[#All],[Total Dollars Excluded from Spending After Applying Truncation at the Member Level]], Age_Sex23[[#All],[Advanced Network ID]], $B189, Age_Sex23[[#All],[Insurance Category Code]],3), 2)</f>
        <v>0</v>
      </c>
      <c r="T189" s="229">
        <f>ROUND(SUMIFS(Age_Sex23[[#All],[Count of Members whose Spending was Truncated]], Age_Sex23[[#All],[Advanced Network ID]], $B189, Age_Sex23[[#All],[Insurance Category Code]],3),2)</f>
        <v>0</v>
      </c>
      <c r="U189" s="230">
        <f>ROUND(SUMIFS(Age_Sex23[[#All],[Total Spending before Truncation is Applied]], Age_Sex23[[#All],[Advanced Network ID]], $B189, Age_Sex23[[#All],[Insurance Category Code]],3),2)</f>
        <v>0</v>
      </c>
      <c r="V189" s="232">
        <f>ROUND(SUMIFS(Age_Sex23[[#All],[Total Spending After Applying Truncation at the Member Level]], Age_Sex23[[#All],[Advanced Network ID]], $B189, Age_Sex23[[#All],[Insurance Category Code]],3),2)</f>
        <v>0</v>
      </c>
      <c r="W189" s="416" t="str">
        <f>IF(R189=ROUND(SUMIFS(AN_TME23[[#All],[Member Months]], AN_TME23[[#All],[Insurance Category Code]],3, AN_TME23[[#All],[Advanced Network/Insurance Carrier Org ID]],Q189),2), "TRUE", ROUND(R189-SUMIFS(AN_TME23[[#All],[Member Months]], AN_TME23[[#All],[Insurance Category Code]],3, AN_TME23[[#All],[Advanced Network/Insurance Carrier Org ID]],Q189),2))</f>
        <v>TRUE</v>
      </c>
      <c r="X189" s="280" t="str">
        <f>IF(S189=ROUND(SUMIFS(AN_TME23[[#All],[Total Claims Excluded because of Truncation]], AN_TME23[[#All],[Insurance Category Code]],3, AN_TME23[[#All],[Advanced Network/Insurance Carrier Org ID]],Q189),2), "TRUE", ROUND(S189-SUMIFS(AN_TME23[[#All],[Total Claims Excluded because of Truncation]], AN_TME23[[#All],[Insurance Category Code]],3, AN_TME23[[#All],[Advanced Network/Insurance Carrier Org ID]],Q189),2))</f>
        <v>TRUE</v>
      </c>
      <c r="Y189" s="281" t="str">
        <f>IF(T189=ROUND(SUMIFS(AN_TME23[[#All],[Count of Members with Claims Truncated]], AN_TME23[[#All],[Insurance Category Code]],3, AN_TME23[[#All],[Advanced Network/Insurance Carrier Org ID]],Q189),2), "TRUE", ROUND(T189-SUMIFS(AN_TME23[[#All],[Count of Members with Claims Truncated]], AN_TME23[[#All],[Insurance Category Code]],3, AN_TME23[[#All],[Advanced Network/Insurance Carrier Org ID]],Q189),2))</f>
        <v>TRUE</v>
      </c>
      <c r="Z189" s="282" t="str">
        <f>IF(U189=ROUND(SUMIFS(AN_TME23[[#All],[TOTAL Non-Truncated Unadjusted Claims Expenses]], AN_TME23[[#All],[Insurance Category Code]],3, AN_TME23[[#All],[Advanced Network/Insurance Carrier Org ID]],Q189),2), "TRUE", ROUND(U189-SUMIFS(AN_TME23[[#All],[TOTAL Non-Truncated Unadjusted Claims Expenses]], AN_TME23[[#All],[Insurance Category Code]],3, AN_TME23[[#All],[Advanced Network/Insurance Carrier Org ID]],Q189), 2))</f>
        <v>TRUE</v>
      </c>
      <c r="AA189" s="295" t="str">
        <f>IF(V189=ROUND(SUMIFS(AN_TME23[[#All],[TOTAL Truncated Unadjusted Claims Expenses (A21 -A19)]], AN_TME23[[#All],[Insurance Category Code]],3, AN_TME23[[#All],[Advanced Network/Insurance Carrier Org ID]],Q189),2), "TRUE", ROUND(V189-SUMIFS(AN_TME23[[#All],[TOTAL Truncated Unadjusted Claims Expenses (A21 -A19)]], AN_TME23[[#All],[Insurance Category Code]],3, AN_TME23[[#All],[Advanced Network/Insurance Carrier Org ID]],Q189), 2))</f>
        <v>TRUE</v>
      </c>
      <c r="AB189" s="461" t="str">
        <f t="shared" si="18"/>
        <v>TRUE</v>
      </c>
      <c r="AC189" s="282" t="b">
        <f>ROUND(SUMIFS(AN_TME23[[#All],[TOTAL Non-Truncated Unadjusted Claims Expenses]], AN_TME23[[#All],[Insurance Category Code]],3, AN_TME23[[#All],[Advanced Network/Insurance Carrier Org ID]],Q189),2)&gt;=ROUND(SUMIFS(AN_TME23[[#All],[TOTAL Truncated Unadjusted Claims Expenses (A21 -A19)]], AN_TME23[[#All],[Insurance Category Code]],3, AN_TME23[[#All],[Advanced Network/Insurance Carrier Org ID]],Q189), 2)</f>
        <v>1</v>
      </c>
      <c r="AD189" s="295" t="b">
        <f>ROUND(SUMIFS(AN_TME23[[#All],[TOTAL Truncated Unadjusted Claims Expenses (A21 -A19)]], AN_TME23[[#All],[Insurance Category Code]],3, AN_TME23[[#All],[Advanced Network/Insurance Carrier Org ID]],Q189)+SUMIFS(AN_TME23[[#All],[Total Claims Excluded because of Truncation]], AN_TME23[[#All],[Insurance Category Code]],3, AN_TME23[[#All],[Advanced Network/Insurance Carrier Org ID]],Q189),2)=ROUND(SUMIFS(AN_TME23[[#All],[TOTAL Non-Truncated Unadjusted Claims Expenses]], AN_TME23[[#All],[Insurance Category Code]],3, AN_TME23[[#All],[Advanced Network/Insurance Carrier Org ID]],Q189),2)</f>
        <v>1</v>
      </c>
      <c r="AF189" s="323" t="str">
        <f t="shared" si="17"/>
        <v>NA</v>
      </c>
    </row>
    <row r="190" spans="2:32" outlineLevel="1" x14ac:dyDescent="0.25">
      <c r="B190" s="236">
        <v>131</v>
      </c>
      <c r="C190" s="463">
        <f>ROUND(SUMIFS(Age_Sex22[[#All],[Total Member Months by Age/Sex Band]], Age_Sex22[[#All],[Advanced Network ID]], $B190, Age_Sex22[[#All],[Insurance Category Code]],3),2)</f>
        <v>0</v>
      </c>
      <c r="D190" s="268">
        <f>ROUND(SUMIFS(Age_Sex22[[#All],[Total Dollars Excluded from Spending After Applying Truncation at the Member Level]], Age_Sex22[[#All],[Advanced Network ID]], $B190, Age_Sex22[[#All],[Insurance Category Code]],3),2)</f>
        <v>0</v>
      </c>
      <c r="E190" s="229">
        <f>ROUND(SUMIFS(Age_Sex22[[#All],[Count of Members whose Spending was Truncated]], Age_Sex22[[#All],[Advanced Network ID]], $B190, Age_Sex22[[#All],[Insurance Category Code]],3),2)</f>
        <v>0</v>
      </c>
      <c r="F190" s="230">
        <f>ROUND(SUMIFS(Age_Sex22[[#All],[Total Spending before Truncation is Applied]], Age_Sex22[[#All],[Advanced Network ID]], $B190, Age_Sex22[[#All],[Insurance Category Code]],3),2)</f>
        <v>0</v>
      </c>
      <c r="G190" s="232">
        <f>ROUND(SUMIFS(Age_Sex22[[#All],[Total Spending After Applying Truncation at the Member Level]], Age_Sex22[[#All],[Advanced Network ID]], $B190, Age_Sex22[[#All],[Insurance Category Code]],3), 2)</f>
        <v>0</v>
      </c>
      <c r="H190" s="416" t="str">
        <f>IF(C190=ROUND(SUMIFS(AN_TME22[[#All],[Member Months]], AN_TME22[[#All],[Insurance Category Code]],3, AN_TME22[[#All],[Advanced Network/Insurance Carrier Org ID]],B190),2), "TRUE", ROUND(C190-SUMIFS(AN_TME22[[#All],[Member Months]], AN_TME22[[#All],[Insurance Category Code]],3, AN_TME22[[#All],[Advanced Network/Insurance Carrier Org ID]],B190),2))</f>
        <v>TRUE</v>
      </c>
      <c r="I190" s="280" t="str">
        <f>IF(D190=ROUND(SUMIFS(AN_TME22[[#All],[Total Claims Excluded because of Truncation]], AN_TME22[[#All],[Insurance Category Code]],3, AN_TME22[[#All],[Advanced Network/Insurance Carrier Org ID]],B190),2), "TRUE", ROUND(D190-SUMIFS(AN_TME22[[#All],[Total Claims Excluded because of Truncation]], AN_TME22[[#All],[Insurance Category Code]],3, AN_TME22[[#All],[Advanced Network/Insurance Carrier Org ID]],B190),2))</f>
        <v>TRUE</v>
      </c>
      <c r="J190" s="281" t="str">
        <f>IF(E190=ROUND(SUMIFS(AN_TME22[[#All],[Count of Members with Claims Truncated]], AN_TME22[[#All],[Insurance Category Code]],3, AN_TME22[[#All],[Advanced Network/Insurance Carrier Org ID]],B190),2), "TRUE", ROUND(E190-SUMIFS(AN_TME22[[#All],[Count of Members with Claims Truncated]], AN_TME22[[#All],[Insurance Category Code]],3, AN_TME22[[#All],[Advanced Network/Insurance Carrier Org ID]],B190),2))</f>
        <v>TRUE</v>
      </c>
      <c r="K190" s="282" t="str">
        <f>IF(F190=ROUND(SUMIFS(AN_TME22[[#All],[TOTAL Non-Truncated Unadjusted Claims Expenses]], AN_TME22[[#All],[Insurance Category Code]],3, AN_TME22[[#All],[Advanced Network/Insurance Carrier Org ID]],B190),2), "TRUE", ROUND(F190-SUMIFS(AN_TME22[[#All],[TOTAL Non-Truncated Unadjusted Claims Expenses]], AN_TME22[[#All],[Insurance Category Code]],3, AN_TME22[[#All],[Advanced Network/Insurance Carrier Org ID]],B190),2))</f>
        <v>TRUE</v>
      </c>
      <c r="L190" s="295" t="str">
        <f>IF(G190=ROUND(SUMIFS(AN_TME22[[#All],[TOTAL Truncated Unadjusted Claims Expenses (A21 -A19)]], AN_TME22[[#All],[Insurance Category Code]],3, AN_TME22[[#All],[Advanced Network/Insurance Carrier Org ID]],B190),2), "TRUE", ROUND(G190-SUMIFS(AN_TME22[[#All],[TOTAL Truncated Unadjusted Claims Expenses (A21 -A19)]], AN_TME22[[#All],[Insurance Category Code]],3, AN_TME22[[#All],[Advanced Network/Insurance Carrier Org ID]],B190),2))</f>
        <v>TRUE</v>
      </c>
      <c r="M190" s="461" t="str">
        <f t="shared" si="15"/>
        <v>TRUE</v>
      </c>
      <c r="N190" s="282" t="b">
        <f>ROUND(SUMIFS(AN_TME22[[#All],[TOTAL Non-Truncated Unadjusted Claims Expenses]], AN_TME22[[#All],[Insurance Category Code]],3, AN_TME22[[#All],[Advanced Network/Insurance Carrier Org ID]],B190),2)&gt;=ROUND(SUMIFS(AN_TME22[[#All],[TOTAL Truncated Unadjusted Claims Expenses (A21 -A19)]], AN_TME22[[#All],[Insurance Category Code]],3, AN_TME22[[#All],[Advanced Network/Insurance Carrier Org ID]],B190),2)</f>
        <v>1</v>
      </c>
      <c r="O190" s="295" t="b">
        <f>ROUND(SUMIFS(AN_TME22[[#All],[TOTAL Truncated Unadjusted Claims Expenses (A21 -A19)]], AN_TME22[[#All],[Insurance Category Code]],3, AN_TME22[[#All],[Advanced Network/Insurance Carrier Org ID]],B190)+SUMIFS(AN_TME22[[#All],[Total Claims Excluded because of Truncation]], AN_TME22[[#All],[Insurance Category Code]],3, AN_TME22[[#All],[Advanced Network/Insurance Carrier Org ID]],B190),2)=ROUND(SUMIFS(AN_TME22[[#All],[TOTAL Non-Truncated Unadjusted Claims Expenses]], AN_TME22[[#All],[Insurance Category Code]],3, AN_TME22[[#All],[Advanced Network/Insurance Carrier Org ID]],B190), 2)</f>
        <v>1</v>
      </c>
      <c r="Q190" s="236">
        <v>131</v>
      </c>
      <c r="R190" s="463">
        <f>ROUND(SUMIFS(Age_Sex23[[#All],[Total Member Months by Age/Sex Band]], Age_Sex23[[#All],[Advanced Network ID]], $Q190, Age_Sex23[[#All],[Insurance Category Code]],3), 2)</f>
        <v>0</v>
      </c>
      <c r="S190" s="268">
        <f>ROUND(SUMIFS(Age_Sex23[[#All],[Total Dollars Excluded from Spending After Applying Truncation at the Member Level]], Age_Sex23[[#All],[Advanced Network ID]], $B190, Age_Sex23[[#All],[Insurance Category Code]],3), 2)</f>
        <v>0</v>
      </c>
      <c r="T190" s="229">
        <f>ROUND(SUMIFS(Age_Sex23[[#All],[Count of Members whose Spending was Truncated]], Age_Sex23[[#All],[Advanced Network ID]], $B190, Age_Sex23[[#All],[Insurance Category Code]],3),2)</f>
        <v>0</v>
      </c>
      <c r="U190" s="230">
        <f>ROUND(SUMIFS(Age_Sex23[[#All],[Total Spending before Truncation is Applied]], Age_Sex23[[#All],[Advanced Network ID]], $B190, Age_Sex23[[#All],[Insurance Category Code]],3),2)</f>
        <v>0</v>
      </c>
      <c r="V190" s="232">
        <f>ROUND(SUMIFS(Age_Sex23[[#All],[Total Spending After Applying Truncation at the Member Level]], Age_Sex23[[#All],[Advanced Network ID]], $B190, Age_Sex23[[#All],[Insurance Category Code]],3),2)</f>
        <v>0</v>
      </c>
      <c r="W190" s="416" t="str">
        <f>IF(R190=ROUND(SUMIFS(AN_TME23[[#All],[Member Months]], AN_TME23[[#All],[Insurance Category Code]],3, AN_TME23[[#All],[Advanced Network/Insurance Carrier Org ID]],Q190),2), "TRUE", ROUND(R190-SUMIFS(AN_TME23[[#All],[Member Months]], AN_TME23[[#All],[Insurance Category Code]],3, AN_TME23[[#All],[Advanced Network/Insurance Carrier Org ID]],Q190),2))</f>
        <v>TRUE</v>
      </c>
      <c r="X190" s="280" t="str">
        <f>IF(S190=ROUND(SUMIFS(AN_TME23[[#All],[Total Claims Excluded because of Truncation]], AN_TME23[[#All],[Insurance Category Code]],3, AN_TME23[[#All],[Advanced Network/Insurance Carrier Org ID]],Q190),2), "TRUE", ROUND(S190-SUMIFS(AN_TME23[[#All],[Total Claims Excluded because of Truncation]], AN_TME23[[#All],[Insurance Category Code]],3, AN_TME23[[#All],[Advanced Network/Insurance Carrier Org ID]],Q190),2))</f>
        <v>TRUE</v>
      </c>
      <c r="Y190" s="281" t="str">
        <f>IF(T190=ROUND(SUMIFS(AN_TME23[[#All],[Count of Members with Claims Truncated]], AN_TME23[[#All],[Insurance Category Code]],3, AN_TME23[[#All],[Advanced Network/Insurance Carrier Org ID]],Q190),2), "TRUE", ROUND(T190-SUMIFS(AN_TME23[[#All],[Count of Members with Claims Truncated]], AN_TME23[[#All],[Insurance Category Code]],3, AN_TME23[[#All],[Advanced Network/Insurance Carrier Org ID]],Q190),2))</f>
        <v>TRUE</v>
      </c>
      <c r="Z190" s="282" t="str">
        <f>IF(U190=ROUND(SUMIFS(AN_TME23[[#All],[TOTAL Non-Truncated Unadjusted Claims Expenses]], AN_TME23[[#All],[Insurance Category Code]],3, AN_TME23[[#All],[Advanced Network/Insurance Carrier Org ID]],Q190),2), "TRUE", ROUND(U190-SUMIFS(AN_TME23[[#All],[TOTAL Non-Truncated Unadjusted Claims Expenses]], AN_TME23[[#All],[Insurance Category Code]],3, AN_TME23[[#All],[Advanced Network/Insurance Carrier Org ID]],Q190), 2))</f>
        <v>TRUE</v>
      </c>
      <c r="AA190" s="295" t="str">
        <f>IF(V190=ROUND(SUMIFS(AN_TME23[[#All],[TOTAL Truncated Unadjusted Claims Expenses (A21 -A19)]], AN_TME23[[#All],[Insurance Category Code]],3, AN_TME23[[#All],[Advanced Network/Insurance Carrier Org ID]],Q190),2), "TRUE", ROUND(V190-SUMIFS(AN_TME23[[#All],[TOTAL Truncated Unadjusted Claims Expenses (A21 -A19)]], AN_TME23[[#All],[Insurance Category Code]],3, AN_TME23[[#All],[Advanced Network/Insurance Carrier Org ID]],Q190), 2))</f>
        <v>TRUE</v>
      </c>
      <c r="AB190" s="461" t="str">
        <f t="shared" si="18"/>
        <v>TRUE</v>
      </c>
      <c r="AC190" s="282" t="b">
        <f>ROUND(SUMIFS(AN_TME23[[#All],[TOTAL Non-Truncated Unadjusted Claims Expenses]], AN_TME23[[#All],[Insurance Category Code]],3, AN_TME23[[#All],[Advanced Network/Insurance Carrier Org ID]],Q190),2)&gt;=ROUND(SUMIFS(AN_TME23[[#All],[TOTAL Truncated Unadjusted Claims Expenses (A21 -A19)]], AN_TME23[[#All],[Insurance Category Code]],3, AN_TME23[[#All],[Advanced Network/Insurance Carrier Org ID]],Q190), 2)</f>
        <v>1</v>
      </c>
      <c r="AD190" s="295" t="b">
        <f>ROUND(SUMIFS(AN_TME23[[#All],[TOTAL Truncated Unadjusted Claims Expenses (A21 -A19)]], AN_TME23[[#All],[Insurance Category Code]],3, AN_TME23[[#All],[Advanced Network/Insurance Carrier Org ID]],Q190)+SUMIFS(AN_TME23[[#All],[Total Claims Excluded because of Truncation]], AN_TME23[[#All],[Insurance Category Code]],3, AN_TME23[[#All],[Advanced Network/Insurance Carrier Org ID]],Q190),2)=ROUND(SUMIFS(AN_TME23[[#All],[TOTAL Non-Truncated Unadjusted Claims Expenses]], AN_TME23[[#All],[Insurance Category Code]],3, AN_TME23[[#All],[Advanced Network/Insurance Carrier Org ID]],Q190),2)</f>
        <v>1</v>
      </c>
      <c r="AF190" s="323" t="str">
        <f t="shared" si="17"/>
        <v>NA</v>
      </c>
    </row>
    <row r="191" spans="2:32" ht="15.75" outlineLevel="1" thickBot="1" x14ac:dyDescent="0.3">
      <c r="B191" s="237">
        <v>999</v>
      </c>
      <c r="C191" s="463">
        <f>ROUND(SUMIFS(Age_Sex22[[#All],[Total Member Months by Age/Sex Band]], Age_Sex22[[#All],[Advanced Network ID]], $B191, Age_Sex22[[#All],[Insurance Category Code]],3),2)</f>
        <v>0</v>
      </c>
      <c r="D191" s="268">
        <f>ROUND(SUMIFS(Age_Sex22[[#All],[Total Dollars Excluded from Spending After Applying Truncation at the Member Level]], Age_Sex22[[#All],[Advanced Network ID]], $B191, Age_Sex22[[#All],[Insurance Category Code]],3),2)</f>
        <v>0</v>
      </c>
      <c r="E191" s="229">
        <f>ROUND(SUMIFS(Age_Sex22[[#All],[Count of Members whose Spending was Truncated]], Age_Sex22[[#All],[Advanced Network ID]], $B191, Age_Sex22[[#All],[Insurance Category Code]],3),2)</f>
        <v>0</v>
      </c>
      <c r="F191" s="230">
        <f>ROUND(SUMIFS(Age_Sex22[[#All],[Total Spending before Truncation is Applied]], Age_Sex22[[#All],[Advanced Network ID]], $B191, Age_Sex22[[#All],[Insurance Category Code]],3),2)</f>
        <v>0</v>
      </c>
      <c r="G191" s="232">
        <f>ROUND(SUMIFS(Age_Sex22[[#All],[Total Spending After Applying Truncation at the Member Level]], Age_Sex22[[#All],[Advanced Network ID]], $B191, Age_Sex22[[#All],[Insurance Category Code]],3), 2)</f>
        <v>0</v>
      </c>
      <c r="H191" s="416" t="str">
        <f>IF(C191=ROUND(SUMIFS(AN_TME22[[#All],[Member Months]], AN_TME22[[#All],[Insurance Category Code]],3, AN_TME22[[#All],[Advanced Network/Insurance Carrier Org ID]],B191),2), "TRUE", ROUND(C191-SUMIFS(AN_TME22[[#All],[Member Months]], AN_TME22[[#All],[Insurance Category Code]],3, AN_TME22[[#All],[Advanced Network/Insurance Carrier Org ID]],B191),2))</f>
        <v>TRUE</v>
      </c>
      <c r="I191" s="280" t="str">
        <f>IF(D191=ROUND(SUMIFS(AN_TME22[[#All],[Total Claims Excluded because of Truncation]], AN_TME22[[#All],[Insurance Category Code]],3, AN_TME22[[#All],[Advanced Network/Insurance Carrier Org ID]],B191),2), "TRUE", ROUND(D191-SUMIFS(AN_TME22[[#All],[Total Claims Excluded because of Truncation]], AN_TME22[[#All],[Insurance Category Code]],3, AN_TME22[[#All],[Advanced Network/Insurance Carrier Org ID]],B191),2))</f>
        <v>TRUE</v>
      </c>
      <c r="J191" s="281" t="str">
        <f>IF(E191=ROUND(SUMIFS(AN_TME22[[#All],[Count of Members with Claims Truncated]], AN_TME22[[#All],[Insurance Category Code]],3, AN_TME22[[#All],[Advanced Network/Insurance Carrier Org ID]],B191),2), "TRUE", ROUND(E191-SUMIFS(AN_TME22[[#All],[Count of Members with Claims Truncated]], AN_TME22[[#All],[Insurance Category Code]],3, AN_TME22[[#All],[Advanced Network/Insurance Carrier Org ID]],B191),2))</f>
        <v>TRUE</v>
      </c>
      <c r="K191" s="282" t="str">
        <f>IF(F191=ROUND(SUMIFS(AN_TME22[[#All],[TOTAL Non-Truncated Unadjusted Claims Expenses]], AN_TME22[[#All],[Insurance Category Code]],3, AN_TME22[[#All],[Advanced Network/Insurance Carrier Org ID]],B191),2), "TRUE", ROUND(F191-SUMIFS(AN_TME22[[#All],[TOTAL Non-Truncated Unadjusted Claims Expenses]], AN_TME22[[#All],[Insurance Category Code]],3, AN_TME22[[#All],[Advanced Network/Insurance Carrier Org ID]],B191),2))</f>
        <v>TRUE</v>
      </c>
      <c r="L191" s="295" t="str">
        <f>IF(G191=ROUND(SUMIFS(AN_TME22[[#All],[TOTAL Truncated Unadjusted Claims Expenses (A21 -A19)]], AN_TME22[[#All],[Insurance Category Code]],3, AN_TME22[[#All],[Advanced Network/Insurance Carrier Org ID]],B191),2), "TRUE", ROUND(G191-SUMIFS(AN_TME22[[#All],[TOTAL Truncated Unadjusted Claims Expenses (A21 -A19)]], AN_TME22[[#All],[Insurance Category Code]],3, AN_TME22[[#All],[Advanced Network/Insurance Carrier Org ID]],B191),2))</f>
        <v>TRUE</v>
      </c>
      <c r="M191" s="462" t="str">
        <f t="shared" si="15"/>
        <v>TRUE</v>
      </c>
      <c r="N191" s="282" t="b">
        <f>ROUND(SUMIFS(AN_TME22[[#All],[TOTAL Non-Truncated Unadjusted Claims Expenses]], AN_TME22[[#All],[Insurance Category Code]],3, AN_TME22[[#All],[Advanced Network/Insurance Carrier Org ID]],B191),2)&gt;=ROUND(SUMIFS(AN_TME22[[#All],[TOTAL Truncated Unadjusted Claims Expenses (A21 -A19)]], AN_TME22[[#All],[Insurance Category Code]],3, AN_TME22[[#All],[Advanced Network/Insurance Carrier Org ID]],B191),2)</f>
        <v>1</v>
      </c>
      <c r="O191" s="295" t="b">
        <f>ROUND(SUMIFS(AN_TME22[[#All],[TOTAL Truncated Unadjusted Claims Expenses (A21 -A19)]], AN_TME22[[#All],[Insurance Category Code]],3, AN_TME22[[#All],[Advanced Network/Insurance Carrier Org ID]],B191)+SUMIFS(AN_TME22[[#All],[Total Claims Excluded because of Truncation]], AN_TME22[[#All],[Insurance Category Code]],3, AN_TME22[[#All],[Advanced Network/Insurance Carrier Org ID]],B191),2)=ROUND(SUMIFS(AN_TME22[[#All],[TOTAL Non-Truncated Unadjusted Claims Expenses]], AN_TME22[[#All],[Insurance Category Code]],3, AN_TME22[[#All],[Advanced Network/Insurance Carrier Org ID]],B191), 2)</f>
        <v>1</v>
      </c>
      <c r="Q191" s="237">
        <v>999</v>
      </c>
      <c r="R191" s="463">
        <f>ROUND(SUMIFS(Age_Sex23[[#All],[Total Member Months by Age/Sex Band]], Age_Sex23[[#All],[Advanced Network ID]], $Q191, Age_Sex23[[#All],[Insurance Category Code]],3), 2)</f>
        <v>0</v>
      </c>
      <c r="S191" s="268">
        <f>ROUND(SUMIFS(Age_Sex23[[#All],[Total Dollars Excluded from Spending After Applying Truncation at the Member Level]], Age_Sex23[[#All],[Advanced Network ID]], $B191, Age_Sex23[[#All],[Insurance Category Code]],3), 2)</f>
        <v>0</v>
      </c>
      <c r="T191" s="229">
        <f>ROUND(SUMIFS(Age_Sex23[[#All],[Count of Members whose Spending was Truncated]], Age_Sex23[[#All],[Advanced Network ID]], $B191, Age_Sex23[[#All],[Insurance Category Code]],3),2)</f>
        <v>0</v>
      </c>
      <c r="U191" s="230">
        <f>ROUND(SUMIFS(Age_Sex23[[#All],[Total Spending before Truncation is Applied]], Age_Sex23[[#All],[Advanced Network ID]], $B191, Age_Sex23[[#All],[Insurance Category Code]],3),2)</f>
        <v>0</v>
      </c>
      <c r="V191" s="232">
        <f>ROUND(SUMIFS(Age_Sex23[[#All],[Total Spending After Applying Truncation at the Member Level]], Age_Sex23[[#All],[Advanced Network ID]], $B191, Age_Sex23[[#All],[Insurance Category Code]],3),2)</f>
        <v>0</v>
      </c>
      <c r="W191" s="416" t="str">
        <f>IF(R191=ROUND(SUMIFS(AN_TME23[[#All],[Member Months]], AN_TME23[[#All],[Insurance Category Code]],3, AN_TME23[[#All],[Advanced Network/Insurance Carrier Org ID]],Q191),2), "TRUE", ROUND(R191-SUMIFS(AN_TME23[[#All],[Member Months]], AN_TME23[[#All],[Insurance Category Code]],3, AN_TME23[[#All],[Advanced Network/Insurance Carrier Org ID]],Q191),2))</f>
        <v>TRUE</v>
      </c>
      <c r="X191" s="280" t="str">
        <f>IF(S191=ROUND(SUMIFS(AN_TME23[[#All],[Total Claims Excluded because of Truncation]], AN_TME23[[#All],[Insurance Category Code]],3, AN_TME23[[#All],[Advanced Network/Insurance Carrier Org ID]],Q191),2), "TRUE", ROUND(S191-SUMIFS(AN_TME23[[#All],[Total Claims Excluded because of Truncation]], AN_TME23[[#All],[Insurance Category Code]],3, AN_TME23[[#All],[Advanced Network/Insurance Carrier Org ID]],Q191),2))</f>
        <v>TRUE</v>
      </c>
      <c r="Y191" s="281" t="str">
        <f>IF(T191=ROUND(SUMIFS(AN_TME23[[#All],[Count of Members with Claims Truncated]], AN_TME23[[#All],[Insurance Category Code]],3, AN_TME23[[#All],[Advanced Network/Insurance Carrier Org ID]],Q191),2), "TRUE", ROUND(T191-SUMIFS(AN_TME23[[#All],[Count of Members with Claims Truncated]], AN_TME23[[#All],[Insurance Category Code]],3, AN_TME23[[#All],[Advanced Network/Insurance Carrier Org ID]],Q191),2))</f>
        <v>TRUE</v>
      </c>
      <c r="Z191" s="282" t="str">
        <f>IF(U191=ROUND(SUMIFS(AN_TME23[[#All],[TOTAL Non-Truncated Unadjusted Claims Expenses]], AN_TME23[[#All],[Insurance Category Code]],3, AN_TME23[[#All],[Advanced Network/Insurance Carrier Org ID]],Q191),2), "TRUE", ROUND(U191-SUMIFS(AN_TME23[[#All],[TOTAL Non-Truncated Unadjusted Claims Expenses]], AN_TME23[[#All],[Insurance Category Code]],3, AN_TME23[[#All],[Advanced Network/Insurance Carrier Org ID]],Q191), 2))</f>
        <v>TRUE</v>
      </c>
      <c r="AA191" s="295" t="str">
        <f>IF(V191=ROUND(SUMIFS(AN_TME23[[#All],[TOTAL Truncated Unadjusted Claims Expenses (A21 -A19)]], AN_TME23[[#All],[Insurance Category Code]],3, AN_TME23[[#All],[Advanced Network/Insurance Carrier Org ID]],Q191),2), "TRUE", ROUND(V191-SUMIFS(AN_TME23[[#All],[TOTAL Truncated Unadjusted Claims Expenses (A21 -A19)]], AN_TME23[[#All],[Insurance Category Code]],3, AN_TME23[[#All],[Advanced Network/Insurance Carrier Org ID]],Q191), 2))</f>
        <v>TRUE</v>
      </c>
      <c r="AB191" s="462" t="str">
        <f t="shared" si="18"/>
        <v>TRUE</v>
      </c>
      <c r="AC191" s="282" t="b">
        <f>ROUND(SUMIFS(AN_TME23[[#All],[TOTAL Non-Truncated Unadjusted Claims Expenses]], AN_TME23[[#All],[Insurance Category Code]],3, AN_TME23[[#All],[Advanced Network/Insurance Carrier Org ID]],Q191),2)&gt;=ROUND(SUMIFS(AN_TME23[[#All],[TOTAL Truncated Unadjusted Claims Expenses (A21 -A19)]], AN_TME23[[#All],[Insurance Category Code]],3, AN_TME23[[#All],[Advanced Network/Insurance Carrier Org ID]],Q191), 2)</f>
        <v>1</v>
      </c>
      <c r="AD191" s="295" t="b">
        <f>ROUND(SUMIFS(AN_TME23[[#All],[TOTAL Truncated Unadjusted Claims Expenses (A21 -A19)]], AN_TME23[[#All],[Insurance Category Code]],3, AN_TME23[[#All],[Advanced Network/Insurance Carrier Org ID]],Q191)+SUMIFS(AN_TME23[[#All],[Total Claims Excluded because of Truncation]], AN_TME23[[#All],[Insurance Category Code]],3, AN_TME23[[#All],[Advanced Network/Insurance Carrier Org ID]],Q191),2)=ROUND(SUMIFS(AN_TME23[[#All],[TOTAL Non-Truncated Unadjusted Claims Expenses]], AN_TME23[[#All],[Insurance Category Code]],3, AN_TME23[[#All],[Advanced Network/Insurance Carrier Org ID]],Q191),2)</f>
        <v>1</v>
      </c>
      <c r="AF191" s="324" t="str">
        <f t="shared" si="17"/>
        <v>NA</v>
      </c>
    </row>
    <row r="192" spans="2:32" outlineLevel="1" x14ac:dyDescent="0.25">
      <c r="B192" s="31"/>
      <c r="C192" s="31"/>
      <c r="D192" s="14"/>
      <c r="E192" s="117"/>
    </row>
    <row r="193" spans="2:32" outlineLevel="1" x14ac:dyDescent="0.25">
      <c r="B193" s="363" t="s">
        <v>366</v>
      </c>
      <c r="C193" s="14"/>
      <c r="D193" s="117"/>
      <c r="L193" s="231"/>
      <c r="M193" s="231"/>
      <c r="N193" s="231"/>
      <c r="O193" s="231"/>
      <c r="Q193" s="363" t="s">
        <v>366</v>
      </c>
    </row>
    <row r="194" spans="2:32" ht="19.5" outlineLevel="1" thickBot="1" x14ac:dyDescent="0.35">
      <c r="B194" s="279"/>
      <c r="C194" s="231"/>
      <c r="D194" s="14"/>
      <c r="E194" s="117"/>
      <c r="Q194" s="279"/>
      <c r="R194" s="231"/>
      <c r="S194" s="14"/>
      <c r="T194" s="117"/>
    </row>
    <row r="195" spans="2:32" ht="24" outlineLevel="1" thickBot="1" x14ac:dyDescent="0.4">
      <c r="B195" s="307" t="s">
        <v>387</v>
      </c>
      <c r="C195" s="617" t="s">
        <v>375</v>
      </c>
      <c r="D195" s="618"/>
      <c r="E195" s="618"/>
      <c r="F195" s="618"/>
      <c r="G195" s="619"/>
      <c r="H195" s="620" t="s">
        <v>376</v>
      </c>
      <c r="I195" s="621"/>
      <c r="J195" s="621"/>
      <c r="K195" s="621"/>
      <c r="L195" s="622"/>
      <c r="M195" s="614" t="s">
        <v>374</v>
      </c>
      <c r="N195" s="615"/>
      <c r="O195" s="616"/>
      <c r="Q195" s="307"/>
      <c r="R195" s="617" t="s">
        <v>441</v>
      </c>
      <c r="S195" s="618"/>
      <c r="T195" s="618"/>
      <c r="U195" s="618"/>
      <c r="V195" s="619"/>
      <c r="W195" s="620" t="s">
        <v>442</v>
      </c>
      <c r="X195" s="621"/>
      <c r="Y195" s="621"/>
      <c r="Z195" s="621"/>
      <c r="AA195" s="622"/>
      <c r="AB195" s="614" t="s">
        <v>374</v>
      </c>
      <c r="AC195" s="615"/>
      <c r="AD195" s="616"/>
    </row>
    <row r="196" spans="2:32" ht="94.5" customHeight="1" outlineLevel="1" thickBot="1" x14ac:dyDescent="0.3">
      <c r="B196" s="297" t="s">
        <v>235</v>
      </c>
      <c r="C196" s="298" t="s">
        <v>151</v>
      </c>
      <c r="D196" s="299" t="s">
        <v>236</v>
      </c>
      <c r="E196" s="299" t="s">
        <v>377</v>
      </c>
      <c r="F196" s="299" t="s">
        <v>153</v>
      </c>
      <c r="G196" s="300" t="s">
        <v>157</v>
      </c>
      <c r="H196" s="301" t="s">
        <v>211</v>
      </c>
      <c r="I196" s="302" t="s">
        <v>378</v>
      </c>
      <c r="J196" s="302" t="s">
        <v>379</v>
      </c>
      <c r="K196" s="302" t="s">
        <v>380</v>
      </c>
      <c r="L196" s="303" t="s">
        <v>381</v>
      </c>
      <c r="M196" s="304" t="s">
        <v>382</v>
      </c>
      <c r="N196" s="305" t="s">
        <v>383</v>
      </c>
      <c r="O196" s="306" t="s">
        <v>384</v>
      </c>
      <c r="Q196" s="297" t="s">
        <v>235</v>
      </c>
      <c r="R196" s="298" t="s">
        <v>151</v>
      </c>
      <c r="S196" s="299" t="s">
        <v>236</v>
      </c>
      <c r="T196" s="299" t="s">
        <v>377</v>
      </c>
      <c r="U196" s="299" t="s">
        <v>153</v>
      </c>
      <c r="V196" s="300" t="s">
        <v>157</v>
      </c>
      <c r="W196" s="301" t="s">
        <v>211</v>
      </c>
      <c r="X196" s="302" t="s">
        <v>378</v>
      </c>
      <c r="Y196" s="302" t="s">
        <v>379</v>
      </c>
      <c r="Z196" s="302" t="s">
        <v>380</v>
      </c>
      <c r="AA196" s="303" t="s">
        <v>381</v>
      </c>
      <c r="AB196" s="304" t="s">
        <v>382</v>
      </c>
      <c r="AC196" s="305" t="s">
        <v>383</v>
      </c>
      <c r="AD196" s="306" t="s">
        <v>384</v>
      </c>
      <c r="AF196" s="314" t="s">
        <v>458</v>
      </c>
    </row>
    <row r="197" spans="2:32" outlineLevel="1" x14ac:dyDescent="0.25">
      <c r="B197" s="236">
        <v>100</v>
      </c>
      <c r="C197" s="463">
        <f>ROUND(SUMIFS(Age_Sex22[[#All],[Total Member Months by Age/Sex Band]], Age_Sex22[[#All],[Advanced Network ID]], $B197, Age_Sex22[[#All],[Insurance Category Code]],4),2)</f>
        <v>0</v>
      </c>
      <c r="D197" s="268">
        <f>ROUND(SUMIFS(Age_Sex22[[#All],[Total Dollars Excluded from Spending After Applying Truncation at the Member Level]], Age_Sex22[[#All],[Advanced Network ID]], $B197, Age_Sex22[[#All],[Insurance Category Code]],4),2)</f>
        <v>0</v>
      </c>
      <c r="E197" s="229">
        <f>ROUND(SUMIFS(Age_Sex22[[#All],[Count of Members whose Spending was Truncated]], Age_Sex22[[#All],[Advanced Network ID]], $B197, Age_Sex22[[#All],[Insurance Category Code]],4),2)</f>
        <v>0</v>
      </c>
      <c r="F197" s="230">
        <f>ROUND(SUMIFS(Age_Sex22[[#All],[Total Spending before Truncation is Applied]], Age_Sex22[[#All],[Advanced Network ID]], $B197, Age_Sex22[[#All],[Insurance Category Code]],4),2)</f>
        <v>0</v>
      </c>
      <c r="G197" s="232">
        <f>ROUND(SUMIFS(Age_Sex22[[#All],[Total Spending After Applying Truncation at the Member Level]], Age_Sex22[[#All],[Advanced Network ID]], $B197, Age_Sex22[[#All],[Insurance Category Code]],4),2)</f>
        <v>0</v>
      </c>
      <c r="H197" s="416" t="str">
        <f>IF(C197=ROUND(SUMIFS(AN_TME22[[#All],[Member Months]], AN_TME22[[#All],[Insurance Category Code]],4, AN_TME22[[#All],[Advanced Network/Insurance Carrier Org ID]],B197),2), "TRUE", ROUND(C197-SUMIFS(AN_TME22[[#All],[Member Months]], AN_TME22[[#All],[Insurance Category Code]],4, AN_TME22[[#All],[Advanced Network/Insurance Carrier Org ID]],B197),2))</f>
        <v>TRUE</v>
      </c>
      <c r="I197" s="280" t="str">
        <f>IF(D197=ROUND(SUMIFS(AN_TME22[[#All],[Total Claims Excluded because of Truncation]], AN_TME22[[#All],[Insurance Category Code]],4, AN_TME22[[#All],[Advanced Network/Insurance Carrier Org ID]],B197),2), "TRUE", ROUND(D197-SUMIFS(AN_TME22[[#All],[Total Claims Excluded because of Truncation]], AN_TME22[[#All],[Insurance Category Code]],4, AN_TME22[[#All],[Advanced Network/Insurance Carrier Org ID]],B197),2))</f>
        <v>TRUE</v>
      </c>
      <c r="J197" s="281" t="str">
        <f>IF(E197=ROUND(SUMIFS(AN_TME22[[#All],[Count of Members with Claims Truncated]], AN_TME22[[#All],[Insurance Category Code]],4, AN_TME22[[#All],[Advanced Network/Insurance Carrier Org ID]],B197),2), "TRUE", ROUND(E197-SUMIFS(AN_TME22[[#All],[Count of Members with Claims Truncated]], AN_TME22[[#All],[Insurance Category Code]],4, AN_TME22[[#All],[Advanced Network/Insurance Carrier Org ID]],B197),2))</f>
        <v>TRUE</v>
      </c>
      <c r="K197" s="282" t="str">
        <f>IF(F197=ROUND(SUMIFS(AN_TME22[[#All],[TOTAL Non-Truncated Unadjusted Claims Expenses]], AN_TME22[[#All],[Insurance Category Code]],4, AN_TME22[[#All],[Advanced Network/Insurance Carrier Org ID]],B197),2), "TRUE", ROUND(F197-SUMIFS(AN_TME22[[#All],[TOTAL Non-Truncated Unadjusted Claims Expenses]], AN_TME22[[#All],[Insurance Category Code]],4, AN_TME22[[#All],[Advanced Network/Insurance Carrier Org ID]],B197),2))</f>
        <v>TRUE</v>
      </c>
      <c r="L197" s="295" t="str">
        <f>IF(G197=ROUND(SUMIFS(AN_TME22[[#All],[TOTAL Truncated Unadjusted Claims Expenses (A21 -A19)]], AN_TME22[[#All],[Insurance Category Code]],4, AN_TME22[[#All],[Advanced Network/Insurance Carrier Org ID]],B197),2), "TRUE", ROUND(G197-SUMIFS(AN_TME22[[#All],[TOTAL Truncated Unadjusted Claims Expenses (A21 -A19)]], AN_TME22[[#All],[Insurance Category Code]],4, AN_TME22[[#All],[Advanced Network/Insurance Carrier Org ID]],B197),2))</f>
        <v>TRUE</v>
      </c>
      <c r="M197" s="461" t="str">
        <f t="shared" ref="M197:M229" si="19">IF(E197=0, "TRUE",IF((C197/12)&gt;E197,"TRUE",(C197/12)-E197))</f>
        <v>TRUE</v>
      </c>
      <c r="N197" s="282" t="b">
        <f>ROUND(SUMIFS(AN_TME22[[#All],[TOTAL Non-Truncated Unadjusted Claims Expenses]], AN_TME22[[#All],[Insurance Category Code]],4, AN_TME22[[#All],[Advanced Network/Insurance Carrier Org ID]],B197),2)&gt;=ROUND(SUMIFS(AN_TME22[[#All],[TOTAL Truncated Unadjusted Claims Expenses (A21 -A19)]], AN_TME22[[#All],[Insurance Category Code]],4, AN_TME22[[#All],[Advanced Network/Insurance Carrier Org ID]],B197),2)</f>
        <v>1</v>
      </c>
      <c r="O197" s="295" t="b">
        <f>ROUND(SUMIFS(AN_TME22[[#All],[TOTAL Truncated Unadjusted Claims Expenses (A21 -A19)]], AN_TME22[[#All],[Insurance Category Code]],4, AN_TME22[[#All],[Advanced Network/Insurance Carrier Org ID]],B197)+SUMIFS(AN_TME22[[#All],[Total Claims Excluded because of Truncation]], AN_TME22[[#All],[Insurance Category Code]],4, AN_TME22[[#All],[Advanced Network/Insurance Carrier Org ID]],B197),2)=ROUND(SUMIFS(AN_TME22[[#All],[TOTAL Non-Truncated Unadjusted Claims Expenses]], AN_TME22[[#All],[Insurance Category Code]],4, AN_TME22[[#All],[Advanced Network/Insurance Carrier Org ID]],B197),2)</f>
        <v>1</v>
      </c>
      <c r="Q197" s="236">
        <v>100</v>
      </c>
      <c r="R197" s="463">
        <f>ROUND(SUMIFS(Age_Sex23[[#All],[Total Member Months by Age/Sex Band]], Age_Sex23[[#All],[Advanced Network ID]], $Q197, Age_Sex23[[#All],[Insurance Category Code]],4),2)</f>
        <v>0</v>
      </c>
      <c r="S197" s="268">
        <f>ROUND(SUMIFS(Age_Sex23[[#All],[Total Dollars Excluded from Spending After Applying Truncation at the Member Level]], Age_Sex23[[#All],[Advanced Network ID]], $B197, Age_Sex23[[#All],[Insurance Category Code]],4),2)</f>
        <v>0</v>
      </c>
      <c r="T197" s="229">
        <f>ROUND(SUMIFS(Age_Sex23[[#All],[Count of Members whose Spending was Truncated]], Age_Sex23[[#All],[Advanced Network ID]], $B197, Age_Sex23[[#All],[Insurance Category Code]],4),2)</f>
        <v>0</v>
      </c>
      <c r="U197" s="230">
        <f>ROUND(SUMIFS(Age_Sex23[[#All],[Total Spending before Truncation is Applied]], Age_Sex23[[#All],[Advanced Network ID]], $B197, Age_Sex23[[#All],[Insurance Category Code]],4),2)</f>
        <v>0</v>
      </c>
      <c r="V197" s="232">
        <f>ROUND(SUMIFS(Age_Sex23[[#All],[Total Spending After Applying Truncation at the Member Level]], Age_Sex23[[#All],[Advanced Network ID]], $B197, Age_Sex23[[#All],[Insurance Category Code]],4),2)</f>
        <v>0</v>
      </c>
      <c r="W197" s="416" t="str">
        <f>IF(R197=ROUND(SUMIFS(AN_TME23[[#All],[Member Months]], AN_TME23[[#All],[Insurance Category Code]],4, AN_TME23[[#All],[Advanced Network/Insurance Carrier Org ID]],Q197),2), "TRUE", ROUND(R197-SUMIFS(AN_TME23[[#All],[Member Months]], AN_TME23[[#All],[Insurance Category Code]],4, AN_TME23[[#All],[Advanced Network/Insurance Carrier Org ID]],Q197),2))</f>
        <v>TRUE</v>
      </c>
      <c r="X197" s="280" t="str">
        <f>IF(S197=ROUND(SUMIFS(AN_TME23[[#All],[Total Claims Excluded because of Truncation]], AN_TME23[[#All],[Insurance Category Code]],4, AN_TME23[[#All],[Advanced Network/Insurance Carrier Org ID]],Q197),2), "TRUE", ROUND(S197-SUMIFS(AN_TME23[[#All],[Total Claims Excluded because of Truncation]], AN_TME23[[#All],[Insurance Category Code]],4, AN_TME23[[#All],[Advanced Network/Insurance Carrier Org ID]],Q197),2))</f>
        <v>TRUE</v>
      </c>
      <c r="Y197" s="281" t="str">
        <f>IF(T197=ROUND(SUMIFS(AN_TME23[[#All],[Count of Members with Claims Truncated]], AN_TME23[[#All],[Insurance Category Code]],4, AN_TME23[[#All],[Advanced Network/Insurance Carrier Org ID]],Q197),2), "TRUE", ROUND(T197-SUMIFS(AN_TME23[[#All],[Count of Members with Claims Truncated]], AN_TME23[[#All],[Insurance Category Code]],4, AN_TME23[[#All],[Advanced Network/Insurance Carrier Org ID]],Q197),2))</f>
        <v>TRUE</v>
      </c>
      <c r="Z197" s="282" t="str">
        <f>IF(U197=ROUND(SUMIFS(AN_TME23[[#All],[TOTAL Non-Truncated Unadjusted Claims Expenses]], AN_TME23[[#All],[Insurance Category Code]],4, AN_TME23[[#All],[Advanced Network/Insurance Carrier Org ID]],Q197),2), "TRUE", ROUND(U197-SUMIFS(AN_TME23[[#All],[TOTAL Non-Truncated Unadjusted Claims Expenses]], AN_TME23[[#All],[Insurance Category Code]],4, AN_TME23[[#All],[Advanced Network/Insurance Carrier Org ID]],Q197),2))</f>
        <v>TRUE</v>
      </c>
      <c r="AA197" s="295" t="str">
        <f>IF(V197=ROUND(SUMIFS(AN_TME23[[#All],[TOTAL Truncated Unadjusted Claims Expenses (A21 -A19)]], AN_TME23[[#All],[Insurance Category Code]],4, AN_TME23[[#All],[Advanced Network/Insurance Carrier Org ID]],Q197),2), "TRUE",ROUND( V197-SUMIFS(AN_TME23[[#All],[TOTAL Truncated Unadjusted Claims Expenses (A21 -A19)]], AN_TME23[[#All],[Insurance Category Code]],4, AN_TME23[[#All],[Advanced Network/Insurance Carrier Org ID]],Q197),2))</f>
        <v>TRUE</v>
      </c>
      <c r="AB197" s="461" t="str">
        <f t="shared" ref="AB197" si="20">IF(T197=0, "TRUE",IF((R197/12)&gt;T197,"TRUE",(R197/12)-T197))</f>
        <v>TRUE</v>
      </c>
      <c r="AC197" s="282" t="b">
        <f>ROUND(SUMIFS(AN_TME23[[#All],[TOTAL Non-Truncated Unadjusted Claims Expenses]], AN_TME23[[#All],[Insurance Category Code]],4, AN_TME23[[#All],[Advanced Network/Insurance Carrier Org ID]],Q197),2)&gt;=ROUND(SUMIFS(AN_TME23[[#All],[TOTAL Truncated Unadjusted Claims Expenses (A21 -A19)]], AN_TME23[[#All],[Insurance Category Code]],4, AN_TME23[[#All],[Advanced Network/Insurance Carrier Org ID]],Q197),2)</f>
        <v>1</v>
      </c>
      <c r="AD197" s="295" t="b">
        <f>ROUND(SUMIFS(AN_TME23[[#All],[TOTAL Truncated Unadjusted Claims Expenses (A21 -A19)]], AN_TME23[[#All],[Insurance Category Code]],4, AN_TME23[[#All],[Advanced Network/Insurance Carrier Org ID]],Q197)+SUMIFS(AN_TME23[[#All],[Total Claims Excluded because of Truncation]], AN_TME23[[#All],[Insurance Category Code]],4, AN_TME23[[#All],[Advanced Network/Insurance Carrier Org ID]],Q197),2)=ROUND(SUMIFS(AN_TME23[[#All],[TOTAL Non-Truncated Unadjusted Claims Expenses]], AN_TME23[[#All],[Insurance Category Code]],4, AN_TME23[[#All],[Advanced Network/Insurance Carrier Org ID]],Q197),2)</f>
        <v>1</v>
      </c>
      <c r="AF197" s="322" t="str">
        <f t="shared" ref="AF197:AF229" si="21">IFERROR(R197/C197-1, "NA")</f>
        <v>NA</v>
      </c>
    </row>
    <row r="198" spans="2:32" outlineLevel="1" x14ac:dyDescent="0.25">
      <c r="B198" s="236">
        <v>101</v>
      </c>
      <c r="C198" s="463">
        <f>ROUND(SUMIFS(Age_Sex22[[#All],[Total Member Months by Age/Sex Band]], Age_Sex22[[#All],[Advanced Network ID]], $B198, Age_Sex22[[#All],[Insurance Category Code]],4),2)</f>
        <v>0</v>
      </c>
      <c r="D198" s="268">
        <f>ROUND(SUMIFS(Age_Sex22[[#All],[Total Dollars Excluded from Spending After Applying Truncation at the Member Level]], Age_Sex22[[#All],[Advanced Network ID]], $B198, Age_Sex22[[#All],[Insurance Category Code]],4),2)</f>
        <v>0</v>
      </c>
      <c r="E198" s="229">
        <f>ROUND(SUMIFS(Age_Sex22[[#All],[Count of Members whose Spending was Truncated]], Age_Sex22[[#All],[Advanced Network ID]], $B198, Age_Sex22[[#All],[Insurance Category Code]],4),2)</f>
        <v>0</v>
      </c>
      <c r="F198" s="230">
        <f>ROUND(SUMIFS(Age_Sex22[[#All],[Total Spending before Truncation is Applied]], Age_Sex22[[#All],[Advanced Network ID]], $B198, Age_Sex22[[#All],[Insurance Category Code]],4),2)</f>
        <v>0</v>
      </c>
      <c r="G198" s="232">
        <f>ROUND(SUMIFS(Age_Sex22[[#All],[Total Spending After Applying Truncation at the Member Level]], Age_Sex22[[#All],[Advanced Network ID]], $B198, Age_Sex22[[#All],[Insurance Category Code]],4),2)</f>
        <v>0</v>
      </c>
      <c r="H198" s="416" t="str">
        <f>IF(C198=ROUND(SUMIFS(AN_TME22[[#All],[Member Months]], AN_TME22[[#All],[Insurance Category Code]],4, AN_TME22[[#All],[Advanced Network/Insurance Carrier Org ID]],B198),2), "TRUE", ROUND(C198-SUMIFS(AN_TME22[[#All],[Member Months]], AN_TME22[[#All],[Insurance Category Code]],4, AN_TME22[[#All],[Advanced Network/Insurance Carrier Org ID]],B198),2))</f>
        <v>TRUE</v>
      </c>
      <c r="I198" s="280" t="str">
        <f>IF(D198=ROUND(SUMIFS(AN_TME22[[#All],[Total Claims Excluded because of Truncation]], AN_TME22[[#All],[Insurance Category Code]],4, AN_TME22[[#All],[Advanced Network/Insurance Carrier Org ID]],B198),2), "TRUE", ROUND(D198-SUMIFS(AN_TME22[[#All],[Total Claims Excluded because of Truncation]], AN_TME22[[#All],[Insurance Category Code]],4, AN_TME22[[#All],[Advanced Network/Insurance Carrier Org ID]],B198),2))</f>
        <v>TRUE</v>
      </c>
      <c r="J198" s="281" t="str">
        <f>IF(E198=ROUND(SUMIFS(AN_TME22[[#All],[Count of Members with Claims Truncated]], AN_TME22[[#All],[Insurance Category Code]],4, AN_TME22[[#All],[Advanced Network/Insurance Carrier Org ID]],B198),2), "TRUE", ROUND(E198-SUMIFS(AN_TME22[[#All],[Count of Members with Claims Truncated]], AN_TME22[[#All],[Insurance Category Code]],4, AN_TME22[[#All],[Advanced Network/Insurance Carrier Org ID]],B198),2))</f>
        <v>TRUE</v>
      </c>
      <c r="K198" s="282" t="str">
        <f>IF(F198=ROUND(SUMIFS(AN_TME22[[#All],[TOTAL Non-Truncated Unadjusted Claims Expenses]], AN_TME22[[#All],[Insurance Category Code]],4, AN_TME22[[#All],[Advanced Network/Insurance Carrier Org ID]],B198),2), "TRUE", ROUND(F198-SUMIFS(AN_TME22[[#All],[TOTAL Non-Truncated Unadjusted Claims Expenses]], AN_TME22[[#All],[Insurance Category Code]],4, AN_TME22[[#All],[Advanced Network/Insurance Carrier Org ID]],B198),2))</f>
        <v>TRUE</v>
      </c>
      <c r="L198" s="295" t="str">
        <f>IF(G198=ROUND(SUMIFS(AN_TME22[[#All],[TOTAL Truncated Unadjusted Claims Expenses (A21 -A19)]], AN_TME22[[#All],[Insurance Category Code]],4, AN_TME22[[#All],[Advanced Network/Insurance Carrier Org ID]],B198),2), "TRUE", ROUND(G198-SUMIFS(AN_TME22[[#All],[TOTAL Truncated Unadjusted Claims Expenses (A21 -A19)]], AN_TME22[[#All],[Insurance Category Code]],4, AN_TME22[[#All],[Advanced Network/Insurance Carrier Org ID]],B198),2))</f>
        <v>TRUE</v>
      </c>
      <c r="M198" s="461" t="str">
        <f t="shared" si="19"/>
        <v>TRUE</v>
      </c>
      <c r="N198" s="282" t="b">
        <f>ROUND(SUMIFS(AN_TME22[[#All],[TOTAL Non-Truncated Unadjusted Claims Expenses]], AN_TME22[[#All],[Insurance Category Code]],4, AN_TME22[[#All],[Advanced Network/Insurance Carrier Org ID]],B198),2)&gt;=ROUND(SUMIFS(AN_TME22[[#All],[TOTAL Truncated Unadjusted Claims Expenses (A21 -A19)]], AN_TME22[[#All],[Insurance Category Code]],4, AN_TME22[[#All],[Advanced Network/Insurance Carrier Org ID]],B198),2)</f>
        <v>1</v>
      </c>
      <c r="O198" s="295" t="b">
        <f>ROUND(SUMIFS(AN_TME22[[#All],[TOTAL Truncated Unadjusted Claims Expenses (A21 -A19)]], AN_TME22[[#All],[Insurance Category Code]],4, AN_TME22[[#All],[Advanced Network/Insurance Carrier Org ID]],B198)+SUMIFS(AN_TME22[[#All],[Total Claims Excluded because of Truncation]], AN_TME22[[#All],[Insurance Category Code]],4, AN_TME22[[#All],[Advanced Network/Insurance Carrier Org ID]],B198),2)=ROUND(SUMIFS(AN_TME22[[#All],[TOTAL Non-Truncated Unadjusted Claims Expenses]], AN_TME22[[#All],[Insurance Category Code]],4, AN_TME22[[#All],[Advanced Network/Insurance Carrier Org ID]],B198),2)</f>
        <v>1</v>
      </c>
      <c r="Q198" s="236">
        <v>101</v>
      </c>
      <c r="R198" s="463">
        <f>ROUND(SUMIFS(Age_Sex23[[#All],[Total Member Months by Age/Sex Band]], Age_Sex23[[#All],[Advanced Network ID]], $Q198, Age_Sex23[[#All],[Insurance Category Code]],4),2)</f>
        <v>0</v>
      </c>
      <c r="S198" s="268">
        <f>ROUND(SUMIFS(Age_Sex23[[#All],[Total Dollars Excluded from Spending After Applying Truncation at the Member Level]], Age_Sex23[[#All],[Advanced Network ID]], $B198, Age_Sex23[[#All],[Insurance Category Code]],4),2)</f>
        <v>0</v>
      </c>
      <c r="T198" s="229">
        <f>ROUND(SUMIFS(Age_Sex23[[#All],[Count of Members whose Spending was Truncated]], Age_Sex23[[#All],[Advanced Network ID]], $B198, Age_Sex23[[#All],[Insurance Category Code]],4),2)</f>
        <v>0</v>
      </c>
      <c r="U198" s="230">
        <f>ROUND(SUMIFS(Age_Sex23[[#All],[Total Spending before Truncation is Applied]], Age_Sex23[[#All],[Advanced Network ID]], $B198, Age_Sex23[[#All],[Insurance Category Code]],4),2)</f>
        <v>0</v>
      </c>
      <c r="V198" s="232">
        <f>ROUND(SUMIFS(Age_Sex23[[#All],[Total Spending After Applying Truncation at the Member Level]], Age_Sex23[[#All],[Advanced Network ID]], $B198, Age_Sex23[[#All],[Insurance Category Code]],4),2)</f>
        <v>0</v>
      </c>
      <c r="W198" s="416" t="str">
        <f>IF(R198=ROUND(SUMIFS(AN_TME23[[#All],[Member Months]], AN_TME23[[#All],[Insurance Category Code]],4, AN_TME23[[#All],[Advanced Network/Insurance Carrier Org ID]],Q198),2), "TRUE", ROUND(R198-SUMIFS(AN_TME23[[#All],[Member Months]], AN_TME23[[#All],[Insurance Category Code]],4, AN_TME23[[#All],[Advanced Network/Insurance Carrier Org ID]],Q198),2))</f>
        <v>TRUE</v>
      </c>
      <c r="X198" s="280" t="str">
        <f>IF(S198=ROUND(SUMIFS(AN_TME23[[#All],[Total Claims Excluded because of Truncation]], AN_TME23[[#All],[Insurance Category Code]],4, AN_TME23[[#All],[Advanced Network/Insurance Carrier Org ID]],Q198),2), "TRUE", ROUND(S198-SUMIFS(AN_TME23[[#All],[Total Claims Excluded because of Truncation]], AN_TME23[[#All],[Insurance Category Code]],4, AN_TME23[[#All],[Advanced Network/Insurance Carrier Org ID]],Q198),2))</f>
        <v>TRUE</v>
      </c>
      <c r="Y198" s="281" t="str">
        <f>IF(T198=ROUND(SUMIFS(AN_TME23[[#All],[Count of Members with Claims Truncated]], AN_TME23[[#All],[Insurance Category Code]],4, AN_TME23[[#All],[Advanced Network/Insurance Carrier Org ID]],Q198),2), "TRUE", ROUND(T198-SUMIFS(AN_TME23[[#All],[Count of Members with Claims Truncated]], AN_TME23[[#All],[Insurance Category Code]],4, AN_TME23[[#All],[Advanced Network/Insurance Carrier Org ID]],Q198),2))</f>
        <v>TRUE</v>
      </c>
      <c r="Z198" s="282" t="str">
        <f>IF(U198=ROUND(SUMIFS(AN_TME23[[#All],[TOTAL Non-Truncated Unadjusted Claims Expenses]], AN_TME23[[#All],[Insurance Category Code]],4, AN_TME23[[#All],[Advanced Network/Insurance Carrier Org ID]],Q198),2), "TRUE", ROUND(U198-SUMIFS(AN_TME23[[#All],[TOTAL Non-Truncated Unadjusted Claims Expenses]], AN_TME23[[#All],[Insurance Category Code]],4, AN_TME23[[#All],[Advanced Network/Insurance Carrier Org ID]],Q198),2))</f>
        <v>TRUE</v>
      </c>
      <c r="AA198" s="295" t="str">
        <f>IF(V198=ROUND(SUMIFS(AN_TME23[[#All],[TOTAL Truncated Unadjusted Claims Expenses (A21 -A19)]], AN_TME23[[#All],[Insurance Category Code]],4, AN_TME23[[#All],[Advanced Network/Insurance Carrier Org ID]],Q198),2), "TRUE",ROUND( V198-SUMIFS(AN_TME23[[#All],[TOTAL Truncated Unadjusted Claims Expenses (A21 -A19)]], AN_TME23[[#All],[Insurance Category Code]],4, AN_TME23[[#All],[Advanced Network/Insurance Carrier Org ID]],Q198),2))</f>
        <v>TRUE</v>
      </c>
      <c r="AB198" s="461" t="str">
        <f t="shared" ref="AB198:AB229" si="22">IF(T198=0, "TRUE",IF((R198/12)&gt;T198,"TRUE",(R198/12)-T198))</f>
        <v>TRUE</v>
      </c>
      <c r="AC198" s="282" t="b">
        <f>ROUND(SUMIFS(AN_TME23[[#All],[TOTAL Non-Truncated Unadjusted Claims Expenses]], AN_TME23[[#All],[Insurance Category Code]],4, AN_TME23[[#All],[Advanced Network/Insurance Carrier Org ID]],Q198),2)&gt;=ROUND(SUMIFS(AN_TME23[[#All],[TOTAL Truncated Unadjusted Claims Expenses (A21 -A19)]], AN_TME23[[#All],[Insurance Category Code]],4, AN_TME23[[#All],[Advanced Network/Insurance Carrier Org ID]],Q198),2)</f>
        <v>1</v>
      </c>
      <c r="AD198" s="295" t="b">
        <f>ROUND(SUMIFS(AN_TME23[[#All],[TOTAL Truncated Unadjusted Claims Expenses (A21 -A19)]], AN_TME23[[#All],[Insurance Category Code]],4, AN_TME23[[#All],[Advanced Network/Insurance Carrier Org ID]],Q198)+SUMIFS(AN_TME23[[#All],[Total Claims Excluded because of Truncation]], AN_TME23[[#All],[Insurance Category Code]],4, AN_TME23[[#All],[Advanced Network/Insurance Carrier Org ID]],Q198),2)=ROUND(SUMIFS(AN_TME23[[#All],[TOTAL Non-Truncated Unadjusted Claims Expenses]], AN_TME23[[#All],[Insurance Category Code]],4, AN_TME23[[#All],[Advanced Network/Insurance Carrier Org ID]],Q198),2)</f>
        <v>1</v>
      </c>
      <c r="AF198" s="323" t="str">
        <f t="shared" si="21"/>
        <v>NA</v>
      </c>
    </row>
    <row r="199" spans="2:32" outlineLevel="1" x14ac:dyDescent="0.25">
      <c r="B199" s="236">
        <v>102</v>
      </c>
      <c r="C199" s="463">
        <f>ROUND(SUMIFS(Age_Sex22[[#All],[Total Member Months by Age/Sex Band]], Age_Sex22[[#All],[Advanced Network ID]], $B199, Age_Sex22[[#All],[Insurance Category Code]],4),2)</f>
        <v>0</v>
      </c>
      <c r="D199" s="268">
        <f>ROUND(SUMIFS(Age_Sex22[[#All],[Total Dollars Excluded from Spending After Applying Truncation at the Member Level]], Age_Sex22[[#All],[Advanced Network ID]], $B199, Age_Sex22[[#All],[Insurance Category Code]],4),2)</f>
        <v>0</v>
      </c>
      <c r="E199" s="229">
        <f>ROUND(SUMIFS(Age_Sex22[[#All],[Count of Members whose Spending was Truncated]], Age_Sex22[[#All],[Advanced Network ID]], $B199, Age_Sex22[[#All],[Insurance Category Code]],4),2)</f>
        <v>0</v>
      </c>
      <c r="F199" s="230">
        <f>ROUND(SUMIFS(Age_Sex22[[#All],[Total Spending before Truncation is Applied]], Age_Sex22[[#All],[Advanced Network ID]], $B199, Age_Sex22[[#All],[Insurance Category Code]],4),2)</f>
        <v>0</v>
      </c>
      <c r="G199" s="232">
        <f>ROUND(SUMIFS(Age_Sex22[[#All],[Total Spending After Applying Truncation at the Member Level]], Age_Sex22[[#All],[Advanced Network ID]], $B199, Age_Sex22[[#All],[Insurance Category Code]],4),2)</f>
        <v>0</v>
      </c>
      <c r="H199" s="416" t="str">
        <f>IF(C199=ROUND(SUMIFS(AN_TME22[[#All],[Member Months]], AN_TME22[[#All],[Insurance Category Code]],4, AN_TME22[[#All],[Advanced Network/Insurance Carrier Org ID]],B199),2), "TRUE", ROUND(C199-SUMIFS(AN_TME22[[#All],[Member Months]], AN_TME22[[#All],[Insurance Category Code]],4, AN_TME22[[#All],[Advanced Network/Insurance Carrier Org ID]],B199),2))</f>
        <v>TRUE</v>
      </c>
      <c r="I199" s="280" t="str">
        <f>IF(D199=ROUND(SUMIFS(AN_TME22[[#All],[Total Claims Excluded because of Truncation]], AN_TME22[[#All],[Insurance Category Code]],4, AN_TME22[[#All],[Advanced Network/Insurance Carrier Org ID]],B199),2), "TRUE", ROUND(D199-SUMIFS(AN_TME22[[#All],[Total Claims Excluded because of Truncation]], AN_TME22[[#All],[Insurance Category Code]],4, AN_TME22[[#All],[Advanced Network/Insurance Carrier Org ID]],B199),2))</f>
        <v>TRUE</v>
      </c>
      <c r="J199" s="281" t="str">
        <f>IF(E199=ROUND(SUMIFS(AN_TME22[[#All],[Count of Members with Claims Truncated]], AN_TME22[[#All],[Insurance Category Code]],4, AN_TME22[[#All],[Advanced Network/Insurance Carrier Org ID]],B199),2), "TRUE", ROUND(E199-SUMIFS(AN_TME22[[#All],[Count of Members with Claims Truncated]], AN_TME22[[#All],[Insurance Category Code]],4, AN_TME22[[#All],[Advanced Network/Insurance Carrier Org ID]],B199),2))</f>
        <v>TRUE</v>
      </c>
      <c r="K199" s="282" t="str">
        <f>IF(F199=ROUND(SUMIFS(AN_TME22[[#All],[TOTAL Non-Truncated Unadjusted Claims Expenses]], AN_TME22[[#All],[Insurance Category Code]],4, AN_TME22[[#All],[Advanced Network/Insurance Carrier Org ID]],B199),2), "TRUE", ROUND(F199-SUMIFS(AN_TME22[[#All],[TOTAL Non-Truncated Unadjusted Claims Expenses]], AN_TME22[[#All],[Insurance Category Code]],4, AN_TME22[[#All],[Advanced Network/Insurance Carrier Org ID]],B199),2))</f>
        <v>TRUE</v>
      </c>
      <c r="L199" s="295" t="str">
        <f>IF(G199=ROUND(SUMIFS(AN_TME22[[#All],[TOTAL Truncated Unadjusted Claims Expenses (A21 -A19)]], AN_TME22[[#All],[Insurance Category Code]],4, AN_TME22[[#All],[Advanced Network/Insurance Carrier Org ID]],B199),2), "TRUE", ROUND(G199-SUMIFS(AN_TME22[[#All],[TOTAL Truncated Unadjusted Claims Expenses (A21 -A19)]], AN_TME22[[#All],[Insurance Category Code]],4, AN_TME22[[#All],[Advanced Network/Insurance Carrier Org ID]],B199),2))</f>
        <v>TRUE</v>
      </c>
      <c r="M199" s="461" t="str">
        <f t="shared" si="19"/>
        <v>TRUE</v>
      </c>
      <c r="N199" s="282" t="b">
        <f>ROUND(SUMIFS(AN_TME22[[#All],[TOTAL Non-Truncated Unadjusted Claims Expenses]], AN_TME22[[#All],[Insurance Category Code]],4, AN_TME22[[#All],[Advanced Network/Insurance Carrier Org ID]],B199),2)&gt;=ROUND(SUMIFS(AN_TME22[[#All],[TOTAL Truncated Unadjusted Claims Expenses (A21 -A19)]], AN_TME22[[#All],[Insurance Category Code]],4, AN_TME22[[#All],[Advanced Network/Insurance Carrier Org ID]],B199),2)</f>
        <v>1</v>
      </c>
      <c r="O199" s="295" t="b">
        <f>ROUND(SUMIFS(AN_TME22[[#All],[TOTAL Truncated Unadjusted Claims Expenses (A21 -A19)]], AN_TME22[[#All],[Insurance Category Code]],4, AN_TME22[[#All],[Advanced Network/Insurance Carrier Org ID]],B199)+SUMIFS(AN_TME22[[#All],[Total Claims Excluded because of Truncation]], AN_TME22[[#All],[Insurance Category Code]],4, AN_TME22[[#All],[Advanced Network/Insurance Carrier Org ID]],B199),2)=ROUND(SUMIFS(AN_TME22[[#All],[TOTAL Non-Truncated Unadjusted Claims Expenses]], AN_TME22[[#All],[Insurance Category Code]],4, AN_TME22[[#All],[Advanced Network/Insurance Carrier Org ID]],B199),2)</f>
        <v>1</v>
      </c>
      <c r="Q199" s="236">
        <v>102</v>
      </c>
      <c r="R199" s="463">
        <f>ROUND(SUMIFS(Age_Sex23[[#All],[Total Member Months by Age/Sex Band]], Age_Sex23[[#All],[Advanced Network ID]], $Q199, Age_Sex23[[#All],[Insurance Category Code]],4),2)</f>
        <v>0</v>
      </c>
      <c r="S199" s="268">
        <f>ROUND(SUMIFS(Age_Sex23[[#All],[Total Dollars Excluded from Spending After Applying Truncation at the Member Level]], Age_Sex23[[#All],[Advanced Network ID]], $B199, Age_Sex23[[#All],[Insurance Category Code]],4),2)</f>
        <v>0</v>
      </c>
      <c r="T199" s="229">
        <f>ROUND(SUMIFS(Age_Sex23[[#All],[Count of Members whose Spending was Truncated]], Age_Sex23[[#All],[Advanced Network ID]], $B199, Age_Sex23[[#All],[Insurance Category Code]],4),2)</f>
        <v>0</v>
      </c>
      <c r="U199" s="230">
        <f>ROUND(SUMIFS(Age_Sex23[[#All],[Total Spending before Truncation is Applied]], Age_Sex23[[#All],[Advanced Network ID]], $B199, Age_Sex23[[#All],[Insurance Category Code]],4),2)</f>
        <v>0</v>
      </c>
      <c r="V199" s="232">
        <f>ROUND(SUMIFS(Age_Sex23[[#All],[Total Spending After Applying Truncation at the Member Level]], Age_Sex23[[#All],[Advanced Network ID]], $B199, Age_Sex23[[#All],[Insurance Category Code]],4),2)</f>
        <v>0</v>
      </c>
      <c r="W199" s="416" t="str">
        <f>IF(R199=ROUND(SUMIFS(AN_TME23[[#All],[Member Months]], AN_TME23[[#All],[Insurance Category Code]],4, AN_TME23[[#All],[Advanced Network/Insurance Carrier Org ID]],Q199),2), "TRUE", ROUND(R199-SUMIFS(AN_TME23[[#All],[Member Months]], AN_TME23[[#All],[Insurance Category Code]],4, AN_TME23[[#All],[Advanced Network/Insurance Carrier Org ID]],Q199),2))</f>
        <v>TRUE</v>
      </c>
      <c r="X199" s="280" t="str">
        <f>IF(S199=ROUND(SUMIFS(AN_TME23[[#All],[Total Claims Excluded because of Truncation]], AN_TME23[[#All],[Insurance Category Code]],4, AN_TME23[[#All],[Advanced Network/Insurance Carrier Org ID]],Q199),2), "TRUE", ROUND(S199-SUMIFS(AN_TME23[[#All],[Total Claims Excluded because of Truncation]], AN_TME23[[#All],[Insurance Category Code]],4, AN_TME23[[#All],[Advanced Network/Insurance Carrier Org ID]],Q199),2))</f>
        <v>TRUE</v>
      </c>
      <c r="Y199" s="281" t="str">
        <f>IF(T199=ROUND(SUMIFS(AN_TME23[[#All],[Count of Members with Claims Truncated]], AN_TME23[[#All],[Insurance Category Code]],4, AN_TME23[[#All],[Advanced Network/Insurance Carrier Org ID]],Q199),2), "TRUE", ROUND(T199-SUMIFS(AN_TME23[[#All],[Count of Members with Claims Truncated]], AN_TME23[[#All],[Insurance Category Code]],4, AN_TME23[[#All],[Advanced Network/Insurance Carrier Org ID]],Q199),2))</f>
        <v>TRUE</v>
      </c>
      <c r="Z199" s="282" t="str">
        <f>IF(U199=ROUND(SUMIFS(AN_TME23[[#All],[TOTAL Non-Truncated Unadjusted Claims Expenses]], AN_TME23[[#All],[Insurance Category Code]],4, AN_TME23[[#All],[Advanced Network/Insurance Carrier Org ID]],Q199),2), "TRUE", ROUND(U199-SUMIFS(AN_TME23[[#All],[TOTAL Non-Truncated Unadjusted Claims Expenses]], AN_TME23[[#All],[Insurance Category Code]],4, AN_TME23[[#All],[Advanced Network/Insurance Carrier Org ID]],Q199),2))</f>
        <v>TRUE</v>
      </c>
      <c r="AA199" s="295" t="str">
        <f>IF(V199=ROUND(SUMIFS(AN_TME23[[#All],[TOTAL Truncated Unadjusted Claims Expenses (A21 -A19)]], AN_TME23[[#All],[Insurance Category Code]],4, AN_TME23[[#All],[Advanced Network/Insurance Carrier Org ID]],Q199),2), "TRUE",ROUND( V199-SUMIFS(AN_TME23[[#All],[TOTAL Truncated Unadjusted Claims Expenses (A21 -A19)]], AN_TME23[[#All],[Insurance Category Code]],4, AN_TME23[[#All],[Advanced Network/Insurance Carrier Org ID]],Q199),2))</f>
        <v>TRUE</v>
      </c>
      <c r="AB199" s="461" t="str">
        <f t="shared" si="22"/>
        <v>TRUE</v>
      </c>
      <c r="AC199" s="282" t="b">
        <f>ROUND(SUMIFS(AN_TME23[[#All],[TOTAL Non-Truncated Unadjusted Claims Expenses]], AN_TME23[[#All],[Insurance Category Code]],4, AN_TME23[[#All],[Advanced Network/Insurance Carrier Org ID]],Q199),2)&gt;=ROUND(SUMIFS(AN_TME23[[#All],[TOTAL Truncated Unadjusted Claims Expenses (A21 -A19)]], AN_TME23[[#All],[Insurance Category Code]],4, AN_TME23[[#All],[Advanced Network/Insurance Carrier Org ID]],Q199),2)</f>
        <v>1</v>
      </c>
      <c r="AD199" s="295" t="b">
        <f>ROUND(SUMIFS(AN_TME23[[#All],[TOTAL Truncated Unadjusted Claims Expenses (A21 -A19)]], AN_TME23[[#All],[Insurance Category Code]],4, AN_TME23[[#All],[Advanced Network/Insurance Carrier Org ID]],Q199)+SUMIFS(AN_TME23[[#All],[Total Claims Excluded because of Truncation]], AN_TME23[[#All],[Insurance Category Code]],4, AN_TME23[[#All],[Advanced Network/Insurance Carrier Org ID]],Q199),2)=ROUND(SUMIFS(AN_TME23[[#All],[TOTAL Non-Truncated Unadjusted Claims Expenses]], AN_TME23[[#All],[Insurance Category Code]],4, AN_TME23[[#All],[Advanced Network/Insurance Carrier Org ID]],Q199),2)</f>
        <v>1</v>
      </c>
      <c r="AF199" s="323" t="str">
        <f t="shared" si="21"/>
        <v>NA</v>
      </c>
    </row>
    <row r="200" spans="2:32" outlineLevel="1" x14ac:dyDescent="0.25">
      <c r="B200" s="236">
        <v>103</v>
      </c>
      <c r="C200" s="463">
        <f>ROUND(SUMIFS(Age_Sex22[[#All],[Total Member Months by Age/Sex Band]], Age_Sex22[[#All],[Advanced Network ID]], $B200, Age_Sex22[[#All],[Insurance Category Code]],4),2)</f>
        <v>0</v>
      </c>
      <c r="D200" s="268">
        <f>ROUND(SUMIFS(Age_Sex22[[#All],[Total Dollars Excluded from Spending After Applying Truncation at the Member Level]], Age_Sex22[[#All],[Advanced Network ID]], $B200, Age_Sex22[[#All],[Insurance Category Code]],4),2)</f>
        <v>0</v>
      </c>
      <c r="E200" s="229">
        <f>ROUND(SUMIFS(Age_Sex22[[#All],[Count of Members whose Spending was Truncated]], Age_Sex22[[#All],[Advanced Network ID]], $B200, Age_Sex22[[#All],[Insurance Category Code]],4),2)</f>
        <v>0</v>
      </c>
      <c r="F200" s="230">
        <f>ROUND(SUMIFS(Age_Sex22[[#All],[Total Spending before Truncation is Applied]], Age_Sex22[[#All],[Advanced Network ID]], $B200, Age_Sex22[[#All],[Insurance Category Code]],4),2)</f>
        <v>0</v>
      </c>
      <c r="G200" s="232">
        <f>ROUND(SUMIFS(Age_Sex22[[#All],[Total Spending After Applying Truncation at the Member Level]], Age_Sex22[[#All],[Advanced Network ID]], $B200, Age_Sex22[[#All],[Insurance Category Code]],4),2)</f>
        <v>0</v>
      </c>
      <c r="H200" s="416" t="str">
        <f>IF(C200=ROUND(SUMIFS(AN_TME22[[#All],[Member Months]], AN_TME22[[#All],[Insurance Category Code]],4, AN_TME22[[#All],[Advanced Network/Insurance Carrier Org ID]],B200),2), "TRUE", ROUND(C200-SUMIFS(AN_TME22[[#All],[Member Months]], AN_TME22[[#All],[Insurance Category Code]],4, AN_TME22[[#All],[Advanced Network/Insurance Carrier Org ID]],B200),2))</f>
        <v>TRUE</v>
      </c>
      <c r="I200" s="280" t="str">
        <f>IF(D200=ROUND(SUMIFS(AN_TME22[[#All],[Total Claims Excluded because of Truncation]], AN_TME22[[#All],[Insurance Category Code]],4, AN_TME22[[#All],[Advanced Network/Insurance Carrier Org ID]],B200),2), "TRUE", ROUND(D200-SUMIFS(AN_TME22[[#All],[Total Claims Excluded because of Truncation]], AN_TME22[[#All],[Insurance Category Code]],4, AN_TME22[[#All],[Advanced Network/Insurance Carrier Org ID]],B200),2))</f>
        <v>TRUE</v>
      </c>
      <c r="J200" s="281" t="str">
        <f>IF(E200=ROUND(SUMIFS(AN_TME22[[#All],[Count of Members with Claims Truncated]], AN_TME22[[#All],[Insurance Category Code]],4, AN_TME22[[#All],[Advanced Network/Insurance Carrier Org ID]],B200),2), "TRUE", ROUND(E200-SUMIFS(AN_TME22[[#All],[Count of Members with Claims Truncated]], AN_TME22[[#All],[Insurance Category Code]],4, AN_TME22[[#All],[Advanced Network/Insurance Carrier Org ID]],B200),2))</f>
        <v>TRUE</v>
      </c>
      <c r="K200" s="282" t="str">
        <f>IF(F200=ROUND(SUMIFS(AN_TME22[[#All],[TOTAL Non-Truncated Unadjusted Claims Expenses]], AN_TME22[[#All],[Insurance Category Code]],4, AN_TME22[[#All],[Advanced Network/Insurance Carrier Org ID]],B200),2), "TRUE", ROUND(F200-SUMIFS(AN_TME22[[#All],[TOTAL Non-Truncated Unadjusted Claims Expenses]], AN_TME22[[#All],[Insurance Category Code]],4, AN_TME22[[#All],[Advanced Network/Insurance Carrier Org ID]],B200),2))</f>
        <v>TRUE</v>
      </c>
      <c r="L200" s="295" t="str">
        <f>IF(G200=ROUND(SUMIFS(AN_TME22[[#All],[TOTAL Truncated Unadjusted Claims Expenses (A21 -A19)]], AN_TME22[[#All],[Insurance Category Code]],4, AN_TME22[[#All],[Advanced Network/Insurance Carrier Org ID]],B200),2), "TRUE", ROUND(G200-SUMIFS(AN_TME22[[#All],[TOTAL Truncated Unadjusted Claims Expenses (A21 -A19)]], AN_TME22[[#All],[Insurance Category Code]],4, AN_TME22[[#All],[Advanced Network/Insurance Carrier Org ID]],B200),2))</f>
        <v>TRUE</v>
      </c>
      <c r="M200" s="461" t="str">
        <f t="shared" si="19"/>
        <v>TRUE</v>
      </c>
      <c r="N200" s="282" t="b">
        <f>ROUND(SUMIFS(AN_TME22[[#All],[TOTAL Non-Truncated Unadjusted Claims Expenses]], AN_TME22[[#All],[Insurance Category Code]],4, AN_TME22[[#All],[Advanced Network/Insurance Carrier Org ID]],B200),2)&gt;=ROUND(SUMIFS(AN_TME22[[#All],[TOTAL Truncated Unadjusted Claims Expenses (A21 -A19)]], AN_TME22[[#All],[Insurance Category Code]],4, AN_TME22[[#All],[Advanced Network/Insurance Carrier Org ID]],B200),2)</f>
        <v>1</v>
      </c>
      <c r="O200" s="295" t="b">
        <f>ROUND(SUMIFS(AN_TME22[[#All],[TOTAL Truncated Unadjusted Claims Expenses (A21 -A19)]], AN_TME22[[#All],[Insurance Category Code]],4, AN_TME22[[#All],[Advanced Network/Insurance Carrier Org ID]],B200)+SUMIFS(AN_TME22[[#All],[Total Claims Excluded because of Truncation]], AN_TME22[[#All],[Insurance Category Code]],4, AN_TME22[[#All],[Advanced Network/Insurance Carrier Org ID]],B200),2)=ROUND(SUMIFS(AN_TME22[[#All],[TOTAL Non-Truncated Unadjusted Claims Expenses]], AN_TME22[[#All],[Insurance Category Code]],4, AN_TME22[[#All],[Advanced Network/Insurance Carrier Org ID]],B200),2)</f>
        <v>1</v>
      </c>
      <c r="Q200" s="236">
        <v>103</v>
      </c>
      <c r="R200" s="463">
        <f>ROUND(SUMIFS(Age_Sex23[[#All],[Total Member Months by Age/Sex Band]], Age_Sex23[[#All],[Advanced Network ID]], $Q200, Age_Sex23[[#All],[Insurance Category Code]],4),2)</f>
        <v>0</v>
      </c>
      <c r="S200" s="268">
        <f>ROUND(SUMIFS(Age_Sex23[[#All],[Total Dollars Excluded from Spending After Applying Truncation at the Member Level]], Age_Sex23[[#All],[Advanced Network ID]], $B200, Age_Sex23[[#All],[Insurance Category Code]],4),2)</f>
        <v>0</v>
      </c>
      <c r="T200" s="229">
        <f>ROUND(SUMIFS(Age_Sex23[[#All],[Count of Members whose Spending was Truncated]], Age_Sex23[[#All],[Advanced Network ID]], $B200, Age_Sex23[[#All],[Insurance Category Code]],4),2)</f>
        <v>0</v>
      </c>
      <c r="U200" s="230">
        <f>ROUND(SUMIFS(Age_Sex23[[#All],[Total Spending before Truncation is Applied]], Age_Sex23[[#All],[Advanced Network ID]], $B200, Age_Sex23[[#All],[Insurance Category Code]],4),2)</f>
        <v>0</v>
      </c>
      <c r="V200" s="232">
        <f>ROUND(SUMIFS(Age_Sex23[[#All],[Total Spending After Applying Truncation at the Member Level]], Age_Sex23[[#All],[Advanced Network ID]], $B200, Age_Sex23[[#All],[Insurance Category Code]],4),2)</f>
        <v>0</v>
      </c>
      <c r="W200" s="416" t="str">
        <f>IF(R200=ROUND(SUMIFS(AN_TME23[[#All],[Member Months]], AN_TME23[[#All],[Insurance Category Code]],4, AN_TME23[[#All],[Advanced Network/Insurance Carrier Org ID]],Q200),2), "TRUE", ROUND(R200-SUMIFS(AN_TME23[[#All],[Member Months]], AN_TME23[[#All],[Insurance Category Code]],4, AN_TME23[[#All],[Advanced Network/Insurance Carrier Org ID]],Q200),2))</f>
        <v>TRUE</v>
      </c>
      <c r="X200" s="280" t="str">
        <f>IF(S200=ROUND(SUMIFS(AN_TME23[[#All],[Total Claims Excluded because of Truncation]], AN_TME23[[#All],[Insurance Category Code]],4, AN_TME23[[#All],[Advanced Network/Insurance Carrier Org ID]],Q200),2), "TRUE", ROUND(S200-SUMIFS(AN_TME23[[#All],[Total Claims Excluded because of Truncation]], AN_TME23[[#All],[Insurance Category Code]],4, AN_TME23[[#All],[Advanced Network/Insurance Carrier Org ID]],Q200),2))</f>
        <v>TRUE</v>
      </c>
      <c r="Y200" s="281" t="str">
        <f>IF(T200=ROUND(SUMIFS(AN_TME23[[#All],[Count of Members with Claims Truncated]], AN_TME23[[#All],[Insurance Category Code]],4, AN_TME23[[#All],[Advanced Network/Insurance Carrier Org ID]],Q200),2), "TRUE", ROUND(T200-SUMIFS(AN_TME23[[#All],[Count of Members with Claims Truncated]], AN_TME23[[#All],[Insurance Category Code]],4, AN_TME23[[#All],[Advanced Network/Insurance Carrier Org ID]],Q200),2))</f>
        <v>TRUE</v>
      </c>
      <c r="Z200" s="282" t="str">
        <f>IF(U200=ROUND(SUMIFS(AN_TME23[[#All],[TOTAL Non-Truncated Unadjusted Claims Expenses]], AN_TME23[[#All],[Insurance Category Code]],4, AN_TME23[[#All],[Advanced Network/Insurance Carrier Org ID]],Q200),2), "TRUE", ROUND(U200-SUMIFS(AN_TME23[[#All],[TOTAL Non-Truncated Unadjusted Claims Expenses]], AN_TME23[[#All],[Insurance Category Code]],4, AN_TME23[[#All],[Advanced Network/Insurance Carrier Org ID]],Q200),2))</f>
        <v>TRUE</v>
      </c>
      <c r="AA200" s="295" t="str">
        <f>IF(V200=ROUND(SUMIFS(AN_TME23[[#All],[TOTAL Truncated Unadjusted Claims Expenses (A21 -A19)]], AN_TME23[[#All],[Insurance Category Code]],4, AN_TME23[[#All],[Advanced Network/Insurance Carrier Org ID]],Q200),2), "TRUE",ROUND( V200-SUMIFS(AN_TME23[[#All],[TOTAL Truncated Unadjusted Claims Expenses (A21 -A19)]], AN_TME23[[#All],[Insurance Category Code]],4, AN_TME23[[#All],[Advanced Network/Insurance Carrier Org ID]],Q200),2))</f>
        <v>TRUE</v>
      </c>
      <c r="AB200" s="461" t="str">
        <f t="shared" si="22"/>
        <v>TRUE</v>
      </c>
      <c r="AC200" s="282" t="b">
        <f>ROUND(SUMIFS(AN_TME23[[#All],[TOTAL Non-Truncated Unadjusted Claims Expenses]], AN_TME23[[#All],[Insurance Category Code]],4, AN_TME23[[#All],[Advanced Network/Insurance Carrier Org ID]],Q200),2)&gt;=ROUND(SUMIFS(AN_TME23[[#All],[TOTAL Truncated Unadjusted Claims Expenses (A21 -A19)]], AN_TME23[[#All],[Insurance Category Code]],4, AN_TME23[[#All],[Advanced Network/Insurance Carrier Org ID]],Q200),2)</f>
        <v>1</v>
      </c>
      <c r="AD200" s="295" t="b">
        <f>ROUND(SUMIFS(AN_TME23[[#All],[TOTAL Truncated Unadjusted Claims Expenses (A21 -A19)]], AN_TME23[[#All],[Insurance Category Code]],4, AN_TME23[[#All],[Advanced Network/Insurance Carrier Org ID]],Q200)+SUMIFS(AN_TME23[[#All],[Total Claims Excluded because of Truncation]], AN_TME23[[#All],[Insurance Category Code]],4, AN_TME23[[#All],[Advanced Network/Insurance Carrier Org ID]],Q200),2)=ROUND(SUMIFS(AN_TME23[[#All],[TOTAL Non-Truncated Unadjusted Claims Expenses]], AN_TME23[[#All],[Insurance Category Code]],4, AN_TME23[[#All],[Advanced Network/Insurance Carrier Org ID]],Q200),2)</f>
        <v>1</v>
      </c>
      <c r="AF200" s="323" t="str">
        <f t="shared" si="21"/>
        <v>NA</v>
      </c>
    </row>
    <row r="201" spans="2:32" outlineLevel="1" x14ac:dyDescent="0.25">
      <c r="B201" s="236">
        <v>104</v>
      </c>
      <c r="C201" s="463">
        <f>ROUND(SUMIFS(Age_Sex22[[#All],[Total Member Months by Age/Sex Band]], Age_Sex22[[#All],[Advanced Network ID]], $B201, Age_Sex22[[#All],[Insurance Category Code]],4),2)</f>
        <v>0</v>
      </c>
      <c r="D201" s="268">
        <f>ROUND(SUMIFS(Age_Sex22[[#All],[Total Dollars Excluded from Spending After Applying Truncation at the Member Level]], Age_Sex22[[#All],[Advanced Network ID]], $B201, Age_Sex22[[#All],[Insurance Category Code]],4),2)</f>
        <v>0</v>
      </c>
      <c r="E201" s="229">
        <f>ROUND(SUMIFS(Age_Sex22[[#All],[Count of Members whose Spending was Truncated]], Age_Sex22[[#All],[Advanced Network ID]], $B201, Age_Sex22[[#All],[Insurance Category Code]],4),2)</f>
        <v>0</v>
      </c>
      <c r="F201" s="230">
        <f>ROUND(SUMIFS(Age_Sex22[[#All],[Total Spending before Truncation is Applied]], Age_Sex22[[#All],[Advanced Network ID]], $B201, Age_Sex22[[#All],[Insurance Category Code]],4),2)</f>
        <v>0</v>
      </c>
      <c r="G201" s="232">
        <f>ROUND(SUMIFS(Age_Sex22[[#All],[Total Spending After Applying Truncation at the Member Level]], Age_Sex22[[#All],[Advanced Network ID]], $B201, Age_Sex22[[#All],[Insurance Category Code]],4),2)</f>
        <v>0</v>
      </c>
      <c r="H201" s="416" t="str">
        <f>IF(C201=ROUND(SUMIFS(AN_TME22[[#All],[Member Months]], AN_TME22[[#All],[Insurance Category Code]],4, AN_TME22[[#All],[Advanced Network/Insurance Carrier Org ID]],B201),2), "TRUE", ROUND(C201-SUMIFS(AN_TME22[[#All],[Member Months]], AN_TME22[[#All],[Insurance Category Code]],4, AN_TME22[[#All],[Advanced Network/Insurance Carrier Org ID]],B201),2))</f>
        <v>TRUE</v>
      </c>
      <c r="I201" s="280" t="str">
        <f>IF(D201=ROUND(SUMIFS(AN_TME22[[#All],[Total Claims Excluded because of Truncation]], AN_TME22[[#All],[Insurance Category Code]],4, AN_TME22[[#All],[Advanced Network/Insurance Carrier Org ID]],B201),2), "TRUE", ROUND(D201-SUMIFS(AN_TME22[[#All],[Total Claims Excluded because of Truncation]], AN_TME22[[#All],[Insurance Category Code]],4, AN_TME22[[#All],[Advanced Network/Insurance Carrier Org ID]],B201),2))</f>
        <v>TRUE</v>
      </c>
      <c r="J201" s="281" t="str">
        <f>IF(E201=ROUND(SUMIFS(AN_TME22[[#All],[Count of Members with Claims Truncated]], AN_TME22[[#All],[Insurance Category Code]],4, AN_TME22[[#All],[Advanced Network/Insurance Carrier Org ID]],B201),2), "TRUE", ROUND(E201-SUMIFS(AN_TME22[[#All],[Count of Members with Claims Truncated]], AN_TME22[[#All],[Insurance Category Code]],4, AN_TME22[[#All],[Advanced Network/Insurance Carrier Org ID]],B201),2))</f>
        <v>TRUE</v>
      </c>
      <c r="K201" s="282" t="str">
        <f>IF(F201=ROUND(SUMIFS(AN_TME22[[#All],[TOTAL Non-Truncated Unadjusted Claims Expenses]], AN_TME22[[#All],[Insurance Category Code]],4, AN_TME22[[#All],[Advanced Network/Insurance Carrier Org ID]],B201),2), "TRUE", ROUND(F201-SUMIFS(AN_TME22[[#All],[TOTAL Non-Truncated Unadjusted Claims Expenses]], AN_TME22[[#All],[Insurance Category Code]],4, AN_TME22[[#All],[Advanced Network/Insurance Carrier Org ID]],B201),2))</f>
        <v>TRUE</v>
      </c>
      <c r="L201" s="295" t="str">
        <f>IF(G201=ROUND(SUMIFS(AN_TME22[[#All],[TOTAL Truncated Unadjusted Claims Expenses (A21 -A19)]], AN_TME22[[#All],[Insurance Category Code]],4, AN_TME22[[#All],[Advanced Network/Insurance Carrier Org ID]],B201),2), "TRUE", ROUND(G201-SUMIFS(AN_TME22[[#All],[TOTAL Truncated Unadjusted Claims Expenses (A21 -A19)]], AN_TME22[[#All],[Insurance Category Code]],4, AN_TME22[[#All],[Advanced Network/Insurance Carrier Org ID]],B201),2))</f>
        <v>TRUE</v>
      </c>
      <c r="M201" s="461" t="str">
        <f t="shared" si="19"/>
        <v>TRUE</v>
      </c>
      <c r="N201" s="282" t="b">
        <f>ROUND(SUMIFS(AN_TME22[[#All],[TOTAL Non-Truncated Unadjusted Claims Expenses]], AN_TME22[[#All],[Insurance Category Code]],4, AN_TME22[[#All],[Advanced Network/Insurance Carrier Org ID]],B201),2)&gt;=ROUND(SUMIFS(AN_TME22[[#All],[TOTAL Truncated Unadjusted Claims Expenses (A21 -A19)]], AN_TME22[[#All],[Insurance Category Code]],4, AN_TME22[[#All],[Advanced Network/Insurance Carrier Org ID]],B201),2)</f>
        <v>1</v>
      </c>
      <c r="O201" s="295" t="b">
        <f>ROUND(SUMIFS(AN_TME22[[#All],[TOTAL Truncated Unadjusted Claims Expenses (A21 -A19)]], AN_TME22[[#All],[Insurance Category Code]],4, AN_TME22[[#All],[Advanced Network/Insurance Carrier Org ID]],B201)+SUMIFS(AN_TME22[[#All],[Total Claims Excluded because of Truncation]], AN_TME22[[#All],[Insurance Category Code]],4, AN_TME22[[#All],[Advanced Network/Insurance Carrier Org ID]],B201),2)=ROUND(SUMIFS(AN_TME22[[#All],[TOTAL Non-Truncated Unadjusted Claims Expenses]], AN_TME22[[#All],[Insurance Category Code]],4, AN_TME22[[#All],[Advanced Network/Insurance Carrier Org ID]],B201),2)</f>
        <v>1</v>
      </c>
      <c r="Q201" s="236">
        <v>104</v>
      </c>
      <c r="R201" s="463">
        <f>ROUND(SUMIFS(Age_Sex23[[#All],[Total Member Months by Age/Sex Band]], Age_Sex23[[#All],[Advanced Network ID]], $Q201, Age_Sex23[[#All],[Insurance Category Code]],4),2)</f>
        <v>0</v>
      </c>
      <c r="S201" s="268">
        <f>ROUND(SUMIFS(Age_Sex23[[#All],[Total Dollars Excluded from Spending After Applying Truncation at the Member Level]], Age_Sex23[[#All],[Advanced Network ID]], $B201, Age_Sex23[[#All],[Insurance Category Code]],4),2)</f>
        <v>0</v>
      </c>
      <c r="T201" s="229">
        <f>ROUND(SUMIFS(Age_Sex23[[#All],[Count of Members whose Spending was Truncated]], Age_Sex23[[#All],[Advanced Network ID]], $B201, Age_Sex23[[#All],[Insurance Category Code]],4),2)</f>
        <v>0</v>
      </c>
      <c r="U201" s="230">
        <f>ROUND(SUMIFS(Age_Sex23[[#All],[Total Spending before Truncation is Applied]], Age_Sex23[[#All],[Advanced Network ID]], $B201, Age_Sex23[[#All],[Insurance Category Code]],4),2)</f>
        <v>0</v>
      </c>
      <c r="V201" s="232">
        <f>ROUND(SUMIFS(Age_Sex23[[#All],[Total Spending After Applying Truncation at the Member Level]], Age_Sex23[[#All],[Advanced Network ID]], $B201, Age_Sex23[[#All],[Insurance Category Code]],4),2)</f>
        <v>0</v>
      </c>
      <c r="W201" s="416" t="str">
        <f>IF(R201=ROUND(SUMIFS(AN_TME23[[#All],[Member Months]], AN_TME23[[#All],[Insurance Category Code]],4, AN_TME23[[#All],[Advanced Network/Insurance Carrier Org ID]],Q201),2), "TRUE", ROUND(R201-SUMIFS(AN_TME23[[#All],[Member Months]], AN_TME23[[#All],[Insurance Category Code]],4, AN_TME23[[#All],[Advanced Network/Insurance Carrier Org ID]],Q201),2))</f>
        <v>TRUE</v>
      </c>
      <c r="X201" s="280" t="str">
        <f>IF(S201=ROUND(SUMIFS(AN_TME23[[#All],[Total Claims Excluded because of Truncation]], AN_TME23[[#All],[Insurance Category Code]],4, AN_TME23[[#All],[Advanced Network/Insurance Carrier Org ID]],Q201),2), "TRUE", ROUND(S201-SUMIFS(AN_TME23[[#All],[Total Claims Excluded because of Truncation]], AN_TME23[[#All],[Insurance Category Code]],4, AN_TME23[[#All],[Advanced Network/Insurance Carrier Org ID]],Q201),2))</f>
        <v>TRUE</v>
      </c>
      <c r="Y201" s="281" t="str">
        <f>IF(T201=ROUND(SUMIFS(AN_TME23[[#All],[Count of Members with Claims Truncated]], AN_TME23[[#All],[Insurance Category Code]],4, AN_TME23[[#All],[Advanced Network/Insurance Carrier Org ID]],Q201),2), "TRUE", ROUND(T201-SUMIFS(AN_TME23[[#All],[Count of Members with Claims Truncated]], AN_TME23[[#All],[Insurance Category Code]],4, AN_TME23[[#All],[Advanced Network/Insurance Carrier Org ID]],Q201),2))</f>
        <v>TRUE</v>
      </c>
      <c r="Z201" s="282" t="str">
        <f>IF(U201=ROUND(SUMIFS(AN_TME23[[#All],[TOTAL Non-Truncated Unadjusted Claims Expenses]], AN_TME23[[#All],[Insurance Category Code]],4, AN_TME23[[#All],[Advanced Network/Insurance Carrier Org ID]],Q201),2), "TRUE", ROUND(U201-SUMIFS(AN_TME23[[#All],[TOTAL Non-Truncated Unadjusted Claims Expenses]], AN_TME23[[#All],[Insurance Category Code]],4, AN_TME23[[#All],[Advanced Network/Insurance Carrier Org ID]],Q201),2))</f>
        <v>TRUE</v>
      </c>
      <c r="AA201" s="295" t="str">
        <f>IF(V201=ROUND(SUMIFS(AN_TME23[[#All],[TOTAL Truncated Unadjusted Claims Expenses (A21 -A19)]], AN_TME23[[#All],[Insurance Category Code]],4, AN_TME23[[#All],[Advanced Network/Insurance Carrier Org ID]],Q201),2), "TRUE",ROUND( V201-SUMIFS(AN_TME23[[#All],[TOTAL Truncated Unadjusted Claims Expenses (A21 -A19)]], AN_TME23[[#All],[Insurance Category Code]],4, AN_TME23[[#All],[Advanced Network/Insurance Carrier Org ID]],Q201),2))</f>
        <v>TRUE</v>
      </c>
      <c r="AB201" s="461" t="str">
        <f t="shared" si="22"/>
        <v>TRUE</v>
      </c>
      <c r="AC201" s="282" t="b">
        <f>ROUND(SUMIFS(AN_TME23[[#All],[TOTAL Non-Truncated Unadjusted Claims Expenses]], AN_TME23[[#All],[Insurance Category Code]],4, AN_TME23[[#All],[Advanced Network/Insurance Carrier Org ID]],Q201),2)&gt;=ROUND(SUMIFS(AN_TME23[[#All],[TOTAL Truncated Unadjusted Claims Expenses (A21 -A19)]], AN_TME23[[#All],[Insurance Category Code]],4, AN_TME23[[#All],[Advanced Network/Insurance Carrier Org ID]],Q201),2)</f>
        <v>1</v>
      </c>
      <c r="AD201" s="295" t="b">
        <f>ROUND(SUMIFS(AN_TME23[[#All],[TOTAL Truncated Unadjusted Claims Expenses (A21 -A19)]], AN_TME23[[#All],[Insurance Category Code]],4, AN_TME23[[#All],[Advanced Network/Insurance Carrier Org ID]],Q201)+SUMIFS(AN_TME23[[#All],[Total Claims Excluded because of Truncation]], AN_TME23[[#All],[Insurance Category Code]],4, AN_TME23[[#All],[Advanced Network/Insurance Carrier Org ID]],Q201),2)=ROUND(SUMIFS(AN_TME23[[#All],[TOTAL Non-Truncated Unadjusted Claims Expenses]], AN_TME23[[#All],[Insurance Category Code]],4, AN_TME23[[#All],[Advanced Network/Insurance Carrier Org ID]],Q201),2)</f>
        <v>1</v>
      </c>
      <c r="AF201" s="323" t="str">
        <f t="shared" si="21"/>
        <v>NA</v>
      </c>
    </row>
    <row r="202" spans="2:32" outlineLevel="1" x14ac:dyDescent="0.25">
      <c r="B202" s="236">
        <v>105</v>
      </c>
      <c r="C202" s="463">
        <f>ROUND(SUMIFS(Age_Sex22[[#All],[Total Member Months by Age/Sex Band]], Age_Sex22[[#All],[Advanced Network ID]], $B202, Age_Sex22[[#All],[Insurance Category Code]],4),2)</f>
        <v>0</v>
      </c>
      <c r="D202" s="268">
        <f>ROUND(SUMIFS(Age_Sex22[[#All],[Total Dollars Excluded from Spending After Applying Truncation at the Member Level]], Age_Sex22[[#All],[Advanced Network ID]], $B202, Age_Sex22[[#All],[Insurance Category Code]],4),2)</f>
        <v>0</v>
      </c>
      <c r="E202" s="229">
        <f>ROUND(SUMIFS(Age_Sex22[[#All],[Count of Members whose Spending was Truncated]], Age_Sex22[[#All],[Advanced Network ID]], $B202, Age_Sex22[[#All],[Insurance Category Code]],4),2)</f>
        <v>0</v>
      </c>
      <c r="F202" s="230">
        <f>ROUND(SUMIFS(Age_Sex22[[#All],[Total Spending before Truncation is Applied]], Age_Sex22[[#All],[Advanced Network ID]], $B202, Age_Sex22[[#All],[Insurance Category Code]],4),2)</f>
        <v>0</v>
      </c>
      <c r="G202" s="232">
        <f>ROUND(SUMIFS(Age_Sex22[[#All],[Total Spending After Applying Truncation at the Member Level]], Age_Sex22[[#All],[Advanced Network ID]], $B202, Age_Sex22[[#All],[Insurance Category Code]],4),2)</f>
        <v>0</v>
      </c>
      <c r="H202" s="416" t="str">
        <f>IF(C202=ROUND(SUMIFS(AN_TME22[[#All],[Member Months]], AN_TME22[[#All],[Insurance Category Code]],4, AN_TME22[[#All],[Advanced Network/Insurance Carrier Org ID]],B202),2), "TRUE", ROUND(C202-SUMIFS(AN_TME22[[#All],[Member Months]], AN_TME22[[#All],[Insurance Category Code]],4, AN_TME22[[#All],[Advanced Network/Insurance Carrier Org ID]],B202),2))</f>
        <v>TRUE</v>
      </c>
      <c r="I202" s="280" t="str">
        <f>IF(D202=ROUND(SUMIFS(AN_TME22[[#All],[Total Claims Excluded because of Truncation]], AN_TME22[[#All],[Insurance Category Code]],4, AN_TME22[[#All],[Advanced Network/Insurance Carrier Org ID]],B202),2), "TRUE", ROUND(D202-SUMIFS(AN_TME22[[#All],[Total Claims Excluded because of Truncation]], AN_TME22[[#All],[Insurance Category Code]],4, AN_TME22[[#All],[Advanced Network/Insurance Carrier Org ID]],B202),2))</f>
        <v>TRUE</v>
      </c>
      <c r="J202" s="281" t="str">
        <f>IF(E202=ROUND(SUMIFS(AN_TME22[[#All],[Count of Members with Claims Truncated]], AN_TME22[[#All],[Insurance Category Code]],4, AN_TME22[[#All],[Advanced Network/Insurance Carrier Org ID]],B202),2), "TRUE", ROUND(E202-SUMIFS(AN_TME22[[#All],[Count of Members with Claims Truncated]], AN_TME22[[#All],[Insurance Category Code]],4, AN_TME22[[#All],[Advanced Network/Insurance Carrier Org ID]],B202),2))</f>
        <v>TRUE</v>
      </c>
      <c r="K202" s="282" t="str">
        <f>IF(F202=ROUND(SUMIFS(AN_TME22[[#All],[TOTAL Non-Truncated Unadjusted Claims Expenses]], AN_TME22[[#All],[Insurance Category Code]],4, AN_TME22[[#All],[Advanced Network/Insurance Carrier Org ID]],B202),2), "TRUE", ROUND(F202-SUMIFS(AN_TME22[[#All],[TOTAL Non-Truncated Unadjusted Claims Expenses]], AN_TME22[[#All],[Insurance Category Code]],4, AN_TME22[[#All],[Advanced Network/Insurance Carrier Org ID]],B202),2))</f>
        <v>TRUE</v>
      </c>
      <c r="L202" s="295" t="str">
        <f>IF(G202=ROUND(SUMIFS(AN_TME22[[#All],[TOTAL Truncated Unadjusted Claims Expenses (A21 -A19)]], AN_TME22[[#All],[Insurance Category Code]],4, AN_TME22[[#All],[Advanced Network/Insurance Carrier Org ID]],B202),2), "TRUE", ROUND(G202-SUMIFS(AN_TME22[[#All],[TOTAL Truncated Unadjusted Claims Expenses (A21 -A19)]], AN_TME22[[#All],[Insurance Category Code]],4, AN_TME22[[#All],[Advanced Network/Insurance Carrier Org ID]],B202),2))</f>
        <v>TRUE</v>
      </c>
      <c r="M202" s="461" t="str">
        <f t="shared" si="19"/>
        <v>TRUE</v>
      </c>
      <c r="N202" s="282" t="b">
        <f>ROUND(SUMIFS(AN_TME22[[#All],[TOTAL Non-Truncated Unadjusted Claims Expenses]], AN_TME22[[#All],[Insurance Category Code]],4, AN_TME22[[#All],[Advanced Network/Insurance Carrier Org ID]],B202),2)&gt;=ROUND(SUMIFS(AN_TME22[[#All],[TOTAL Truncated Unadjusted Claims Expenses (A21 -A19)]], AN_TME22[[#All],[Insurance Category Code]],4, AN_TME22[[#All],[Advanced Network/Insurance Carrier Org ID]],B202),2)</f>
        <v>1</v>
      </c>
      <c r="O202" s="295" t="b">
        <f>ROUND(SUMIFS(AN_TME22[[#All],[TOTAL Truncated Unadjusted Claims Expenses (A21 -A19)]], AN_TME22[[#All],[Insurance Category Code]],4, AN_TME22[[#All],[Advanced Network/Insurance Carrier Org ID]],B202)+SUMIFS(AN_TME22[[#All],[Total Claims Excluded because of Truncation]], AN_TME22[[#All],[Insurance Category Code]],4, AN_TME22[[#All],[Advanced Network/Insurance Carrier Org ID]],B202),2)=ROUND(SUMIFS(AN_TME22[[#All],[TOTAL Non-Truncated Unadjusted Claims Expenses]], AN_TME22[[#All],[Insurance Category Code]],4, AN_TME22[[#All],[Advanced Network/Insurance Carrier Org ID]],B202),2)</f>
        <v>1</v>
      </c>
      <c r="Q202" s="236">
        <v>105</v>
      </c>
      <c r="R202" s="463">
        <f>ROUND(SUMIFS(Age_Sex23[[#All],[Total Member Months by Age/Sex Band]], Age_Sex23[[#All],[Advanced Network ID]], $Q202, Age_Sex23[[#All],[Insurance Category Code]],4),2)</f>
        <v>0</v>
      </c>
      <c r="S202" s="268">
        <f>ROUND(SUMIFS(Age_Sex23[[#All],[Total Dollars Excluded from Spending After Applying Truncation at the Member Level]], Age_Sex23[[#All],[Advanced Network ID]], $B202, Age_Sex23[[#All],[Insurance Category Code]],4),2)</f>
        <v>0</v>
      </c>
      <c r="T202" s="229">
        <f>ROUND(SUMIFS(Age_Sex23[[#All],[Count of Members whose Spending was Truncated]], Age_Sex23[[#All],[Advanced Network ID]], $B202, Age_Sex23[[#All],[Insurance Category Code]],4),2)</f>
        <v>0</v>
      </c>
      <c r="U202" s="230">
        <f>ROUND(SUMIFS(Age_Sex23[[#All],[Total Spending before Truncation is Applied]], Age_Sex23[[#All],[Advanced Network ID]], $B202, Age_Sex23[[#All],[Insurance Category Code]],4),2)</f>
        <v>0</v>
      </c>
      <c r="V202" s="232">
        <f>ROUND(SUMIFS(Age_Sex23[[#All],[Total Spending After Applying Truncation at the Member Level]], Age_Sex23[[#All],[Advanced Network ID]], $B202, Age_Sex23[[#All],[Insurance Category Code]],4),2)</f>
        <v>0</v>
      </c>
      <c r="W202" s="416" t="str">
        <f>IF(R202=ROUND(SUMIFS(AN_TME23[[#All],[Member Months]], AN_TME23[[#All],[Insurance Category Code]],4, AN_TME23[[#All],[Advanced Network/Insurance Carrier Org ID]],Q202),2), "TRUE", ROUND(R202-SUMIFS(AN_TME23[[#All],[Member Months]], AN_TME23[[#All],[Insurance Category Code]],4, AN_TME23[[#All],[Advanced Network/Insurance Carrier Org ID]],Q202),2))</f>
        <v>TRUE</v>
      </c>
      <c r="X202" s="280" t="str">
        <f>IF(S202=ROUND(SUMIFS(AN_TME23[[#All],[Total Claims Excluded because of Truncation]], AN_TME23[[#All],[Insurance Category Code]],4, AN_TME23[[#All],[Advanced Network/Insurance Carrier Org ID]],Q202),2), "TRUE", ROUND(S202-SUMIFS(AN_TME23[[#All],[Total Claims Excluded because of Truncation]], AN_TME23[[#All],[Insurance Category Code]],4, AN_TME23[[#All],[Advanced Network/Insurance Carrier Org ID]],Q202),2))</f>
        <v>TRUE</v>
      </c>
      <c r="Y202" s="281" t="str">
        <f>IF(T202=ROUND(SUMIFS(AN_TME23[[#All],[Count of Members with Claims Truncated]], AN_TME23[[#All],[Insurance Category Code]],4, AN_TME23[[#All],[Advanced Network/Insurance Carrier Org ID]],Q202),2), "TRUE", ROUND(T202-SUMIFS(AN_TME23[[#All],[Count of Members with Claims Truncated]], AN_TME23[[#All],[Insurance Category Code]],4, AN_TME23[[#All],[Advanced Network/Insurance Carrier Org ID]],Q202),2))</f>
        <v>TRUE</v>
      </c>
      <c r="Z202" s="282" t="str">
        <f>IF(U202=ROUND(SUMIFS(AN_TME23[[#All],[TOTAL Non-Truncated Unadjusted Claims Expenses]], AN_TME23[[#All],[Insurance Category Code]],4, AN_TME23[[#All],[Advanced Network/Insurance Carrier Org ID]],Q202),2), "TRUE", ROUND(U202-SUMIFS(AN_TME23[[#All],[TOTAL Non-Truncated Unadjusted Claims Expenses]], AN_TME23[[#All],[Insurance Category Code]],4, AN_TME23[[#All],[Advanced Network/Insurance Carrier Org ID]],Q202),2))</f>
        <v>TRUE</v>
      </c>
      <c r="AA202" s="295" t="str">
        <f>IF(V202=ROUND(SUMIFS(AN_TME23[[#All],[TOTAL Truncated Unadjusted Claims Expenses (A21 -A19)]], AN_TME23[[#All],[Insurance Category Code]],4, AN_TME23[[#All],[Advanced Network/Insurance Carrier Org ID]],Q202),2), "TRUE",ROUND( V202-SUMIFS(AN_TME23[[#All],[TOTAL Truncated Unadjusted Claims Expenses (A21 -A19)]], AN_TME23[[#All],[Insurance Category Code]],4, AN_TME23[[#All],[Advanced Network/Insurance Carrier Org ID]],Q202),2))</f>
        <v>TRUE</v>
      </c>
      <c r="AB202" s="461" t="str">
        <f t="shared" si="22"/>
        <v>TRUE</v>
      </c>
      <c r="AC202" s="282" t="b">
        <f>ROUND(SUMIFS(AN_TME23[[#All],[TOTAL Non-Truncated Unadjusted Claims Expenses]], AN_TME23[[#All],[Insurance Category Code]],4, AN_TME23[[#All],[Advanced Network/Insurance Carrier Org ID]],Q202),2)&gt;=ROUND(SUMIFS(AN_TME23[[#All],[TOTAL Truncated Unadjusted Claims Expenses (A21 -A19)]], AN_TME23[[#All],[Insurance Category Code]],4, AN_TME23[[#All],[Advanced Network/Insurance Carrier Org ID]],Q202),2)</f>
        <v>1</v>
      </c>
      <c r="AD202" s="295" t="b">
        <f>ROUND(SUMIFS(AN_TME23[[#All],[TOTAL Truncated Unadjusted Claims Expenses (A21 -A19)]], AN_TME23[[#All],[Insurance Category Code]],4, AN_TME23[[#All],[Advanced Network/Insurance Carrier Org ID]],Q202)+SUMIFS(AN_TME23[[#All],[Total Claims Excluded because of Truncation]], AN_TME23[[#All],[Insurance Category Code]],4, AN_TME23[[#All],[Advanced Network/Insurance Carrier Org ID]],Q202),2)=ROUND(SUMIFS(AN_TME23[[#All],[TOTAL Non-Truncated Unadjusted Claims Expenses]], AN_TME23[[#All],[Insurance Category Code]],4, AN_TME23[[#All],[Advanced Network/Insurance Carrier Org ID]],Q202),2)</f>
        <v>1</v>
      </c>
      <c r="AF202" s="323" t="str">
        <f t="shared" si="21"/>
        <v>NA</v>
      </c>
    </row>
    <row r="203" spans="2:32" outlineLevel="1" x14ac:dyDescent="0.25">
      <c r="B203" s="236">
        <v>106</v>
      </c>
      <c r="C203" s="463">
        <f>ROUND(SUMIFS(Age_Sex22[[#All],[Total Member Months by Age/Sex Band]], Age_Sex22[[#All],[Advanced Network ID]], $B203, Age_Sex22[[#All],[Insurance Category Code]],4),2)</f>
        <v>0</v>
      </c>
      <c r="D203" s="268">
        <f>ROUND(SUMIFS(Age_Sex22[[#All],[Total Dollars Excluded from Spending After Applying Truncation at the Member Level]], Age_Sex22[[#All],[Advanced Network ID]], $B203, Age_Sex22[[#All],[Insurance Category Code]],4),2)</f>
        <v>0</v>
      </c>
      <c r="E203" s="229">
        <f>ROUND(SUMIFS(Age_Sex22[[#All],[Count of Members whose Spending was Truncated]], Age_Sex22[[#All],[Advanced Network ID]], $B203, Age_Sex22[[#All],[Insurance Category Code]],4),2)</f>
        <v>0</v>
      </c>
      <c r="F203" s="230">
        <f>ROUND(SUMIFS(Age_Sex22[[#All],[Total Spending before Truncation is Applied]], Age_Sex22[[#All],[Advanced Network ID]], $B203, Age_Sex22[[#All],[Insurance Category Code]],4),2)</f>
        <v>0</v>
      </c>
      <c r="G203" s="232">
        <f>ROUND(SUMIFS(Age_Sex22[[#All],[Total Spending After Applying Truncation at the Member Level]], Age_Sex22[[#All],[Advanced Network ID]], $B203, Age_Sex22[[#All],[Insurance Category Code]],4),2)</f>
        <v>0</v>
      </c>
      <c r="H203" s="416" t="str">
        <f>IF(C203=ROUND(SUMIFS(AN_TME22[[#All],[Member Months]], AN_TME22[[#All],[Insurance Category Code]],4, AN_TME22[[#All],[Advanced Network/Insurance Carrier Org ID]],B203),2), "TRUE", ROUND(C203-SUMIFS(AN_TME22[[#All],[Member Months]], AN_TME22[[#All],[Insurance Category Code]],4, AN_TME22[[#All],[Advanced Network/Insurance Carrier Org ID]],B203),2))</f>
        <v>TRUE</v>
      </c>
      <c r="I203" s="280" t="str">
        <f>IF(D203=ROUND(SUMIFS(AN_TME22[[#All],[Total Claims Excluded because of Truncation]], AN_TME22[[#All],[Insurance Category Code]],4, AN_TME22[[#All],[Advanced Network/Insurance Carrier Org ID]],B203),2), "TRUE", ROUND(D203-SUMIFS(AN_TME22[[#All],[Total Claims Excluded because of Truncation]], AN_TME22[[#All],[Insurance Category Code]],4, AN_TME22[[#All],[Advanced Network/Insurance Carrier Org ID]],B203),2))</f>
        <v>TRUE</v>
      </c>
      <c r="J203" s="281" t="str">
        <f>IF(E203=ROUND(SUMIFS(AN_TME22[[#All],[Count of Members with Claims Truncated]], AN_TME22[[#All],[Insurance Category Code]],4, AN_TME22[[#All],[Advanced Network/Insurance Carrier Org ID]],B203),2), "TRUE", ROUND(E203-SUMIFS(AN_TME22[[#All],[Count of Members with Claims Truncated]], AN_TME22[[#All],[Insurance Category Code]],4, AN_TME22[[#All],[Advanced Network/Insurance Carrier Org ID]],B203),2))</f>
        <v>TRUE</v>
      </c>
      <c r="K203" s="282" t="str">
        <f>IF(F203=ROUND(SUMIFS(AN_TME22[[#All],[TOTAL Non-Truncated Unadjusted Claims Expenses]], AN_TME22[[#All],[Insurance Category Code]],4, AN_TME22[[#All],[Advanced Network/Insurance Carrier Org ID]],B203),2), "TRUE", ROUND(F203-SUMIFS(AN_TME22[[#All],[TOTAL Non-Truncated Unadjusted Claims Expenses]], AN_TME22[[#All],[Insurance Category Code]],4, AN_TME22[[#All],[Advanced Network/Insurance Carrier Org ID]],B203),2))</f>
        <v>TRUE</v>
      </c>
      <c r="L203" s="295" t="str">
        <f>IF(G203=ROUND(SUMIFS(AN_TME22[[#All],[TOTAL Truncated Unadjusted Claims Expenses (A21 -A19)]], AN_TME22[[#All],[Insurance Category Code]],4, AN_TME22[[#All],[Advanced Network/Insurance Carrier Org ID]],B203),2), "TRUE", ROUND(G203-SUMIFS(AN_TME22[[#All],[TOTAL Truncated Unadjusted Claims Expenses (A21 -A19)]], AN_TME22[[#All],[Insurance Category Code]],4, AN_TME22[[#All],[Advanced Network/Insurance Carrier Org ID]],B203),2))</f>
        <v>TRUE</v>
      </c>
      <c r="M203" s="461" t="str">
        <f t="shared" si="19"/>
        <v>TRUE</v>
      </c>
      <c r="N203" s="282" t="b">
        <f>ROUND(SUMIFS(AN_TME22[[#All],[TOTAL Non-Truncated Unadjusted Claims Expenses]], AN_TME22[[#All],[Insurance Category Code]],4, AN_TME22[[#All],[Advanced Network/Insurance Carrier Org ID]],B203),2)&gt;=ROUND(SUMIFS(AN_TME22[[#All],[TOTAL Truncated Unadjusted Claims Expenses (A21 -A19)]], AN_TME22[[#All],[Insurance Category Code]],4, AN_TME22[[#All],[Advanced Network/Insurance Carrier Org ID]],B203),2)</f>
        <v>1</v>
      </c>
      <c r="O203" s="295" t="b">
        <f>ROUND(SUMIFS(AN_TME22[[#All],[TOTAL Truncated Unadjusted Claims Expenses (A21 -A19)]], AN_TME22[[#All],[Insurance Category Code]],4, AN_TME22[[#All],[Advanced Network/Insurance Carrier Org ID]],B203)+SUMIFS(AN_TME22[[#All],[Total Claims Excluded because of Truncation]], AN_TME22[[#All],[Insurance Category Code]],4, AN_TME22[[#All],[Advanced Network/Insurance Carrier Org ID]],B203),2)=ROUND(SUMIFS(AN_TME22[[#All],[TOTAL Non-Truncated Unadjusted Claims Expenses]], AN_TME22[[#All],[Insurance Category Code]],4, AN_TME22[[#All],[Advanced Network/Insurance Carrier Org ID]],B203),2)</f>
        <v>1</v>
      </c>
      <c r="Q203" s="236">
        <v>106</v>
      </c>
      <c r="R203" s="463">
        <f>ROUND(SUMIFS(Age_Sex23[[#All],[Total Member Months by Age/Sex Band]], Age_Sex23[[#All],[Advanced Network ID]], $Q203, Age_Sex23[[#All],[Insurance Category Code]],4),2)</f>
        <v>0</v>
      </c>
      <c r="S203" s="268">
        <f>ROUND(SUMIFS(Age_Sex23[[#All],[Total Dollars Excluded from Spending After Applying Truncation at the Member Level]], Age_Sex23[[#All],[Advanced Network ID]], $B203, Age_Sex23[[#All],[Insurance Category Code]],4),2)</f>
        <v>0</v>
      </c>
      <c r="T203" s="229">
        <f>ROUND(SUMIFS(Age_Sex23[[#All],[Count of Members whose Spending was Truncated]], Age_Sex23[[#All],[Advanced Network ID]], $B203, Age_Sex23[[#All],[Insurance Category Code]],4),2)</f>
        <v>0</v>
      </c>
      <c r="U203" s="230">
        <f>ROUND(SUMIFS(Age_Sex23[[#All],[Total Spending before Truncation is Applied]], Age_Sex23[[#All],[Advanced Network ID]], $B203, Age_Sex23[[#All],[Insurance Category Code]],4),2)</f>
        <v>0</v>
      </c>
      <c r="V203" s="232">
        <f>ROUND(SUMIFS(Age_Sex23[[#All],[Total Spending After Applying Truncation at the Member Level]], Age_Sex23[[#All],[Advanced Network ID]], $B203, Age_Sex23[[#All],[Insurance Category Code]],4),2)</f>
        <v>0</v>
      </c>
      <c r="W203" s="416" t="str">
        <f>IF(R203=ROUND(SUMIFS(AN_TME23[[#All],[Member Months]], AN_TME23[[#All],[Insurance Category Code]],4, AN_TME23[[#All],[Advanced Network/Insurance Carrier Org ID]],Q203),2), "TRUE", ROUND(R203-SUMIFS(AN_TME23[[#All],[Member Months]], AN_TME23[[#All],[Insurance Category Code]],4, AN_TME23[[#All],[Advanced Network/Insurance Carrier Org ID]],Q203),2))</f>
        <v>TRUE</v>
      </c>
      <c r="X203" s="280" t="str">
        <f>IF(S203=ROUND(SUMIFS(AN_TME23[[#All],[Total Claims Excluded because of Truncation]], AN_TME23[[#All],[Insurance Category Code]],4, AN_TME23[[#All],[Advanced Network/Insurance Carrier Org ID]],Q203),2), "TRUE", ROUND(S203-SUMIFS(AN_TME23[[#All],[Total Claims Excluded because of Truncation]], AN_TME23[[#All],[Insurance Category Code]],4, AN_TME23[[#All],[Advanced Network/Insurance Carrier Org ID]],Q203),2))</f>
        <v>TRUE</v>
      </c>
      <c r="Y203" s="281" t="str">
        <f>IF(T203=ROUND(SUMIFS(AN_TME23[[#All],[Count of Members with Claims Truncated]], AN_TME23[[#All],[Insurance Category Code]],4, AN_TME23[[#All],[Advanced Network/Insurance Carrier Org ID]],Q203),2), "TRUE", ROUND(T203-SUMIFS(AN_TME23[[#All],[Count of Members with Claims Truncated]], AN_TME23[[#All],[Insurance Category Code]],4, AN_TME23[[#All],[Advanced Network/Insurance Carrier Org ID]],Q203),2))</f>
        <v>TRUE</v>
      </c>
      <c r="Z203" s="282" t="str">
        <f>IF(U203=ROUND(SUMIFS(AN_TME23[[#All],[TOTAL Non-Truncated Unadjusted Claims Expenses]], AN_TME23[[#All],[Insurance Category Code]],4, AN_TME23[[#All],[Advanced Network/Insurance Carrier Org ID]],Q203),2), "TRUE", ROUND(U203-SUMIFS(AN_TME23[[#All],[TOTAL Non-Truncated Unadjusted Claims Expenses]], AN_TME23[[#All],[Insurance Category Code]],4, AN_TME23[[#All],[Advanced Network/Insurance Carrier Org ID]],Q203),2))</f>
        <v>TRUE</v>
      </c>
      <c r="AA203" s="295" t="str">
        <f>IF(V203=ROUND(SUMIFS(AN_TME23[[#All],[TOTAL Truncated Unadjusted Claims Expenses (A21 -A19)]], AN_TME23[[#All],[Insurance Category Code]],4, AN_TME23[[#All],[Advanced Network/Insurance Carrier Org ID]],Q203),2), "TRUE",ROUND( V203-SUMIFS(AN_TME23[[#All],[TOTAL Truncated Unadjusted Claims Expenses (A21 -A19)]], AN_TME23[[#All],[Insurance Category Code]],4, AN_TME23[[#All],[Advanced Network/Insurance Carrier Org ID]],Q203),2))</f>
        <v>TRUE</v>
      </c>
      <c r="AB203" s="461" t="str">
        <f t="shared" si="22"/>
        <v>TRUE</v>
      </c>
      <c r="AC203" s="282" t="b">
        <f>ROUND(SUMIFS(AN_TME23[[#All],[TOTAL Non-Truncated Unadjusted Claims Expenses]], AN_TME23[[#All],[Insurance Category Code]],4, AN_TME23[[#All],[Advanced Network/Insurance Carrier Org ID]],Q203),2)&gt;=ROUND(SUMIFS(AN_TME23[[#All],[TOTAL Truncated Unadjusted Claims Expenses (A21 -A19)]], AN_TME23[[#All],[Insurance Category Code]],4, AN_TME23[[#All],[Advanced Network/Insurance Carrier Org ID]],Q203),2)</f>
        <v>1</v>
      </c>
      <c r="AD203" s="295" t="b">
        <f>ROUND(SUMIFS(AN_TME23[[#All],[TOTAL Truncated Unadjusted Claims Expenses (A21 -A19)]], AN_TME23[[#All],[Insurance Category Code]],4, AN_TME23[[#All],[Advanced Network/Insurance Carrier Org ID]],Q203)+SUMIFS(AN_TME23[[#All],[Total Claims Excluded because of Truncation]], AN_TME23[[#All],[Insurance Category Code]],4, AN_TME23[[#All],[Advanced Network/Insurance Carrier Org ID]],Q203),2)=ROUND(SUMIFS(AN_TME23[[#All],[TOTAL Non-Truncated Unadjusted Claims Expenses]], AN_TME23[[#All],[Insurance Category Code]],4, AN_TME23[[#All],[Advanced Network/Insurance Carrier Org ID]],Q203),2)</f>
        <v>1</v>
      </c>
      <c r="AF203" s="323" t="str">
        <f t="shared" si="21"/>
        <v>NA</v>
      </c>
    </row>
    <row r="204" spans="2:32" outlineLevel="1" x14ac:dyDescent="0.25">
      <c r="B204" s="236">
        <v>107</v>
      </c>
      <c r="C204" s="463">
        <f>ROUND(SUMIFS(Age_Sex22[[#All],[Total Member Months by Age/Sex Band]], Age_Sex22[[#All],[Advanced Network ID]], $B204, Age_Sex22[[#All],[Insurance Category Code]],4),2)</f>
        <v>0</v>
      </c>
      <c r="D204" s="268">
        <f>ROUND(SUMIFS(Age_Sex22[[#All],[Total Dollars Excluded from Spending After Applying Truncation at the Member Level]], Age_Sex22[[#All],[Advanced Network ID]], $B204, Age_Sex22[[#All],[Insurance Category Code]],4),2)</f>
        <v>0</v>
      </c>
      <c r="E204" s="229">
        <f>ROUND(SUMIFS(Age_Sex22[[#All],[Count of Members whose Spending was Truncated]], Age_Sex22[[#All],[Advanced Network ID]], $B204, Age_Sex22[[#All],[Insurance Category Code]],4),2)</f>
        <v>0</v>
      </c>
      <c r="F204" s="230">
        <f>ROUND(SUMIFS(Age_Sex22[[#All],[Total Spending before Truncation is Applied]], Age_Sex22[[#All],[Advanced Network ID]], $B204, Age_Sex22[[#All],[Insurance Category Code]],4),2)</f>
        <v>0</v>
      </c>
      <c r="G204" s="232">
        <f>ROUND(SUMIFS(Age_Sex22[[#All],[Total Spending After Applying Truncation at the Member Level]], Age_Sex22[[#All],[Advanced Network ID]], $B204, Age_Sex22[[#All],[Insurance Category Code]],4),2)</f>
        <v>0</v>
      </c>
      <c r="H204" s="416" t="str">
        <f>IF(C204=ROUND(SUMIFS(AN_TME22[[#All],[Member Months]], AN_TME22[[#All],[Insurance Category Code]],4, AN_TME22[[#All],[Advanced Network/Insurance Carrier Org ID]],B204),2), "TRUE", ROUND(C204-SUMIFS(AN_TME22[[#All],[Member Months]], AN_TME22[[#All],[Insurance Category Code]],4, AN_TME22[[#All],[Advanced Network/Insurance Carrier Org ID]],B204),2))</f>
        <v>TRUE</v>
      </c>
      <c r="I204" s="280" t="str">
        <f>IF(D204=ROUND(SUMIFS(AN_TME22[[#All],[Total Claims Excluded because of Truncation]], AN_TME22[[#All],[Insurance Category Code]],4, AN_TME22[[#All],[Advanced Network/Insurance Carrier Org ID]],B204),2), "TRUE", ROUND(D204-SUMIFS(AN_TME22[[#All],[Total Claims Excluded because of Truncation]], AN_TME22[[#All],[Insurance Category Code]],4, AN_TME22[[#All],[Advanced Network/Insurance Carrier Org ID]],B204),2))</f>
        <v>TRUE</v>
      </c>
      <c r="J204" s="281" t="str">
        <f>IF(E204=ROUND(SUMIFS(AN_TME22[[#All],[Count of Members with Claims Truncated]], AN_TME22[[#All],[Insurance Category Code]],4, AN_TME22[[#All],[Advanced Network/Insurance Carrier Org ID]],B204),2), "TRUE", ROUND(E204-SUMIFS(AN_TME22[[#All],[Count of Members with Claims Truncated]], AN_TME22[[#All],[Insurance Category Code]],4, AN_TME22[[#All],[Advanced Network/Insurance Carrier Org ID]],B204),2))</f>
        <v>TRUE</v>
      </c>
      <c r="K204" s="282" t="str">
        <f>IF(F204=ROUND(SUMIFS(AN_TME22[[#All],[TOTAL Non-Truncated Unadjusted Claims Expenses]], AN_TME22[[#All],[Insurance Category Code]],4, AN_TME22[[#All],[Advanced Network/Insurance Carrier Org ID]],B204),2), "TRUE", ROUND(F204-SUMIFS(AN_TME22[[#All],[TOTAL Non-Truncated Unadjusted Claims Expenses]], AN_TME22[[#All],[Insurance Category Code]],4, AN_TME22[[#All],[Advanced Network/Insurance Carrier Org ID]],B204),2))</f>
        <v>TRUE</v>
      </c>
      <c r="L204" s="295" t="str">
        <f>IF(G204=ROUND(SUMIFS(AN_TME22[[#All],[TOTAL Truncated Unadjusted Claims Expenses (A21 -A19)]], AN_TME22[[#All],[Insurance Category Code]],4, AN_TME22[[#All],[Advanced Network/Insurance Carrier Org ID]],B204),2), "TRUE", ROUND(G204-SUMIFS(AN_TME22[[#All],[TOTAL Truncated Unadjusted Claims Expenses (A21 -A19)]], AN_TME22[[#All],[Insurance Category Code]],4, AN_TME22[[#All],[Advanced Network/Insurance Carrier Org ID]],B204),2))</f>
        <v>TRUE</v>
      </c>
      <c r="M204" s="461" t="str">
        <f t="shared" si="19"/>
        <v>TRUE</v>
      </c>
      <c r="N204" s="282" t="b">
        <f>ROUND(SUMIFS(AN_TME22[[#All],[TOTAL Non-Truncated Unadjusted Claims Expenses]], AN_TME22[[#All],[Insurance Category Code]],4, AN_TME22[[#All],[Advanced Network/Insurance Carrier Org ID]],B204),2)&gt;=ROUND(SUMIFS(AN_TME22[[#All],[TOTAL Truncated Unadjusted Claims Expenses (A21 -A19)]], AN_TME22[[#All],[Insurance Category Code]],4, AN_TME22[[#All],[Advanced Network/Insurance Carrier Org ID]],B204),2)</f>
        <v>1</v>
      </c>
      <c r="O204" s="295" t="b">
        <f>ROUND(SUMIFS(AN_TME22[[#All],[TOTAL Truncated Unadjusted Claims Expenses (A21 -A19)]], AN_TME22[[#All],[Insurance Category Code]],4, AN_TME22[[#All],[Advanced Network/Insurance Carrier Org ID]],B204)+SUMIFS(AN_TME22[[#All],[Total Claims Excluded because of Truncation]], AN_TME22[[#All],[Insurance Category Code]],4, AN_TME22[[#All],[Advanced Network/Insurance Carrier Org ID]],B204),2)=ROUND(SUMIFS(AN_TME22[[#All],[TOTAL Non-Truncated Unadjusted Claims Expenses]], AN_TME22[[#All],[Insurance Category Code]],4, AN_TME22[[#All],[Advanced Network/Insurance Carrier Org ID]],B204),2)</f>
        <v>1</v>
      </c>
      <c r="Q204" s="236">
        <v>107</v>
      </c>
      <c r="R204" s="463">
        <f>ROUND(SUMIFS(Age_Sex23[[#All],[Total Member Months by Age/Sex Band]], Age_Sex23[[#All],[Advanced Network ID]], $Q204, Age_Sex23[[#All],[Insurance Category Code]],4),2)</f>
        <v>0</v>
      </c>
      <c r="S204" s="268">
        <f>ROUND(SUMIFS(Age_Sex23[[#All],[Total Dollars Excluded from Spending After Applying Truncation at the Member Level]], Age_Sex23[[#All],[Advanced Network ID]], $B204, Age_Sex23[[#All],[Insurance Category Code]],4),2)</f>
        <v>0</v>
      </c>
      <c r="T204" s="229">
        <f>ROUND(SUMIFS(Age_Sex23[[#All],[Count of Members whose Spending was Truncated]], Age_Sex23[[#All],[Advanced Network ID]], $B204, Age_Sex23[[#All],[Insurance Category Code]],4),2)</f>
        <v>0</v>
      </c>
      <c r="U204" s="230">
        <f>ROUND(SUMIFS(Age_Sex23[[#All],[Total Spending before Truncation is Applied]], Age_Sex23[[#All],[Advanced Network ID]], $B204, Age_Sex23[[#All],[Insurance Category Code]],4),2)</f>
        <v>0</v>
      </c>
      <c r="V204" s="232">
        <f>ROUND(SUMIFS(Age_Sex23[[#All],[Total Spending After Applying Truncation at the Member Level]], Age_Sex23[[#All],[Advanced Network ID]], $B204, Age_Sex23[[#All],[Insurance Category Code]],4),2)</f>
        <v>0</v>
      </c>
      <c r="W204" s="416" t="str">
        <f>IF(R204=ROUND(SUMIFS(AN_TME23[[#All],[Member Months]], AN_TME23[[#All],[Insurance Category Code]],4, AN_TME23[[#All],[Advanced Network/Insurance Carrier Org ID]],Q204),2), "TRUE", ROUND(R204-SUMIFS(AN_TME23[[#All],[Member Months]], AN_TME23[[#All],[Insurance Category Code]],4, AN_TME23[[#All],[Advanced Network/Insurance Carrier Org ID]],Q204),2))</f>
        <v>TRUE</v>
      </c>
      <c r="X204" s="280" t="str">
        <f>IF(S204=ROUND(SUMIFS(AN_TME23[[#All],[Total Claims Excluded because of Truncation]], AN_TME23[[#All],[Insurance Category Code]],4, AN_TME23[[#All],[Advanced Network/Insurance Carrier Org ID]],Q204),2), "TRUE", ROUND(S204-SUMIFS(AN_TME23[[#All],[Total Claims Excluded because of Truncation]], AN_TME23[[#All],[Insurance Category Code]],4, AN_TME23[[#All],[Advanced Network/Insurance Carrier Org ID]],Q204),2))</f>
        <v>TRUE</v>
      </c>
      <c r="Y204" s="281" t="str">
        <f>IF(T204=ROUND(SUMIFS(AN_TME23[[#All],[Count of Members with Claims Truncated]], AN_TME23[[#All],[Insurance Category Code]],4, AN_TME23[[#All],[Advanced Network/Insurance Carrier Org ID]],Q204),2), "TRUE", ROUND(T204-SUMIFS(AN_TME23[[#All],[Count of Members with Claims Truncated]], AN_TME23[[#All],[Insurance Category Code]],4, AN_TME23[[#All],[Advanced Network/Insurance Carrier Org ID]],Q204),2))</f>
        <v>TRUE</v>
      </c>
      <c r="Z204" s="282" t="str">
        <f>IF(U204=ROUND(SUMIFS(AN_TME23[[#All],[TOTAL Non-Truncated Unadjusted Claims Expenses]], AN_TME23[[#All],[Insurance Category Code]],4, AN_TME23[[#All],[Advanced Network/Insurance Carrier Org ID]],Q204),2), "TRUE", ROUND(U204-SUMIFS(AN_TME23[[#All],[TOTAL Non-Truncated Unadjusted Claims Expenses]], AN_TME23[[#All],[Insurance Category Code]],4, AN_TME23[[#All],[Advanced Network/Insurance Carrier Org ID]],Q204),2))</f>
        <v>TRUE</v>
      </c>
      <c r="AA204" s="295" t="str">
        <f>IF(V204=ROUND(SUMIFS(AN_TME23[[#All],[TOTAL Truncated Unadjusted Claims Expenses (A21 -A19)]], AN_TME23[[#All],[Insurance Category Code]],4, AN_TME23[[#All],[Advanced Network/Insurance Carrier Org ID]],Q204),2), "TRUE",ROUND( V204-SUMIFS(AN_TME23[[#All],[TOTAL Truncated Unadjusted Claims Expenses (A21 -A19)]], AN_TME23[[#All],[Insurance Category Code]],4, AN_TME23[[#All],[Advanced Network/Insurance Carrier Org ID]],Q204),2))</f>
        <v>TRUE</v>
      </c>
      <c r="AB204" s="461" t="str">
        <f t="shared" si="22"/>
        <v>TRUE</v>
      </c>
      <c r="AC204" s="282" t="b">
        <f>ROUND(SUMIFS(AN_TME23[[#All],[TOTAL Non-Truncated Unadjusted Claims Expenses]], AN_TME23[[#All],[Insurance Category Code]],4, AN_TME23[[#All],[Advanced Network/Insurance Carrier Org ID]],Q204),2)&gt;=ROUND(SUMIFS(AN_TME23[[#All],[TOTAL Truncated Unadjusted Claims Expenses (A21 -A19)]], AN_TME23[[#All],[Insurance Category Code]],4, AN_TME23[[#All],[Advanced Network/Insurance Carrier Org ID]],Q204),2)</f>
        <v>1</v>
      </c>
      <c r="AD204" s="295" t="b">
        <f>ROUND(SUMIFS(AN_TME23[[#All],[TOTAL Truncated Unadjusted Claims Expenses (A21 -A19)]], AN_TME23[[#All],[Insurance Category Code]],4, AN_TME23[[#All],[Advanced Network/Insurance Carrier Org ID]],Q204)+SUMIFS(AN_TME23[[#All],[Total Claims Excluded because of Truncation]], AN_TME23[[#All],[Insurance Category Code]],4, AN_TME23[[#All],[Advanced Network/Insurance Carrier Org ID]],Q204),2)=ROUND(SUMIFS(AN_TME23[[#All],[TOTAL Non-Truncated Unadjusted Claims Expenses]], AN_TME23[[#All],[Insurance Category Code]],4, AN_TME23[[#All],[Advanced Network/Insurance Carrier Org ID]],Q204),2)</f>
        <v>1</v>
      </c>
      <c r="AF204" s="323" t="str">
        <f t="shared" si="21"/>
        <v>NA</v>
      </c>
    </row>
    <row r="205" spans="2:32" outlineLevel="1" x14ac:dyDescent="0.25">
      <c r="B205" s="236">
        <v>108</v>
      </c>
      <c r="C205" s="463">
        <f>ROUND(SUMIFS(Age_Sex22[[#All],[Total Member Months by Age/Sex Band]], Age_Sex22[[#All],[Advanced Network ID]], $B205, Age_Sex22[[#All],[Insurance Category Code]],4),2)</f>
        <v>0</v>
      </c>
      <c r="D205" s="268">
        <f>ROUND(SUMIFS(Age_Sex22[[#All],[Total Dollars Excluded from Spending After Applying Truncation at the Member Level]], Age_Sex22[[#All],[Advanced Network ID]], $B205, Age_Sex22[[#All],[Insurance Category Code]],4),2)</f>
        <v>0</v>
      </c>
      <c r="E205" s="229">
        <f>ROUND(SUMIFS(Age_Sex22[[#All],[Count of Members whose Spending was Truncated]], Age_Sex22[[#All],[Advanced Network ID]], $B205, Age_Sex22[[#All],[Insurance Category Code]],4),2)</f>
        <v>0</v>
      </c>
      <c r="F205" s="230">
        <f>ROUND(SUMIFS(Age_Sex22[[#All],[Total Spending before Truncation is Applied]], Age_Sex22[[#All],[Advanced Network ID]], $B205, Age_Sex22[[#All],[Insurance Category Code]],4),2)</f>
        <v>0</v>
      </c>
      <c r="G205" s="232">
        <f>ROUND(SUMIFS(Age_Sex22[[#All],[Total Spending After Applying Truncation at the Member Level]], Age_Sex22[[#All],[Advanced Network ID]], $B205, Age_Sex22[[#All],[Insurance Category Code]],4),2)</f>
        <v>0</v>
      </c>
      <c r="H205" s="416" t="str">
        <f>IF(C205=ROUND(SUMIFS(AN_TME22[[#All],[Member Months]], AN_TME22[[#All],[Insurance Category Code]],4, AN_TME22[[#All],[Advanced Network/Insurance Carrier Org ID]],B205),2), "TRUE", ROUND(C205-SUMIFS(AN_TME22[[#All],[Member Months]], AN_TME22[[#All],[Insurance Category Code]],4, AN_TME22[[#All],[Advanced Network/Insurance Carrier Org ID]],B205),2))</f>
        <v>TRUE</v>
      </c>
      <c r="I205" s="280" t="str">
        <f>IF(D205=ROUND(SUMIFS(AN_TME22[[#All],[Total Claims Excluded because of Truncation]], AN_TME22[[#All],[Insurance Category Code]],4, AN_TME22[[#All],[Advanced Network/Insurance Carrier Org ID]],B205),2), "TRUE", ROUND(D205-SUMIFS(AN_TME22[[#All],[Total Claims Excluded because of Truncation]], AN_TME22[[#All],[Insurance Category Code]],4, AN_TME22[[#All],[Advanced Network/Insurance Carrier Org ID]],B205),2))</f>
        <v>TRUE</v>
      </c>
      <c r="J205" s="281" t="str">
        <f>IF(E205=ROUND(SUMIFS(AN_TME22[[#All],[Count of Members with Claims Truncated]], AN_TME22[[#All],[Insurance Category Code]],4, AN_TME22[[#All],[Advanced Network/Insurance Carrier Org ID]],B205),2), "TRUE", ROUND(E205-SUMIFS(AN_TME22[[#All],[Count of Members with Claims Truncated]], AN_TME22[[#All],[Insurance Category Code]],4, AN_TME22[[#All],[Advanced Network/Insurance Carrier Org ID]],B205),2))</f>
        <v>TRUE</v>
      </c>
      <c r="K205" s="282" t="str">
        <f>IF(F205=ROUND(SUMIFS(AN_TME22[[#All],[TOTAL Non-Truncated Unadjusted Claims Expenses]], AN_TME22[[#All],[Insurance Category Code]],4, AN_TME22[[#All],[Advanced Network/Insurance Carrier Org ID]],B205),2), "TRUE", ROUND(F205-SUMIFS(AN_TME22[[#All],[TOTAL Non-Truncated Unadjusted Claims Expenses]], AN_TME22[[#All],[Insurance Category Code]],4, AN_TME22[[#All],[Advanced Network/Insurance Carrier Org ID]],B205),2))</f>
        <v>TRUE</v>
      </c>
      <c r="L205" s="295" t="str">
        <f>IF(G205=ROUND(SUMIFS(AN_TME22[[#All],[TOTAL Truncated Unadjusted Claims Expenses (A21 -A19)]], AN_TME22[[#All],[Insurance Category Code]],4, AN_TME22[[#All],[Advanced Network/Insurance Carrier Org ID]],B205),2), "TRUE", ROUND(G205-SUMIFS(AN_TME22[[#All],[TOTAL Truncated Unadjusted Claims Expenses (A21 -A19)]], AN_TME22[[#All],[Insurance Category Code]],4, AN_TME22[[#All],[Advanced Network/Insurance Carrier Org ID]],B205),2))</f>
        <v>TRUE</v>
      </c>
      <c r="M205" s="461" t="str">
        <f t="shared" si="19"/>
        <v>TRUE</v>
      </c>
      <c r="N205" s="282" t="b">
        <f>ROUND(SUMIFS(AN_TME22[[#All],[TOTAL Non-Truncated Unadjusted Claims Expenses]], AN_TME22[[#All],[Insurance Category Code]],4, AN_TME22[[#All],[Advanced Network/Insurance Carrier Org ID]],B205),2)&gt;=ROUND(SUMIFS(AN_TME22[[#All],[TOTAL Truncated Unadjusted Claims Expenses (A21 -A19)]], AN_TME22[[#All],[Insurance Category Code]],4, AN_TME22[[#All],[Advanced Network/Insurance Carrier Org ID]],B205),2)</f>
        <v>1</v>
      </c>
      <c r="O205" s="295" t="b">
        <f>ROUND(SUMIFS(AN_TME22[[#All],[TOTAL Truncated Unadjusted Claims Expenses (A21 -A19)]], AN_TME22[[#All],[Insurance Category Code]],4, AN_TME22[[#All],[Advanced Network/Insurance Carrier Org ID]],B205)+SUMIFS(AN_TME22[[#All],[Total Claims Excluded because of Truncation]], AN_TME22[[#All],[Insurance Category Code]],4, AN_TME22[[#All],[Advanced Network/Insurance Carrier Org ID]],B205),2)=ROUND(SUMIFS(AN_TME22[[#All],[TOTAL Non-Truncated Unadjusted Claims Expenses]], AN_TME22[[#All],[Insurance Category Code]],4, AN_TME22[[#All],[Advanced Network/Insurance Carrier Org ID]],B205),2)</f>
        <v>1</v>
      </c>
      <c r="Q205" s="236">
        <v>108</v>
      </c>
      <c r="R205" s="463">
        <f>ROUND(SUMIFS(Age_Sex23[[#All],[Total Member Months by Age/Sex Band]], Age_Sex23[[#All],[Advanced Network ID]], $Q205, Age_Sex23[[#All],[Insurance Category Code]],4),2)</f>
        <v>0</v>
      </c>
      <c r="S205" s="268">
        <f>ROUND(SUMIFS(Age_Sex23[[#All],[Total Dollars Excluded from Spending After Applying Truncation at the Member Level]], Age_Sex23[[#All],[Advanced Network ID]], $B205, Age_Sex23[[#All],[Insurance Category Code]],4),2)</f>
        <v>0</v>
      </c>
      <c r="T205" s="229">
        <f>ROUND(SUMIFS(Age_Sex23[[#All],[Count of Members whose Spending was Truncated]], Age_Sex23[[#All],[Advanced Network ID]], $B205, Age_Sex23[[#All],[Insurance Category Code]],4),2)</f>
        <v>0</v>
      </c>
      <c r="U205" s="230">
        <f>ROUND(SUMIFS(Age_Sex23[[#All],[Total Spending before Truncation is Applied]], Age_Sex23[[#All],[Advanced Network ID]], $B205, Age_Sex23[[#All],[Insurance Category Code]],4),2)</f>
        <v>0</v>
      </c>
      <c r="V205" s="232">
        <f>ROUND(SUMIFS(Age_Sex23[[#All],[Total Spending After Applying Truncation at the Member Level]], Age_Sex23[[#All],[Advanced Network ID]], $B205, Age_Sex23[[#All],[Insurance Category Code]],4),2)</f>
        <v>0</v>
      </c>
      <c r="W205" s="416" t="str">
        <f>IF(R205=ROUND(SUMIFS(AN_TME23[[#All],[Member Months]], AN_TME23[[#All],[Insurance Category Code]],4, AN_TME23[[#All],[Advanced Network/Insurance Carrier Org ID]],Q205),2), "TRUE", ROUND(R205-SUMIFS(AN_TME23[[#All],[Member Months]], AN_TME23[[#All],[Insurance Category Code]],4, AN_TME23[[#All],[Advanced Network/Insurance Carrier Org ID]],Q205),2))</f>
        <v>TRUE</v>
      </c>
      <c r="X205" s="280" t="str">
        <f>IF(S205=ROUND(SUMIFS(AN_TME23[[#All],[Total Claims Excluded because of Truncation]], AN_TME23[[#All],[Insurance Category Code]],4, AN_TME23[[#All],[Advanced Network/Insurance Carrier Org ID]],Q205),2), "TRUE", ROUND(S205-SUMIFS(AN_TME23[[#All],[Total Claims Excluded because of Truncation]], AN_TME23[[#All],[Insurance Category Code]],4, AN_TME23[[#All],[Advanced Network/Insurance Carrier Org ID]],Q205),2))</f>
        <v>TRUE</v>
      </c>
      <c r="Y205" s="281" t="str">
        <f>IF(T205=ROUND(SUMIFS(AN_TME23[[#All],[Count of Members with Claims Truncated]], AN_TME23[[#All],[Insurance Category Code]],4, AN_TME23[[#All],[Advanced Network/Insurance Carrier Org ID]],Q205),2), "TRUE", ROUND(T205-SUMIFS(AN_TME23[[#All],[Count of Members with Claims Truncated]], AN_TME23[[#All],[Insurance Category Code]],4, AN_TME23[[#All],[Advanced Network/Insurance Carrier Org ID]],Q205),2))</f>
        <v>TRUE</v>
      </c>
      <c r="Z205" s="282" t="str">
        <f>IF(U205=ROUND(SUMIFS(AN_TME23[[#All],[TOTAL Non-Truncated Unadjusted Claims Expenses]], AN_TME23[[#All],[Insurance Category Code]],4, AN_TME23[[#All],[Advanced Network/Insurance Carrier Org ID]],Q205),2), "TRUE", ROUND(U205-SUMIFS(AN_TME23[[#All],[TOTAL Non-Truncated Unadjusted Claims Expenses]], AN_TME23[[#All],[Insurance Category Code]],4, AN_TME23[[#All],[Advanced Network/Insurance Carrier Org ID]],Q205),2))</f>
        <v>TRUE</v>
      </c>
      <c r="AA205" s="295" t="str">
        <f>IF(V205=ROUND(SUMIFS(AN_TME23[[#All],[TOTAL Truncated Unadjusted Claims Expenses (A21 -A19)]], AN_TME23[[#All],[Insurance Category Code]],4, AN_TME23[[#All],[Advanced Network/Insurance Carrier Org ID]],Q205),2), "TRUE",ROUND( V205-SUMIFS(AN_TME23[[#All],[TOTAL Truncated Unadjusted Claims Expenses (A21 -A19)]], AN_TME23[[#All],[Insurance Category Code]],4, AN_TME23[[#All],[Advanced Network/Insurance Carrier Org ID]],Q205),2))</f>
        <v>TRUE</v>
      </c>
      <c r="AB205" s="461" t="str">
        <f t="shared" si="22"/>
        <v>TRUE</v>
      </c>
      <c r="AC205" s="282" t="b">
        <f>ROUND(SUMIFS(AN_TME23[[#All],[TOTAL Non-Truncated Unadjusted Claims Expenses]], AN_TME23[[#All],[Insurance Category Code]],4, AN_TME23[[#All],[Advanced Network/Insurance Carrier Org ID]],Q205),2)&gt;=ROUND(SUMIFS(AN_TME23[[#All],[TOTAL Truncated Unadjusted Claims Expenses (A21 -A19)]], AN_TME23[[#All],[Insurance Category Code]],4, AN_TME23[[#All],[Advanced Network/Insurance Carrier Org ID]],Q205),2)</f>
        <v>1</v>
      </c>
      <c r="AD205" s="295" t="b">
        <f>ROUND(SUMIFS(AN_TME23[[#All],[TOTAL Truncated Unadjusted Claims Expenses (A21 -A19)]], AN_TME23[[#All],[Insurance Category Code]],4, AN_TME23[[#All],[Advanced Network/Insurance Carrier Org ID]],Q205)+SUMIFS(AN_TME23[[#All],[Total Claims Excluded because of Truncation]], AN_TME23[[#All],[Insurance Category Code]],4, AN_TME23[[#All],[Advanced Network/Insurance Carrier Org ID]],Q205),2)=ROUND(SUMIFS(AN_TME23[[#All],[TOTAL Non-Truncated Unadjusted Claims Expenses]], AN_TME23[[#All],[Insurance Category Code]],4, AN_TME23[[#All],[Advanced Network/Insurance Carrier Org ID]],Q205),2)</f>
        <v>1</v>
      </c>
      <c r="AF205" s="323" t="str">
        <f t="shared" si="21"/>
        <v>NA</v>
      </c>
    </row>
    <row r="206" spans="2:32" outlineLevel="1" x14ac:dyDescent="0.25">
      <c r="B206" s="236">
        <v>109</v>
      </c>
      <c r="C206" s="463">
        <f>ROUND(SUMIFS(Age_Sex22[[#All],[Total Member Months by Age/Sex Band]], Age_Sex22[[#All],[Advanced Network ID]], $B206, Age_Sex22[[#All],[Insurance Category Code]],4),2)</f>
        <v>0</v>
      </c>
      <c r="D206" s="268">
        <f>ROUND(SUMIFS(Age_Sex22[[#All],[Total Dollars Excluded from Spending After Applying Truncation at the Member Level]], Age_Sex22[[#All],[Advanced Network ID]], $B206, Age_Sex22[[#All],[Insurance Category Code]],4),2)</f>
        <v>0</v>
      </c>
      <c r="E206" s="229">
        <f>ROUND(SUMIFS(Age_Sex22[[#All],[Count of Members whose Spending was Truncated]], Age_Sex22[[#All],[Advanced Network ID]], $B206, Age_Sex22[[#All],[Insurance Category Code]],4),2)</f>
        <v>0</v>
      </c>
      <c r="F206" s="230">
        <f>ROUND(SUMIFS(Age_Sex22[[#All],[Total Spending before Truncation is Applied]], Age_Sex22[[#All],[Advanced Network ID]], $B206, Age_Sex22[[#All],[Insurance Category Code]],4),2)</f>
        <v>0</v>
      </c>
      <c r="G206" s="232">
        <f>ROUND(SUMIFS(Age_Sex22[[#All],[Total Spending After Applying Truncation at the Member Level]], Age_Sex22[[#All],[Advanced Network ID]], $B206, Age_Sex22[[#All],[Insurance Category Code]],4),2)</f>
        <v>0</v>
      </c>
      <c r="H206" s="416" t="str">
        <f>IF(C206=ROUND(SUMIFS(AN_TME22[[#All],[Member Months]], AN_TME22[[#All],[Insurance Category Code]],4, AN_TME22[[#All],[Advanced Network/Insurance Carrier Org ID]],B206),2), "TRUE", ROUND(C206-SUMIFS(AN_TME22[[#All],[Member Months]], AN_TME22[[#All],[Insurance Category Code]],4, AN_TME22[[#All],[Advanced Network/Insurance Carrier Org ID]],B206),2))</f>
        <v>TRUE</v>
      </c>
      <c r="I206" s="280" t="str">
        <f>IF(D206=ROUND(SUMIFS(AN_TME22[[#All],[Total Claims Excluded because of Truncation]], AN_TME22[[#All],[Insurance Category Code]],4, AN_TME22[[#All],[Advanced Network/Insurance Carrier Org ID]],B206),2), "TRUE", ROUND(D206-SUMIFS(AN_TME22[[#All],[Total Claims Excluded because of Truncation]], AN_TME22[[#All],[Insurance Category Code]],4, AN_TME22[[#All],[Advanced Network/Insurance Carrier Org ID]],B206),2))</f>
        <v>TRUE</v>
      </c>
      <c r="J206" s="281" t="str">
        <f>IF(E206=ROUND(SUMIFS(AN_TME22[[#All],[Count of Members with Claims Truncated]], AN_TME22[[#All],[Insurance Category Code]],4, AN_TME22[[#All],[Advanced Network/Insurance Carrier Org ID]],B206),2), "TRUE", ROUND(E206-SUMIFS(AN_TME22[[#All],[Count of Members with Claims Truncated]], AN_TME22[[#All],[Insurance Category Code]],4, AN_TME22[[#All],[Advanced Network/Insurance Carrier Org ID]],B206),2))</f>
        <v>TRUE</v>
      </c>
      <c r="K206" s="282" t="str">
        <f>IF(F206=ROUND(SUMIFS(AN_TME22[[#All],[TOTAL Non-Truncated Unadjusted Claims Expenses]], AN_TME22[[#All],[Insurance Category Code]],4, AN_TME22[[#All],[Advanced Network/Insurance Carrier Org ID]],B206),2), "TRUE", ROUND(F206-SUMIFS(AN_TME22[[#All],[TOTAL Non-Truncated Unadjusted Claims Expenses]], AN_TME22[[#All],[Insurance Category Code]],4, AN_TME22[[#All],[Advanced Network/Insurance Carrier Org ID]],B206),2))</f>
        <v>TRUE</v>
      </c>
      <c r="L206" s="295" t="str">
        <f>IF(G206=ROUND(SUMIFS(AN_TME22[[#All],[TOTAL Truncated Unadjusted Claims Expenses (A21 -A19)]], AN_TME22[[#All],[Insurance Category Code]],4, AN_TME22[[#All],[Advanced Network/Insurance Carrier Org ID]],B206),2), "TRUE", ROUND(G206-SUMIFS(AN_TME22[[#All],[TOTAL Truncated Unadjusted Claims Expenses (A21 -A19)]], AN_TME22[[#All],[Insurance Category Code]],4, AN_TME22[[#All],[Advanced Network/Insurance Carrier Org ID]],B206),2))</f>
        <v>TRUE</v>
      </c>
      <c r="M206" s="461" t="str">
        <f t="shared" si="19"/>
        <v>TRUE</v>
      </c>
      <c r="N206" s="282" t="b">
        <f>ROUND(SUMIFS(AN_TME22[[#All],[TOTAL Non-Truncated Unadjusted Claims Expenses]], AN_TME22[[#All],[Insurance Category Code]],4, AN_TME22[[#All],[Advanced Network/Insurance Carrier Org ID]],B206),2)&gt;=ROUND(SUMIFS(AN_TME22[[#All],[TOTAL Truncated Unadjusted Claims Expenses (A21 -A19)]], AN_TME22[[#All],[Insurance Category Code]],4, AN_TME22[[#All],[Advanced Network/Insurance Carrier Org ID]],B206),2)</f>
        <v>1</v>
      </c>
      <c r="O206" s="295" t="b">
        <f>ROUND(SUMIFS(AN_TME22[[#All],[TOTAL Truncated Unadjusted Claims Expenses (A21 -A19)]], AN_TME22[[#All],[Insurance Category Code]],4, AN_TME22[[#All],[Advanced Network/Insurance Carrier Org ID]],B206)+SUMIFS(AN_TME22[[#All],[Total Claims Excluded because of Truncation]], AN_TME22[[#All],[Insurance Category Code]],4, AN_TME22[[#All],[Advanced Network/Insurance Carrier Org ID]],B206),2)=ROUND(SUMIFS(AN_TME22[[#All],[TOTAL Non-Truncated Unadjusted Claims Expenses]], AN_TME22[[#All],[Insurance Category Code]],4, AN_TME22[[#All],[Advanced Network/Insurance Carrier Org ID]],B206),2)</f>
        <v>1</v>
      </c>
      <c r="Q206" s="236">
        <v>109</v>
      </c>
      <c r="R206" s="463">
        <f>ROUND(SUMIFS(Age_Sex23[[#All],[Total Member Months by Age/Sex Band]], Age_Sex23[[#All],[Advanced Network ID]], $Q206, Age_Sex23[[#All],[Insurance Category Code]],4),2)</f>
        <v>0</v>
      </c>
      <c r="S206" s="268">
        <f>ROUND(SUMIFS(Age_Sex23[[#All],[Total Dollars Excluded from Spending After Applying Truncation at the Member Level]], Age_Sex23[[#All],[Advanced Network ID]], $B206, Age_Sex23[[#All],[Insurance Category Code]],4),2)</f>
        <v>0</v>
      </c>
      <c r="T206" s="229">
        <f>ROUND(SUMIFS(Age_Sex23[[#All],[Count of Members whose Spending was Truncated]], Age_Sex23[[#All],[Advanced Network ID]], $B206, Age_Sex23[[#All],[Insurance Category Code]],4),2)</f>
        <v>0</v>
      </c>
      <c r="U206" s="230">
        <f>ROUND(SUMIFS(Age_Sex23[[#All],[Total Spending before Truncation is Applied]], Age_Sex23[[#All],[Advanced Network ID]], $B206, Age_Sex23[[#All],[Insurance Category Code]],4),2)</f>
        <v>0</v>
      </c>
      <c r="V206" s="232">
        <f>ROUND(SUMIFS(Age_Sex23[[#All],[Total Spending After Applying Truncation at the Member Level]], Age_Sex23[[#All],[Advanced Network ID]], $B206, Age_Sex23[[#All],[Insurance Category Code]],4),2)</f>
        <v>0</v>
      </c>
      <c r="W206" s="416" t="str">
        <f>IF(R206=ROUND(SUMIFS(AN_TME23[[#All],[Member Months]], AN_TME23[[#All],[Insurance Category Code]],4, AN_TME23[[#All],[Advanced Network/Insurance Carrier Org ID]],Q206),2), "TRUE", ROUND(R206-SUMIFS(AN_TME23[[#All],[Member Months]], AN_TME23[[#All],[Insurance Category Code]],4, AN_TME23[[#All],[Advanced Network/Insurance Carrier Org ID]],Q206),2))</f>
        <v>TRUE</v>
      </c>
      <c r="X206" s="280" t="str">
        <f>IF(S206=ROUND(SUMIFS(AN_TME23[[#All],[Total Claims Excluded because of Truncation]], AN_TME23[[#All],[Insurance Category Code]],4, AN_TME23[[#All],[Advanced Network/Insurance Carrier Org ID]],Q206),2), "TRUE", ROUND(S206-SUMIFS(AN_TME23[[#All],[Total Claims Excluded because of Truncation]], AN_TME23[[#All],[Insurance Category Code]],4, AN_TME23[[#All],[Advanced Network/Insurance Carrier Org ID]],Q206),2))</f>
        <v>TRUE</v>
      </c>
      <c r="Y206" s="281" t="str">
        <f>IF(T206=ROUND(SUMIFS(AN_TME23[[#All],[Count of Members with Claims Truncated]], AN_TME23[[#All],[Insurance Category Code]],4, AN_TME23[[#All],[Advanced Network/Insurance Carrier Org ID]],Q206),2), "TRUE", ROUND(T206-SUMIFS(AN_TME23[[#All],[Count of Members with Claims Truncated]], AN_TME23[[#All],[Insurance Category Code]],4, AN_TME23[[#All],[Advanced Network/Insurance Carrier Org ID]],Q206),2))</f>
        <v>TRUE</v>
      </c>
      <c r="Z206" s="282" t="str">
        <f>IF(U206=ROUND(SUMIFS(AN_TME23[[#All],[TOTAL Non-Truncated Unadjusted Claims Expenses]], AN_TME23[[#All],[Insurance Category Code]],4, AN_TME23[[#All],[Advanced Network/Insurance Carrier Org ID]],Q206),2), "TRUE", ROUND(U206-SUMIFS(AN_TME23[[#All],[TOTAL Non-Truncated Unadjusted Claims Expenses]], AN_TME23[[#All],[Insurance Category Code]],4, AN_TME23[[#All],[Advanced Network/Insurance Carrier Org ID]],Q206),2))</f>
        <v>TRUE</v>
      </c>
      <c r="AA206" s="295" t="str">
        <f>IF(V206=ROUND(SUMIFS(AN_TME23[[#All],[TOTAL Truncated Unadjusted Claims Expenses (A21 -A19)]], AN_TME23[[#All],[Insurance Category Code]],4, AN_TME23[[#All],[Advanced Network/Insurance Carrier Org ID]],Q206),2), "TRUE",ROUND( V206-SUMIFS(AN_TME23[[#All],[TOTAL Truncated Unadjusted Claims Expenses (A21 -A19)]], AN_TME23[[#All],[Insurance Category Code]],4, AN_TME23[[#All],[Advanced Network/Insurance Carrier Org ID]],Q206),2))</f>
        <v>TRUE</v>
      </c>
      <c r="AB206" s="461" t="str">
        <f t="shared" si="22"/>
        <v>TRUE</v>
      </c>
      <c r="AC206" s="282" t="b">
        <f>ROUND(SUMIFS(AN_TME23[[#All],[TOTAL Non-Truncated Unadjusted Claims Expenses]], AN_TME23[[#All],[Insurance Category Code]],4, AN_TME23[[#All],[Advanced Network/Insurance Carrier Org ID]],Q206),2)&gt;=ROUND(SUMIFS(AN_TME23[[#All],[TOTAL Truncated Unadjusted Claims Expenses (A21 -A19)]], AN_TME23[[#All],[Insurance Category Code]],4, AN_TME23[[#All],[Advanced Network/Insurance Carrier Org ID]],Q206),2)</f>
        <v>1</v>
      </c>
      <c r="AD206" s="295" t="b">
        <f>ROUND(SUMIFS(AN_TME23[[#All],[TOTAL Truncated Unadjusted Claims Expenses (A21 -A19)]], AN_TME23[[#All],[Insurance Category Code]],4, AN_TME23[[#All],[Advanced Network/Insurance Carrier Org ID]],Q206)+SUMIFS(AN_TME23[[#All],[Total Claims Excluded because of Truncation]], AN_TME23[[#All],[Insurance Category Code]],4, AN_TME23[[#All],[Advanced Network/Insurance Carrier Org ID]],Q206),2)=ROUND(SUMIFS(AN_TME23[[#All],[TOTAL Non-Truncated Unadjusted Claims Expenses]], AN_TME23[[#All],[Insurance Category Code]],4, AN_TME23[[#All],[Advanced Network/Insurance Carrier Org ID]],Q206),2)</f>
        <v>1</v>
      </c>
      <c r="AF206" s="323" t="str">
        <f t="shared" si="21"/>
        <v>NA</v>
      </c>
    </row>
    <row r="207" spans="2:32" outlineLevel="1" x14ac:dyDescent="0.25">
      <c r="B207" s="236">
        <v>110</v>
      </c>
      <c r="C207" s="463">
        <f>ROUND(SUMIFS(Age_Sex22[[#All],[Total Member Months by Age/Sex Band]], Age_Sex22[[#All],[Advanced Network ID]], $B207, Age_Sex22[[#All],[Insurance Category Code]],4),2)</f>
        <v>0</v>
      </c>
      <c r="D207" s="268">
        <f>ROUND(SUMIFS(Age_Sex22[[#All],[Total Dollars Excluded from Spending After Applying Truncation at the Member Level]], Age_Sex22[[#All],[Advanced Network ID]], $B207, Age_Sex22[[#All],[Insurance Category Code]],4),2)</f>
        <v>0</v>
      </c>
      <c r="E207" s="229">
        <f>ROUND(SUMIFS(Age_Sex22[[#All],[Count of Members whose Spending was Truncated]], Age_Sex22[[#All],[Advanced Network ID]], $B207, Age_Sex22[[#All],[Insurance Category Code]],4),2)</f>
        <v>0</v>
      </c>
      <c r="F207" s="230">
        <f>ROUND(SUMIFS(Age_Sex22[[#All],[Total Spending before Truncation is Applied]], Age_Sex22[[#All],[Advanced Network ID]], $B207, Age_Sex22[[#All],[Insurance Category Code]],4),2)</f>
        <v>0</v>
      </c>
      <c r="G207" s="232">
        <f>ROUND(SUMIFS(Age_Sex22[[#All],[Total Spending After Applying Truncation at the Member Level]], Age_Sex22[[#All],[Advanced Network ID]], $B207, Age_Sex22[[#All],[Insurance Category Code]],4),2)</f>
        <v>0</v>
      </c>
      <c r="H207" s="416" t="str">
        <f>IF(C207=ROUND(SUMIFS(AN_TME22[[#All],[Member Months]], AN_TME22[[#All],[Insurance Category Code]],4, AN_TME22[[#All],[Advanced Network/Insurance Carrier Org ID]],B207),2), "TRUE", ROUND(C207-SUMIFS(AN_TME22[[#All],[Member Months]], AN_TME22[[#All],[Insurance Category Code]],4, AN_TME22[[#All],[Advanced Network/Insurance Carrier Org ID]],B207),2))</f>
        <v>TRUE</v>
      </c>
      <c r="I207" s="280" t="str">
        <f>IF(D207=ROUND(SUMIFS(AN_TME22[[#All],[Total Claims Excluded because of Truncation]], AN_TME22[[#All],[Insurance Category Code]],4, AN_TME22[[#All],[Advanced Network/Insurance Carrier Org ID]],B207),2), "TRUE", ROUND(D207-SUMIFS(AN_TME22[[#All],[Total Claims Excluded because of Truncation]], AN_TME22[[#All],[Insurance Category Code]],4, AN_TME22[[#All],[Advanced Network/Insurance Carrier Org ID]],B207),2))</f>
        <v>TRUE</v>
      </c>
      <c r="J207" s="281" t="str">
        <f>IF(E207=ROUND(SUMIFS(AN_TME22[[#All],[Count of Members with Claims Truncated]], AN_TME22[[#All],[Insurance Category Code]],4, AN_TME22[[#All],[Advanced Network/Insurance Carrier Org ID]],B207),2), "TRUE", ROUND(E207-SUMIFS(AN_TME22[[#All],[Count of Members with Claims Truncated]], AN_TME22[[#All],[Insurance Category Code]],4, AN_TME22[[#All],[Advanced Network/Insurance Carrier Org ID]],B207),2))</f>
        <v>TRUE</v>
      </c>
      <c r="K207" s="282" t="str">
        <f>IF(F207=ROUND(SUMIFS(AN_TME22[[#All],[TOTAL Non-Truncated Unadjusted Claims Expenses]], AN_TME22[[#All],[Insurance Category Code]],4, AN_TME22[[#All],[Advanced Network/Insurance Carrier Org ID]],B207),2), "TRUE", ROUND(F207-SUMIFS(AN_TME22[[#All],[TOTAL Non-Truncated Unadjusted Claims Expenses]], AN_TME22[[#All],[Insurance Category Code]],4, AN_TME22[[#All],[Advanced Network/Insurance Carrier Org ID]],B207),2))</f>
        <v>TRUE</v>
      </c>
      <c r="L207" s="295" t="str">
        <f>IF(G207=ROUND(SUMIFS(AN_TME22[[#All],[TOTAL Truncated Unadjusted Claims Expenses (A21 -A19)]], AN_TME22[[#All],[Insurance Category Code]],4, AN_TME22[[#All],[Advanced Network/Insurance Carrier Org ID]],B207),2), "TRUE", ROUND(G207-SUMIFS(AN_TME22[[#All],[TOTAL Truncated Unadjusted Claims Expenses (A21 -A19)]], AN_TME22[[#All],[Insurance Category Code]],4, AN_TME22[[#All],[Advanced Network/Insurance Carrier Org ID]],B207),2))</f>
        <v>TRUE</v>
      </c>
      <c r="M207" s="461" t="str">
        <f t="shared" si="19"/>
        <v>TRUE</v>
      </c>
      <c r="N207" s="282" t="b">
        <f>ROUND(SUMIFS(AN_TME22[[#All],[TOTAL Non-Truncated Unadjusted Claims Expenses]], AN_TME22[[#All],[Insurance Category Code]],4, AN_TME22[[#All],[Advanced Network/Insurance Carrier Org ID]],B207),2)&gt;=ROUND(SUMIFS(AN_TME22[[#All],[TOTAL Truncated Unadjusted Claims Expenses (A21 -A19)]], AN_TME22[[#All],[Insurance Category Code]],4, AN_TME22[[#All],[Advanced Network/Insurance Carrier Org ID]],B207),2)</f>
        <v>1</v>
      </c>
      <c r="O207" s="295" t="b">
        <f>ROUND(SUMIFS(AN_TME22[[#All],[TOTAL Truncated Unadjusted Claims Expenses (A21 -A19)]], AN_TME22[[#All],[Insurance Category Code]],4, AN_TME22[[#All],[Advanced Network/Insurance Carrier Org ID]],B207)+SUMIFS(AN_TME22[[#All],[Total Claims Excluded because of Truncation]], AN_TME22[[#All],[Insurance Category Code]],4, AN_TME22[[#All],[Advanced Network/Insurance Carrier Org ID]],B207),2)=ROUND(SUMIFS(AN_TME22[[#All],[TOTAL Non-Truncated Unadjusted Claims Expenses]], AN_TME22[[#All],[Insurance Category Code]],4, AN_TME22[[#All],[Advanced Network/Insurance Carrier Org ID]],B207),2)</f>
        <v>1</v>
      </c>
      <c r="Q207" s="236">
        <v>110</v>
      </c>
      <c r="R207" s="463">
        <f>ROUND(SUMIFS(Age_Sex23[[#All],[Total Member Months by Age/Sex Band]], Age_Sex23[[#All],[Advanced Network ID]], $Q207, Age_Sex23[[#All],[Insurance Category Code]],4),2)</f>
        <v>0</v>
      </c>
      <c r="S207" s="268">
        <f>ROUND(SUMIFS(Age_Sex23[[#All],[Total Dollars Excluded from Spending After Applying Truncation at the Member Level]], Age_Sex23[[#All],[Advanced Network ID]], $B207, Age_Sex23[[#All],[Insurance Category Code]],4),2)</f>
        <v>0</v>
      </c>
      <c r="T207" s="229">
        <f>ROUND(SUMIFS(Age_Sex23[[#All],[Count of Members whose Spending was Truncated]], Age_Sex23[[#All],[Advanced Network ID]], $B207, Age_Sex23[[#All],[Insurance Category Code]],4),2)</f>
        <v>0</v>
      </c>
      <c r="U207" s="230">
        <f>ROUND(SUMIFS(Age_Sex23[[#All],[Total Spending before Truncation is Applied]], Age_Sex23[[#All],[Advanced Network ID]], $B207, Age_Sex23[[#All],[Insurance Category Code]],4),2)</f>
        <v>0</v>
      </c>
      <c r="V207" s="232">
        <f>ROUND(SUMIFS(Age_Sex23[[#All],[Total Spending After Applying Truncation at the Member Level]], Age_Sex23[[#All],[Advanced Network ID]], $B207, Age_Sex23[[#All],[Insurance Category Code]],4),2)</f>
        <v>0</v>
      </c>
      <c r="W207" s="416" t="str">
        <f>IF(R207=ROUND(SUMIFS(AN_TME23[[#All],[Member Months]], AN_TME23[[#All],[Insurance Category Code]],4, AN_TME23[[#All],[Advanced Network/Insurance Carrier Org ID]],Q207),2), "TRUE", ROUND(R207-SUMIFS(AN_TME23[[#All],[Member Months]], AN_TME23[[#All],[Insurance Category Code]],4, AN_TME23[[#All],[Advanced Network/Insurance Carrier Org ID]],Q207),2))</f>
        <v>TRUE</v>
      </c>
      <c r="X207" s="280" t="str">
        <f>IF(S207=ROUND(SUMIFS(AN_TME23[[#All],[Total Claims Excluded because of Truncation]], AN_TME23[[#All],[Insurance Category Code]],4, AN_TME23[[#All],[Advanced Network/Insurance Carrier Org ID]],Q207),2), "TRUE", ROUND(S207-SUMIFS(AN_TME23[[#All],[Total Claims Excluded because of Truncation]], AN_TME23[[#All],[Insurance Category Code]],4, AN_TME23[[#All],[Advanced Network/Insurance Carrier Org ID]],Q207),2))</f>
        <v>TRUE</v>
      </c>
      <c r="Y207" s="281" t="str">
        <f>IF(T207=ROUND(SUMIFS(AN_TME23[[#All],[Count of Members with Claims Truncated]], AN_TME23[[#All],[Insurance Category Code]],4, AN_TME23[[#All],[Advanced Network/Insurance Carrier Org ID]],Q207),2), "TRUE", ROUND(T207-SUMIFS(AN_TME23[[#All],[Count of Members with Claims Truncated]], AN_TME23[[#All],[Insurance Category Code]],4, AN_TME23[[#All],[Advanced Network/Insurance Carrier Org ID]],Q207),2))</f>
        <v>TRUE</v>
      </c>
      <c r="Z207" s="282" t="str">
        <f>IF(U207=ROUND(SUMIFS(AN_TME23[[#All],[TOTAL Non-Truncated Unadjusted Claims Expenses]], AN_TME23[[#All],[Insurance Category Code]],4, AN_TME23[[#All],[Advanced Network/Insurance Carrier Org ID]],Q207),2), "TRUE", ROUND(U207-SUMIFS(AN_TME23[[#All],[TOTAL Non-Truncated Unadjusted Claims Expenses]], AN_TME23[[#All],[Insurance Category Code]],4, AN_TME23[[#All],[Advanced Network/Insurance Carrier Org ID]],Q207),2))</f>
        <v>TRUE</v>
      </c>
      <c r="AA207" s="295" t="str">
        <f>IF(V207=ROUND(SUMIFS(AN_TME23[[#All],[TOTAL Truncated Unadjusted Claims Expenses (A21 -A19)]], AN_TME23[[#All],[Insurance Category Code]],4, AN_TME23[[#All],[Advanced Network/Insurance Carrier Org ID]],Q207),2), "TRUE",ROUND( V207-SUMIFS(AN_TME23[[#All],[TOTAL Truncated Unadjusted Claims Expenses (A21 -A19)]], AN_TME23[[#All],[Insurance Category Code]],4, AN_TME23[[#All],[Advanced Network/Insurance Carrier Org ID]],Q207),2))</f>
        <v>TRUE</v>
      </c>
      <c r="AB207" s="461" t="str">
        <f t="shared" si="22"/>
        <v>TRUE</v>
      </c>
      <c r="AC207" s="282" t="b">
        <f>ROUND(SUMIFS(AN_TME23[[#All],[TOTAL Non-Truncated Unadjusted Claims Expenses]], AN_TME23[[#All],[Insurance Category Code]],4, AN_TME23[[#All],[Advanced Network/Insurance Carrier Org ID]],Q207),2)&gt;=ROUND(SUMIFS(AN_TME23[[#All],[TOTAL Truncated Unadjusted Claims Expenses (A21 -A19)]], AN_TME23[[#All],[Insurance Category Code]],4, AN_TME23[[#All],[Advanced Network/Insurance Carrier Org ID]],Q207),2)</f>
        <v>1</v>
      </c>
      <c r="AD207" s="295" t="b">
        <f>ROUND(SUMIFS(AN_TME23[[#All],[TOTAL Truncated Unadjusted Claims Expenses (A21 -A19)]], AN_TME23[[#All],[Insurance Category Code]],4, AN_TME23[[#All],[Advanced Network/Insurance Carrier Org ID]],Q207)+SUMIFS(AN_TME23[[#All],[Total Claims Excluded because of Truncation]], AN_TME23[[#All],[Insurance Category Code]],4, AN_TME23[[#All],[Advanced Network/Insurance Carrier Org ID]],Q207),2)=ROUND(SUMIFS(AN_TME23[[#All],[TOTAL Non-Truncated Unadjusted Claims Expenses]], AN_TME23[[#All],[Insurance Category Code]],4, AN_TME23[[#All],[Advanced Network/Insurance Carrier Org ID]],Q207),2)</f>
        <v>1</v>
      </c>
      <c r="AF207" s="323" t="str">
        <f t="shared" si="21"/>
        <v>NA</v>
      </c>
    </row>
    <row r="208" spans="2:32" outlineLevel="1" x14ac:dyDescent="0.25">
      <c r="B208" s="236">
        <v>111</v>
      </c>
      <c r="C208" s="463">
        <f>ROUND(SUMIFS(Age_Sex22[[#All],[Total Member Months by Age/Sex Band]], Age_Sex22[[#All],[Advanced Network ID]], $B208, Age_Sex22[[#All],[Insurance Category Code]],4),2)</f>
        <v>0</v>
      </c>
      <c r="D208" s="268">
        <f>ROUND(SUMIFS(Age_Sex22[[#All],[Total Dollars Excluded from Spending After Applying Truncation at the Member Level]], Age_Sex22[[#All],[Advanced Network ID]], $B208, Age_Sex22[[#All],[Insurance Category Code]],4),2)</f>
        <v>0</v>
      </c>
      <c r="E208" s="229">
        <f>ROUND(SUMIFS(Age_Sex22[[#All],[Count of Members whose Spending was Truncated]], Age_Sex22[[#All],[Advanced Network ID]], $B208, Age_Sex22[[#All],[Insurance Category Code]],4),2)</f>
        <v>0</v>
      </c>
      <c r="F208" s="230">
        <f>ROUND(SUMIFS(Age_Sex22[[#All],[Total Spending before Truncation is Applied]], Age_Sex22[[#All],[Advanced Network ID]], $B208, Age_Sex22[[#All],[Insurance Category Code]],4),2)</f>
        <v>0</v>
      </c>
      <c r="G208" s="232">
        <f>ROUND(SUMIFS(Age_Sex22[[#All],[Total Spending After Applying Truncation at the Member Level]], Age_Sex22[[#All],[Advanced Network ID]], $B208, Age_Sex22[[#All],[Insurance Category Code]],4),2)</f>
        <v>0</v>
      </c>
      <c r="H208" s="416" t="str">
        <f>IF(C208=ROUND(SUMIFS(AN_TME22[[#All],[Member Months]], AN_TME22[[#All],[Insurance Category Code]],4, AN_TME22[[#All],[Advanced Network/Insurance Carrier Org ID]],B208),2), "TRUE", ROUND(C208-SUMIFS(AN_TME22[[#All],[Member Months]], AN_TME22[[#All],[Insurance Category Code]],4, AN_TME22[[#All],[Advanced Network/Insurance Carrier Org ID]],B208),2))</f>
        <v>TRUE</v>
      </c>
      <c r="I208" s="280" t="str">
        <f>IF(D208=ROUND(SUMIFS(AN_TME22[[#All],[Total Claims Excluded because of Truncation]], AN_TME22[[#All],[Insurance Category Code]],4, AN_TME22[[#All],[Advanced Network/Insurance Carrier Org ID]],B208),2), "TRUE", ROUND(D208-SUMIFS(AN_TME22[[#All],[Total Claims Excluded because of Truncation]], AN_TME22[[#All],[Insurance Category Code]],4, AN_TME22[[#All],[Advanced Network/Insurance Carrier Org ID]],B208),2))</f>
        <v>TRUE</v>
      </c>
      <c r="J208" s="281" t="str">
        <f>IF(E208=ROUND(SUMIFS(AN_TME22[[#All],[Count of Members with Claims Truncated]], AN_TME22[[#All],[Insurance Category Code]],4, AN_TME22[[#All],[Advanced Network/Insurance Carrier Org ID]],B208),2), "TRUE", ROUND(E208-SUMIFS(AN_TME22[[#All],[Count of Members with Claims Truncated]], AN_TME22[[#All],[Insurance Category Code]],4, AN_TME22[[#All],[Advanced Network/Insurance Carrier Org ID]],B208),2))</f>
        <v>TRUE</v>
      </c>
      <c r="K208" s="282" t="str">
        <f>IF(F208=ROUND(SUMIFS(AN_TME22[[#All],[TOTAL Non-Truncated Unadjusted Claims Expenses]], AN_TME22[[#All],[Insurance Category Code]],4, AN_TME22[[#All],[Advanced Network/Insurance Carrier Org ID]],B208),2), "TRUE", ROUND(F208-SUMIFS(AN_TME22[[#All],[TOTAL Non-Truncated Unadjusted Claims Expenses]], AN_TME22[[#All],[Insurance Category Code]],4, AN_TME22[[#All],[Advanced Network/Insurance Carrier Org ID]],B208),2))</f>
        <v>TRUE</v>
      </c>
      <c r="L208" s="295" t="str">
        <f>IF(G208=ROUND(SUMIFS(AN_TME22[[#All],[TOTAL Truncated Unadjusted Claims Expenses (A21 -A19)]], AN_TME22[[#All],[Insurance Category Code]],4, AN_TME22[[#All],[Advanced Network/Insurance Carrier Org ID]],B208),2), "TRUE", ROUND(G208-SUMIFS(AN_TME22[[#All],[TOTAL Truncated Unadjusted Claims Expenses (A21 -A19)]], AN_TME22[[#All],[Insurance Category Code]],4, AN_TME22[[#All],[Advanced Network/Insurance Carrier Org ID]],B208),2))</f>
        <v>TRUE</v>
      </c>
      <c r="M208" s="461" t="str">
        <f t="shared" si="19"/>
        <v>TRUE</v>
      </c>
      <c r="N208" s="282" t="b">
        <f>ROUND(SUMIFS(AN_TME22[[#All],[TOTAL Non-Truncated Unadjusted Claims Expenses]], AN_TME22[[#All],[Insurance Category Code]],4, AN_TME22[[#All],[Advanced Network/Insurance Carrier Org ID]],B208),2)&gt;=ROUND(SUMIFS(AN_TME22[[#All],[TOTAL Truncated Unadjusted Claims Expenses (A21 -A19)]], AN_TME22[[#All],[Insurance Category Code]],4, AN_TME22[[#All],[Advanced Network/Insurance Carrier Org ID]],B208),2)</f>
        <v>1</v>
      </c>
      <c r="O208" s="295" t="b">
        <f>ROUND(SUMIFS(AN_TME22[[#All],[TOTAL Truncated Unadjusted Claims Expenses (A21 -A19)]], AN_TME22[[#All],[Insurance Category Code]],4, AN_TME22[[#All],[Advanced Network/Insurance Carrier Org ID]],B208)+SUMIFS(AN_TME22[[#All],[Total Claims Excluded because of Truncation]], AN_TME22[[#All],[Insurance Category Code]],4, AN_TME22[[#All],[Advanced Network/Insurance Carrier Org ID]],B208),2)=ROUND(SUMIFS(AN_TME22[[#All],[TOTAL Non-Truncated Unadjusted Claims Expenses]], AN_TME22[[#All],[Insurance Category Code]],4, AN_TME22[[#All],[Advanced Network/Insurance Carrier Org ID]],B208),2)</f>
        <v>1</v>
      </c>
      <c r="Q208" s="236">
        <v>111</v>
      </c>
      <c r="R208" s="463">
        <f>ROUND(SUMIFS(Age_Sex23[[#All],[Total Member Months by Age/Sex Band]], Age_Sex23[[#All],[Advanced Network ID]], $Q208, Age_Sex23[[#All],[Insurance Category Code]],4),2)</f>
        <v>0</v>
      </c>
      <c r="S208" s="268">
        <f>ROUND(SUMIFS(Age_Sex23[[#All],[Total Dollars Excluded from Spending After Applying Truncation at the Member Level]], Age_Sex23[[#All],[Advanced Network ID]], $B208, Age_Sex23[[#All],[Insurance Category Code]],4),2)</f>
        <v>0</v>
      </c>
      <c r="T208" s="229">
        <f>ROUND(SUMIFS(Age_Sex23[[#All],[Count of Members whose Spending was Truncated]], Age_Sex23[[#All],[Advanced Network ID]], $B208, Age_Sex23[[#All],[Insurance Category Code]],4),2)</f>
        <v>0</v>
      </c>
      <c r="U208" s="230">
        <f>ROUND(SUMIFS(Age_Sex23[[#All],[Total Spending before Truncation is Applied]], Age_Sex23[[#All],[Advanced Network ID]], $B208, Age_Sex23[[#All],[Insurance Category Code]],4),2)</f>
        <v>0</v>
      </c>
      <c r="V208" s="232">
        <f>ROUND(SUMIFS(Age_Sex23[[#All],[Total Spending After Applying Truncation at the Member Level]], Age_Sex23[[#All],[Advanced Network ID]], $B208, Age_Sex23[[#All],[Insurance Category Code]],4),2)</f>
        <v>0</v>
      </c>
      <c r="W208" s="416" t="str">
        <f>IF(R208=ROUND(SUMIFS(AN_TME23[[#All],[Member Months]], AN_TME23[[#All],[Insurance Category Code]],4, AN_TME23[[#All],[Advanced Network/Insurance Carrier Org ID]],Q208),2), "TRUE", ROUND(R208-SUMIFS(AN_TME23[[#All],[Member Months]], AN_TME23[[#All],[Insurance Category Code]],4, AN_TME23[[#All],[Advanced Network/Insurance Carrier Org ID]],Q208),2))</f>
        <v>TRUE</v>
      </c>
      <c r="X208" s="280" t="str">
        <f>IF(S208=ROUND(SUMIFS(AN_TME23[[#All],[Total Claims Excluded because of Truncation]], AN_TME23[[#All],[Insurance Category Code]],4, AN_TME23[[#All],[Advanced Network/Insurance Carrier Org ID]],Q208),2), "TRUE", ROUND(S208-SUMIFS(AN_TME23[[#All],[Total Claims Excluded because of Truncation]], AN_TME23[[#All],[Insurance Category Code]],4, AN_TME23[[#All],[Advanced Network/Insurance Carrier Org ID]],Q208),2))</f>
        <v>TRUE</v>
      </c>
      <c r="Y208" s="281" t="str">
        <f>IF(T208=ROUND(SUMIFS(AN_TME23[[#All],[Count of Members with Claims Truncated]], AN_TME23[[#All],[Insurance Category Code]],4, AN_TME23[[#All],[Advanced Network/Insurance Carrier Org ID]],Q208),2), "TRUE", ROUND(T208-SUMIFS(AN_TME23[[#All],[Count of Members with Claims Truncated]], AN_TME23[[#All],[Insurance Category Code]],4, AN_TME23[[#All],[Advanced Network/Insurance Carrier Org ID]],Q208),2))</f>
        <v>TRUE</v>
      </c>
      <c r="Z208" s="282" t="str">
        <f>IF(U208=ROUND(SUMIFS(AN_TME23[[#All],[TOTAL Non-Truncated Unadjusted Claims Expenses]], AN_TME23[[#All],[Insurance Category Code]],4, AN_TME23[[#All],[Advanced Network/Insurance Carrier Org ID]],Q208),2), "TRUE", ROUND(U208-SUMIFS(AN_TME23[[#All],[TOTAL Non-Truncated Unadjusted Claims Expenses]], AN_TME23[[#All],[Insurance Category Code]],4, AN_TME23[[#All],[Advanced Network/Insurance Carrier Org ID]],Q208),2))</f>
        <v>TRUE</v>
      </c>
      <c r="AA208" s="295" t="str">
        <f>IF(V208=ROUND(SUMIFS(AN_TME23[[#All],[TOTAL Truncated Unadjusted Claims Expenses (A21 -A19)]], AN_TME23[[#All],[Insurance Category Code]],4, AN_TME23[[#All],[Advanced Network/Insurance Carrier Org ID]],Q208),2), "TRUE",ROUND( V208-SUMIFS(AN_TME23[[#All],[TOTAL Truncated Unadjusted Claims Expenses (A21 -A19)]], AN_TME23[[#All],[Insurance Category Code]],4, AN_TME23[[#All],[Advanced Network/Insurance Carrier Org ID]],Q208),2))</f>
        <v>TRUE</v>
      </c>
      <c r="AB208" s="461" t="str">
        <f t="shared" si="22"/>
        <v>TRUE</v>
      </c>
      <c r="AC208" s="282" t="b">
        <f>ROUND(SUMIFS(AN_TME23[[#All],[TOTAL Non-Truncated Unadjusted Claims Expenses]], AN_TME23[[#All],[Insurance Category Code]],4, AN_TME23[[#All],[Advanced Network/Insurance Carrier Org ID]],Q208),2)&gt;=ROUND(SUMIFS(AN_TME23[[#All],[TOTAL Truncated Unadjusted Claims Expenses (A21 -A19)]], AN_TME23[[#All],[Insurance Category Code]],4, AN_TME23[[#All],[Advanced Network/Insurance Carrier Org ID]],Q208),2)</f>
        <v>1</v>
      </c>
      <c r="AD208" s="295" t="b">
        <f>ROUND(SUMIFS(AN_TME23[[#All],[TOTAL Truncated Unadjusted Claims Expenses (A21 -A19)]], AN_TME23[[#All],[Insurance Category Code]],4, AN_TME23[[#All],[Advanced Network/Insurance Carrier Org ID]],Q208)+SUMIFS(AN_TME23[[#All],[Total Claims Excluded because of Truncation]], AN_TME23[[#All],[Insurance Category Code]],4, AN_TME23[[#All],[Advanced Network/Insurance Carrier Org ID]],Q208),2)=ROUND(SUMIFS(AN_TME23[[#All],[TOTAL Non-Truncated Unadjusted Claims Expenses]], AN_TME23[[#All],[Insurance Category Code]],4, AN_TME23[[#All],[Advanced Network/Insurance Carrier Org ID]],Q208),2)</f>
        <v>1</v>
      </c>
      <c r="AF208" s="323" t="str">
        <f t="shared" si="21"/>
        <v>NA</v>
      </c>
    </row>
    <row r="209" spans="2:32" outlineLevel="1" x14ac:dyDescent="0.25">
      <c r="B209" s="236">
        <v>112</v>
      </c>
      <c r="C209" s="463">
        <f>ROUND(SUMIFS(Age_Sex22[[#All],[Total Member Months by Age/Sex Band]], Age_Sex22[[#All],[Advanced Network ID]], $B209, Age_Sex22[[#All],[Insurance Category Code]],4),2)</f>
        <v>0</v>
      </c>
      <c r="D209" s="268">
        <f>ROUND(SUMIFS(Age_Sex22[[#All],[Total Dollars Excluded from Spending After Applying Truncation at the Member Level]], Age_Sex22[[#All],[Advanced Network ID]], $B209, Age_Sex22[[#All],[Insurance Category Code]],4),2)</f>
        <v>0</v>
      </c>
      <c r="E209" s="229">
        <f>ROUND(SUMIFS(Age_Sex22[[#All],[Count of Members whose Spending was Truncated]], Age_Sex22[[#All],[Advanced Network ID]], $B209, Age_Sex22[[#All],[Insurance Category Code]],4),2)</f>
        <v>0</v>
      </c>
      <c r="F209" s="230">
        <f>ROUND(SUMIFS(Age_Sex22[[#All],[Total Spending before Truncation is Applied]], Age_Sex22[[#All],[Advanced Network ID]], $B209, Age_Sex22[[#All],[Insurance Category Code]],4),2)</f>
        <v>0</v>
      </c>
      <c r="G209" s="232">
        <f>ROUND(SUMIFS(Age_Sex22[[#All],[Total Spending After Applying Truncation at the Member Level]], Age_Sex22[[#All],[Advanced Network ID]], $B209, Age_Sex22[[#All],[Insurance Category Code]],4),2)</f>
        <v>0</v>
      </c>
      <c r="H209" s="416" t="str">
        <f>IF(C209=ROUND(SUMIFS(AN_TME22[[#All],[Member Months]], AN_TME22[[#All],[Insurance Category Code]],4, AN_TME22[[#All],[Advanced Network/Insurance Carrier Org ID]],B209),2), "TRUE", ROUND(C209-SUMIFS(AN_TME22[[#All],[Member Months]], AN_TME22[[#All],[Insurance Category Code]],4, AN_TME22[[#All],[Advanced Network/Insurance Carrier Org ID]],B209),2))</f>
        <v>TRUE</v>
      </c>
      <c r="I209" s="280" t="str">
        <f>IF(D209=ROUND(SUMIFS(AN_TME22[[#All],[Total Claims Excluded because of Truncation]], AN_TME22[[#All],[Insurance Category Code]],4, AN_TME22[[#All],[Advanced Network/Insurance Carrier Org ID]],B209),2), "TRUE", ROUND(D209-SUMIFS(AN_TME22[[#All],[Total Claims Excluded because of Truncation]], AN_TME22[[#All],[Insurance Category Code]],4, AN_TME22[[#All],[Advanced Network/Insurance Carrier Org ID]],B209),2))</f>
        <v>TRUE</v>
      </c>
      <c r="J209" s="281" t="str">
        <f>IF(E209=ROUND(SUMIFS(AN_TME22[[#All],[Count of Members with Claims Truncated]], AN_TME22[[#All],[Insurance Category Code]],4, AN_TME22[[#All],[Advanced Network/Insurance Carrier Org ID]],B209),2), "TRUE", ROUND(E209-SUMIFS(AN_TME22[[#All],[Count of Members with Claims Truncated]], AN_TME22[[#All],[Insurance Category Code]],4, AN_TME22[[#All],[Advanced Network/Insurance Carrier Org ID]],B209),2))</f>
        <v>TRUE</v>
      </c>
      <c r="K209" s="282" t="str">
        <f>IF(F209=ROUND(SUMIFS(AN_TME22[[#All],[TOTAL Non-Truncated Unadjusted Claims Expenses]], AN_TME22[[#All],[Insurance Category Code]],4, AN_TME22[[#All],[Advanced Network/Insurance Carrier Org ID]],B209),2), "TRUE", ROUND(F209-SUMIFS(AN_TME22[[#All],[TOTAL Non-Truncated Unadjusted Claims Expenses]], AN_TME22[[#All],[Insurance Category Code]],4, AN_TME22[[#All],[Advanced Network/Insurance Carrier Org ID]],B209),2))</f>
        <v>TRUE</v>
      </c>
      <c r="L209" s="295" t="str">
        <f>IF(G209=ROUND(SUMIFS(AN_TME22[[#All],[TOTAL Truncated Unadjusted Claims Expenses (A21 -A19)]], AN_TME22[[#All],[Insurance Category Code]],4, AN_TME22[[#All],[Advanced Network/Insurance Carrier Org ID]],B209),2), "TRUE", ROUND(G209-SUMIFS(AN_TME22[[#All],[TOTAL Truncated Unadjusted Claims Expenses (A21 -A19)]], AN_TME22[[#All],[Insurance Category Code]],4, AN_TME22[[#All],[Advanced Network/Insurance Carrier Org ID]],B209),2))</f>
        <v>TRUE</v>
      </c>
      <c r="M209" s="461" t="str">
        <f t="shared" si="19"/>
        <v>TRUE</v>
      </c>
      <c r="N209" s="282" t="b">
        <f>ROUND(SUMIFS(AN_TME22[[#All],[TOTAL Non-Truncated Unadjusted Claims Expenses]], AN_TME22[[#All],[Insurance Category Code]],4, AN_TME22[[#All],[Advanced Network/Insurance Carrier Org ID]],B209),2)&gt;=ROUND(SUMIFS(AN_TME22[[#All],[TOTAL Truncated Unadjusted Claims Expenses (A21 -A19)]], AN_TME22[[#All],[Insurance Category Code]],4, AN_TME22[[#All],[Advanced Network/Insurance Carrier Org ID]],B209),2)</f>
        <v>1</v>
      </c>
      <c r="O209" s="295" t="b">
        <f>ROUND(SUMIFS(AN_TME22[[#All],[TOTAL Truncated Unadjusted Claims Expenses (A21 -A19)]], AN_TME22[[#All],[Insurance Category Code]],4, AN_TME22[[#All],[Advanced Network/Insurance Carrier Org ID]],B209)+SUMIFS(AN_TME22[[#All],[Total Claims Excluded because of Truncation]], AN_TME22[[#All],[Insurance Category Code]],4, AN_TME22[[#All],[Advanced Network/Insurance Carrier Org ID]],B209),2)=ROUND(SUMIFS(AN_TME22[[#All],[TOTAL Non-Truncated Unadjusted Claims Expenses]], AN_TME22[[#All],[Insurance Category Code]],4, AN_TME22[[#All],[Advanced Network/Insurance Carrier Org ID]],B209),2)</f>
        <v>1</v>
      </c>
      <c r="Q209" s="236">
        <v>112</v>
      </c>
      <c r="R209" s="463">
        <f>ROUND(SUMIFS(Age_Sex23[[#All],[Total Member Months by Age/Sex Band]], Age_Sex23[[#All],[Advanced Network ID]], $Q209, Age_Sex23[[#All],[Insurance Category Code]],4),2)</f>
        <v>0</v>
      </c>
      <c r="S209" s="268">
        <f>ROUND(SUMIFS(Age_Sex23[[#All],[Total Dollars Excluded from Spending After Applying Truncation at the Member Level]], Age_Sex23[[#All],[Advanced Network ID]], $B209, Age_Sex23[[#All],[Insurance Category Code]],4),2)</f>
        <v>0</v>
      </c>
      <c r="T209" s="229">
        <f>ROUND(SUMIFS(Age_Sex23[[#All],[Count of Members whose Spending was Truncated]], Age_Sex23[[#All],[Advanced Network ID]], $B209, Age_Sex23[[#All],[Insurance Category Code]],4),2)</f>
        <v>0</v>
      </c>
      <c r="U209" s="230">
        <f>ROUND(SUMIFS(Age_Sex23[[#All],[Total Spending before Truncation is Applied]], Age_Sex23[[#All],[Advanced Network ID]], $B209, Age_Sex23[[#All],[Insurance Category Code]],4),2)</f>
        <v>0</v>
      </c>
      <c r="V209" s="232">
        <f>ROUND(SUMIFS(Age_Sex23[[#All],[Total Spending After Applying Truncation at the Member Level]], Age_Sex23[[#All],[Advanced Network ID]], $B209, Age_Sex23[[#All],[Insurance Category Code]],4),2)</f>
        <v>0</v>
      </c>
      <c r="W209" s="416" t="str">
        <f>IF(R209=ROUND(SUMIFS(AN_TME23[[#All],[Member Months]], AN_TME23[[#All],[Insurance Category Code]],4, AN_TME23[[#All],[Advanced Network/Insurance Carrier Org ID]],Q209),2), "TRUE", ROUND(R209-SUMIFS(AN_TME23[[#All],[Member Months]], AN_TME23[[#All],[Insurance Category Code]],4, AN_TME23[[#All],[Advanced Network/Insurance Carrier Org ID]],Q209),2))</f>
        <v>TRUE</v>
      </c>
      <c r="X209" s="280" t="str">
        <f>IF(S209=ROUND(SUMIFS(AN_TME23[[#All],[Total Claims Excluded because of Truncation]], AN_TME23[[#All],[Insurance Category Code]],4, AN_TME23[[#All],[Advanced Network/Insurance Carrier Org ID]],Q209),2), "TRUE", ROUND(S209-SUMIFS(AN_TME23[[#All],[Total Claims Excluded because of Truncation]], AN_TME23[[#All],[Insurance Category Code]],4, AN_TME23[[#All],[Advanced Network/Insurance Carrier Org ID]],Q209),2))</f>
        <v>TRUE</v>
      </c>
      <c r="Y209" s="281" t="str">
        <f>IF(T209=ROUND(SUMIFS(AN_TME23[[#All],[Count of Members with Claims Truncated]], AN_TME23[[#All],[Insurance Category Code]],4, AN_TME23[[#All],[Advanced Network/Insurance Carrier Org ID]],Q209),2), "TRUE", ROUND(T209-SUMIFS(AN_TME23[[#All],[Count of Members with Claims Truncated]], AN_TME23[[#All],[Insurance Category Code]],4, AN_TME23[[#All],[Advanced Network/Insurance Carrier Org ID]],Q209),2))</f>
        <v>TRUE</v>
      </c>
      <c r="Z209" s="282" t="str">
        <f>IF(U209=ROUND(SUMIFS(AN_TME23[[#All],[TOTAL Non-Truncated Unadjusted Claims Expenses]], AN_TME23[[#All],[Insurance Category Code]],4, AN_TME23[[#All],[Advanced Network/Insurance Carrier Org ID]],Q209),2), "TRUE", ROUND(U209-SUMIFS(AN_TME23[[#All],[TOTAL Non-Truncated Unadjusted Claims Expenses]], AN_TME23[[#All],[Insurance Category Code]],4, AN_TME23[[#All],[Advanced Network/Insurance Carrier Org ID]],Q209),2))</f>
        <v>TRUE</v>
      </c>
      <c r="AA209" s="295" t="str">
        <f>IF(V209=ROUND(SUMIFS(AN_TME23[[#All],[TOTAL Truncated Unadjusted Claims Expenses (A21 -A19)]], AN_TME23[[#All],[Insurance Category Code]],4, AN_TME23[[#All],[Advanced Network/Insurance Carrier Org ID]],Q209),2), "TRUE",ROUND( V209-SUMIFS(AN_TME23[[#All],[TOTAL Truncated Unadjusted Claims Expenses (A21 -A19)]], AN_TME23[[#All],[Insurance Category Code]],4, AN_TME23[[#All],[Advanced Network/Insurance Carrier Org ID]],Q209),2))</f>
        <v>TRUE</v>
      </c>
      <c r="AB209" s="461" t="str">
        <f t="shared" si="22"/>
        <v>TRUE</v>
      </c>
      <c r="AC209" s="282" t="b">
        <f>ROUND(SUMIFS(AN_TME23[[#All],[TOTAL Non-Truncated Unadjusted Claims Expenses]], AN_TME23[[#All],[Insurance Category Code]],4, AN_TME23[[#All],[Advanced Network/Insurance Carrier Org ID]],Q209),2)&gt;=ROUND(SUMIFS(AN_TME23[[#All],[TOTAL Truncated Unadjusted Claims Expenses (A21 -A19)]], AN_TME23[[#All],[Insurance Category Code]],4, AN_TME23[[#All],[Advanced Network/Insurance Carrier Org ID]],Q209),2)</f>
        <v>1</v>
      </c>
      <c r="AD209" s="295" t="b">
        <f>ROUND(SUMIFS(AN_TME23[[#All],[TOTAL Truncated Unadjusted Claims Expenses (A21 -A19)]], AN_TME23[[#All],[Insurance Category Code]],4, AN_TME23[[#All],[Advanced Network/Insurance Carrier Org ID]],Q209)+SUMIFS(AN_TME23[[#All],[Total Claims Excluded because of Truncation]], AN_TME23[[#All],[Insurance Category Code]],4, AN_TME23[[#All],[Advanced Network/Insurance Carrier Org ID]],Q209),2)=ROUND(SUMIFS(AN_TME23[[#All],[TOTAL Non-Truncated Unadjusted Claims Expenses]], AN_TME23[[#All],[Insurance Category Code]],4, AN_TME23[[#All],[Advanced Network/Insurance Carrier Org ID]],Q209),2)</f>
        <v>1</v>
      </c>
      <c r="AF209" s="323" t="str">
        <f t="shared" si="21"/>
        <v>NA</v>
      </c>
    </row>
    <row r="210" spans="2:32" outlineLevel="1" x14ac:dyDescent="0.25">
      <c r="B210" s="236">
        <v>113</v>
      </c>
      <c r="C210" s="463">
        <f>ROUND(SUMIFS(Age_Sex22[[#All],[Total Member Months by Age/Sex Band]], Age_Sex22[[#All],[Advanced Network ID]], $B210, Age_Sex22[[#All],[Insurance Category Code]],4),2)</f>
        <v>0</v>
      </c>
      <c r="D210" s="268">
        <f>ROUND(SUMIFS(Age_Sex22[[#All],[Total Dollars Excluded from Spending After Applying Truncation at the Member Level]], Age_Sex22[[#All],[Advanced Network ID]], $B210, Age_Sex22[[#All],[Insurance Category Code]],4),2)</f>
        <v>0</v>
      </c>
      <c r="E210" s="229">
        <f>ROUND(SUMIFS(Age_Sex22[[#All],[Count of Members whose Spending was Truncated]], Age_Sex22[[#All],[Advanced Network ID]], $B210, Age_Sex22[[#All],[Insurance Category Code]],4),2)</f>
        <v>0</v>
      </c>
      <c r="F210" s="230">
        <f>ROUND(SUMIFS(Age_Sex22[[#All],[Total Spending before Truncation is Applied]], Age_Sex22[[#All],[Advanced Network ID]], $B210, Age_Sex22[[#All],[Insurance Category Code]],4),2)</f>
        <v>0</v>
      </c>
      <c r="G210" s="232">
        <f>ROUND(SUMIFS(Age_Sex22[[#All],[Total Spending After Applying Truncation at the Member Level]], Age_Sex22[[#All],[Advanced Network ID]], $B210, Age_Sex22[[#All],[Insurance Category Code]],4),2)</f>
        <v>0</v>
      </c>
      <c r="H210" s="416" t="str">
        <f>IF(C210=ROUND(SUMIFS(AN_TME22[[#All],[Member Months]], AN_TME22[[#All],[Insurance Category Code]],4, AN_TME22[[#All],[Advanced Network/Insurance Carrier Org ID]],B210),2), "TRUE", ROUND(C210-SUMIFS(AN_TME22[[#All],[Member Months]], AN_TME22[[#All],[Insurance Category Code]],4, AN_TME22[[#All],[Advanced Network/Insurance Carrier Org ID]],B210),2))</f>
        <v>TRUE</v>
      </c>
      <c r="I210" s="280" t="str">
        <f>IF(D210=ROUND(SUMIFS(AN_TME22[[#All],[Total Claims Excluded because of Truncation]], AN_TME22[[#All],[Insurance Category Code]],4, AN_TME22[[#All],[Advanced Network/Insurance Carrier Org ID]],B210),2), "TRUE", ROUND(D210-SUMIFS(AN_TME22[[#All],[Total Claims Excluded because of Truncation]], AN_TME22[[#All],[Insurance Category Code]],4, AN_TME22[[#All],[Advanced Network/Insurance Carrier Org ID]],B210),2))</f>
        <v>TRUE</v>
      </c>
      <c r="J210" s="281" t="str">
        <f>IF(E210=ROUND(SUMIFS(AN_TME22[[#All],[Count of Members with Claims Truncated]], AN_TME22[[#All],[Insurance Category Code]],4, AN_TME22[[#All],[Advanced Network/Insurance Carrier Org ID]],B210),2), "TRUE", ROUND(E210-SUMIFS(AN_TME22[[#All],[Count of Members with Claims Truncated]], AN_TME22[[#All],[Insurance Category Code]],4, AN_TME22[[#All],[Advanced Network/Insurance Carrier Org ID]],B210),2))</f>
        <v>TRUE</v>
      </c>
      <c r="K210" s="282" t="str">
        <f>IF(F210=ROUND(SUMIFS(AN_TME22[[#All],[TOTAL Non-Truncated Unadjusted Claims Expenses]], AN_TME22[[#All],[Insurance Category Code]],4, AN_TME22[[#All],[Advanced Network/Insurance Carrier Org ID]],B210),2), "TRUE", ROUND(F210-SUMIFS(AN_TME22[[#All],[TOTAL Non-Truncated Unadjusted Claims Expenses]], AN_TME22[[#All],[Insurance Category Code]],4, AN_TME22[[#All],[Advanced Network/Insurance Carrier Org ID]],B210),2))</f>
        <v>TRUE</v>
      </c>
      <c r="L210" s="295" t="str">
        <f>IF(G210=ROUND(SUMIFS(AN_TME22[[#All],[TOTAL Truncated Unadjusted Claims Expenses (A21 -A19)]], AN_TME22[[#All],[Insurance Category Code]],4, AN_TME22[[#All],[Advanced Network/Insurance Carrier Org ID]],B210),2), "TRUE", ROUND(G210-SUMIFS(AN_TME22[[#All],[TOTAL Truncated Unadjusted Claims Expenses (A21 -A19)]], AN_TME22[[#All],[Insurance Category Code]],4, AN_TME22[[#All],[Advanced Network/Insurance Carrier Org ID]],B210),2))</f>
        <v>TRUE</v>
      </c>
      <c r="M210" s="461" t="str">
        <f t="shared" si="19"/>
        <v>TRUE</v>
      </c>
      <c r="N210" s="282" t="b">
        <f>ROUND(SUMIFS(AN_TME22[[#All],[TOTAL Non-Truncated Unadjusted Claims Expenses]], AN_TME22[[#All],[Insurance Category Code]],4, AN_TME22[[#All],[Advanced Network/Insurance Carrier Org ID]],B210),2)&gt;=ROUND(SUMIFS(AN_TME22[[#All],[TOTAL Truncated Unadjusted Claims Expenses (A21 -A19)]], AN_TME22[[#All],[Insurance Category Code]],4, AN_TME22[[#All],[Advanced Network/Insurance Carrier Org ID]],B210),2)</f>
        <v>1</v>
      </c>
      <c r="O210" s="295" t="b">
        <f>ROUND(SUMIFS(AN_TME22[[#All],[TOTAL Truncated Unadjusted Claims Expenses (A21 -A19)]], AN_TME22[[#All],[Insurance Category Code]],4, AN_TME22[[#All],[Advanced Network/Insurance Carrier Org ID]],B210)+SUMIFS(AN_TME22[[#All],[Total Claims Excluded because of Truncation]], AN_TME22[[#All],[Insurance Category Code]],4, AN_TME22[[#All],[Advanced Network/Insurance Carrier Org ID]],B210),2)=ROUND(SUMIFS(AN_TME22[[#All],[TOTAL Non-Truncated Unadjusted Claims Expenses]], AN_TME22[[#All],[Insurance Category Code]],4, AN_TME22[[#All],[Advanced Network/Insurance Carrier Org ID]],B210),2)</f>
        <v>1</v>
      </c>
      <c r="Q210" s="236">
        <v>113</v>
      </c>
      <c r="R210" s="463">
        <f>ROUND(SUMIFS(Age_Sex23[[#All],[Total Member Months by Age/Sex Band]], Age_Sex23[[#All],[Advanced Network ID]], $Q210, Age_Sex23[[#All],[Insurance Category Code]],4),2)</f>
        <v>0</v>
      </c>
      <c r="S210" s="268">
        <f>ROUND(SUMIFS(Age_Sex23[[#All],[Total Dollars Excluded from Spending After Applying Truncation at the Member Level]], Age_Sex23[[#All],[Advanced Network ID]], $B210, Age_Sex23[[#All],[Insurance Category Code]],4),2)</f>
        <v>0</v>
      </c>
      <c r="T210" s="229">
        <f>ROUND(SUMIFS(Age_Sex23[[#All],[Count of Members whose Spending was Truncated]], Age_Sex23[[#All],[Advanced Network ID]], $B210, Age_Sex23[[#All],[Insurance Category Code]],4),2)</f>
        <v>0</v>
      </c>
      <c r="U210" s="230">
        <f>ROUND(SUMIFS(Age_Sex23[[#All],[Total Spending before Truncation is Applied]], Age_Sex23[[#All],[Advanced Network ID]], $B210, Age_Sex23[[#All],[Insurance Category Code]],4),2)</f>
        <v>0</v>
      </c>
      <c r="V210" s="232">
        <f>ROUND(SUMIFS(Age_Sex23[[#All],[Total Spending After Applying Truncation at the Member Level]], Age_Sex23[[#All],[Advanced Network ID]], $B210, Age_Sex23[[#All],[Insurance Category Code]],4),2)</f>
        <v>0</v>
      </c>
      <c r="W210" s="416" t="str">
        <f>IF(R210=ROUND(SUMIFS(AN_TME23[[#All],[Member Months]], AN_TME23[[#All],[Insurance Category Code]],4, AN_TME23[[#All],[Advanced Network/Insurance Carrier Org ID]],Q210),2), "TRUE", ROUND(R210-SUMIFS(AN_TME23[[#All],[Member Months]], AN_TME23[[#All],[Insurance Category Code]],4, AN_TME23[[#All],[Advanced Network/Insurance Carrier Org ID]],Q210),2))</f>
        <v>TRUE</v>
      </c>
      <c r="X210" s="280" t="str">
        <f>IF(S210=ROUND(SUMIFS(AN_TME23[[#All],[Total Claims Excluded because of Truncation]], AN_TME23[[#All],[Insurance Category Code]],4, AN_TME23[[#All],[Advanced Network/Insurance Carrier Org ID]],Q210),2), "TRUE", ROUND(S210-SUMIFS(AN_TME23[[#All],[Total Claims Excluded because of Truncation]], AN_TME23[[#All],[Insurance Category Code]],4, AN_TME23[[#All],[Advanced Network/Insurance Carrier Org ID]],Q210),2))</f>
        <v>TRUE</v>
      </c>
      <c r="Y210" s="281" t="str">
        <f>IF(T210=ROUND(SUMIFS(AN_TME23[[#All],[Count of Members with Claims Truncated]], AN_TME23[[#All],[Insurance Category Code]],4, AN_TME23[[#All],[Advanced Network/Insurance Carrier Org ID]],Q210),2), "TRUE", ROUND(T210-SUMIFS(AN_TME23[[#All],[Count of Members with Claims Truncated]], AN_TME23[[#All],[Insurance Category Code]],4, AN_TME23[[#All],[Advanced Network/Insurance Carrier Org ID]],Q210),2))</f>
        <v>TRUE</v>
      </c>
      <c r="Z210" s="282" t="str">
        <f>IF(U210=ROUND(SUMIFS(AN_TME23[[#All],[TOTAL Non-Truncated Unadjusted Claims Expenses]], AN_TME23[[#All],[Insurance Category Code]],4, AN_TME23[[#All],[Advanced Network/Insurance Carrier Org ID]],Q210),2), "TRUE", ROUND(U210-SUMIFS(AN_TME23[[#All],[TOTAL Non-Truncated Unadjusted Claims Expenses]], AN_TME23[[#All],[Insurance Category Code]],4, AN_TME23[[#All],[Advanced Network/Insurance Carrier Org ID]],Q210),2))</f>
        <v>TRUE</v>
      </c>
      <c r="AA210" s="295" t="str">
        <f>IF(V210=ROUND(SUMIFS(AN_TME23[[#All],[TOTAL Truncated Unadjusted Claims Expenses (A21 -A19)]], AN_TME23[[#All],[Insurance Category Code]],4, AN_TME23[[#All],[Advanced Network/Insurance Carrier Org ID]],Q210),2), "TRUE",ROUND( V210-SUMIFS(AN_TME23[[#All],[TOTAL Truncated Unadjusted Claims Expenses (A21 -A19)]], AN_TME23[[#All],[Insurance Category Code]],4, AN_TME23[[#All],[Advanced Network/Insurance Carrier Org ID]],Q210),2))</f>
        <v>TRUE</v>
      </c>
      <c r="AB210" s="461" t="str">
        <f t="shared" si="22"/>
        <v>TRUE</v>
      </c>
      <c r="AC210" s="282" t="b">
        <f>ROUND(SUMIFS(AN_TME23[[#All],[TOTAL Non-Truncated Unadjusted Claims Expenses]], AN_TME23[[#All],[Insurance Category Code]],4, AN_TME23[[#All],[Advanced Network/Insurance Carrier Org ID]],Q210),2)&gt;=ROUND(SUMIFS(AN_TME23[[#All],[TOTAL Truncated Unadjusted Claims Expenses (A21 -A19)]], AN_TME23[[#All],[Insurance Category Code]],4, AN_TME23[[#All],[Advanced Network/Insurance Carrier Org ID]],Q210),2)</f>
        <v>1</v>
      </c>
      <c r="AD210" s="295" t="b">
        <f>ROUND(SUMIFS(AN_TME23[[#All],[TOTAL Truncated Unadjusted Claims Expenses (A21 -A19)]], AN_TME23[[#All],[Insurance Category Code]],4, AN_TME23[[#All],[Advanced Network/Insurance Carrier Org ID]],Q210)+SUMIFS(AN_TME23[[#All],[Total Claims Excluded because of Truncation]], AN_TME23[[#All],[Insurance Category Code]],4, AN_TME23[[#All],[Advanced Network/Insurance Carrier Org ID]],Q210),2)=ROUND(SUMIFS(AN_TME23[[#All],[TOTAL Non-Truncated Unadjusted Claims Expenses]], AN_TME23[[#All],[Insurance Category Code]],4, AN_TME23[[#All],[Advanced Network/Insurance Carrier Org ID]],Q210),2)</f>
        <v>1</v>
      </c>
      <c r="AF210" s="323" t="str">
        <f t="shared" si="21"/>
        <v>NA</v>
      </c>
    </row>
    <row r="211" spans="2:32" outlineLevel="1" x14ac:dyDescent="0.25">
      <c r="B211" s="236">
        <v>114</v>
      </c>
      <c r="C211" s="463">
        <f>ROUND(SUMIFS(Age_Sex22[[#All],[Total Member Months by Age/Sex Band]], Age_Sex22[[#All],[Advanced Network ID]], $B211, Age_Sex22[[#All],[Insurance Category Code]],4),2)</f>
        <v>0</v>
      </c>
      <c r="D211" s="268">
        <f>ROUND(SUMIFS(Age_Sex22[[#All],[Total Dollars Excluded from Spending After Applying Truncation at the Member Level]], Age_Sex22[[#All],[Advanced Network ID]], $B211, Age_Sex22[[#All],[Insurance Category Code]],4),2)</f>
        <v>0</v>
      </c>
      <c r="E211" s="229">
        <f>ROUND(SUMIFS(Age_Sex22[[#All],[Count of Members whose Spending was Truncated]], Age_Sex22[[#All],[Advanced Network ID]], $B211, Age_Sex22[[#All],[Insurance Category Code]],4),2)</f>
        <v>0</v>
      </c>
      <c r="F211" s="230">
        <f>ROUND(SUMIFS(Age_Sex22[[#All],[Total Spending before Truncation is Applied]], Age_Sex22[[#All],[Advanced Network ID]], $B211, Age_Sex22[[#All],[Insurance Category Code]],4),2)</f>
        <v>0</v>
      </c>
      <c r="G211" s="232">
        <f>ROUND(SUMIFS(Age_Sex22[[#All],[Total Spending After Applying Truncation at the Member Level]], Age_Sex22[[#All],[Advanced Network ID]], $B211, Age_Sex22[[#All],[Insurance Category Code]],4),2)</f>
        <v>0</v>
      </c>
      <c r="H211" s="416" t="str">
        <f>IF(C211=ROUND(SUMIFS(AN_TME22[[#All],[Member Months]], AN_TME22[[#All],[Insurance Category Code]],4, AN_TME22[[#All],[Advanced Network/Insurance Carrier Org ID]],B211),2), "TRUE", ROUND(C211-SUMIFS(AN_TME22[[#All],[Member Months]], AN_TME22[[#All],[Insurance Category Code]],4, AN_TME22[[#All],[Advanced Network/Insurance Carrier Org ID]],B211),2))</f>
        <v>TRUE</v>
      </c>
      <c r="I211" s="280" t="str">
        <f>IF(D211=ROUND(SUMIFS(AN_TME22[[#All],[Total Claims Excluded because of Truncation]], AN_TME22[[#All],[Insurance Category Code]],4, AN_TME22[[#All],[Advanced Network/Insurance Carrier Org ID]],B211),2), "TRUE", ROUND(D211-SUMIFS(AN_TME22[[#All],[Total Claims Excluded because of Truncation]], AN_TME22[[#All],[Insurance Category Code]],4, AN_TME22[[#All],[Advanced Network/Insurance Carrier Org ID]],B211),2))</f>
        <v>TRUE</v>
      </c>
      <c r="J211" s="281" t="str">
        <f>IF(E211=ROUND(SUMIFS(AN_TME22[[#All],[Count of Members with Claims Truncated]], AN_TME22[[#All],[Insurance Category Code]],4, AN_TME22[[#All],[Advanced Network/Insurance Carrier Org ID]],B211),2), "TRUE", ROUND(E211-SUMIFS(AN_TME22[[#All],[Count of Members with Claims Truncated]], AN_TME22[[#All],[Insurance Category Code]],4, AN_TME22[[#All],[Advanced Network/Insurance Carrier Org ID]],B211),2))</f>
        <v>TRUE</v>
      </c>
      <c r="K211" s="282" t="str">
        <f>IF(F211=ROUND(SUMIFS(AN_TME22[[#All],[TOTAL Non-Truncated Unadjusted Claims Expenses]], AN_TME22[[#All],[Insurance Category Code]],4, AN_TME22[[#All],[Advanced Network/Insurance Carrier Org ID]],B211),2), "TRUE", ROUND(F211-SUMIFS(AN_TME22[[#All],[TOTAL Non-Truncated Unadjusted Claims Expenses]], AN_TME22[[#All],[Insurance Category Code]],4, AN_TME22[[#All],[Advanced Network/Insurance Carrier Org ID]],B211),2))</f>
        <v>TRUE</v>
      </c>
      <c r="L211" s="295" t="str">
        <f>IF(G211=ROUND(SUMIFS(AN_TME22[[#All],[TOTAL Truncated Unadjusted Claims Expenses (A21 -A19)]], AN_TME22[[#All],[Insurance Category Code]],4, AN_TME22[[#All],[Advanced Network/Insurance Carrier Org ID]],B211),2), "TRUE", ROUND(G211-SUMIFS(AN_TME22[[#All],[TOTAL Truncated Unadjusted Claims Expenses (A21 -A19)]], AN_TME22[[#All],[Insurance Category Code]],4, AN_TME22[[#All],[Advanced Network/Insurance Carrier Org ID]],B211),2))</f>
        <v>TRUE</v>
      </c>
      <c r="M211" s="461" t="str">
        <f t="shared" si="19"/>
        <v>TRUE</v>
      </c>
      <c r="N211" s="282" t="b">
        <f>ROUND(SUMIFS(AN_TME22[[#All],[TOTAL Non-Truncated Unadjusted Claims Expenses]], AN_TME22[[#All],[Insurance Category Code]],4, AN_TME22[[#All],[Advanced Network/Insurance Carrier Org ID]],B211),2)&gt;=ROUND(SUMIFS(AN_TME22[[#All],[TOTAL Truncated Unadjusted Claims Expenses (A21 -A19)]], AN_TME22[[#All],[Insurance Category Code]],4, AN_TME22[[#All],[Advanced Network/Insurance Carrier Org ID]],B211),2)</f>
        <v>1</v>
      </c>
      <c r="O211" s="295" t="b">
        <f>ROUND(SUMIFS(AN_TME22[[#All],[TOTAL Truncated Unadjusted Claims Expenses (A21 -A19)]], AN_TME22[[#All],[Insurance Category Code]],4, AN_TME22[[#All],[Advanced Network/Insurance Carrier Org ID]],B211)+SUMIFS(AN_TME22[[#All],[Total Claims Excluded because of Truncation]], AN_TME22[[#All],[Insurance Category Code]],4, AN_TME22[[#All],[Advanced Network/Insurance Carrier Org ID]],B211),2)=ROUND(SUMIFS(AN_TME22[[#All],[TOTAL Non-Truncated Unadjusted Claims Expenses]], AN_TME22[[#All],[Insurance Category Code]],4, AN_TME22[[#All],[Advanced Network/Insurance Carrier Org ID]],B211),2)</f>
        <v>1</v>
      </c>
      <c r="Q211" s="236">
        <v>114</v>
      </c>
      <c r="R211" s="463">
        <f>ROUND(SUMIFS(Age_Sex23[[#All],[Total Member Months by Age/Sex Band]], Age_Sex23[[#All],[Advanced Network ID]], $Q211, Age_Sex23[[#All],[Insurance Category Code]],4),2)</f>
        <v>0</v>
      </c>
      <c r="S211" s="268">
        <f>ROUND(SUMIFS(Age_Sex23[[#All],[Total Dollars Excluded from Spending After Applying Truncation at the Member Level]], Age_Sex23[[#All],[Advanced Network ID]], $B211, Age_Sex23[[#All],[Insurance Category Code]],4),2)</f>
        <v>0</v>
      </c>
      <c r="T211" s="229">
        <f>ROUND(SUMIFS(Age_Sex23[[#All],[Count of Members whose Spending was Truncated]], Age_Sex23[[#All],[Advanced Network ID]], $B211, Age_Sex23[[#All],[Insurance Category Code]],4),2)</f>
        <v>0</v>
      </c>
      <c r="U211" s="230">
        <f>ROUND(SUMIFS(Age_Sex23[[#All],[Total Spending before Truncation is Applied]], Age_Sex23[[#All],[Advanced Network ID]], $B211, Age_Sex23[[#All],[Insurance Category Code]],4),2)</f>
        <v>0</v>
      </c>
      <c r="V211" s="232">
        <f>ROUND(SUMIFS(Age_Sex23[[#All],[Total Spending After Applying Truncation at the Member Level]], Age_Sex23[[#All],[Advanced Network ID]], $B211, Age_Sex23[[#All],[Insurance Category Code]],4),2)</f>
        <v>0</v>
      </c>
      <c r="W211" s="416" t="str">
        <f>IF(R211=ROUND(SUMIFS(AN_TME23[[#All],[Member Months]], AN_TME23[[#All],[Insurance Category Code]],4, AN_TME23[[#All],[Advanced Network/Insurance Carrier Org ID]],Q211),2), "TRUE", ROUND(R211-SUMIFS(AN_TME23[[#All],[Member Months]], AN_TME23[[#All],[Insurance Category Code]],4, AN_TME23[[#All],[Advanced Network/Insurance Carrier Org ID]],Q211),2))</f>
        <v>TRUE</v>
      </c>
      <c r="X211" s="280" t="str">
        <f>IF(S211=ROUND(SUMIFS(AN_TME23[[#All],[Total Claims Excluded because of Truncation]], AN_TME23[[#All],[Insurance Category Code]],4, AN_TME23[[#All],[Advanced Network/Insurance Carrier Org ID]],Q211),2), "TRUE", ROUND(S211-SUMIFS(AN_TME23[[#All],[Total Claims Excluded because of Truncation]], AN_TME23[[#All],[Insurance Category Code]],4, AN_TME23[[#All],[Advanced Network/Insurance Carrier Org ID]],Q211),2))</f>
        <v>TRUE</v>
      </c>
      <c r="Y211" s="281" t="str">
        <f>IF(T211=ROUND(SUMIFS(AN_TME23[[#All],[Count of Members with Claims Truncated]], AN_TME23[[#All],[Insurance Category Code]],4, AN_TME23[[#All],[Advanced Network/Insurance Carrier Org ID]],Q211),2), "TRUE", ROUND(T211-SUMIFS(AN_TME23[[#All],[Count of Members with Claims Truncated]], AN_TME23[[#All],[Insurance Category Code]],4, AN_TME23[[#All],[Advanced Network/Insurance Carrier Org ID]],Q211),2))</f>
        <v>TRUE</v>
      </c>
      <c r="Z211" s="282" t="str">
        <f>IF(U211=ROUND(SUMIFS(AN_TME23[[#All],[TOTAL Non-Truncated Unadjusted Claims Expenses]], AN_TME23[[#All],[Insurance Category Code]],4, AN_TME23[[#All],[Advanced Network/Insurance Carrier Org ID]],Q211),2), "TRUE", ROUND(U211-SUMIFS(AN_TME23[[#All],[TOTAL Non-Truncated Unadjusted Claims Expenses]], AN_TME23[[#All],[Insurance Category Code]],4, AN_TME23[[#All],[Advanced Network/Insurance Carrier Org ID]],Q211),2))</f>
        <v>TRUE</v>
      </c>
      <c r="AA211" s="295" t="str">
        <f>IF(V211=ROUND(SUMIFS(AN_TME23[[#All],[TOTAL Truncated Unadjusted Claims Expenses (A21 -A19)]], AN_TME23[[#All],[Insurance Category Code]],4, AN_TME23[[#All],[Advanced Network/Insurance Carrier Org ID]],Q211),2), "TRUE",ROUND( V211-SUMIFS(AN_TME23[[#All],[TOTAL Truncated Unadjusted Claims Expenses (A21 -A19)]], AN_TME23[[#All],[Insurance Category Code]],4, AN_TME23[[#All],[Advanced Network/Insurance Carrier Org ID]],Q211),2))</f>
        <v>TRUE</v>
      </c>
      <c r="AB211" s="461" t="str">
        <f t="shared" si="22"/>
        <v>TRUE</v>
      </c>
      <c r="AC211" s="282" t="b">
        <f>ROUND(SUMIFS(AN_TME23[[#All],[TOTAL Non-Truncated Unadjusted Claims Expenses]], AN_TME23[[#All],[Insurance Category Code]],4, AN_TME23[[#All],[Advanced Network/Insurance Carrier Org ID]],Q211),2)&gt;=ROUND(SUMIFS(AN_TME23[[#All],[TOTAL Truncated Unadjusted Claims Expenses (A21 -A19)]], AN_TME23[[#All],[Insurance Category Code]],4, AN_TME23[[#All],[Advanced Network/Insurance Carrier Org ID]],Q211),2)</f>
        <v>1</v>
      </c>
      <c r="AD211" s="295" t="b">
        <f>ROUND(SUMIFS(AN_TME23[[#All],[TOTAL Truncated Unadjusted Claims Expenses (A21 -A19)]], AN_TME23[[#All],[Insurance Category Code]],4, AN_TME23[[#All],[Advanced Network/Insurance Carrier Org ID]],Q211)+SUMIFS(AN_TME23[[#All],[Total Claims Excluded because of Truncation]], AN_TME23[[#All],[Insurance Category Code]],4, AN_TME23[[#All],[Advanced Network/Insurance Carrier Org ID]],Q211),2)=ROUND(SUMIFS(AN_TME23[[#All],[TOTAL Non-Truncated Unadjusted Claims Expenses]], AN_TME23[[#All],[Insurance Category Code]],4, AN_TME23[[#All],[Advanced Network/Insurance Carrier Org ID]],Q211),2)</f>
        <v>1</v>
      </c>
      <c r="AF211" s="323" t="str">
        <f t="shared" si="21"/>
        <v>NA</v>
      </c>
    </row>
    <row r="212" spans="2:32" outlineLevel="1" x14ac:dyDescent="0.25">
      <c r="B212" s="236">
        <v>115</v>
      </c>
      <c r="C212" s="463">
        <f>ROUND(SUMIFS(Age_Sex22[[#All],[Total Member Months by Age/Sex Band]], Age_Sex22[[#All],[Advanced Network ID]], $B212, Age_Sex22[[#All],[Insurance Category Code]],4),2)</f>
        <v>0</v>
      </c>
      <c r="D212" s="268">
        <f>ROUND(SUMIFS(Age_Sex22[[#All],[Total Dollars Excluded from Spending After Applying Truncation at the Member Level]], Age_Sex22[[#All],[Advanced Network ID]], $B212, Age_Sex22[[#All],[Insurance Category Code]],4),2)</f>
        <v>0</v>
      </c>
      <c r="E212" s="229">
        <f>ROUND(SUMIFS(Age_Sex22[[#All],[Count of Members whose Spending was Truncated]], Age_Sex22[[#All],[Advanced Network ID]], $B212, Age_Sex22[[#All],[Insurance Category Code]],4),2)</f>
        <v>0</v>
      </c>
      <c r="F212" s="230">
        <f>ROUND(SUMIFS(Age_Sex22[[#All],[Total Spending before Truncation is Applied]], Age_Sex22[[#All],[Advanced Network ID]], $B212, Age_Sex22[[#All],[Insurance Category Code]],4),2)</f>
        <v>0</v>
      </c>
      <c r="G212" s="232">
        <f>ROUND(SUMIFS(Age_Sex22[[#All],[Total Spending After Applying Truncation at the Member Level]], Age_Sex22[[#All],[Advanced Network ID]], $B212, Age_Sex22[[#All],[Insurance Category Code]],4),2)</f>
        <v>0</v>
      </c>
      <c r="H212" s="416" t="str">
        <f>IF(C212=ROUND(SUMIFS(AN_TME22[[#All],[Member Months]], AN_TME22[[#All],[Insurance Category Code]],4, AN_TME22[[#All],[Advanced Network/Insurance Carrier Org ID]],B212),2), "TRUE", ROUND(C212-SUMIFS(AN_TME22[[#All],[Member Months]], AN_TME22[[#All],[Insurance Category Code]],4, AN_TME22[[#All],[Advanced Network/Insurance Carrier Org ID]],B212),2))</f>
        <v>TRUE</v>
      </c>
      <c r="I212" s="280" t="str">
        <f>IF(D212=ROUND(SUMIFS(AN_TME22[[#All],[Total Claims Excluded because of Truncation]], AN_TME22[[#All],[Insurance Category Code]],4, AN_TME22[[#All],[Advanced Network/Insurance Carrier Org ID]],B212),2), "TRUE", ROUND(D212-SUMIFS(AN_TME22[[#All],[Total Claims Excluded because of Truncation]], AN_TME22[[#All],[Insurance Category Code]],4, AN_TME22[[#All],[Advanced Network/Insurance Carrier Org ID]],B212),2))</f>
        <v>TRUE</v>
      </c>
      <c r="J212" s="281" t="str">
        <f>IF(E212=ROUND(SUMIFS(AN_TME22[[#All],[Count of Members with Claims Truncated]], AN_TME22[[#All],[Insurance Category Code]],4, AN_TME22[[#All],[Advanced Network/Insurance Carrier Org ID]],B212),2), "TRUE", ROUND(E212-SUMIFS(AN_TME22[[#All],[Count of Members with Claims Truncated]], AN_TME22[[#All],[Insurance Category Code]],4, AN_TME22[[#All],[Advanced Network/Insurance Carrier Org ID]],B212),2))</f>
        <v>TRUE</v>
      </c>
      <c r="K212" s="282" t="str">
        <f>IF(F212=ROUND(SUMIFS(AN_TME22[[#All],[TOTAL Non-Truncated Unadjusted Claims Expenses]], AN_TME22[[#All],[Insurance Category Code]],4, AN_TME22[[#All],[Advanced Network/Insurance Carrier Org ID]],B212),2), "TRUE", ROUND(F212-SUMIFS(AN_TME22[[#All],[TOTAL Non-Truncated Unadjusted Claims Expenses]], AN_TME22[[#All],[Insurance Category Code]],4, AN_TME22[[#All],[Advanced Network/Insurance Carrier Org ID]],B212),2))</f>
        <v>TRUE</v>
      </c>
      <c r="L212" s="295" t="str">
        <f>IF(G212=ROUND(SUMIFS(AN_TME22[[#All],[TOTAL Truncated Unadjusted Claims Expenses (A21 -A19)]], AN_TME22[[#All],[Insurance Category Code]],4, AN_TME22[[#All],[Advanced Network/Insurance Carrier Org ID]],B212),2), "TRUE", ROUND(G212-SUMIFS(AN_TME22[[#All],[TOTAL Truncated Unadjusted Claims Expenses (A21 -A19)]], AN_TME22[[#All],[Insurance Category Code]],4, AN_TME22[[#All],[Advanced Network/Insurance Carrier Org ID]],B212),2))</f>
        <v>TRUE</v>
      </c>
      <c r="M212" s="461" t="str">
        <f t="shared" si="19"/>
        <v>TRUE</v>
      </c>
      <c r="N212" s="282" t="b">
        <f>ROUND(SUMIFS(AN_TME22[[#All],[TOTAL Non-Truncated Unadjusted Claims Expenses]], AN_TME22[[#All],[Insurance Category Code]],4, AN_TME22[[#All],[Advanced Network/Insurance Carrier Org ID]],B212),2)&gt;=ROUND(SUMIFS(AN_TME22[[#All],[TOTAL Truncated Unadjusted Claims Expenses (A21 -A19)]], AN_TME22[[#All],[Insurance Category Code]],4, AN_TME22[[#All],[Advanced Network/Insurance Carrier Org ID]],B212),2)</f>
        <v>1</v>
      </c>
      <c r="O212" s="295" t="b">
        <f>ROUND(SUMIFS(AN_TME22[[#All],[TOTAL Truncated Unadjusted Claims Expenses (A21 -A19)]], AN_TME22[[#All],[Insurance Category Code]],4, AN_TME22[[#All],[Advanced Network/Insurance Carrier Org ID]],B212)+SUMIFS(AN_TME22[[#All],[Total Claims Excluded because of Truncation]], AN_TME22[[#All],[Insurance Category Code]],4, AN_TME22[[#All],[Advanced Network/Insurance Carrier Org ID]],B212),2)=ROUND(SUMIFS(AN_TME22[[#All],[TOTAL Non-Truncated Unadjusted Claims Expenses]], AN_TME22[[#All],[Insurance Category Code]],4, AN_TME22[[#All],[Advanced Network/Insurance Carrier Org ID]],B212),2)</f>
        <v>1</v>
      </c>
      <c r="Q212" s="236">
        <v>115</v>
      </c>
      <c r="R212" s="463">
        <f>ROUND(SUMIFS(Age_Sex23[[#All],[Total Member Months by Age/Sex Band]], Age_Sex23[[#All],[Advanced Network ID]], $Q212, Age_Sex23[[#All],[Insurance Category Code]],4),2)</f>
        <v>0</v>
      </c>
      <c r="S212" s="268">
        <f>ROUND(SUMIFS(Age_Sex23[[#All],[Total Dollars Excluded from Spending After Applying Truncation at the Member Level]], Age_Sex23[[#All],[Advanced Network ID]], $B212, Age_Sex23[[#All],[Insurance Category Code]],4),2)</f>
        <v>0</v>
      </c>
      <c r="T212" s="229">
        <f>ROUND(SUMIFS(Age_Sex23[[#All],[Count of Members whose Spending was Truncated]], Age_Sex23[[#All],[Advanced Network ID]], $B212, Age_Sex23[[#All],[Insurance Category Code]],4),2)</f>
        <v>0</v>
      </c>
      <c r="U212" s="230">
        <f>ROUND(SUMIFS(Age_Sex23[[#All],[Total Spending before Truncation is Applied]], Age_Sex23[[#All],[Advanced Network ID]], $B212, Age_Sex23[[#All],[Insurance Category Code]],4),2)</f>
        <v>0</v>
      </c>
      <c r="V212" s="232">
        <f>ROUND(SUMIFS(Age_Sex23[[#All],[Total Spending After Applying Truncation at the Member Level]], Age_Sex23[[#All],[Advanced Network ID]], $B212, Age_Sex23[[#All],[Insurance Category Code]],4),2)</f>
        <v>0</v>
      </c>
      <c r="W212" s="416" t="str">
        <f>IF(R212=ROUND(SUMIFS(AN_TME23[[#All],[Member Months]], AN_TME23[[#All],[Insurance Category Code]],4, AN_TME23[[#All],[Advanced Network/Insurance Carrier Org ID]],Q212),2), "TRUE", ROUND(R212-SUMIFS(AN_TME23[[#All],[Member Months]], AN_TME23[[#All],[Insurance Category Code]],4, AN_TME23[[#All],[Advanced Network/Insurance Carrier Org ID]],Q212),2))</f>
        <v>TRUE</v>
      </c>
      <c r="X212" s="280" t="str">
        <f>IF(S212=ROUND(SUMIFS(AN_TME23[[#All],[Total Claims Excluded because of Truncation]], AN_TME23[[#All],[Insurance Category Code]],4, AN_TME23[[#All],[Advanced Network/Insurance Carrier Org ID]],Q212),2), "TRUE", ROUND(S212-SUMIFS(AN_TME23[[#All],[Total Claims Excluded because of Truncation]], AN_TME23[[#All],[Insurance Category Code]],4, AN_TME23[[#All],[Advanced Network/Insurance Carrier Org ID]],Q212),2))</f>
        <v>TRUE</v>
      </c>
      <c r="Y212" s="281" t="str">
        <f>IF(T212=ROUND(SUMIFS(AN_TME23[[#All],[Count of Members with Claims Truncated]], AN_TME23[[#All],[Insurance Category Code]],4, AN_TME23[[#All],[Advanced Network/Insurance Carrier Org ID]],Q212),2), "TRUE", ROUND(T212-SUMIFS(AN_TME23[[#All],[Count of Members with Claims Truncated]], AN_TME23[[#All],[Insurance Category Code]],4, AN_TME23[[#All],[Advanced Network/Insurance Carrier Org ID]],Q212),2))</f>
        <v>TRUE</v>
      </c>
      <c r="Z212" s="282" t="str">
        <f>IF(U212=ROUND(SUMIFS(AN_TME23[[#All],[TOTAL Non-Truncated Unadjusted Claims Expenses]], AN_TME23[[#All],[Insurance Category Code]],4, AN_TME23[[#All],[Advanced Network/Insurance Carrier Org ID]],Q212),2), "TRUE", ROUND(U212-SUMIFS(AN_TME23[[#All],[TOTAL Non-Truncated Unadjusted Claims Expenses]], AN_TME23[[#All],[Insurance Category Code]],4, AN_TME23[[#All],[Advanced Network/Insurance Carrier Org ID]],Q212),2))</f>
        <v>TRUE</v>
      </c>
      <c r="AA212" s="295" t="str">
        <f>IF(V212=ROUND(SUMIFS(AN_TME23[[#All],[TOTAL Truncated Unadjusted Claims Expenses (A21 -A19)]], AN_TME23[[#All],[Insurance Category Code]],4, AN_TME23[[#All],[Advanced Network/Insurance Carrier Org ID]],Q212),2), "TRUE",ROUND( V212-SUMIFS(AN_TME23[[#All],[TOTAL Truncated Unadjusted Claims Expenses (A21 -A19)]], AN_TME23[[#All],[Insurance Category Code]],4, AN_TME23[[#All],[Advanced Network/Insurance Carrier Org ID]],Q212),2))</f>
        <v>TRUE</v>
      </c>
      <c r="AB212" s="461" t="str">
        <f t="shared" si="22"/>
        <v>TRUE</v>
      </c>
      <c r="AC212" s="282" t="b">
        <f>ROUND(SUMIFS(AN_TME23[[#All],[TOTAL Non-Truncated Unadjusted Claims Expenses]], AN_TME23[[#All],[Insurance Category Code]],4, AN_TME23[[#All],[Advanced Network/Insurance Carrier Org ID]],Q212),2)&gt;=ROUND(SUMIFS(AN_TME23[[#All],[TOTAL Truncated Unadjusted Claims Expenses (A21 -A19)]], AN_TME23[[#All],[Insurance Category Code]],4, AN_TME23[[#All],[Advanced Network/Insurance Carrier Org ID]],Q212),2)</f>
        <v>1</v>
      </c>
      <c r="AD212" s="295" t="b">
        <f>ROUND(SUMIFS(AN_TME23[[#All],[TOTAL Truncated Unadjusted Claims Expenses (A21 -A19)]], AN_TME23[[#All],[Insurance Category Code]],4, AN_TME23[[#All],[Advanced Network/Insurance Carrier Org ID]],Q212)+SUMIFS(AN_TME23[[#All],[Total Claims Excluded because of Truncation]], AN_TME23[[#All],[Insurance Category Code]],4, AN_TME23[[#All],[Advanced Network/Insurance Carrier Org ID]],Q212),2)=ROUND(SUMIFS(AN_TME23[[#All],[TOTAL Non-Truncated Unadjusted Claims Expenses]], AN_TME23[[#All],[Insurance Category Code]],4, AN_TME23[[#All],[Advanced Network/Insurance Carrier Org ID]],Q212),2)</f>
        <v>1</v>
      </c>
      <c r="AF212" s="323" t="str">
        <f t="shared" si="21"/>
        <v>NA</v>
      </c>
    </row>
    <row r="213" spans="2:32" outlineLevel="1" x14ac:dyDescent="0.25">
      <c r="B213" s="236">
        <v>116</v>
      </c>
      <c r="C213" s="463">
        <f>ROUND(SUMIFS(Age_Sex22[[#All],[Total Member Months by Age/Sex Band]], Age_Sex22[[#All],[Advanced Network ID]], $B213, Age_Sex22[[#All],[Insurance Category Code]],4),2)</f>
        <v>0</v>
      </c>
      <c r="D213" s="268">
        <f>ROUND(SUMIFS(Age_Sex22[[#All],[Total Dollars Excluded from Spending After Applying Truncation at the Member Level]], Age_Sex22[[#All],[Advanced Network ID]], $B213, Age_Sex22[[#All],[Insurance Category Code]],4),2)</f>
        <v>0</v>
      </c>
      <c r="E213" s="229">
        <f>ROUND(SUMIFS(Age_Sex22[[#All],[Count of Members whose Spending was Truncated]], Age_Sex22[[#All],[Advanced Network ID]], $B213, Age_Sex22[[#All],[Insurance Category Code]],4),2)</f>
        <v>0</v>
      </c>
      <c r="F213" s="230">
        <f>ROUND(SUMIFS(Age_Sex22[[#All],[Total Spending before Truncation is Applied]], Age_Sex22[[#All],[Advanced Network ID]], $B213, Age_Sex22[[#All],[Insurance Category Code]],4),2)</f>
        <v>0</v>
      </c>
      <c r="G213" s="232">
        <f>ROUND(SUMIFS(Age_Sex22[[#All],[Total Spending After Applying Truncation at the Member Level]], Age_Sex22[[#All],[Advanced Network ID]], $B213, Age_Sex22[[#All],[Insurance Category Code]],4),2)</f>
        <v>0</v>
      </c>
      <c r="H213" s="416" t="str">
        <f>IF(C213=ROUND(SUMIFS(AN_TME22[[#All],[Member Months]], AN_TME22[[#All],[Insurance Category Code]],4, AN_TME22[[#All],[Advanced Network/Insurance Carrier Org ID]],B213),2), "TRUE", ROUND(C213-SUMIFS(AN_TME22[[#All],[Member Months]], AN_TME22[[#All],[Insurance Category Code]],4, AN_TME22[[#All],[Advanced Network/Insurance Carrier Org ID]],B213),2))</f>
        <v>TRUE</v>
      </c>
      <c r="I213" s="280" t="str">
        <f>IF(D213=ROUND(SUMIFS(AN_TME22[[#All],[Total Claims Excluded because of Truncation]], AN_TME22[[#All],[Insurance Category Code]],4, AN_TME22[[#All],[Advanced Network/Insurance Carrier Org ID]],B213),2), "TRUE", ROUND(D213-SUMIFS(AN_TME22[[#All],[Total Claims Excluded because of Truncation]], AN_TME22[[#All],[Insurance Category Code]],4, AN_TME22[[#All],[Advanced Network/Insurance Carrier Org ID]],B213),2))</f>
        <v>TRUE</v>
      </c>
      <c r="J213" s="281" t="str">
        <f>IF(E213=ROUND(SUMIFS(AN_TME22[[#All],[Count of Members with Claims Truncated]], AN_TME22[[#All],[Insurance Category Code]],4, AN_TME22[[#All],[Advanced Network/Insurance Carrier Org ID]],B213),2), "TRUE", ROUND(E213-SUMIFS(AN_TME22[[#All],[Count of Members with Claims Truncated]], AN_TME22[[#All],[Insurance Category Code]],4, AN_TME22[[#All],[Advanced Network/Insurance Carrier Org ID]],B213),2))</f>
        <v>TRUE</v>
      </c>
      <c r="K213" s="282" t="str">
        <f>IF(F213=ROUND(SUMIFS(AN_TME22[[#All],[TOTAL Non-Truncated Unadjusted Claims Expenses]], AN_TME22[[#All],[Insurance Category Code]],4, AN_TME22[[#All],[Advanced Network/Insurance Carrier Org ID]],B213),2), "TRUE", ROUND(F213-SUMIFS(AN_TME22[[#All],[TOTAL Non-Truncated Unadjusted Claims Expenses]], AN_TME22[[#All],[Insurance Category Code]],4, AN_TME22[[#All],[Advanced Network/Insurance Carrier Org ID]],B213),2))</f>
        <v>TRUE</v>
      </c>
      <c r="L213" s="295" t="str">
        <f>IF(G213=ROUND(SUMIFS(AN_TME22[[#All],[TOTAL Truncated Unadjusted Claims Expenses (A21 -A19)]], AN_TME22[[#All],[Insurance Category Code]],4, AN_TME22[[#All],[Advanced Network/Insurance Carrier Org ID]],B213),2), "TRUE", ROUND(G213-SUMIFS(AN_TME22[[#All],[TOTAL Truncated Unadjusted Claims Expenses (A21 -A19)]], AN_TME22[[#All],[Insurance Category Code]],4, AN_TME22[[#All],[Advanced Network/Insurance Carrier Org ID]],B213),2))</f>
        <v>TRUE</v>
      </c>
      <c r="M213" s="461" t="str">
        <f t="shared" si="19"/>
        <v>TRUE</v>
      </c>
      <c r="N213" s="282" t="b">
        <f>ROUND(SUMIFS(AN_TME22[[#All],[TOTAL Non-Truncated Unadjusted Claims Expenses]], AN_TME22[[#All],[Insurance Category Code]],4, AN_TME22[[#All],[Advanced Network/Insurance Carrier Org ID]],B213),2)&gt;=ROUND(SUMIFS(AN_TME22[[#All],[TOTAL Truncated Unadjusted Claims Expenses (A21 -A19)]], AN_TME22[[#All],[Insurance Category Code]],4, AN_TME22[[#All],[Advanced Network/Insurance Carrier Org ID]],B213),2)</f>
        <v>1</v>
      </c>
      <c r="O213" s="295" t="b">
        <f>ROUND(SUMIFS(AN_TME22[[#All],[TOTAL Truncated Unadjusted Claims Expenses (A21 -A19)]], AN_TME22[[#All],[Insurance Category Code]],4, AN_TME22[[#All],[Advanced Network/Insurance Carrier Org ID]],B213)+SUMIFS(AN_TME22[[#All],[Total Claims Excluded because of Truncation]], AN_TME22[[#All],[Insurance Category Code]],4, AN_TME22[[#All],[Advanced Network/Insurance Carrier Org ID]],B213),2)=ROUND(SUMIFS(AN_TME22[[#All],[TOTAL Non-Truncated Unadjusted Claims Expenses]], AN_TME22[[#All],[Insurance Category Code]],4, AN_TME22[[#All],[Advanced Network/Insurance Carrier Org ID]],B213),2)</f>
        <v>1</v>
      </c>
      <c r="Q213" s="236">
        <v>116</v>
      </c>
      <c r="R213" s="463">
        <f>ROUND(SUMIFS(Age_Sex23[[#All],[Total Member Months by Age/Sex Band]], Age_Sex23[[#All],[Advanced Network ID]], $Q213, Age_Sex23[[#All],[Insurance Category Code]],4),2)</f>
        <v>0</v>
      </c>
      <c r="S213" s="268">
        <f>ROUND(SUMIFS(Age_Sex23[[#All],[Total Dollars Excluded from Spending After Applying Truncation at the Member Level]], Age_Sex23[[#All],[Advanced Network ID]], $B213, Age_Sex23[[#All],[Insurance Category Code]],4),2)</f>
        <v>0</v>
      </c>
      <c r="T213" s="229">
        <f>ROUND(SUMIFS(Age_Sex23[[#All],[Count of Members whose Spending was Truncated]], Age_Sex23[[#All],[Advanced Network ID]], $B213, Age_Sex23[[#All],[Insurance Category Code]],4),2)</f>
        <v>0</v>
      </c>
      <c r="U213" s="230">
        <f>ROUND(SUMIFS(Age_Sex23[[#All],[Total Spending before Truncation is Applied]], Age_Sex23[[#All],[Advanced Network ID]], $B213, Age_Sex23[[#All],[Insurance Category Code]],4),2)</f>
        <v>0</v>
      </c>
      <c r="V213" s="232">
        <f>ROUND(SUMIFS(Age_Sex23[[#All],[Total Spending After Applying Truncation at the Member Level]], Age_Sex23[[#All],[Advanced Network ID]], $B213, Age_Sex23[[#All],[Insurance Category Code]],4),2)</f>
        <v>0</v>
      </c>
      <c r="W213" s="416" t="str">
        <f>IF(R213=ROUND(SUMIFS(AN_TME23[[#All],[Member Months]], AN_TME23[[#All],[Insurance Category Code]],4, AN_TME23[[#All],[Advanced Network/Insurance Carrier Org ID]],Q213),2), "TRUE", ROUND(R213-SUMIFS(AN_TME23[[#All],[Member Months]], AN_TME23[[#All],[Insurance Category Code]],4, AN_TME23[[#All],[Advanced Network/Insurance Carrier Org ID]],Q213),2))</f>
        <v>TRUE</v>
      </c>
      <c r="X213" s="280" t="str">
        <f>IF(S213=ROUND(SUMIFS(AN_TME23[[#All],[Total Claims Excluded because of Truncation]], AN_TME23[[#All],[Insurance Category Code]],4, AN_TME23[[#All],[Advanced Network/Insurance Carrier Org ID]],Q213),2), "TRUE", ROUND(S213-SUMIFS(AN_TME23[[#All],[Total Claims Excluded because of Truncation]], AN_TME23[[#All],[Insurance Category Code]],4, AN_TME23[[#All],[Advanced Network/Insurance Carrier Org ID]],Q213),2))</f>
        <v>TRUE</v>
      </c>
      <c r="Y213" s="281" t="str">
        <f>IF(T213=ROUND(SUMIFS(AN_TME23[[#All],[Count of Members with Claims Truncated]], AN_TME23[[#All],[Insurance Category Code]],4, AN_TME23[[#All],[Advanced Network/Insurance Carrier Org ID]],Q213),2), "TRUE", ROUND(T213-SUMIFS(AN_TME23[[#All],[Count of Members with Claims Truncated]], AN_TME23[[#All],[Insurance Category Code]],4, AN_TME23[[#All],[Advanced Network/Insurance Carrier Org ID]],Q213),2))</f>
        <v>TRUE</v>
      </c>
      <c r="Z213" s="282" t="str">
        <f>IF(U213=ROUND(SUMIFS(AN_TME23[[#All],[TOTAL Non-Truncated Unadjusted Claims Expenses]], AN_TME23[[#All],[Insurance Category Code]],4, AN_TME23[[#All],[Advanced Network/Insurance Carrier Org ID]],Q213),2), "TRUE", ROUND(U213-SUMIFS(AN_TME23[[#All],[TOTAL Non-Truncated Unadjusted Claims Expenses]], AN_TME23[[#All],[Insurance Category Code]],4, AN_TME23[[#All],[Advanced Network/Insurance Carrier Org ID]],Q213),2))</f>
        <v>TRUE</v>
      </c>
      <c r="AA213" s="295" t="str">
        <f>IF(V213=ROUND(SUMIFS(AN_TME23[[#All],[TOTAL Truncated Unadjusted Claims Expenses (A21 -A19)]], AN_TME23[[#All],[Insurance Category Code]],4, AN_TME23[[#All],[Advanced Network/Insurance Carrier Org ID]],Q213),2), "TRUE",ROUND( V213-SUMIFS(AN_TME23[[#All],[TOTAL Truncated Unadjusted Claims Expenses (A21 -A19)]], AN_TME23[[#All],[Insurance Category Code]],4, AN_TME23[[#All],[Advanced Network/Insurance Carrier Org ID]],Q213),2))</f>
        <v>TRUE</v>
      </c>
      <c r="AB213" s="461" t="str">
        <f t="shared" si="22"/>
        <v>TRUE</v>
      </c>
      <c r="AC213" s="282" t="b">
        <f>ROUND(SUMIFS(AN_TME23[[#All],[TOTAL Non-Truncated Unadjusted Claims Expenses]], AN_TME23[[#All],[Insurance Category Code]],4, AN_TME23[[#All],[Advanced Network/Insurance Carrier Org ID]],Q213),2)&gt;=ROUND(SUMIFS(AN_TME23[[#All],[TOTAL Truncated Unadjusted Claims Expenses (A21 -A19)]], AN_TME23[[#All],[Insurance Category Code]],4, AN_TME23[[#All],[Advanced Network/Insurance Carrier Org ID]],Q213),2)</f>
        <v>1</v>
      </c>
      <c r="AD213" s="295" t="b">
        <f>ROUND(SUMIFS(AN_TME23[[#All],[TOTAL Truncated Unadjusted Claims Expenses (A21 -A19)]], AN_TME23[[#All],[Insurance Category Code]],4, AN_TME23[[#All],[Advanced Network/Insurance Carrier Org ID]],Q213)+SUMIFS(AN_TME23[[#All],[Total Claims Excluded because of Truncation]], AN_TME23[[#All],[Insurance Category Code]],4, AN_TME23[[#All],[Advanced Network/Insurance Carrier Org ID]],Q213),2)=ROUND(SUMIFS(AN_TME23[[#All],[TOTAL Non-Truncated Unadjusted Claims Expenses]], AN_TME23[[#All],[Insurance Category Code]],4, AN_TME23[[#All],[Advanced Network/Insurance Carrier Org ID]],Q213),2)</f>
        <v>1</v>
      </c>
      <c r="AF213" s="323" t="str">
        <f t="shared" si="21"/>
        <v>NA</v>
      </c>
    </row>
    <row r="214" spans="2:32" outlineLevel="1" x14ac:dyDescent="0.25">
      <c r="B214" s="236">
        <v>117</v>
      </c>
      <c r="C214" s="463">
        <f>ROUND(SUMIFS(Age_Sex22[[#All],[Total Member Months by Age/Sex Band]], Age_Sex22[[#All],[Advanced Network ID]], $B214, Age_Sex22[[#All],[Insurance Category Code]],4),2)</f>
        <v>0</v>
      </c>
      <c r="D214" s="268">
        <f>ROUND(SUMIFS(Age_Sex22[[#All],[Total Dollars Excluded from Spending After Applying Truncation at the Member Level]], Age_Sex22[[#All],[Advanced Network ID]], $B214, Age_Sex22[[#All],[Insurance Category Code]],4),2)</f>
        <v>0</v>
      </c>
      <c r="E214" s="229">
        <f>ROUND(SUMIFS(Age_Sex22[[#All],[Count of Members whose Spending was Truncated]], Age_Sex22[[#All],[Advanced Network ID]], $B214, Age_Sex22[[#All],[Insurance Category Code]],4),2)</f>
        <v>0</v>
      </c>
      <c r="F214" s="230">
        <f>ROUND(SUMIFS(Age_Sex22[[#All],[Total Spending before Truncation is Applied]], Age_Sex22[[#All],[Advanced Network ID]], $B214, Age_Sex22[[#All],[Insurance Category Code]],4),2)</f>
        <v>0</v>
      </c>
      <c r="G214" s="232">
        <f>ROUND(SUMIFS(Age_Sex22[[#All],[Total Spending After Applying Truncation at the Member Level]], Age_Sex22[[#All],[Advanced Network ID]], $B214, Age_Sex22[[#All],[Insurance Category Code]],4),2)</f>
        <v>0</v>
      </c>
      <c r="H214" s="416" t="str">
        <f>IF(C214=ROUND(SUMIFS(AN_TME22[[#All],[Member Months]], AN_TME22[[#All],[Insurance Category Code]],4, AN_TME22[[#All],[Advanced Network/Insurance Carrier Org ID]],B214),2), "TRUE", ROUND(C214-SUMIFS(AN_TME22[[#All],[Member Months]], AN_TME22[[#All],[Insurance Category Code]],4, AN_TME22[[#All],[Advanced Network/Insurance Carrier Org ID]],B214),2))</f>
        <v>TRUE</v>
      </c>
      <c r="I214" s="280" t="str">
        <f>IF(D214=ROUND(SUMIFS(AN_TME22[[#All],[Total Claims Excluded because of Truncation]], AN_TME22[[#All],[Insurance Category Code]],4, AN_TME22[[#All],[Advanced Network/Insurance Carrier Org ID]],B214),2), "TRUE", ROUND(D214-SUMIFS(AN_TME22[[#All],[Total Claims Excluded because of Truncation]], AN_TME22[[#All],[Insurance Category Code]],4, AN_TME22[[#All],[Advanced Network/Insurance Carrier Org ID]],B214),2))</f>
        <v>TRUE</v>
      </c>
      <c r="J214" s="281" t="str">
        <f>IF(E214=ROUND(SUMIFS(AN_TME22[[#All],[Count of Members with Claims Truncated]], AN_TME22[[#All],[Insurance Category Code]],4, AN_TME22[[#All],[Advanced Network/Insurance Carrier Org ID]],B214),2), "TRUE", ROUND(E214-SUMIFS(AN_TME22[[#All],[Count of Members with Claims Truncated]], AN_TME22[[#All],[Insurance Category Code]],4, AN_TME22[[#All],[Advanced Network/Insurance Carrier Org ID]],B214),2))</f>
        <v>TRUE</v>
      </c>
      <c r="K214" s="282" t="str">
        <f>IF(F214=ROUND(SUMIFS(AN_TME22[[#All],[TOTAL Non-Truncated Unadjusted Claims Expenses]], AN_TME22[[#All],[Insurance Category Code]],4, AN_TME22[[#All],[Advanced Network/Insurance Carrier Org ID]],B214),2), "TRUE", ROUND(F214-SUMIFS(AN_TME22[[#All],[TOTAL Non-Truncated Unadjusted Claims Expenses]], AN_TME22[[#All],[Insurance Category Code]],4, AN_TME22[[#All],[Advanced Network/Insurance Carrier Org ID]],B214),2))</f>
        <v>TRUE</v>
      </c>
      <c r="L214" s="295" t="str">
        <f>IF(G214=ROUND(SUMIFS(AN_TME22[[#All],[TOTAL Truncated Unadjusted Claims Expenses (A21 -A19)]], AN_TME22[[#All],[Insurance Category Code]],4, AN_TME22[[#All],[Advanced Network/Insurance Carrier Org ID]],B214),2), "TRUE", ROUND(G214-SUMIFS(AN_TME22[[#All],[TOTAL Truncated Unadjusted Claims Expenses (A21 -A19)]], AN_TME22[[#All],[Insurance Category Code]],4, AN_TME22[[#All],[Advanced Network/Insurance Carrier Org ID]],B214),2))</f>
        <v>TRUE</v>
      </c>
      <c r="M214" s="461" t="str">
        <f t="shared" si="19"/>
        <v>TRUE</v>
      </c>
      <c r="N214" s="282" t="b">
        <f>ROUND(SUMIFS(AN_TME22[[#All],[TOTAL Non-Truncated Unadjusted Claims Expenses]], AN_TME22[[#All],[Insurance Category Code]],4, AN_TME22[[#All],[Advanced Network/Insurance Carrier Org ID]],B214),2)&gt;=ROUND(SUMIFS(AN_TME22[[#All],[TOTAL Truncated Unadjusted Claims Expenses (A21 -A19)]], AN_TME22[[#All],[Insurance Category Code]],4, AN_TME22[[#All],[Advanced Network/Insurance Carrier Org ID]],B214),2)</f>
        <v>1</v>
      </c>
      <c r="O214" s="295" t="b">
        <f>ROUND(SUMIFS(AN_TME22[[#All],[TOTAL Truncated Unadjusted Claims Expenses (A21 -A19)]], AN_TME22[[#All],[Insurance Category Code]],4, AN_TME22[[#All],[Advanced Network/Insurance Carrier Org ID]],B214)+SUMIFS(AN_TME22[[#All],[Total Claims Excluded because of Truncation]], AN_TME22[[#All],[Insurance Category Code]],4, AN_TME22[[#All],[Advanced Network/Insurance Carrier Org ID]],B214),2)=ROUND(SUMIFS(AN_TME22[[#All],[TOTAL Non-Truncated Unadjusted Claims Expenses]], AN_TME22[[#All],[Insurance Category Code]],4, AN_TME22[[#All],[Advanced Network/Insurance Carrier Org ID]],B214),2)</f>
        <v>1</v>
      </c>
      <c r="Q214" s="236">
        <v>117</v>
      </c>
      <c r="R214" s="463">
        <f>ROUND(SUMIFS(Age_Sex23[[#All],[Total Member Months by Age/Sex Band]], Age_Sex23[[#All],[Advanced Network ID]], $Q214, Age_Sex23[[#All],[Insurance Category Code]],4),2)</f>
        <v>0</v>
      </c>
      <c r="S214" s="268">
        <f>ROUND(SUMIFS(Age_Sex23[[#All],[Total Dollars Excluded from Spending After Applying Truncation at the Member Level]], Age_Sex23[[#All],[Advanced Network ID]], $B214, Age_Sex23[[#All],[Insurance Category Code]],4),2)</f>
        <v>0</v>
      </c>
      <c r="T214" s="229">
        <f>ROUND(SUMIFS(Age_Sex23[[#All],[Count of Members whose Spending was Truncated]], Age_Sex23[[#All],[Advanced Network ID]], $B214, Age_Sex23[[#All],[Insurance Category Code]],4),2)</f>
        <v>0</v>
      </c>
      <c r="U214" s="230">
        <f>ROUND(SUMIFS(Age_Sex23[[#All],[Total Spending before Truncation is Applied]], Age_Sex23[[#All],[Advanced Network ID]], $B214, Age_Sex23[[#All],[Insurance Category Code]],4),2)</f>
        <v>0</v>
      </c>
      <c r="V214" s="232">
        <f>ROUND(SUMIFS(Age_Sex23[[#All],[Total Spending After Applying Truncation at the Member Level]], Age_Sex23[[#All],[Advanced Network ID]], $B214, Age_Sex23[[#All],[Insurance Category Code]],4),2)</f>
        <v>0</v>
      </c>
      <c r="W214" s="416" t="str">
        <f>IF(R214=ROUND(SUMIFS(AN_TME23[[#All],[Member Months]], AN_TME23[[#All],[Insurance Category Code]],4, AN_TME23[[#All],[Advanced Network/Insurance Carrier Org ID]],Q214),2), "TRUE", ROUND(R214-SUMIFS(AN_TME23[[#All],[Member Months]], AN_TME23[[#All],[Insurance Category Code]],4, AN_TME23[[#All],[Advanced Network/Insurance Carrier Org ID]],Q214),2))</f>
        <v>TRUE</v>
      </c>
      <c r="X214" s="280" t="str">
        <f>IF(S214=ROUND(SUMIFS(AN_TME23[[#All],[Total Claims Excluded because of Truncation]], AN_TME23[[#All],[Insurance Category Code]],4, AN_TME23[[#All],[Advanced Network/Insurance Carrier Org ID]],Q214),2), "TRUE", ROUND(S214-SUMIFS(AN_TME23[[#All],[Total Claims Excluded because of Truncation]], AN_TME23[[#All],[Insurance Category Code]],4, AN_TME23[[#All],[Advanced Network/Insurance Carrier Org ID]],Q214),2))</f>
        <v>TRUE</v>
      </c>
      <c r="Y214" s="281" t="str">
        <f>IF(T214=ROUND(SUMIFS(AN_TME23[[#All],[Count of Members with Claims Truncated]], AN_TME23[[#All],[Insurance Category Code]],4, AN_TME23[[#All],[Advanced Network/Insurance Carrier Org ID]],Q214),2), "TRUE", ROUND(T214-SUMIFS(AN_TME23[[#All],[Count of Members with Claims Truncated]], AN_TME23[[#All],[Insurance Category Code]],4, AN_TME23[[#All],[Advanced Network/Insurance Carrier Org ID]],Q214),2))</f>
        <v>TRUE</v>
      </c>
      <c r="Z214" s="282" t="str">
        <f>IF(U214=ROUND(SUMIFS(AN_TME23[[#All],[TOTAL Non-Truncated Unadjusted Claims Expenses]], AN_TME23[[#All],[Insurance Category Code]],4, AN_TME23[[#All],[Advanced Network/Insurance Carrier Org ID]],Q214),2), "TRUE", ROUND(U214-SUMIFS(AN_TME23[[#All],[TOTAL Non-Truncated Unadjusted Claims Expenses]], AN_TME23[[#All],[Insurance Category Code]],4, AN_TME23[[#All],[Advanced Network/Insurance Carrier Org ID]],Q214),2))</f>
        <v>TRUE</v>
      </c>
      <c r="AA214" s="295" t="str">
        <f>IF(V214=ROUND(SUMIFS(AN_TME23[[#All],[TOTAL Truncated Unadjusted Claims Expenses (A21 -A19)]], AN_TME23[[#All],[Insurance Category Code]],4, AN_TME23[[#All],[Advanced Network/Insurance Carrier Org ID]],Q214),2), "TRUE",ROUND( V214-SUMIFS(AN_TME23[[#All],[TOTAL Truncated Unadjusted Claims Expenses (A21 -A19)]], AN_TME23[[#All],[Insurance Category Code]],4, AN_TME23[[#All],[Advanced Network/Insurance Carrier Org ID]],Q214),2))</f>
        <v>TRUE</v>
      </c>
      <c r="AB214" s="461" t="str">
        <f t="shared" si="22"/>
        <v>TRUE</v>
      </c>
      <c r="AC214" s="282" t="b">
        <f>ROUND(SUMIFS(AN_TME23[[#All],[TOTAL Non-Truncated Unadjusted Claims Expenses]], AN_TME23[[#All],[Insurance Category Code]],4, AN_TME23[[#All],[Advanced Network/Insurance Carrier Org ID]],Q214),2)&gt;=ROUND(SUMIFS(AN_TME23[[#All],[TOTAL Truncated Unadjusted Claims Expenses (A21 -A19)]], AN_TME23[[#All],[Insurance Category Code]],4, AN_TME23[[#All],[Advanced Network/Insurance Carrier Org ID]],Q214),2)</f>
        <v>1</v>
      </c>
      <c r="AD214" s="295" t="b">
        <f>ROUND(SUMIFS(AN_TME23[[#All],[TOTAL Truncated Unadjusted Claims Expenses (A21 -A19)]], AN_TME23[[#All],[Insurance Category Code]],4, AN_TME23[[#All],[Advanced Network/Insurance Carrier Org ID]],Q214)+SUMIFS(AN_TME23[[#All],[Total Claims Excluded because of Truncation]], AN_TME23[[#All],[Insurance Category Code]],4, AN_TME23[[#All],[Advanced Network/Insurance Carrier Org ID]],Q214),2)=ROUND(SUMIFS(AN_TME23[[#All],[TOTAL Non-Truncated Unadjusted Claims Expenses]], AN_TME23[[#All],[Insurance Category Code]],4, AN_TME23[[#All],[Advanced Network/Insurance Carrier Org ID]],Q214),2)</f>
        <v>1</v>
      </c>
      <c r="AF214" s="323" t="str">
        <f t="shared" si="21"/>
        <v>NA</v>
      </c>
    </row>
    <row r="215" spans="2:32" outlineLevel="1" x14ac:dyDescent="0.25">
      <c r="B215" s="236">
        <v>118</v>
      </c>
      <c r="C215" s="463">
        <f>ROUND(SUMIFS(Age_Sex22[[#All],[Total Member Months by Age/Sex Band]], Age_Sex22[[#All],[Advanced Network ID]], $B215, Age_Sex22[[#All],[Insurance Category Code]],4),2)</f>
        <v>0</v>
      </c>
      <c r="D215" s="268">
        <f>ROUND(SUMIFS(Age_Sex22[[#All],[Total Dollars Excluded from Spending After Applying Truncation at the Member Level]], Age_Sex22[[#All],[Advanced Network ID]], $B215, Age_Sex22[[#All],[Insurance Category Code]],4),2)</f>
        <v>0</v>
      </c>
      <c r="E215" s="229">
        <f>ROUND(SUMIFS(Age_Sex22[[#All],[Count of Members whose Spending was Truncated]], Age_Sex22[[#All],[Advanced Network ID]], $B215, Age_Sex22[[#All],[Insurance Category Code]],4),2)</f>
        <v>0</v>
      </c>
      <c r="F215" s="230">
        <f>ROUND(SUMIFS(Age_Sex22[[#All],[Total Spending before Truncation is Applied]], Age_Sex22[[#All],[Advanced Network ID]], $B215, Age_Sex22[[#All],[Insurance Category Code]],4),2)</f>
        <v>0</v>
      </c>
      <c r="G215" s="232">
        <f>ROUND(SUMIFS(Age_Sex22[[#All],[Total Spending After Applying Truncation at the Member Level]], Age_Sex22[[#All],[Advanced Network ID]], $B215, Age_Sex22[[#All],[Insurance Category Code]],4),2)</f>
        <v>0</v>
      </c>
      <c r="H215" s="416" t="str">
        <f>IF(C215=ROUND(SUMIFS(AN_TME22[[#All],[Member Months]], AN_TME22[[#All],[Insurance Category Code]],4, AN_TME22[[#All],[Advanced Network/Insurance Carrier Org ID]],B215),2), "TRUE", ROUND(C215-SUMIFS(AN_TME22[[#All],[Member Months]], AN_TME22[[#All],[Insurance Category Code]],4, AN_TME22[[#All],[Advanced Network/Insurance Carrier Org ID]],B215),2))</f>
        <v>TRUE</v>
      </c>
      <c r="I215" s="280" t="str">
        <f>IF(D215=ROUND(SUMIFS(AN_TME22[[#All],[Total Claims Excluded because of Truncation]], AN_TME22[[#All],[Insurance Category Code]],4, AN_TME22[[#All],[Advanced Network/Insurance Carrier Org ID]],B215),2), "TRUE", ROUND(D215-SUMIFS(AN_TME22[[#All],[Total Claims Excluded because of Truncation]], AN_TME22[[#All],[Insurance Category Code]],4, AN_TME22[[#All],[Advanced Network/Insurance Carrier Org ID]],B215),2))</f>
        <v>TRUE</v>
      </c>
      <c r="J215" s="281" t="str">
        <f>IF(E215=ROUND(SUMIFS(AN_TME22[[#All],[Count of Members with Claims Truncated]], AN_TME22[[#All],[Insurance Category Code]],4, AN_TME22[[#All],[Advanced Network/Insurance Carrier Org ID]],B215),2), "TRUE", ROUND(E215-SUMIFS(AN_TME22[[#All],[Count of Members with Claims Truncated]], AN_TME22[[#All],[Insurance Category Code]],4, AN_TME22[[#All],[Advanced Network/Insurance Carrier Org ID]],B215),2))</f>
        <v>TRUE</v>
      </c>
      <c r="K215" s="282" t="str">
        <f>IF(F215=ROUND(SUMIFS(AN_TME22[[#All],[TOTAL Non-Truncated Unadjusted Claims Expenses]], AN_TME22[[#All],[Insurance Category Code]],4, AN_TME22[[#All],[Advanced Network/Insurance Carrier Org ID]],B215),2), "TRUE", ROUND(F215-SUMIFS(AN_TME22[[#All],[TOTAL Non-Truncated Unadjusted Claims Expenses]], AN_TME22[[#All],[Insurance Category Code]],4, AN_TME22[[#All],[Advanced Network/Insurance Carrier Org ID]],B215),2))</f>
        <v>TRUE</v>
      </c>
      <c r="L215" s="295" t="str">
        <f>IF(G215=ROUND(SUMIFS(AN_TME22[[#All],[TOTAL Truncated Unadjusted Claims Expenses (A21 -A19)]], AN_TME22[[#All],[Insurance Category Code]],4, AN_TME22[[#All],[Advanced Network/Insurance Carrier Org ID]],B215),2), "TRUE", ROUND(G215-SUMIFS(AN_TME22[[#All],[TOTAL Truncated Unadjusted Claims Expenses (A21 -A19)]], AN_TME22[[#All],[Insurance Category Code]],4, AN_TME22[[#All],[Advanced Network/Insurance Carrier Org ID]],B215),2))</f>
        <v>TRUE</v>
      </c>
      <c r="M215" s="461" t="str">
        <f t="shared" si="19"/>
        <v>TRUE</v>
      </c>
      <c r="N215" s="282" t="b">
        <f>ROUND(SUMIFS(AN_TME22[[#All],[TOTAL Non-Truncated Unadjusted Claims Expenses]], AN_TME22[[#All],[Insurance Category Code]],4, AN_TME22[[#All],[Advanced Network/Insurance Carrier Org ID]],B215),2)&gt;=ROUND(SUMIFS(AN_TME22[[#All],[TOTAL Truncated Unadjusted Claims Expenses (A21 -A19)]], AN_TME22[[#All],[Insurance Category Code]],4, AN_TME22[[#All],[Advanced Network/Insurance Carrier Org ID]],B215),2)</f>
        <v>1</v>
      </c>
      <c r="O215" s="295" t="b">
        <f>ROUND(SUMIFS(AN_TME22[[#All],[TOTAL Truncated Unadjusted Claims Expenses (A21 -A19)]], AN_TME22[[#All],[Insurance Category Code]],4, AN_TME22[[#All],[Advanced Network/Insurance Carrier Org ID]],B215)+SUMIFS(AN_TME22[[#All],[Total Claims Excluded because of Truncation]], AN_TME22[[#All],[Insurance Category Code]],4, AN_TME22[[#All],[Advanced Network/Insurance Carrier Org ID]],B215),2)=ROUND(SUMIFS(AN_TME22[[#All],[TOTAL Non-Truncated Unadjusted Claims Expenses]], AN_TME22[[#All],[Insurance Category Code]],4, AN_TME22[[#All],[Advanced Network/Insurance Carrier Org ID]],B215),2)</f>
        <v>1</v>
      </c>
      <c r="Q215" s="236">
        <v>118</v>
      </c>
      <c r="R215" s="463">
        <f>ROUND(SUMIFS(Age_Sex23[[#All],[Total Member Months by Age/Sex Band]], Age_Sex23[[#All],[Advanced Network ID]], $Q215, Age_Sex23[[#All],[Insurance Category Code]],4),2)</f>
        <v>0</v>
      </c>
      <c r="S215" s="268">
        <f>ROUND(SUMIFS(Age_Sex23[[#All],[Total Dollars Excluded from Spending After Applying Truncation at the Member Level]], Age_Sex23[[#All],[Advanced Network ID]], $B215, Age_Sex23[[#All],[Insurance Category Code]],4),2)</f>
        <v>0</v>
      </c>
      <c r="T215" s="229">
        <f>ROUND(SUMIFS(Age_Sex23[[#All],[Count of Members whose Spending was Truncated]], Age_Sex23[[#All],[Advanced Network ID]], $B215, Age_Sex23[[#All],[Insurance Category Code]],4),2)</f>
        <v>0</v>
      </c>
      <c r="U215" s="230">
        <f>ROUND(SUMIFS(Age_Sex23[[#All],[Total Spending before Truncation is Applied]], Age_Sex23[[#All],[Advanced Network ID]], $B215, Age_Sex23[[#All],[Insurance Category Code]],4),2)</f>
        <v>0</v>
      </c>
      <c r="V215" s="232">
        <f>ROUND(SUMIFS(Age_Sex23[[#All],[Total Spending After Applying Truncation at the Member Level]], Age_Sex23[[#All],[Advanced Network ID]], $B215, Age_Sex23[[#All],[Insurance Category Code]],4),2)</f>
        <v>0</v>
      </c>
      <c r="W215" s="416" t="str">
        <f>IF(R215=ROUND(SUMIFS(AN_TME23[[#All],[Member Months]], AN_TME23[[#All],[Insurance Category Code]],4, AN_TME23[[#All],[Advanced Network/Insurance Carrier Org ID]],Q215),2), "TRUE", ROUND(R215-SUMIFS(AN_TME23[[#All],[Member Months]], AN_TME23[[#All],[Insurance Category Code]],4, AN_TME23[[#All],[Advanced Network/Insurance Carrier Org ID]],Q215),2))</f>
        <v>TRUE</v>
      </c>
      <c r="X215" s="280" t="str">
        <f>IF(S215=ROUND(SUMIFS(AN_TME23[[#All],[Total Claims Excluded because of Truncation]], AN_TME23[[#All],[Insurance Category Code]],4, AN_TME23[[#All],[Advanced Network/Insurance Carrier Org ID]],Q215),2), "TRUE", ROUND(S215-SUMIFS(AN_TME23[[#All],[Total Claims Excluded because of Truncation]], AN_TME23[[#All],[Insurance Category Code]],4, AN_TME23[[#All],[Advanced Network/Insurance Carrier Org ID]],Q215),2))</f>
        <v>TRUE</v>
      </c>
      <c r="Y215" s="281" t="str">
        <f>IF(T215=ROUND(SUMIFS(AN_TME23[[#All],[Count of Members with Claims Truncated]], AN_TME23[[#All],[Insurance Category Code]],4, AN_TME23[[#All],[Advanced Network/Insurance Carrier Org ID]],Q215),2), "TRUE", ROUND(T215-SUMIFS(AN_TME23[[#All],[Count of Members with Claims Truncated]], AN_TME23[[#All],[Insurance Category Code]],4, AN_TME23[[#All],[Advanced Network/Insurance Carrier Org ID]],Q215),2))</f>
        <v>TRUE</v>
      </c>
      <c r="Z215" s="282" t="str">
        <f>IF(U215=ROUND(SUMIFS(AN_TME23[[#All],[TOTAL Non-Truncated Unadjusted Claims Expenses]], AN_TME23[[#All],[Insurance Category Code]],4, AN_TME23[[#All],[Advanced Network/Insurance Carrier Org ID]],Q215),2), "TRUE", ROUND(U215-SUMIFS(AN_TME23[[#All],[TOTAL Non-Truncated Unadjusted Claims Expenses]], AN_TME23[[#All],[Insurance Category Code]],4, AN_TME23[[#All],[Advanced Network/Insurance Carrier Org ID]],Q215),2))</f>
        <v>TRUE</v>
      </c>
      <c r="AA215" s="295" t="str">
        <f>IF(V215=ROUND(SUMIFS(AN_TME23[[#All],[TOTAL Truncated Unadjusted Claims Expenses (A21 -A19)]], AN_TME23[[#All],[Insurance Category Code]],4, AN_TME23[[#All],[Advanced Network/Insurance Carrier Org ID]],Q215),2), "TRUE",ROUND( V215-SUMIFS(AN_TME23[[#All],[TOTAL Truncated Unadjusted Claims Expenses (A21 -A19)]], AN_TME23[[#All],[Insurance Category Code]],4, AN_TME23[[#All],[Advanced Network/Insurance Carrier Org ID]],Q215),2))</f>
        <v>TRUE</v>
      </c>
      <c r="AB215" s="461" t="str">
        <f t="shared" si="22"/>
        <v>TRUE</v>
      </c>
      <c r="AC215" s="282" t="b">
        <f>ROUND(SUMIFS(AN_TME23[[#All],[TOTAL Non-Truncated Unadjusted Claims Expenses]], AN_TME23[[#All],[Insurance Category Code]],4, AN_TME23[[#All],[Advanced Network/Insurance Carrier Org ID]],Q215),2)&gt;=ROUND(SUMIFS(AN_TME23[[#All],[TOTAL Truncated Unadjusted Claims Expenses (A21 -A19)]], AN_TME23[[#All],[Insurance Category Code]],4, AN_TME23[[#All],[Advanced Network/Insurance Carrier Org ID]],Q215),2)</f>
        <v>1</v>
      </c>
      <c r="AD215" s="295" t="b">
        <f>ROUND(SUMIFS(AN_TME23[[#All],[TOTAL Truncated Unadjusted Claims Expenses (A21 -A19)]], AN_TME23[[#All],[Insurance Category Code]],4, AN_TME23[[#All],[Advanced Network/Insurance Carrier Org ID]],Q215)+SUMIFS(AN_TME23[[#All],[Total Claims Excluded because of Truncation]], AN_TME23[[#All],[Insurance Category Code]],4, AN_TME23[[#All],[Advanced Network/Insurance Carrier Org ID]],Q215),2)=ROUND(SUMIFS(AN_TME23[[#All],[TOTAL Non-Truncated Unadjusted Claims Expenses]], AN_TME23[[#All],[Insurance Category Code]],4, AN_TME23[[#All],[Advanced Network/Insurance Carrier Org ID]],Q215),2)</f>
        <v>1</v>
      </c>
      <c r="AF215" s="323" t="str">
        <f t="shared" si="21"/>
        <v>NA</v>
      </c>
    </row>
    <row r="216" spans="2:32" outlineLevel="1" x14ac:dyDescent="0.25">
      <c r="B216" s="236">
        <v>119</v>
      </c>
      <c r="C216" s="463">
        <f>ROUND(SUMIFS(Age_Sex22[[#All],[Total Member Months by Age/Sex Band]], Age_Sex22[[#All],[Advanced Network ID]], $B216, Age_Sex22[[#All],[Insurance Category Code]],4),2)</f>
        <v>0</v>
      </c>
      <c r="D216" s="268">
        <f>ROUND(SUMIFS(Age_Sex22[[#All],[Total Dollars Excluded from Spending After Applying Truncation at the Member Level]], Age_Sex22[[#All],[Advanced Network ID]], $B216, Age_Sex22[[#All],[Insurance Category Code]],4),2)</f>
        <v>0</v>
      </c>
      <c r="E216" s="229">
        <f>ROUND(SUMIFS(Age_Sex22[[#All],[Count of Members whose Spending was Truncated]], Age_Sex22[[#All],[Advanced Network ID]], $B216, Age_Sex22[[#All],[Insurance Category Code]],4),2)</f>
        <v>0</v>
      </c>
      <c r="F216" s="230">
        <f>ROUND(SUMIFS(Age_Sex22[[#All],[Total Spending before Truncation is Applied]], Age_Sex22[[#All],[Advanced Network ID]], $B216, Age_Sex22[[#All],[Insurance Category Code]],4),2)</f>
        <v>0</v>
      </c>
      <c r="G216" s="232">
        <f>ROUND(SUMIFS(Age_Sex22[[#All],[Total Spending After Applying Truncation at the Member Level]], Age_Sex22[[#All],[Advanced Network ID]], $B216, Age_Sex22[[#All],[Insurance Category Code]],4),2)</f>
        <v>0</v>
      </c>
      <c r="H216" s="416" t="str">
        <f>IF(C216=ROUND(SUMIFS(AN_TME22[[#All],[Member Months]], AN_TME22[[#All],[Insurance Category Code]],4, AN_TME22[[#All],[Advanced Network/Insurance Carrier Org ID]],B216),2), "TRUE", ROUND(C216-SUMIFS(AN_TME22[[#All],[Member Months]], AN_TME22[[#All],[Insurance Category Code]],4, AN_TME22[[#All],[Advanced Network/Insurance Carrier Org ID]],B216),2))</f>
        <v>TRUE</v>
      </c>
      <c r="I216" s="280" t="str">
        <f>IF(D216=ROUND(SUMIFS(AN_TME22[[#All],[Total Claims Excluded because of Truncation]], AN_TME22[[#All],[Insurance Category Code]],4, AN_TME22[[#All],[Advanced Network/Insurance Carrier Org ID]],B216),2), "TRUE", ROUND(D216-SUMIFS(AN_TME22[[#All],[Total Claims Excluded because of Truncation]], AN_TME22[[#All],[Insurance Category Code]],4, AN_TME22[[#All],[Advanced Network/Insurance Carrier Org ID]],B216),2))</f>
        <v>TRUE</v>
      </c>
      <c r="J216" s="281" t="str">
        <f>IF(E216=ROUND(SUMIFS(AN_TME22[[#All],[Count of Members with Claims Truncated]], AN_TME22[[#All],[Insurance Category Code]],4, AN_TME22[[#All],[Advanced Network/Insurance Carrier Org ID]],B216),2), "TRUE", ROUND(E216-SUMIFS(AN_TME22[[#All],[Count of Members with Claims Truncated]], AN_TME22[[#All],[Insurance Category Code]],4, AN_TME22[[#All],[Advanced Network/Insurance Carrier Org ID]],B216),2))</f>
        <v>TRUE</v>
      </c>
      <c r="K216" s="282" t="str">
        <f>IF(F216=ROUND(SUMIFS(AN_TME22[[#All],[TOTAL Non-Truncated Unadjusted Claims Expenses]], AN_TME22[[#All],[Insurance Category Code]],4, AN_TME22[[#All],[Advanced Network/Insurance Carrier Org ID]],B216),2), "TRUE", ROUND(F216-SUMIFS(AN_TME22[[#All],[TOTAL Non-Truncated Unadjusted Claims Expenses]], AN_TME22[[#All],[Insurance Category Code]],4, AN_TME22[[#All],[Advanced Network/Insurance Carrier Org ID]],B216),2))</f>
        <v>TRUE</v>
      </c>
      <c r="L216" s="295" t="str">
        <f>IF(G216=ROUND(SUMIFS(AN_TME22[[#All],[TOTAL Truncated Unadjusted Claims Expenses (A21 -A19)]], AN_TME22[[#All],[Insurance Category Code]],4, AN_TME22[[#All],[Advanced Network/Insurance Carrier Org ID]],B216),2), "TRUE", ROUND(G216-SUMIFS(AN_TME22[[#All],[TOTAL Truncated Unadjusted Claims Expenses (A21 -A19)]], AN_TME22[[#All],[Insurance Category Code]],4, AN_TME22[[#All],[Advanced Network/Insurance Carrier Org ID]],B216),2))</f>
        <v>TRUE</v>
      </c>
      <c r="M216" s="461" t="str">
        <f t="shared" si="19"/>
        <v>TRUE</v>
      </c>
      <c r="N216" s="282" t="b">
        <f>ROUND(SUMIFS(AN_TME22[[#All],[TOTAL Non-Truncated Unadjusted Claims Expenses]], AN_TME22[[#All],[Insurance Category Code]],4, AN_TME22[[#All],[Advanced Network/Insurance Carrier Org ID]],B216),2)&gt;=ROUND(SUMIFS(AN_TME22[[#All],[TOTAL Truncated Unadjusted Claims Expenses (A21 -A19)]], AN_TME22[[#All],[Insurance Category Code]],4, AN_TME22[[#All],[Advanced Network/Insurance Carrier Org ID]],B216),2)</f>
        <v>1</v>
      </c>
      <c r="O216" s="295" t="b">
        <f>ROUND(SUMIFS(AN_TME22[[#All],[TOTAL Truncated Unadjusted Claims Expenses (A21 -A19)]], AN_TME22[[#All],[Insurance Category Code]],4, AN_TME22[[#All],[Advanced Network/Insurance Carrier Org ID]],B216)+SUMIFS(AN_TME22[[#All],[Total Claims Excluded because of Truncation]], AN_TME22[[#All],[Insurance Category Code]],4, AN_TME22[[#All],[Advanced Network/Insurance Carrier Org ID]],B216),2)=ROUND(SUMIFS(AN_TME22[[#All],[TOTAL Non-Truncated Unadjusted Claims Expenses]], AN_TME22[[#All],[Insurance Category Code]],4, AN_TME22[[#All],[Advanced Network/Insurance Carrier Org ID]],B216),2)</f>
        <v>1</v>
      </c>
      <c r="Q216" s="236">
        <v>119</v>
      </c>
      <c r="R216" s="463">
        <f>ROUND(SUMIFS(Age_Sex23[[#All],[Total Member Months by Age/Sex Band]], Age_Sex23[[#All],[Advanced Network ID]], $Q216, Age_Sex23[[#All],[Insurance Category Code]],4),2)</f>
        <v>0</v>
      </c>
      <c r="S216" s="268">
        <f>ROUND(SUMIFS(Age_Sex23[[#All],[Total Dollars Excluded from Spending After Applying Truncation at the Member Level]], Age_Sex23[[#All],[Advanced Network ID]], $B216, Age_Sex23[[#All],[Insurance Category Code]],4),2)</f>
        <v>0</v>
      </c>
      <c r="T216" s="229">
        <f>ROUND(SUMIFS(Age_Sex23[[#All],[Count of Members whose Spending was Truncated]], Age_Sex23[[#All],[Advanced Network ID]], $B216, Age_Sex23[[#All],[Insurance Category Code]],4),2)</f>
        <v>0</v>
      </c>
      <c r="U216" s="230">
        <f>ROUND(SUMIFS(Age_Sex23[[#All],[Total Spending before Truncation is Applied]], Age_Sex23[[#All],[Advanced Network ID]], $B216, Age_Sex23[[#All],[Insurance Category Code]],4),2)</f>
        <v>0</v>
      </c>
      <c r="V216" s="232">
        <f>ROUND(SUMIFS(Age_Sex23[[#All],[Total Spending After Applying Truncation at the Member Level]], Age_Sex23[[#All],[Advanced Network ID]], $B216, Age_Sex23[[#All],[Insurance Category Code]],4),2)</f>
        <v>0</v>
      </c>
      <c r="W216" s="416" t="str">
        <f>IF(R216=ROUND(SUMIFS(AN_TME23[[#All],[Member Months]], AN_TME23[[#All],[Insurance Category Code]],4, AN_TME23[[#All],[Advanced Network/Insurance Carrier Org ID]],Q216),2), "TRUE", ROUND(R216-SUMIFS(AN_TME23[[#All],[Member Months]], AN_TME23[[#All],[Insurance Category Code]],4, AN_TME23[[#All],[Advanced Network/Insurance Carrier Org ID]],Q216),2))</f>
        <v>TRUE</v>
      </c>
      <c r="X216" s="280" t="str">
        <f>IF(S216=ROUND(SUMIFS(AN_TME23[[#All],[Total Claims Excluded because of Truncation]], AN_TME23[[#All],[Insurance Category Code]],4, AN_TME23[[#All],[Advanced Network/Insurance Carrier Org ID]],Q216),2), "TRUE", ROUND(S216-SUMIFS(AN_TME23[[#All],[Total Claims Excluded because of Truncation]], AN_TME23[[#All],[Insurance Category Code]],4, AN_TME23[[#All],[Advanced Network/Insurance Carrier Org ID]],Q216),2))</f>
        <v>TRUE</v>
      </c>
      <c r="Y216" s="281" t="str">
        <f>IF(T216=ROUND(SUMIFS(AN_TME23[[#All],[Count of Members with Claims Truncated]], AN_TME23[[#All],[Insurance Category Code]],4, AN_TME23[[#All],[Advanced Network/Insurance Carrier Org ID]],Q216),2), "TRUE", ROUND(T216-SUMIFS(AN_TME23[[#All],[Count of Members with Claims Truncated]], AN_TME23[[#All],[Insurance Category Code]],4, AN_TME23[[#All],[Advanced Network/Insurance Carrier Org ID]],Q216),2))</f>
        <v>TRUE</v>
      </c>
      <c r="Z216" s="282" t="str">
        <f>IF(U216=ROUND(SUMIFS(AN_TME23[[#All],[TOTAL Non-Truncated Unadjusted Claims Expenses]], AN_TME23[[#All],[Insurance Category Code]],4, AN_TME23[[#All],[Advanced Network/Insurance Carrier Org ID]],Q216),2), "TRUE", ROUND(U216-SUMIFS(AN_TME23[[#All],[TOTAL Non-Truncated Unadjusted Claims Expenses]], AN_TME23[[#All],[Insurance Category Code]],4, AN_TME23[[#All],[Advanced Network/Insurance Carrier Org ID]],Q216),2))</f>
        <v>TRUE</v>
      </c>
      <c r="AA216" s="295" t="str">
        <f>IF(V216=ROUND(SUMIFS(AN_TME23[[#All],[TOTAL Truncated Unadjusted Claims Expenses (A21 -A19)]], AN_TME23[[#All],[Insurance Category Code]],4, AN_TME23[[#All],[Advanced Network/Insurance Carrier Org ID]],Q216),2), "TRUE",ROUND( V216-SUMIFS(AN_TME23[[#All],[TOTAL Truncated Unadjusted Claims Expenses (A21 -A19)]], AN_TME23[[#All],[Insurance Category Code]],4, AN_TME23[[#All],[Advanced Network/Insurance Carrier Org ID]],Q216),2))</f>
        <v>TRUE</v>
      </c>
      <c r="AB216" s="461" t="str">
        <f t="shared" si="22"/>
        <v>TRUE</v>
      </c>
      <c r="AC216" s="282" t="b">
        <f>ROUND(SUMIFS(AN_TME23[[#All],[TOTAL Non-Truncated Unadjusted Claims Expenses]], AN_TME23[[#All],[Insurance Category Code]],4, AN_TME23[[#All],[Advanced Network/Insurance Carrier Org ID]],Q216),2)&gt;=ROUND(SUMIFS(AN_TME23[[#All],[TOTAL Truncated Unadjusted Claims Expenses (A21 -A19)]], AN_TME23[[#All],[Insurance Category Code]],4, AN_TME23[[#All],[Advanced Network/Insurance Carrier Org ID]],Q216),2)</f>
        <v>1</v>
      </c>
      <c r="AD216" s="295" t="b">
        <f>ROUND(SUMIFS(AN_TME23[[#All],[TOTAL Truncated Unadjusted Claims Expenses (A21 -A19)]], AN_TME23[[#All],[Insurance Category Code]],4, AN_TME23[[#All],[Advanced Network/Insurance Carrier Org ID]],Q216)+SUMIFS(AN_TME23[[#All],[Total Claims Excluded because of Truncation]], AN_TME23[[#All],[Insurance Category Code]],4, AN_TME23[[#All],[Advanced Network/Insurance Carrier Org ID]],Q216),2)=ROUND(SUMIFS(AN_TME23[[#All],[TOTAL Non-Truncated Unadjusted Claims Expenses]], AN_TME23[[#All],[Insurance Category Code]],4, AN_TME23[[#All],[Advanced Network/Insurance Carrier Org ID]],Q216),2)</f>
        <v>1</v>
      </c>
      <c r="AF216" s="323" t="str">
        <f t="shared" si="21"/>
        <v>NA</v>
      </c>
    </row>
    <row r="217" spans="2:32" outlineLevel="1" x14ac:dyDescent="0.25">
      <c r="B217" s="236">
        <v>120</v>
      </c>
      <c r="C217" s="463">
        <f>ROUND(SUMIFS(Age_Sex22[[#All],[Total Member Months by Age/Sex Band]], Age_Sex22[[#All],[Advanced Network ID]], $B217, Age_Sex22[[#All],[Insurance Category Code]],4),2)</f>
        <v>0</v>
      </c>
      <c r="D217" s="268">
        <f>ROUND(SUMIFS(Age_Sex22[[#All],[Total Dollars Excluded from Spending After Applying Truncation at the Member Level]], Age_Sex22[[#All],[Advanced Network ID]], $B217, Age_Sex22[[#All],[Insurance Category Code]],4),2)</f>
        <v>0</v>
      </c>
      <c r="E217" s="229">
        <f>ROUND(SUMIFS(Age_Sex22[[#All],[Count of Members whose Spending was Truncated]], Age_Sex22[[#All],[Advanced Network ID]], $B217, Age_Sex22[[#All],[Insurance Category Code]],4),2)</f>
        <v>0</v>
      </c>
      <c r="F217" s="230">
        <f>ROUND(SUMIFS(Age_Sex22[[#All],[Total Spending before Truncation is Applied]], Age_Sex22[[#All],[Advanced Network ID]], $B217, Age_Sex22[[#All],[Insurance Category Code]],4),2)</f>
        <v>0</v>
      </c>
      <c r="G217" s="232">
        <f>ROUND(SUMIFS(Age_Sex22[[#All],[Total Spending After Applying Truncation at the Member Level]], Age_Sex22[[#All],[Advanced Network ID]], $B217, Age_Sex22[[#All],[Insurance Category Code]],4),2)</f>
        <v>0</v>
      </c>
      <c r="H217" s="416" t="str">
        <f>IF(C217=ROUND(SUMIFS(AN_TME22[[#All],[Member Months]], AN_TME22[[#All],[Insurance Category Code]],4, AN_TME22[[#All],[Advanced Network/Insurance Carrier Org ID]],B217),2), "TRUE", ROUND(C217-SUMIFS(AN_TME22[[#All],[Member Months]], AN_TME22[[#All],[Insurance Category Code]],4, AN_TME22[[#All],[Advanced Network/Insurance Carrier Org ID]],B217),2))</f>
        <v>TRUE</v>
      </c>
      <c r="I217" s="280" t="str">
        <f>IF(D217=ROUND(SUMIFS(AN_TME22[[#All],[Total Claims Excluded because of Truncation]], AN_TME22[[#All],[Insurance Category Code]],4, AN_TME22[[#All],[Advanced Network/Insurance Carrier Org ID]],B217),2), "TRUE", ROUND(D217-SUMIFS(AN_TME22[[#All],[Total Claims Excluded because of Truncation]], AN_TME22[[#All],[Insurance Category Code]],4, AN_TME22[[#All],[Advanced Network/Insurance Carrier Org ID]],B217),2))</f>
        <v>TRUE</v>
      </c>
      <c r="J217" s="281" t="str">
        <f>IF(E217=ROUND(SUMIFS(AN_TME22[[#All],[Count of Members with Claims Truncated]], AN_TME22[[#All],[Insurance Category Code]],4, AN_TME22[[#All],[Advanced Network/Insurance Carrier Org ID]],B217),2), "TRUE", ROUND(E217-SUMIFS(AN_TME22[[#All],[Count of Members with Claims Truncated]], AN_TME22[[#All],[Insurance Category Code]],4, AN_TME22[[#All],[Advanced Network/Insurance Carrier Org ID]],B217),2))</f>
        <v>TRUE</v>
      </c>
      <c r="K217" s="282" t="str">
        <f>IF(F217=ROUND(SUMIFS(AN_TME22[[#All],[TOTAL Non-Truncated Unadjusted Claims Expenses]], AN_TME22[[#All],[Insurance Category Code]],4, AN_TME22[[#All],[Advanced Network/Insurance Carrier Org ID]],B217),2), "TRUE", ROUND(F217-SUMIFS(AN_TME22[[#All],[TOTAL Non-Truncated Unadjusted Claims Expenses]], AN_TME22[[#All],[Insurance Category Code]],4, AN_TME22[[#All],[Advanced Network/Insurance Carrier Org ID]],B217),2))</f>
        <v>TRUE</v>
      </c>
      <c r="L217" s="295" t="str">
        <f>IF(G217=ROUND(SUMIFS(AN_TME22[[#All],[TOTAL Truncated Unadjusted Claims Expenses (A21 -A19)]], AN_TME22[[#All],[Insurance Category Code]],4, AN_TME22[[#All],[Advanced Network/Insurance Carrier Org ID]],B217),2), "TRUE", ROUND(G217-SUMIFS(AN_TME22[[#All],[TOTAL Truncated Unadjusted Claims Expenses (A21 -A19)]], AN_TME22[[#All],[Insurance Category Code]],4, AN_TME22[[#All],[Advanced Network/Insurance Carrier Org ID]],B217),2))</f>
        <v>TRUE</v>
      </c>
      <c r="M217" s="461" t="str">
        <f t="shared" si="19"/>
        <v>TRUE</v>
      </c>
      <c r="N217" s="282" t="b">
        <f>ROUND(SUMIFS(AN_TME22[[#All],[TOTAL Non-Truncated Unadjusted Claims Expenses]], AN_TME22[[#All],[Insurance Category Code]],4, AN_TME22[[#All],[Advanced Network/Insurance Carrier Org ID]],B217),2)&gt;=ROUND(SUMIFS(AN_TME22[[#All],[TOTAL Truncated Unadjusted Claims Expenses (A21 -A19)]], AN_TME22[[#All],[Insurance Category Code]],4, AN_TME22[[#All],[Advanced Network/Insurance Carrier Org ID]],B217),2)</f>
        <v>1</v>
      </c>
      <c r="O217" s="295" t="b">
        <f>ROUND(SUMIFS(AN_TME22[[#All],[TOTAL Truncated Unadjusted Claims Expenses (A21 -A19)]], AN_TME22[[#All],[Insurance Category Code]],4, AN_TME22[[#All],[Advanced Network/Insurance Carrier Org ID]],B217)+SUMIFS(AN_TME22[[#All],[Total Claims Excluded because of Truncation]], AN_TME22[[#All],[Insurance Category Code]],4, AN_TME22[[#All],[Advanced Network/Insurance Carrier Org ID]],B217),2)=ROUND(SUMIFS(AN_TME22[[#All],[TOTAL Non-Truncated Unadjusted Claims Expenses]], AN_TME22[[#All],[Insurance Category Code]],4, AN_TME22[[#All],[Advanced Network/Insurance Carrier Org ID]],B217),2)</f>
        <v>1</v>
      </c>
      <c r="Q217" s="236">
        <v>120</v>
      </c>
      <c r="R217" s="463">
        <f>ROUND(SUMIFS(Age_Sex23[[#All],[Total Member Months by Age/Sex Band]], Age_Sex23[[#All],[Advanced Network ID]], $Q217, Age_Sex23[[#All],[Insurance Category Code]],4),2)</f>
        <v>0</v>
      </c>
      <c r="S217" s="268">
        <f>ROUND(SUMIFS(Age_Sex23[[#All],[Total Dollars Excluded from Spending After Applying Truncation at the Member Level]], Age_Sex23[[#All],[Advanced Network ID]], $B217, Age_Sex23[[#All],[Insurance Category Code]],4),2)</f>
        <v>0</v>
      </c>
      <c r="T217" s="229">
        <f>ROUND(SUMIFS(Age_Sex23[[#All],[Count of Members whose Spending was Truncated]], Age_Sex23[[#All],[Advanced Network ID]], $B217, Age_Sex23[[#All],[Insurance Category Code]],4),2)</f>
        <v>0</v>
      </c>
      <c r="U217" s="230">
        <f>ROUND(SUMIFS(Age_Sex23[[#All],[Total Spending before Truncation is Applied]], Age_Sex23[[#All],[Advanced Network ID]], $B217, Age_Sex23[[#All],[Insurance Category Code]],4),2)</f>
        <v>0</v>
      </c>
      <c r="V217" s="232">
        <f>ROUND(SUMIFS(Age_Sex23[[#All],[Total Spending After Applying Truncation at the Member Level]], Age_Sex23[[#All],[Advanced Network ID]], $B217, Age_Sex23[[#All],[Insurance Category Code]],4),2)</f>
        <v>0</v>
      </c>
      <c r="W217" s="416" t="str">
        <f>IF(R217=ROUND(SUMIFS(AN_TME23[[#All],[Member Months]], AN_TME23[[#All],[Insurance Category Code]],4, AN_TME23[[#All],[Advanced Network/Insurance Carrier Org ID]],Q217),2), "TRUE", ROUND(R217-SUMIFS(AN_TME23[[#All],[Member Months]], AN_TME23[[#All],[Insurance Category Code]],4, AN_TME23[[#All],[Advanced Network/Insurance Carrier Org ID]],Q217),2))</f>
        <v>TRUE</v>
      </c>
      <c r="X217" s="280" t="str">
        <f>IF(S217=ROUND(SUMIFS(AN_TME23[[#All],[Total Claims Excluded because of Truncation]], AN_TME23[[#All],[Insurance Category Code]],4, AN_TME23[[#All],[Advanced Network/Insurance Carrier Org ID]],Q217),2), "TRUE", ROUND(S217-SUMIFS(AN_TME23[[#All],[Total Claims Excluded because of Truncation]], AN_TME23[[#All],[Insurance Category Code]],4, AN_TME23[[#All],[Advanced Network/Insurance Carrier Org ID]],Q217),2))</f>
        <v>TRUE</v>
      </c>
      <c r="Y217" s="281" t="str">
        <f>IF(T217=ROUND(SUMIFS(AN_TME23[[#All],[Count of Members with Claims Truncated]], AN_TME23[[#All],[Insurance Category Code]],4, AN_TME23[[#All],[Advanced Network/Insurance Carrier Org ID]],Q217),2), "TRUE", ROUND(T217-SUMIFS(AN_TME23[[#All],[Count of Members with Claims Truncated]], AN_TME23[[#All],[Insurance Category Code]],4, AN_TME23[[#All],[Advanced Network/Insurance Carrier Org ID]],Q217),2))</f>
        <v>TRUE</v>
      </c>
      <c r="Z217" s="282" t="str">
        <f>IF(U217=ROUND(SUMIFS(AN_TME23[[#All],[TOTAL Non-Truncated Unadjusted Claims Expenses]], AN_TME23[[#All],[Insurance Category Code]],4, AN_TME23[[#All],[Advanced Network/Insurance Carrier Org ID]],Q217),2), "TRUE", ROUND(U217-SUMIFS(AN_TME23[[#All],[TOTAL Non-Truncated Unadjusted Claims Expenses]], AN_TME23[[#All],[Insurance Category Code]],4, AN_TME23[[#All],[Advanced Network/Insurance Carrier Org ID]],Q217),2))</f>
        <v>TRUE</v>
      </c>
      <c r="AA217" s="295" t="str">
        <f>IF(V217=ROUND(SUMIFS(AN_TME23[[#All],[TOTAL Truncated Unadjusted Claims Expenses (A21 -A19)]], AN_TME23[[#All],[Insurance Category Code]],4, AN_TME23[[#All],[Advanced Network/Insurance Carrier Org ID]],Q217),2), "TRUE",ROUND( V217-SUMIFS(AN_TME23[[#All],[TOTAL Truncated Unadjusted Claims Expenses (A21 -A19)]], AN_TME23[[#All],[Insurance Category Code]],4, AN_TME23[[#All],[Advanced Network/Insurance Carrier Org ID]],Q217),2))</f>
        <v>TRUE</v>
      </c>
      <c r="AB217" s="461" t="str">
        <f t="shared" si="22"/>
        <v>TRUE</v>
      </c>
      <c r="AC217" s="282" t="b">
        <f>ROUND(SUMIFS(AN_TME23[[#All],[TOTAL Non-Truncated Unadjusted Claims Expenses]], AN_TME23[[#All],[Insurance Category Code]],4, AN_TME23[[#All],[Advanced Network/Insurance Carrier Org ID]],Q217),2)&gt;=ROUND(SUMIFS(AN_TME23[[#All],[TOTAL Truncated Unadjusted Claims Expenses (A21 -A19)]], AN_TME23[[#All],[Insurance Category Code]],4, AN_TME23[[#All],[Advanced Network/Insurance Carrier Org ID]],Q217),2)</f>
        <v>1</v>
      </c>
      <c r="AD217" s="295" t="b">
        <f>ROUND(SUMIFS(AN_TME23[[#All],[TOTAL Truncated Unadjusted Claims Expenses (A21 -A19)]], AN_TME23[[#All],[Insurance Category Code]],4, AN_TME23[[#All],[Advanced Network/Insurance Carrier Org ID]],Q217)+SUMIFS(AN_TME23[[#All],[Total Claims Excluded because of Truncation]], AN_TME23[[#All],[Insurance Category Code]],4, AN_TME23[[#All],[Advanced Network/Insurance Carrier Org ID]],Q217),2)=ROUND(SUMIFS(AN_TME23[[#All],[TOTAL Non-Truncated Unadjusted Claims Expenses]], AN_TME23[[#All],[Insurance Category Code]],4, AN_TME23[[#All],[Advanced Network/Insurance Carrier Org ID]],Q217),2)</f>
        <v>1</v>
      </c>
      <c r="AF217" s="323" t="str">
        <f t="shared" si="21"/>
        <v>NA</v>
      </c>
    </row>
    <row r="218" spans="2:32" outlineLevel="1" x14ac:dyDescent="0.25">
      <c r="B218" s="236">
        <v>121</v>
      </c>
      <c r="C218" s="463">
        <f>ROUND(SUMIFS(Age_Sex22[[#All],[Total Member Months by Age/Sex Band]], Age_Sex22[[#All],[Advanced Network ID]], $B218, Age_Sex22[[#All],[Insurance Category Code]],4),2)</f>
        <v>0</v>
      </c>
      <c r="D218" s="268">
        <f>ROUND(SUMIFS(Age_Sex22[[#All],[Total Dollars Excluded from Spending After Applying Truncation at the Member Level]], Age_Sex22[[#All],[Advanced Network ID]], $B218, Age_Sex22[[#All],[Insurance Category Code]],4),2)</f>
        <v>0</v>
      </c>
      <c r="E218" s="229">
        <f>ROUND(SUMIFS(Age_Sex22[[#All],[Count of Members whose Spending was Truncated]], Age_Sex22[[#All],[Advanced Network ID]], $B218, Age_Sex22[[#All],[Insurance Category Code]],4),2)</f>
        <v>0</v>
      </c>
      <c r="F218" s="230">
        <f>ROUND(SUMIFS(Age_Sex22[[#All],[Total Spending before Truncation is Applied]], Age_Sex22[[#All],[Advanced Network ID]], $B218, Age_Sex22[[#All],[Insurance Category Code]],4),2)</f>
        <v>0</v>
      </c>
      <c r="G218" s="232">
        <f>ROUND(SUMIFS(Age_Sex22[[#All],[Total Spending After Applying Truncation at the Member Level]], Age_Sex22[[#All],[Advanced Network ID]], $B218, Age_Sex22[[#All],[Insurance Category Code]],4),2)</f>
        <v>0</v>
      </c>
      <c r="H218" s="416" t="str">
        <f>IF(C218=ROUND(SUMIFS(AN_TME22[[#All],[Member Months]], AN_TME22[[#All],[Insurance Category Code]],4, AN_TME22[[#All],[Advanced Network/Insurance Carrier Org ID]],B218),2), "TRUE", ROUND(C218-SUMIFS(AN_TME22[[#All],[Member Months]], AN_TME22[[#All],[Insurance Category Code]],4, AN_TME22[[#All],[Advanced Network/Insurance Carrier Org ID]],B218),2))</f>
        <v>TRUE</v>
      </c>
      <c r="I218" s="280" t="str">
        <f>IF(D218=ROUND(SUMIFS(AN_TME22[[#All],[Total Claims Excluded because of Truncation]], AN_TME22[[#All],[Insurance Category Code]],4, AN_TME22[[#All],[Advanced Network/Insurance Carrier Org ID]],B218),2), "TRUE", ROUND(D218-SUMIFS(AN_TME22[[#All],[Total Claims Excluded because of Truncation]], AN_TME22[[#All],[Insurance Category Code]],4, AN_TME22[[#All],[Advanced Network/Insurance Carrier Org ID]],B218),2))</f>
        <v>TRUE</v>
      </c>
      <c r="J218" s="281" t="str">
        <f>IF(E218=ROUND(SUMIFS(AN_TME22[[#All],[Count of Members with Claims Truncated]], AN_TME22[[#All],[Insurance Category Code]],4, AN_TME22[[#All],[Advanced Network/Insurance Carrier Org ID]],B218),2), "TRUE", ROUND(E218-SUMIFS(AN_TME22[[#All],[Count of Members with Claims Truncated]], AN_TME22[[#All],[Insurance Category Code]],4, AN_TME22[[#All],[Advanced Network/Insurance Carrier Org ID]],B218),2))</f>
        <v>TRUE</v>
      </c>
      <c r="K218" s="282" t="str">
        <f>IF(F218=ROUND(SUMIFS(AN_TME22[[#All],[TOTAL Non-Truncated Unadjusted Claims Expenses]], AN_TME22[[#All],[Insurance Category Code]],4, AN_TME22[[#All],[Advanced Network/Insurance Carrier Org ID]],B218),2), "TRUE", ROUND(F218-SUMIFS(AN_TME22[[#All],[TOTAL Non-Truncated Unadjusted Claims Expenses]], AN_TME22[[#All],[Insurance Category Code]],4, AN_TME22[[#All],[Advanced Network/Insurance Carrier Org ID]],B218),2))</f>
        <v>TRUE</v>
      </c>
      <c r="L218" s="295" t="str">
        <f>IF(G218=ROUND(SUMIFS(AN_TME22[[#All],[TOTAL Truncated Unadjusted Claims Expenses (A21 -A19)]], AN_TME22[[#All],[Insurance Category Code]],4, AN_TME22[[#All],[Advanced Network/Insurance Carrier Org ID]],B218),2), "TRUE", ROUND(G218-SUMIFS(AN_TME22[[#All],[TOTAL Truncated Unadjusted Claims Expenses (A21 -A19)]], AN_TME22[[#All],[Insurance Category Code]],4, AN_TME22[[#All],[Advanced Network/Insurance Carrier Org ID]],B218),2))</f>
        <v>TRUE</v>
      </c>
      <c r="M218" s="461" t="str">
        <f t="shared" si="19"/>
        <v>TRUE</v>
      </c>
      <c r="N218" s="282" t="b">
        <f>ROUND(SUMIFS(AN_TME22[[#All],[TOTAL Non-Truncated Unadjusted Claims Expenses]], AN_TME22[[#All],[Insurance Category Code]],4, AN_TME22[[#All],[Advanced Network/Insurance Carrier Org ID]],B218),2)&gt;=ROUND(SUMIFS(AN_TME22[[#All],[TOTAL Truncated Unadjusted Claims Expenses (A21 -A19)]], AN_TME22[[#All],[Insurance Category Code]],4, AN_TME22[[#All],[Advanced Network/Insurance Carrier Org ID]],B218),2)</f>
        <v>1</v>
      </c>
      <c r="O218" s="295" t="b">
        <f>ROUND(SUMIFS(AN_TME22[[#All],[TOTAL Truncated Unadjusted Claims Expenses (A21 -A19)]], AN_TME22[[#All],[Insurance Category Code]],4, AN_TME22[[#All],[Advanced Network/Insurance Carrier Org ID]],B218)+SUMIFS(AN_TME22[[#All],[Total Claims Excluded because of Truncation]], AN_TME22[[#All],[Insurance Category Code]],4, AN_TME22[[#All],[Advanced Network/Insurance Carrier Org ID]],B218),2)=ROUND(SUMIFS(AN_TME22[[#All],[TOTAL Non-Truncated Unadjusted Claims Expenses]], AN_TME22[[#All],[Insurance Category Code]],4, AN_TME22[[#All],[Advanced Network/Insurance Carrier Org ID]],B218),2)</f>
        <v>1</v>
      </c>
      <c r="Q218" s="236">
        <v>121</v>
      </c>
      <c r="R218" s="463">
        <f>ROUND(SUMIFS(Age_Sex23[[#All],[Total Member Months by Age/Sex Band]], Age_Sex23[[#All],[Advanced Network ID]], $Q218, Age_Sex23[[#All],[Insurance Category Code]],4),2)</f>
        <v>0</v>
      </c>
      <c r="S218" s="268">
        <f>ROUND(SUMIFS(Age_Sex23[[#All],[Total Dollars Excluded from Spending After Applying Truncation at the Member Level]], Age_Sex23[[#All],[Advanced Network ID]], $B218, Age_Sex23[[#All],[Insurance Category Code]],4),2)</f>
        <v>0</v>
      </c>
      <c r="T218" s="229">
        <f>ROUND(SUMIFS(Age_Sex23[[#All],[Count of Members whose Spending was Truncated]], Age_Sex23[[#All],[Advanced Network ID]], $B218, Age_Sex23[[#All],[Insurance Category Code]],4),2)</f>
        <v>0</v>
      </c>
      <c r="U218" s="230">
        <f>ROUND(SUMIFS(Age_Sex23[[#All],[Total Spending before Truncation is Applied]], Age_Sex23[[#All],[Advanced Network ID]], $B218, Age_Sex23[[#All],[Insurance Category Code]],4),2)</f>
        <v>0</v>
      </c>
      <c r="V218" s="232">
        <f>ROUND(SUMIFS(Age_Sex23[[#All],[Total Spending After Applying Truncation at the Member Level]], Age_Sex23[[#All],[Advanced Network ID]], $B218, Age_Sex23[[#All],[Insurance Category Code]],4),2)</f>
        <v>0</v>
      </c>
      <c r="W218" s="416" t="str">
        <f>IF(R218=ROUND(SUMIFS(AN_TME23[[#All],[Member Months]], AN_TME23[[#All],[Insurance Category Code]],4, AN_TME23[[#All],[Advanced Network/Insurance Carrier Org ID]],Q218),2), "TRUE", ROUND(R218-SUMIFS(AN_TME23[[#All],[Member Months]], AN_TME23[[#All],[Insurance Category Code]],4, AN_TME23[[#All],[Advanced Network/Insurance Carrier Org ID]],Q218),2))</f>
        <v>TRUE</v>
      </c>
      <c r="X218" s="280" t="str">
        <f>IF(S218=ROUND(SUMIFS(AN_TME23[[#All],[Total Claims Excluded because of Truncation]], AN_TME23[[#All],[Insurance Category Code]],4, AN_TME23[[#All],[Advanced Network/Insurance Carrier Org ID]],Q218),2), "TRUE", ROUND(S218-SUMIFS(AN_TME23[[#All],[Total Claims Excluded because of Truncation]], AN_TME23[[#All],[Insurance Category Code]],4, AN_TME23[[#All],[Advanced Network/Insurance Carrier Org ID]],Q218),2))</f>
        <v>TRUE</v>
      </c>
      <c r="Y218" s="281" t="str">
        <f>IF(T218=ROUND(SUMIFS(AN_TME23[[#All],[Count of Members with Claims Truncated]], AN_TME23[[#All],[Insurance Category Code]],4, AN_TME23[[#All],[Advanced Network/Insurance Carrier Org ID]],Q218),2), "TRUE", ROUND(T218-SUMIFS(AN_TME23[[#All],[Count of Members with Claims Truncated]], AN_TME23[[#All],[Insurance Category Code]],4, AN_TME23[[#All],[Advanced Network/Insurance Carrier Org ID]],Q218),2))</f>
        <v>TRUE</v>
      </c>
      <c r="Z218" s="282" t="str">
        <f>IF(U218=ROUND(SUMIFS(AN_TME23[[#All],[TOTAL Non-Truncated Unadjusted Claims Expenses]], AN_TME23[[#All],[Insurance Category Code]],4, AN_TME23[[#All],[Advanced Network/Insurance Carrier Org ID]],Q218),2), "TRUE", ROUND(U218-SUMIFS(AN_TME23[[#All],[TOTAL Non-Truncated Unadjusted Claims Expenses]], AN_TME23[[#All],[Insurance Category Code]],4, AN_TME23[[#All],[Advanced Network/Insurance Carrier Org ID]],Q218),2))</f>
        <v>TRUE</v>
      </c>
      <c r="AA218" s="295" t="str">
        <f>IF(V218=ROUND(SUMIFS(AN_TME23[[#All],[TOTAL Truncated Unadjusted Claims Expenses (A21 -A19)]], AN_TME23[[#All],[Insurance Category Code]],4, AN_TME23[[#All],[Advanced Network/Insurance Carrier Org ID]],Q218),2), "TRUE",ROUND( V218-SUMIFS(AN_TME23[[#All],[TOTAL Truncated Unadjusted Claims Expenses (A21 -A19)]], AN_TME23[[#All],[Insurance Category Code]],4, AN_TME23[[#All],[Advanced Network/Insurance Carrier Org ID]],Q218),2))</f>
        <v>TRUE</v>
      </c>
      <c r="AB218" s="461" t="str">
        <f t="shared" si="22"/>
        <v>TRUE</v>
      </c>
      <c r="AC218" s="282" t="b">
        <f>ROUND(SUMIFS(AN_TME23[[#All],[TOTAL Non-Truncated Unadjusted Claims Expenses]], AN_TME23[[#All],[Insurance Category Code]],4, AN_TME23[[#All],[Advanced Network/Insurance Carrier Org ID]],Q218),2)&gt;=ROUND(SUMIFS(AN_TME23[[#All],[TOTAL Truncated Unadjusted Claims Expenses (A21 -A19)]], AN_TME23[[#All],[Insurance Category Code]],4, AN_TME23[[#All],[Advanced Network/Insurance Carrier Org ID]],Q218),2)</f>
        <v>1</v>
      </c>
      <c r="AD218" s="295" t="b">
        <f>ROUND(SUMIFS(AN_TME23[[#All],[TOTAL Truncated Unadjusted Claims Expenses (A21 -A19)]], AN_TME23[[#All],[Insurance Category Code]],4, AN_TME23[[#All],[Advanced Network/Insurance Carrier Org ID]],Q218)+SUMIFS(AN_TME23[[#All],[Total Claims Excluded because of Truncation]], AN_TME23[[#All],[Insurance Category Code]],4, AN_TME23[[#All],[Advanced Network/Insurance Carrier Org ID]],Q218),2)=ROUND(SUMIFS(AN_TME23[[#All],[TOTAL Non-Truncated Unadjusted Claims Expenses]], AN_TME23[[#All],[Insurance Category Code]],4, AN_TME23[[#All],[Advanced Network/Insurance Carrier Org ID]],Q218),2)</f>
        <v>1</v>
      </c>
      <c r="AF218" s="323" t="str">
        <f t="shared" si="21"/>
        <v>NA</v>
      </c>
    </row>
    <row r="219" spans="2:32" outlineLevel="1" x14ac:dyDescent="0.25">
      <c r="B219" s="236">
        <v>122</v>
      </c>
      <c r="C219" s="463">
        <f>ROUND(SUMIFS(Age_Sex22[[#All],[Total Member Months by Age/Sex Band]], Age_Sex22[[#All],[Advanced Network ID]], $B219, Age_Sex22[[#All],[Insurance Category Code]],4),2)</f>
        <v>0</v>
      </c>
      <c r="D219" s="268">
        <f>ROUND(SUMIFS(Age_Sex22[[#All],[Total Dollars Excluded from Spending After Applying Truncation at the Member Level]], Age_Sex22[[#All],[Advanced Network ID]], $B219, Age_Sex22[[#All],[Insurance Category Code]],4),2)</f>
        <v>0</v>
      </c>
      <c r="E219" s="229">
        <f>ROUND(SUMIFS(Age_Sex22[[#All],[Count of Members whose Spending was Truncated]], Age_Sex22[[#All],[Advanced Network ID]], $B219, Age_Sex22[[#All],[Insurance Category Code]],4),2)</f>
        <v>0</v>
      </c>
      <c r="F219" s="230">
        <f>ROUND(SUMIFS(Age_Sex22[[#All],[Total Spending before Truncation is Applied]], Age_Sex22[[#All],[Advanced Network ID]], $B219, Age_Sex22[[#All],[Insurance Category Code]],4),2)</f>
        <v>0</v>
      </c>
      <c r="G219" s="232">
        <f>ROUND(SUMIFS(Age_Sex22[[#All],[Total Spending After Applying Truncation at the Member Level]], Age_Sex22[[#All],[Advanced Network ID]], $B219, Age_Sex22[[#All],[Insurance Category Code]],4),2)</f>
        <v>0</v>
      </c>
      <c r="H219" s="416" t="str">
        <f>IF(C219=ROUND(SUMIFS(AN_TME22[[#All],[Member Months]], AN_TME22[[#All],[Insurance Category Code]],4, AN_TME22[[#All],[Advanced Network/Insurance Carrier Org ID]],B219),2), "TRUE", ROUND(C219-SUMIFS(AN_TME22[[#All],[Member Months]], AN_TME22[[#All],[Insurance Category Code]],4, AN_TME22[[#All],[Advanced Network/Insurance Carrier Org ID]],B219),2))</f>
        <v>TRUE</v>
      </c>
      <c r="I219" s="280" t="str">
        <f>IF(D219=ROUND(SUMIFS(AN_TME22[[#All],[Total Claims Excluded because of Truncation]], AN_TME22[[#All],[Insurance Category Code]],4, AN_TME22[[#All],[Advanced Network/Insurance Carrier Org ID]],B219),2), "TRUE", ROUND(D219-SUMIFS(AN_TME22[[#All],[Total Claims Excluded because of Truncation]], AN_TME22[[#All],[Insurance Category Code]],4, AN_TME22[[#All],[Advanced Network/Insurance Carrier Org ID]],B219),2))</f>
        <v>TRUE</v>
      </c>
      <c r="J219" s="281" t="str">
        <f>IF(E219=ROUND(SUMIFS(AN_TME22[[#All],[Count of Members with Claims Truncated]], AN_TME22[[#All],[Insurance Category Code]],4, AN_TME22[[#All],[Advanced Network/Insurance Carrier Org ID]],B219),2), "TRUE", ROUND(E219-SUMIFS(AN_TME22[[#All],[Count of Members with Claims Truncated]], AN_TME22[[#All],[Insurance Category Code]],4, AN_TME22[[#All],[Advanced Network/Insurance Carrier Org ID]],B219),2))</f>
        <v>TRUE</v>
      </c>
      <c r="K219" s="282" t="str">
        <f>IF(F219=ROUND(SUMIFS(AN_TME22[[#All],[TOTAL Non-Truncated Unadjusted Claims Expenses]], AN_TME22[[#All],[Insurance Category Code]],4, AN_TME22[[#All],[Advanced Network/Insurance Carrier Org ID]],B219),2), "TRUE", ROUND(F219-SUMIFS(AN_TME22[[#All],[TOTAL Non-Truncated Unadjusted Claims Expenses]], AN_TME22[[#All],[Insurance Category Code]],4, AN_TME22[[#All],[Advanced Network/Insurance Carrier Org ID]],B219),2))</f>
        <v>TRUE</v>
      </c>
      <c r="L219" s="295" t="str">
        <f>IF(G219=ROUND(SUMIFS(AN_TME22[[#All],[TOTAL Truncated Unadjusted Claims Expenses (A21 -A19)]], AN_TME22[[#All],[Insurance Category Code]],4, AN_TME22[[#All],[Advanced Network/Insurance Carrier Org ID]],B219),2), "TRUE", ROUND(G219-SUMIFS(AN_TME22[[#All],[TOTAL Truncated Unadjusted Claims Expenses (A21 -A19)]], AN_TME22[[#All],[Insurance Category Code]],4, AN_TME22[[#All],[Advanced Network/Insurance Carrier Org ID]],B219),2))</f>
        <v>TRUE</v>
      </c>
      <c r="M219" s="461" t="str">
        <f t="shared" si="19"/>
        <v>TRUE</v>
      </c>
      <c r="N219" s="282" t="b">
        <f>ROUND(SUMIFS(AN_TME22[[#All],[TOTAL Non-Truncated Unadjusted Claims Expenses]], AN_TME22[[#All],[Insurance Category Code]],4, AN_TME22[[#All],[Advanced Network/Insurance Carrier Org ID]],B219),2)&gt;=ROUND(SUMIFS(AN_TME22[[#All],[TOTAL Truncated Unadjusted Claims Expenses (A21 -A19)]], AN_TME22[[#All],[Insurance Category Code]],4, AN_TME22[[#All],[Advanced Network/Insurance Carrier Org ID]],B219),2)</f>
        <v>1</v>
      </c>
      <c r="O219" s="295" t="b">
        <f>ROUND(SUMIFS(AN_TME22[[#All],[TOTAL Truncated Unadjusted Claims Expenses (A21 -A19)]], AN_TME22[[#All],[Insurance Category Code]],4, AN_TME22[[#All],[Advanced Network/Insurance Carrier Org ID]],B219)+SUMIFS(AN_TME22[[#All],[Total Claims Excluded because of Truncation]], AN_TME22[[#All],[Insurance Category Code]],4, AN_TME22[[#All],[Advanced Network/Insurance Carrier Org ID]],B219),2)=ROUND(SUMIFS(AN_TME22[[#All],[TOTAL Non-Truncated Unadjusted Claims Expenses]], AN_TME22[[#All],[Insurance Category Code]],4, AN_TME22[[#All],[Advanced Network/Insurance Carrier Org ID]],B219),2)</f>
        <v>1</v>
      </c>
      <c r="Q219" s="236">
        <v>122</v>
      </c>
      <c r="R219" s="463">
        <f>ROUND(SUMIFS(Age_Sex23[[#All],[Total Member Months by Age/Sex Band]], Age_Sex23[[#All],[Advanced Network ID]], $Q219, Age_Sex23[[#All],[Insurance Category Code]],4),2)</f>
        <v>0</v>
      </c>
      <c r="S219" s="268">
        <f>ROUND(SUMIFS(Age_Sex23[[#All],[Total Dollars Excluded from Spending After Applying Truncation at the Member Level]], Age_Sex23[[#All],[Advanced Network ID]], $B219, Age_Sex23[[#All],[Insurance Category Code]],4),2)</f>
        <v>0</v>
      </c>
      <c r="T219" s="229">
        <f>ROUND(SUMIFS(Age_Sex23[[#All],[Count of Members whose Spending was Truncated]], Age_Sex23[[#All],[Advanced Network ID]], $B219, Age_Sex23[[#All],[Insurance Category Code]],4),2)</f>
        <v>0</v>
      </c>
      <c r="U219" s="230">
        <f>ROUND(SUMIFS(Age_Sex23[[#All],[Total Spending before Truncation is Applied]], Age_Sex23[[#All],[Advanced Network ID]], $B219, Age_Sex23[[#All],[Insurance Category Code]],4),2)</f>
        <v>0</v>
      </c>
      <c r="V219" s="232">
        <f>ROUND(SUMIFS(Age_Sex23[[#All],[Total Spending After Applying Truncation at the Member Level]], Age_Sex23[[#All],[Advanced Network ID]], $B219, Age_Sex23[[#All],[Insurance Category Code]],4),2)</f>
        <v>0</v>
      </c>
      <c r="W219" s="416" t="str">
        <f>IF(R219=ROUND(SUMIFS(AN_TME23[[#All],[Member Months]], AN_TME23[[#All],[Insurance Category Code]],4, AN_TME23[[#All],[Advanced Network/Insurance Carrier Org ID]],Q219),2), "TRUE", ROUND(R219-SUMIFS(AN_TME23[[#All],[Member Months]], AN_TME23[[#All],[Insurance Category Code]],4, AN_TME23[[#All],[Advanced Network/Insurance Carrier Org ID]],Q219),2))</f>
        <v>TRUE</v>
      </c>
      <c r="X219" s="280" t="str">
        <f>IF(S219=ROUND(SUMIFS(AN_TME23[[#All],[Total Claims Excluded because of Truncation]], AN_TME23[[#All],[Insurance Category Code]],4, AN_TME23[[#All],[Advanced Network/Insurance Carrier Org ID]],Q219),2), "TRUE", ROUND(S219-SUMIFS(AN_TME23[[#All],[Total Claims Excluded because of Truncation]], AN_TME23[[#All],[Insurance Category Code]],4, AN_TME23[[#All],[Advanced Network/Insurance Carrier Org ID]],Q219),2))</f>
        <v>TRUE</v>
      </c>
      <c r="Y219" s="281" t="str">
        <f>IF(T219=ROUND(SUMIFS(AN_TME23[[#All],[Count of Members with Claims Truncated]], AN_TME23[[#All],[Insurance Category Code]],4, AN_TME23[[#All],[Advanced Network/Insurance Carrier Org ID]],Q219),2), "TRUE", ROUND(T219-SUMIFS(AN_TME23[[#All],[Count of Members with Claims Truncated]], AN_TME23[[#All],[Insurance Category Code]],4, AN_TME23[[#All],[Advanced Network/Insurance Carrier Org ID]],Q219),2))</f>
        <v>TRUE</v>
      </c>
      <c r="Z219" s="282" t="str">
        <f>IF(U219=ROUND(SUMIFS(AN_TME23[[#All],[TOTAL Non-Truncated Unadjusted Claims Expenses]], AN_TME23[[#All],[Insurance Category Code]],4, AN_TME23[[#All],[Advanced Network/Insurance Carrier Org ID]],Q219),2), "TRUE", ROUND(U219-SUMIFS(AN_TME23[[#All],[TOTAL Non-Truncated Unadjusted Claims Expenses]], AN_TME23[[#All],[Insurance Category Code]],4, AN_TME23[[#All],[Advanced Network/Insurance Carrier Org ID]],Q219),2))</f>
        <v>TRUE</v>
      </c>
      <c r="AA219" s="295" t="str">
        <f>IF(V219=ROUND(SUMIFS(AN_TME23[[#All],[TOTAL Truncated Unadjusted Claims Expenses (A21 -A19)]], AN_TME23[[#All],[Insurance Category Code]],4, AN_TME23[[#All],[Advanced Network/Insurance Carrier Org ID]],Q219),2), "TRUE",ROUND( V219-SUMIFS(AN_TME23[[#All],[TOTAL Truncated Unadjusted Claims Expenses (A21 -A19)]], AN_TME23[[#All],[Insurance Category Code]],4, AN_TME23[[#All],[Advanced Network/Insurance Carrier Org ID]],Q219),2))</f>
        <v>TRUE</v>
      </c>
      <c r="AB219" s="461" t="str">
        <f t="shared" si="22"/>
        <v>TRUE</v>
      </c>
      <c r="AC219" s="282" t="b">
        <f>ROUND(SUMIFS(AN_TME23[[#All],[TOTAL Non-Truncated Unadjusted Claims Expenses]], AN_TME23[[#All],[Insurance Category Code]],4, AN_TME23[[#All],[Advanced Network/Insurance Carrier Org ID]],Q219),2)&gt;=ROUND(SUMIFS(AN_TME23[[#All],[TOTAL Truncated Unadjusted Claims Expenses (A21 -A19)]], AN_TME23[[#All],[Insurance Category Code]],4, AN_TME23[[#All],[Advanced Network/Insurance Carrier Org ID]],Q219),2)</f>
        <v>1</v>
      </c>
      <c r="AD219" s="295" t="b">
        <f>ROUND(SUMIFS(AN_TME23[[#All],[TOTAL Truncated Unadjusted Claims Expenses (A21 -A19)]], AN_TME23[[#All],[Insurance Category Code]],4, AN_TME23[[#All],[Advanced Network/Insurance Carrier Org ID]],Q219)+SUMIFS(AN_TME23[[#All],[Total Claims Excluded because of Truncation]], AN_TME23[[#All],[Insurance Category Code]],4, AN_TME23[[#All],[Advanced Network/Insurance Carrier Org ID]],Q219),2)=ROUND(SUMIFS(AN_TME23[[#All],[TOTAL Non-Truncated Unadjusted Claims Expenses]], AN_TME23[[#All],[Insurance Category Code]],4, AN_TME23[[#All],[Advanced Network/Insurance Carrier Org ID]],Q219),2)</f>
        <v>1</v>
      </c>
      <c r="AF219" s="323" t="str">
        <f t="shared" si="21"/>
        <v>NA</v>
      </c>
    </row>
    <row r="220" spans="2:32" outlineLevel="1" x14ac:dyDescent="0.25">
      <c r="B220" s="236">
        <v>123</v>
      </c>
      <c r="C220" s="463">
        <f>ROUND(SUMIFS(Age_Sex22[[#All],[Total Member Months by Age/Sex Band]], Age_Sex22[[#All],[Advanced Network ID]], $B220, Age_Sex22[[#All],[Insurance Category Code]],4),2)</f>
        <v>0</v>
      </c>
      <c r="D220" s="268">
        <f>ROUND(SUMIFS(Age_Sex22[[#All],[Total Dollars Excluded from Spending After Applying Truncation at the Member Level]], Age_Sex22[[#All],[Advanced Network ID]], $B220, Age_Sex22[[#All],[Insurance Category Code]],4),2)</f>
        <v>0</v>
      </c>
      <c r="E220" s="229">
        <f>ROUND(SUMIFS(Age_Sex22[[#All],[Count of Members whose Spending was Truncated]], Age_Sex22[[#All],[Advanced Network ID]], $B220, Age_Sex22[[#All],[Insurance Category Code]],4),2)</f>
        <v>0</v>
      </c>
      <c r="F220" s="230">
        <f>ROUND(SUMIFS(Age_Sex22[[#All],[Total Spending before Truncation is Applied]], Age_Sex22[[#All],[Advanced Network ID]], $B220, Age_Sex22[[#All],[Insurance Category Code]],4),2)</f>
        <v>0</v>
      </c>
      <c r="G220" s="232">
        <f>ROUND(SUMIFS(Age_Sex22[[#All],[Total Spending After Applying Truncation at the Member Level]], Age_Sex22[[#All],[Advanced Network ID]], $B220, Age_Sex22[[#All],[Insurance Category Code]],4),2)</f>
        <v>0</v>
      </c>
      <c r="H220" s="416" t="str">
        <f>IF(C220=ROUND(SUMIFS(AN_TME22[[#All],[Member Months]], AN_TME22[[#All],[Insurance Category Code]],4, AN_TME22[[#All],[Advanced Network/Insurance Carrier Org ID]],B220),2), "TRUE", ROUND(C220-SUMIFS(AN_TME22[[#All],[Member Months]], AN_TME22[[#All],[Insurance Category Code]],4, AN_TME22[[#All],[Advanced Network/Insurance Carrier Org ID]],B220),2))</f>
        <v>TRUE</v>
      </c>
      <c r="I220" s="280" t="str">
        <f>IF(D220=ROUND(SUMIFS(AN_TME22[[#All],[Total Claims Excluded because of Truncation]], AN_TME22[[#All],[Insurance Category Code]],4, AN_TME22[[#All],[Advanced Network/Insurance Carrier Org ID]],B220),2), "TRUE", ROUND(D220-SUMIFS(AN_TME22[[#All],[Total Claims Excluded because of Truncation]], AN_TME22[[#All],[Insurance Category Code]],4, AN_TME22[[#All],[Advanced Network/Insurance Carrier Org ID]],B220),2))</f>
        <v>TRUE</v>
      </c>
      <c r="J220" s="281" t="str">
        <f>IF(E220=ROUND(SUMIFS(AN_TME22[[#All],[Count of Members with Claims Truncated]], AN_TME22[[#All],[Insurance Category Code]],4, AN_TME22[[#All],[Advanced Network/Insurance Carrier Org ID]],B220),2), "TRUE", ROUND(E220-SUMIFS(AN_TME22[[#All],[Count of Members with Claims Truncated]], AN_TME22[[#All],[Insurance Category Code]],4, AN_TME22[[#All],[Advanced Network/Insurance Carrier Org ID]],B220),2))</f>
        <v>TRUE</v>
      </c>
      <c r="K220" s="282" t="str">
        <f>IF(F220=ROUND(SUMIFS(AN_TME22[[#All],[TOTAL Non-Truncated Unadjusted Claims Expenses]], AN_TME22[[#All],[Insurance Category Code]],4, AN_TME22[[#All],[Advanced Network/Insurance Carrier Org ID]],B220),2), "TRUE", ROUND(F220-SUMIFS(AN_TME22[[#All],[TOTAL Non-Truncated Unadjusted Claims Expenses]], AN_TME22[[#All],[Insurance Category Code]],4, AN_TME22[[#All],[Advanced Network/Insurance Carrier Org ID]],B220),2))</f>
        <v>TRUE</v>
      </c>
      <c r="L220" s="295" t="str">
        <f>IF(G220=ROUND(SUMIFS(AN_TME22[[#All],[TOTAL Truncated Unadjusted Claims Expenses (A21 -A19)]], AN_TME22[[#All],[Insurance Category Code]],4, AN_TME22[[#All],[Advanced Network/Insurance Carrier Org ID]],B220),2), "TRUE", ROUND(G220-SUMIFS(AN_TME22[[#All],[TOTAL Truncated Unadjusted Claims Expenses (A21 -A19)]], AN_TME22[[#All],[Insurance Category Code]],4, AN_TME22[[#All],[Advanced Network/Insurance Carrier Org ID]],B220),2))</f>
        <v>TRUE</v>
      </c>
      <c r="M220" s="461" t="str">
        <f t="shared" si="19"/>
        <v>TRUE</v>
      </c>
      <c r="N220" s="282" t="b">
        <f>ROUND(SUMIFS(AN_TME22[[#All],[TOTAL Non-Truncated Unadjusted Claims Expenses]], AN_TME22[[#All],[Insurance Category Code]],4, AN_TME22[[#All],[Advanced Network/Insurance Carrier Org ID]],B220),2)&gt;=ROUND(SUMIFS(AN_TME22[[#All],[TOTAL Truncated Unadjusted Claims Expenses (A21 -A19)]], AN_TME22[[#All],[Insurance Category Code]],4, AN_TME22[[#All],[Advanced Network/Insurance Carrier Org ID]],B220),2)</f>
        <v>1</v>
      </c>
      <c r="O220" s="295" t="b">
        <f>ROUND(SUMIFS(AN_TME22[[#All],[TOTAL Truncated Unadjusted Claims Expenses (A21 -A19)]], AN_TME22[[#All],[Insurance Category Code]],4, AN_TME22[[#All],[Advanced Network/Insurance Carrier Org ID]],B220)+SUMIFS(AN_TME22[[#All],[Total Claims Excluded because of Truncation]], AN_TME22[[#All],[Insurance Category Code]],4, AN_TME22[[#All],[Advanced Network/Insurance Carrier Org ID]],B220),2)=ROUND(SUMIFS(AN_TME22[[#All],[TOTAL Non-Truncated Unadjusted Claims Expenses]], AN_TME22[[#All],[Insurance Category Code]],4, AN_TME22[[#All],[Advanced Network/Insurance Carrier Org ID]],B220),2)</f>
        <v>1</v>
      </c>
      <c r="Q220" s="236">
        <v>123</v>
      </c>
      <c r="R220" s="463">
        <f>ROUND(SUMIFS(Age_Sex23[[#All],[Total Member Months by Age/Sex Band]], Age_Sex23[[#All],[Advanced Network ID]], $Q220, Age_Sex23[[#All],[Insurance Category Code]],4),2)</f>
        <v>0</v>
      </c>
      <c r="S220" s="268">
        <f>ROUND(SUMIFS(Age_Sex23[[#All],[Total Dollars Excluded from Spending After Applying Truncation at the Member Level]], Age_Sex23[[#All],[Advanced Network ID]], $B220, Age_Sex23[[#All],[Insurance Category Code]],4),2)</f>
        <v>0</v>
      </c>
      <c r="T220" s="229">
        <f>ROUND(SUMIFS(Age_Sex23[[#All],[Count of Members whose Spending was Truncated]], Age_Sex23[[#All],[Advanced Network ID]], $B220, Age_Sex23[[#All],[Insurance Category Code]],4),2)</f>
        <v>0</v>
      </c>
      <c r="U220" s="230">
        <f>ROUND(SUMIFS(Age_Sex23[[#All],[Total Spending before Truncation is Applied]], Age_Sex23[[#All],[Advanced Network ID]], $B220, Age_Sex23[[#All],[Insurance Category Code]],4),2)</f>
        <v>0</v>
      </c>
      <c r="V220" s="232">
        <f>ROUND(SUMIFS(Age_Sex23[[#All],[Total Spending After Applying Truncation at the Member Level]], Age_Sex23[[#All],[Advanced Network ID]], $B220, Age_Sex23[[#All],[Insurance Category Code]],4),2)</f>
        <v>0</v>
      </c>
      <c r="W220" s="416" t="str">
        <f>IF(R220=ROUND(SUMIFS(AN_TME23[[#All],[Member Months]], AN_TME23[[#All],[Insurance Category Code]],4, AN_TME23[[#All],[Advanced Network/Insurance Carrier Org ID]],Q220),2), "TRUE", ROUND(R220-SUMIFS(AN_TME23[[#All],[Member Months]], AN_TME23[[#All],[Insurance Category Code]],4, AN_TME23[[#All],[Advanced Network/Insurance Carrier Org ID]],Q220),2))</f>
        <v>TRUE</v>
      </c>
      <c r="X220" s="280" t="str">
        <f>IF(S220=ROUND(SUMIFS(AN_TME23[[#All],[Total Claims Excluded because of Truncation]], AN_TME23[[#All],[Insurance Category Code]],4, AN_TME23[[#All],[Advanced Network/Insurance Carrier Org ID]],Q220),2), "TRUE", ROUND(S220-SUMIFS(AN_TME23[[#All],[Total Claims Excluded because of Truncation]], AN_TME23[[#All],[Insurance Category Code]],4, AN_TME23[[#All],[Advanced Network/Insurance Carrier Org ID]],Q220),2))</f>
        <v>TRUE</v>
      </c>
      <c r="Y220" s="281" t="str">
        <f>IF(T220=ROUND(SUMIFS(AN_TME23[[#All],[Count of Members with Claims Truncated]], AN_TME23[[#All],[Insurance Category Code]],4, AN_TME23[[#All],[Advanced Network/Insurance Carrier Org ID]],Q220),2), "TRUE", ROUND(T220-SUMIFS(AN_TME23[[#All],[Count of Members with Claims Truncated]], AN_TME23[[#All],[Insurance Category Code]],4, AN_TME23[[#All],[Advanced Network/Insurance Carrier Org ID]],Q220),2))</f>
        <v>TRUE</v>
      </c>
      <c r="Z220" s="282" t="str">
        <f>IF(U220=ROUND(SUMIFS(AN_TME23[[#All],[TOTAL Non-Truncated Unadjusted Claims Expenses]], AN_TME23[[#All],[Insurance Category Code]],4, AN_TME23[[#All],[Advanced Network/Insurance Carrier Org ID]],Q220),2), "TRUE", ROUND(U220-SUMIFS(AN_TME23[[#All],[TOTAL Non-Truncated Unadjusted Claims Expenses]], AN_TME23[[#All],[Insurance Category Code]],4, AN_TME23[[#All],[Advanced Network/Insurance Carrier Org ID]],Q220),2))</f>
        <v>TRUE</v>
      </c>
      <c r="AA220" s="295" t="str">
        <f>IF(V220=ROUND(SUMIFS(AN_TME23[[#All],[TOTAL Truncated Unadjusted Claims Expenses (A21 -A19)]], AN_TME23[[#All],[Insurance Category Code]],4, AN_TME23[[#All],[Advanced Network/Insurance Carrier Org ID]],Q220),2), "TRUE",ROUND( V220-SUMIFS(AN_TME23[[#All],[TOTAL Truncated Unadjusted Claims Expenses (A21 -A19)]], AN_TME23[[#All],[Insurance Category Code]],4, AN_TME23[[#All],[Advanced Network/Insurance Carrier Org ID]],Q220),2))</f>
        <v>TRUE</v>
      </c>
      <c r="AB220" s="461" t="str">
        <f t="shared" si="22"/>
        <v>TRUE</v>
      </c>
      <c r="AC220" s="282" t="b">
        <f>ROUND(SUMIFS(AN_TME23[[#All],[TOTAL Non-Truncated Unadjusted Claims Expenses]], AN_TME23[[#All],[Insurance Category Code]],4, AN_TME23[[#All],[Advanced Network/Insurance Carrier Org ID]],Q220),2)&gt;=ROUND(SUMIFS(AN_TME23[[#All],[TOTAL Truncated Unadjusted Claims Expenses (A21 -A19)]], AN_TME23[[#All],[Insurance Category Code]],4, AN_TME23[[#All],[Advanced Network/Insurance Carrier Org ID]],Q220),2)</f>
        <v>1</v>
      </c>
      <c r="AD220" s="295" t="b">
        <f>ROUND(SUMIFS(AN_TME23[[#All],[TOTAL Truncated Unadjusted Claims Expenses (A21 -A19)]], AN_TME23[[#All],[Insurance Category Code]],4, AN_TME23[[#All],[Advanced Network/Insurance Carrier Org ID]],Q220)+SUMIFS(AN_TME23[[#All],[Total Claims Excluded because of Truncation]], AN_TME23[[#All],[Insurance Category Code]],4, AN_TME23[[#All],[Advanced Network/Insurance Carrier Org ID]],Q220),2)=ROUND(SUMIFS(AN_TME23[[#All],[TOTAL Non-Truncated Unadjusted Claims Expenses]], AN_TME23[[#All],[Insurance Category Code]],4, AN_TME23[[#All],[Advanced Network/Insurance Carrier Org ID]],Q220),2)</f>
        <v>1</v>
      </c>
      <c r="AF220" s="323" t="str">
        <f t="shared" si="21"/>
        <v>NA</v>
      </c>
    </row>
    <row r="221" spans="2:32" outlineLevel="1" x14ac:dyDescent="0.25">
      <c r="B221" s="236">
        <v>124</v>
      </c>
      <c r="C221" s="463">
        <f>ROUND(SUMIFS(Age_Sex22[[#All],[Total Member Months by Age/Sex Band]], Age_Sex22[[#All],[Advanced Network ID]], $B221, Age_Sex22[[#All],[Insurance Category Code]],4),2)</f>
        <v>0</v>
      </c>
      <c r="D221" s="268">
        <f>ROUND(SUMIFS(Age_Sex22[[#All],[Total Dollars Excluded from Spending After Applying Truncation at the Member Level]], Age_Sex22[[#All],[Advanced Network ID]], $B221, Age_Sex22[[#All],[Insurance Category Code]],4),2)</f>
        <v>0</v>
      </c>
      <c r="E221" s="229">
        <f>ROUND(SUMIFS(Age_Sex22[[#All],[Count of Members whose Spending was Truncated]], Age_Sex22[[#All],[Advanced Network ID]], $B221, Age_Sex22[[#All],[Insurance Category Code]],4),2)</f>
        <v>0</v>
      </c>
      <c r="F221" s="230">
        <f>ROUND(SUMIFS(Age_Sex22[[#All],[Total Spending before Truncation is Applied]], Age_Sex22[[#All],[Advanced Network ID]], $B221, Age_Sex22[[#All],[Insurance Category Code]],4),2)</f>
        <v>0</v>
      </c>
      <c r="G221" s="232">
        <f>ROUND(SUMIFS(Age_Sex22[[#All],[Total Spending After Applying Truncation at the Member Level]], Age_Sex22[[#All],[Advanced Network ID]], $B221, Age_Sex22[[#All],[Insurance Category Code]],4),2)</f>
        <v>0</v>
      </c>
      <c r="H221" s="416" t="str">
        <f>IF(C221=ROUND(SUMIFS(AN_TME22[[#All],[Member Months]], AN_TME22[[#All],[Insurance Category Code]],4, AN_TME22[[#All],[Advanced Network/Insurance Carrier Org ID]],B221),2), "TRUE", ROUND(C221-SUMIFS(AN_TME22[[#All],[Member Months]], AN_TME22[[#All],[Insurance Category Code]],4, AN_TME22[[#All],[Advanced Network/Insurance Carrier Org ID]],B221),2))</f>
        <v>TRUE</v>
      </c>
      <c r="I221" s="280" t="str">
        <f>IF(D221=ROUND(SUMIFS(AN_TME22[[#All],[Total Claims Excluded because of Truncation]], AN_TME22[[#All],[Insurance Category Code]],4, AN_TME22[[#All],[Advanced Network/Insurance Carrier Org ID]],B221),2), "TRUE", ROUND(D221-SUMIFS(AN_TME22[[#All],[Total Claims Excluded because of Truncation]], AN_TME22[[#All],[Insurance Category Code]],4, AN_TME22[[#All],[Advanced Network/Insurance Carrier Org ID]],B221),2))</f>
        <v>TRUE</v>
      </c>
      <c r="J221" s="281" t="str">
        <f>IF(E221=ROUND(SUMIFS(AN_TME22[[#All],[Count of Members with Claims Truncated]], AN_TME22[[#All],[Insurance Category Code]],4, AN_TME22[[#All],[Advanced Network/Insurance Carrier Org ID]],B221),2), "TRUE", ROUND(E221-SUMIFS(AN_TME22[[#All],[Count of Members with Claims Truncated]], AN_TME22[[#All],[Insurance Category Code]],4, AN_TME22[[#All],[Advanced Network/Insurance Carrier Org ID]],B221),2))</f>
        <v>TRUE</v>
      </c>
      <c r="K221" s="282" t="str">
        <f>IF(F221=ROUND(SUMIFS(AN_TME22[[#All],[TOTAL Non-Truncated Unadjusted Claims Expenses]], AN_TME22[[#All],[Insurance Category Code]],4, AN_TME22[[#All],[Advanced Network/Insurance Carrier Org ID]],B221),2), "TRUE", ROUND(F221-SUMIFS(AN_TME22[[#All],[TOTAL Non-Truncated Unadjusted Claims Expenses]], AN_TME22[[#All],[Insurance Category Code]],4, AN_TME22[[#All],[Advanced Network/Insurance Carrier Org ID]],B221),2))</f>
        <v>TRUE</v>
      </c>
      <c r="L221" s="295" t="str">
        <f>IF(G221=ROUND(SUMIFS(AN_TME22[[#All],[TOTAL Truncated Unadjusted Claims Expenses (A21 -A19)]], AN_TME22[[#All],[Insurance Category Code]],4, AN_TME22[[#All],[Advanced Network/Insurance Carrier Org ID]],B221),2), "TRUE", ROUND(G221-SUMIFS(AN_TME22[[#All],[TOTAL Truncated Unadjusted Claims Expenses (A21 -A19)]], AN_TME22[[#All],[Insurance Category Code]],4, AN_TME22[[#All],[Advanced Network/Insurance Carrier Org ID]],B221),2))</f>
        <v>TRUE</v>
      </c>
      <c r="M221" s="461" t="str">
        <f t="shared" si="19"/>
        <v>TRUE</v>
      </c>
      <c r="N221" s="282" t="b">
        <f>ROUND(SUMIFS(AN_TME22[[#All],[TOTAL Non-Truncated Unadjusted Claims Expenses]], AN_TME22[[#All],[Insurance Category Code]],4, AN_TME22[[#All],[Advanced Network/Insurance Carrier Org ID]],B221),2)&gt;=ROUND(SUMIFS(AN_TME22[[#All],[TOTAL Truncated Unadjusted Claims Expenses (A21 -A19)]], AN_TME22[[#All],[Insurance Category Code]],4, AN_TME22[[#All],[Advanced Network/Insurance Carrier Org ID]],B221),2)</f>
        <v>1</v>
      </c>
      <c r="O221" s="295" t="b">
        <f>ROUND(SUMIFS(AN_TME22[[#All],[TOTAL Truncated Unadjusted Claims Expenses (A21 -A19)]], AN_TME22[[#All],[Insurance Category Code]],4, AN_TME22[[#All],[Advanced Network/Insurance Carrier Org ID]],B221)+SUMIFS(AN_TME22[[#All],[Total Claims Excluded because of Truncation]], AN_TME22[[#All],[Insurance Category Code]],4, AN_TME22[[#All],[Advanced Network/Insurance Carrier Org ID]],B221),2)=ROUND(SUMIFS(AN_TME22[[#All],[TOTAL Non-Truncated Unadjusted Claims Expenses]], AN_TME22[[#All],[Insurance Category Code]],4, AN_TME22[[#All],[Advanced Network/Insurance Carrier Org ID]],B221),2)</f>
        <v>1</v>
      </c>
      <c r="Q221" s="236">
        <v>124</v>
      </c>
      <c r="R221" s="463">
        <f>ROUND(SUMIFS(Age_Sex23[[#All],[Total Member Months by Age/Sex Band]], Age_Sex23[[#All],[Advanced Network ID]], $Q221, Age_Sex23[[#All],[Insurance Category Code]],4),2)</f>
        <v>0</v>
      </c>
      <c r="S221" s="268">
        <f>ROUND(SUMIFS(Age_Sex23[[#All],[Total Dollars Excluded from Spending After Applying Truncation at the Member Level]], Age_Sex23[[#All],[Advanced Network ID]], $B221, Age_Sex23[[#All],[Insurance Category Code]],4),2)</f>
        <v>0</v>
      </c>
      <c r="T221" s="229">
        <f>ROUND(SUMIFS(Age_Sex23[[#All],[Count of Members whose Spending was Truncated]], Age_Sex23[[#All],[Advanced Network ID]], $B221, Age_Sex23[[#All],[Insurance Category Code]],4),2)</f>
        <v>0</v>
      </c>
      <c r="U221" s="230">
        <f>ROUND(SUMIFS(Age_Sex23[[#All],[Total Spending before Truncation is Applied]], Age_Sex23[[#All],[Advanced Network ID]], $B221, Age_Sex23[[#All],[Insurance Category Code]],4),2)</f>
        <v>0</v>
      </c>
      <c r="V221" s="232">
        <f>ROUND(SUMIFS(Age_Sex23[[#All],[Total Spending After Applying Truncation at the Member Level]], Age_Sex23[[#All],[Advanced Network ID]], $B221, Age_Sex23[[#All],[Insurance Category Code]],4),2)</f>
        <v>0</v>
      </c>
      <c r="W221" s="416" t="str">
        <f>IF(R221=ROUND(SUMIFS(AN_TME23[[#All],[Member Months]], AN_TME23[[#All],[Insurance Category Code]],4, AN_TME23[[#All],[Advanced Network/Insurance Carrier Org ID]],Q221),2), "TRUE", ROUND(R221-SUMIFS(AN_TME23[[#All],[Member Months]], AN_TME23[[#All],[Insurance Category Code]],4, AN_TME23[[#All],[Advanced Network/Insurance Carrier Org ID]],Q221),2))</f>
        <v>TRUE</v>
      </c>
      <c r="X221" s="280" t="str">
        <f>IF(S221=ROUND(SUMIFS(AN_TME23[[#All],[Total Claims Excluded because of Truncation]], AN_TME23[[#All],[Insurance Category Code]],4, AN_TME23[[#All],[Advanced Network/Insurance Carrier Org ID]],Q221),2), "TRUE", ROUND(S221-SUMIFS(AN_TME23[[#All],[Total Claims Excluded because of Truncation]], AN_TME23[[#All],[Insurance Category Code]],4, AN_TME23[[#All],[Advanced Network/Insurance Carrier Org ID]],Q221),2))</f>
        <v>TRUE</v>
      </c>
      <c r="Y221" s="281" t="str">
        <f>IF(T221=ROUND(SUMIFS(AN_TME23[[#All],[Count of Members with Claims Truncated]], AN_TME23[[#All],[Insurance Category Code]],4, AN_TME23[[#All],[Advanced Network/Insurance Carrier Org ID]],Q221),2), "TRUE", ROUND(T221-SUMIFS(AN_TME23[[#All],[Count of Members with Claims Truncated]], AN_TME23[[#All],[Insurance Category Code]],4, AN_TME23[[#All],[Advanced Network/Insurance Carrier Org ID]],Q221),2))</f>
        <v>TRUE</v>
      </c>
      <c r="Z221" s="282" t="str">
        <f>IF(U221=ROUND(SUMIFS(AN_TME23[[#All],[TOTAL Non-Truncated Unadjusted Claims Expenses]], AN_TME23[[#All],[Insurance Category Code]],4, AN_TME23[[#All],[Advanced Network/Insurance Carrier Org ID]],Q221),2), "TRUE", ROUND(U221-SUMIFS(AN_TME23[[#All],[TOTAL Non-Truncated Unadjusted Claims Expenses]], AN_TME23[[#All],[Insurance Category Code]],4, AN_TME23[[#All],[Advanced Network/Insurance Carrier Org ID]],Q221),2))</f>
        <v>TRUE</v>
      </c>
      <c r="AA221" s="295" t="str">
        <f>IF(V221=ROUND(SUMIFS(AN_TME23[[#All],[TOTAL Truncated Unadjusted Claims Expenses (A21 -A19)]], AN_TME23[[#All],[Insurance Category Code]],4, AN_TME23[[#All],[Advanced Network/Insurance Carrier Org ID]],Q221),2), "TRUE",ROUND( V221-SUMIFS(AN_TME23[[#All],[TOTAL Truncated Unadjusted Claims Expenses (A21 -A19)]], AN_TME23[[#All],[Insurance Category Code]],4, AN_TME23[[#All],[Advanced Network/Insurance Carrier Org ID]],Q221),2))</f>
        <v>TRUE</v>
      </c>
      <c r="AB221" s="461" t="str">
        <f t="shared" si="22"/>
        <v>TRUE</v>
      </c>
      <c r="AC221" s="282" t="b">
        <f>ROUND(SUMIFS(AN_TME23[[#All],[TOTAL Non-Truncated Unadjusted Claims Expenses]], AN_TME23[[#All],[Insurance Category Code]],4, AN_TME23[[#All],[Advanced Network/Insurance Carrier Org ID]],Q221),2)&gt;=ROUND(SUMIFS(AN_TME23[[#All],[TOTAL Truncated Unadjusted Claims Expenses (A21 -A19)]], AN_TME23[[#All],[Insurance Category Code]],4, AN_TME23[[#All],[Advanced Network/Insurance Carrier Org ID]],Q221),2)</f>
        <v>1</v>
      </c>
      <c r="AD221" s="295" t="b">
        <f>ROUND(SUMIFS(AN_TME23[[#All],[TOTAL Truncated Unadjusted Claims Expenses (A21 -A19)]], AN_TME23[[#All],[Insurance Category Code]],4, AN_TME23[[#All],[Advanced Network/Insurance Carrier Org ID]],Q221)+SUMIFS(AN_TME23[[#All],[Total Claims Excluded because of Truncation]], AN_TME23[[#All],[Insurance Category Code]],4, AN_TME23[[#All],[Advanced Network/Insurance Carrier Org ID]],Q221),2)=ROUND(SUMIFS(AN_TME23[[#All],[TOTAL Non-Truncated Unadjusted Claims Expenses]], AN_TME23[[#All],[Insurance Category Code]],4, AN_TME23[[#All],[Advanced Network/Insurance Carrier Org ID]],Q221),2)</f>
        <v>1</v>
      </c>
      <c r="AF221" s="323" t="str">
        <f t="shared" si="21"/>
        <v>NA</v>
      </c>
    </row>
    <row r="222" spans="2:32" outlineLevel="1" x14ac:dyDescent="0.25">
      <c r="B222" s="236">
        <v>125</v>
      </c>
      <c r="C222" s="463">
        <f>ROUND(SUMIFS(Age_Sex22[[#All],[Total Member Months by Age/Sex Band]], Age_Sex22[[#All],[Advanced Network ID]], $B222, Age_Sex22[[#All],[Insurance Category Code]],4),2)</f>
        <v>0</v>
      </c>
      <c r="D222" s="268">
        <f>ROUND(SUMIFS(Age_Sex22[[#All],[Total Dollars Excluded from Spending After Applying Truncation at the Member Level]], Age_Sex22[[#All],[Advanced Network ID]], $B222, Age_Sex22[[#All],[Insurance Category Code]],4),2)</f>
        <v>0</v>
      </c>
      <c r="E222" s="229">
        <f>ROUND(SUMIFS(Age_Sex22[[#All],[Count of Members whose Spending was Truncated]], Age_Sex22[[#All],[Advanced Network ID]], $B222, Age_Sex22[[#All],[Insurance Category Code]],4),2)</f>
        <v>0</v>
      </c>
      <c r="F222" s="230">
        <f>ROUND(SUMIFS(Age_Sex22[[#All],[Total Spending before Truncation is Applied]], Age_Sex22[[#All],[Advanced Network ID]], $B222, Age_Sex22[[#All],[Insurance Category Code]],4),2)</f>
        <v>0</v>
      </c>
      <c r="G222" s="232">
        <f>ROUND(SUMIFS(Age_Sex22[[#All],[Total Spending After Applying Truncation at the Member Level]], Age_Sex22[[#All],[Advanced Network ID]], $B222, Age_Sex22[[#All],[Insurance Category Code]],4),2)</f>
        <v>0</v>
      </c>
      <c r="H222" s="416" t="str">
        <f>IF(C222=ROUND(SUMIFS(AN_TME22[[#All],[Member Months]], AN_TME22[[#All],[Insurance Category Code]],4, AN_TME22[[#All],[Advanced Network/Insurance Carrier Org ID]],B222),2), "TRUE", ROUND(C222-SUMIFS(AN_TME22[[#All],[Member Months]], AN_TME22[[#All],[Insurance Category Code]],4, AN_TME22[[#All],[Advanced Network/Insurance Carrier Org ID]],B222),2))</f>
        <v>TRUE</v>
      </c>
      <c r="I222" s="280" t="str">
        <f>IF(D222=ROUND(SUMIFS(AN_TME22[[#All],[Total Claims Excluded because of Truncation]], AN_TME22[[#All],[Insurance Category Code]],4, AN_TME22[[#All],[Advanced Network/Insurance Carrier Org ID]],B222),2), "TRUE", ROUND(D222-SUMIFS(AN_TME22[[#All],[Total Claims Excluded because of Truncation]], AN_TME22[[#All],[Insurance Category Code]],4, AN_TME22[[#All],[Advanced Network/Insurance Carrier Org ID]],B222),2))</f>
        <v>TRUE</v>
      </c>
      <c r="J222" s="281" t="str">
        <f>IF(E222=ROUND(SUMIFS(AN_TME22[[#All],[Count of Members with Claims Truncated]], AN_TME22[[#All],[Insurance Category Code]],4, AN_TME22[[#All],[Advanced Network/Insurance Carrier Org ID]],B222),2), "TRUE", ROUND(E222-SUMIFS(AN_TME22[[#All],[Count of Members with Claims Truncated]], AN_TME22[[#All],[Insurance Category Code]],4, AN_TME22[[#All],[Advanced Network/Insurance Carrier Org ID]],B222),2))</f>
        <v>TRUE</v>
      </c>
      <c r="K222" s="282" t="str">
        <f>IF(F222=ROUND(SUMIFS(AN_TME22[[#All],[TOTAL Non-Truncated Unadjusted Claims Expenses]], AN_TME22[[#All],[Insurance Category Code]],4, AN_TME22[[#All],[Advanced Network/Insurance Carrier Org ID]],B222),2), "TRUE", ROUND(F222-SUMIFS(AN_TME22[[#All],[TOTAL Non-Truncated Unadjusted Claims Expenses]], AN_TME22[[#All],[Insurance Category Code]],4, AN_TME22[[#All],[Advanced Network/Insurance Carrier Org ID]],B222),2))</f>
        <v>TRUE</v>
      </c>
      <c r="L222" s="295" t="str">
        <f>IF(G222=ROUND(SUMIFS(AN_TME22[[#All],[TOTAL Truncated Unadjusted Claims Expenses (A21 -A19)]], AN_TME22[[#All],[Insurance Category Code]],4, AN_TME22[[#All],[Advanced Network/Insurance Carrier Org ID]],B222),2), "TRUE", ROUND(G222-SUMIFS(AN_TME22[[#All],[TOTAL Truncated Unadjusted Claims Expenses (A21 -A19)]], AN_TME22[[#All],[Insurance Category Code]],4, AN_TME22[[#All],[Advanced Network/Insurance Carrier Org ID]],B222),2))</f>
        <v>TRUE</v>
      </c>
      <c r="M222" s="461" t="str">
        <f t="shared" si="19"/>
        <v>TRUE</v>
      </c>
      <c r="N222" s="282" t="b">
        <f>ROUND(SUMIFS(AN_TME22[[#All],[TOTAL Non-Truncated Unadjusted Claims Expenses]], AN_TME22[[#All],[Insurance Category Code]],4, AN_TME22[[#All],[Advanced Network/Insurance Carrier Org ID]],B222),2)&gt;=ROUND(SUMIFS(AN_TME22[[#All],[TOTAL Truncated Unadjusted Claims Expenses (A21 -A19)]], AN_TME22[[#All],[Insurance Category Code]],4, AN_TME22[[#All],[Advanced Network/Insurance Carrier Org ID]],B222),2)</f>
        <v>1</v>
      </c>
      <c r="O222" s="295" t="b">
        <f>ROUND(SUMIFS(AN_TME22[[#All],[TOTAL Truncated Unadjusted Claims Expenses (A21 -A19)]], AN_TME22[[#All],[Insurance Category Code]],4, AN_TME22[[#All],[Advanced Network/Insurance Carrier Org ID]],B222)+SUMIFS(AN_TME22[[#All],[Total Claims Excluded because of Truncation]], AN_TME22[[#All],[Insurance Category Code]],4, AN_TME22[[#All],[Advanced Network/Insurance Carrier Org ID]],B222),2)=ROUND(SUMIFS(AN_TME22[[#All],[TOTAL Non-Truncated Unadjusted Claims Expenses]], AN_TME22[[#All],[Insurance Category Code]],4, AN_TME22[[#All],[Advanced Network/Insurance Carrier Org ID]],B222),2)</f>
        <v>1</v>
      </c>
      <c r="Q222" s="236">
        <v>125</v>
      </c>
      <c r="R222" s="463">
        <f>ROUND(SUMIFS(Age_Sex23[[#All],[Total Member Months by Age/Sex Band]], Age_Sex23[[#All],[Advanced Network ID]], $Q222, Age_Sex23[[#All],[Insurance Category Code]],4),2)</f>
        <v>0</v>
      </c>
      <c r="S222" s="268">
        <f>ROUND(SUMIFS(Age_Sex23[[#All],[Total Dollars Excluded from Spending After Applying Truncation at the Member Level]], Age_Sex23[[#All],[Advanced Network ID]], $B222, Age_Sex23[[#All],[Insurance Category Code]],4),2)</f>
        <v>0</v>
      </c>
      <c r="T222" s="229">
        <f>ROUND(SUMIFS(Age_Sex23[[#All],[Count of Members whose Spending was Truncated]], Age_Sex23[[#All],[Advanced Network ID]], $B222, Age_Sex23[[#All],[Insurance Category Code]],4),2)</f>
        <v>0</v>
      </c>
      <c r="U222" s="230">
        <f>ROUND(SUMIFS(Age_Sex23[[#All],[Total Spending before Truncation is Applied]], Age_Sex23[[#All],[Advanced Network ID]], $B222, Age_Sex23[[#All],[Insurance Category Code]],4),2)</f>
        <v>0</v>
      </c>
      <c r="V222" s="232">
        <f>ROUND(SUMIFS(Age_Sex23[[#All],[Total Spending After Applying Truncation at the Member Level]], Age_Sex23[[#All],[Advanced Network ID]], $B222, Age_Sex23[[#All],[Insurance Category Code]],4),2)</f>
        <v>0</v>
      </c>
      <c r="W222" s="416" t="str">
        <f>IF(R222=ROUND(SUMIFS(AN_TME23[[#All],[Member Months]], AN_TME23[[#All],[Insurance Category Code]],4, AN_TME23[[#All],[Advanced Network/Insurance Carrier Org ID]],Q222),2), "TRUE", ROUND(R222-SUMIFS(AN_TME23[[#All],[Member Months]], AN_TME23[[#All],[Insurance Category Code]],4, AN_TME23[[#All],[Advanced Network/Insurance Carrier Org ID]],Q222),2))</f>
        <v>TRUE</v>
      </c>
      <c r="X222" s="280" t="str">
        <f>IF(S222=ROUND(SUMIFS(AN_TME23[[#All],[Total Claims Excluded because of Truncation]], AN_TME23[[#All],[Insurance Category Code]],4, AN_TME23[[#All],[Advanced Network/Insurance Carrier Org ID]],Q222),2), "TRUE", ROUND(S222-SUMIFS(AN_TME23[[#All],[Total Claims Excluded because of Truncation]], AN_TME23[[#All],[Insurance Category Code]],4, AN_TME23[[#All],[Advanced Network/Insurance Carrier Org ID]],Q222),2))</f>
        <v>TRUE</v>
      </c>
      <c r="Y222" s="281" t="str">
        <f>IF(T222=ROUND(SUMIFS(AN_TME23[[#All],[Count of Members with Claims Truncated]], AN_TME23[[#All],[Insurance Category Code]],4, AN_TME23[[#All],[Advanced Network/Insurance Carrier Org ID]],Q222),2), "TRUE", ROUND(T222-SUMIFS(AN_TME23[[#All],[Count of Members with Claims Truncated]], AN_TME23[[#All],[Insurance Category Code]],4, AN_TME23[[#All],[Advanced Network/Insurance Carrier Org ID]],Q222),2))</f>
        <v>TRUE</v>
      </c>
      <c r="Z222" s="282" t="str">
        <f>IF(U222=ROUND(SUMIFS(AN_TME23[[#All],[TOTAL Non-Truncated Unadjusted Claims Expenses]], AN_TME23[[#All],[Insurance Category Code]],4, AN_TME23[[#All],[Advanced Network/Insurance Carrier Org ID]],Q222),2), "TRUE", ROUND(U222-SUMIFS(AN_TME23[[#All],[TOTAL Non-Truncated Unadjusted Claims Expenses]], AN_TME23[[#All],[Insurance Category Code]],4, AN_TME23[[#All],[Advanced Network/Insurance Carrier Org ID]],Q222),2))</f>
        <v>TRUE</v>
      </c>
      <c r="AA222" s="295" t="str">
        <f>IF(V222=ROUND(SUMIFS(AN_TME23[[#All],[TOTAL Truncated Unadjusted Claims Expenses (A21 -A19)]], AN_TME23[[#All],[Insurance Category Code]],4, AN_TME23[[#All],[Advanced Network/Insurance Carrier Org ID]],Q222),2), "TRUE",ROUND( V222-SUMIFS(AN_TME23[[#All],[TOTAL Truncated Unadjusted Claims Expenses (A21 -A19)]], AN_TME23[[#All],[Insurance Category Code]],4, AN_TME23[[#All],[Advanced Network/Insurance Carrier Org ID]],Q222),2))</f>
        <v>TRUE</v>
      </c>
      <c r="AB222" s="461" t="str">
        <f t="shared" si="22"/>
        <v>TRUE</v>
      </c>
      <c r="AC222" s="282" t="b">
        <f>ROUND(SUMIFS(AN_TME23[[#All],[TOTAL Non-Truncated Unadjusted Claims Expenses]], AN_TME23[[#All],[Insurance Category Code]],4, AN_TME23[[#All],[Advanced Network/Insurance Carrier Org ID]],Q222),2)&gt;=ROUND(SUMIFS(AN_TME23[[#All],[TOTAL Truncated Unadjusted Claims Expenses (A21 -A19)]], AN_TME23[[#All],[Insurance Category Code]],4, AN_TME23[[#All],[Advanced Network/Insurance Carrier Org ID]],Q222),2)</f>
        <v>1</v>
      </c>
      <c r="AD222" s="295" t="b">
        <f>ROUND(SUMIFS(AN_TME23[[#All],[TOTAL Truncated Unadjusted Claims Expenses (A21 -A19)]], AN_TME23[[#All],[Insurance Category Code]],4, AN_TME23[[#All],[Advanced Network/Insurance Carrier Org ID]],Q222)+SUMIFS(AN_TME23[[#All],[Total Claims Excluded because of Truncation]], AN_TME23[[#All],[Insurance Category Code]],4, AN_TME23[[#All],[Advanced Network/Insurance Carrier Org ID]],Q222),2)=ROUND(SUMIFS(AN_TME23[[#All],[TOTAL Non-Truncated Unadjusted Claims Expenses]], AN_TME23[[#All],[Insurance Category Code]],4, AN_TME23[[#All],[Advanced Network/Insurance Carrier Org ID]],Q222),2)</f>
        <v>1</v>
      </c>
      <c r="AF222" s="323" t="str">
        <f t="shared" si="21"/>
        <v>NA</v>
      </c>
    </row>
    <row r="223" spans="2:32" outlineLevel="1" x14ac:dyDescent="0.25">
      <c r="B223" s="236">
        <v>126</v>
      </c>
      <c r="C223" s="463">
        <f>ROUND(SUMIFS(Age_Sex22[[#All],[Total Member Months by Age/Sex Band]], Age_Sex22[[#All],[Advanced Network ID]], $B223, Age_Sex22[[#All],[Insurance Category Code]],4),2)</f>
        <v>0</v>
      </c>
      <c r="D223" s="268">
        <f>ROUND(SUMIFS(Age_Sex22[[#All],[Total Dollars Excluded from Spending After Applying Truncation at the Member Level]], Age_Sex22[[#All],[Advanced Network ID]], $B223, Age_Sex22[[#All],[Insurance Category Code]],4),2)</f>
        <v>0</v>
      </c>
      <c r="E223" s="229">
        <f>ROUND(SUMIFS(Age_Sex22[[#All],[Count of Members whose Spending was Truncated]], Age_Sex22[[#All],[Advanced Network ID]], $B223, Age_Sex22[[#All],[Insurance Category Code]],4),2)</f>
        <v>0</v>
      </c>
      <c r="F223" s="230">
        <f>ROUND(SUMIFS(Age_Sex22[[#All],[Total Spending before Truncation is Applied]], Age_Sex22[[#All],[Advanced Network ID]], $B223, Age_Sex22[[#All],[Insurance Category Code]],4),2)</f>
        <v>0</v>
      </c>
      <c r="G223" s="232">
        <f>ROUND(SUMIFS(Age_Sex22[[#All],[Total Spending After Applying Truncation at the Member Level]], Age_Sex22[[#All],[Advanced Network ID]], $B223, Age_Sex22[[#All],[Insurance Category Code]],4),2)</f>
        <v>0</v>
      </c>
      <c r="H223" s="416" t="str">
        <f>IF(C223=ROUND(SUMIFS(AN_TME22[[#All],[Member Months]], AN_TME22[[#All],[Insurance Category Code]],4, AN_TME22[[#All],[Advanced Network/Insurance Carrier Org ID]],B223),2), "TRUE", ROUND(C223-SUMIFS(AN_TME22[[#All],[Member Months]], AN_TME22[[#All],[Insurance Category Code]],4, AN_TME22[[#All],[Advanced Network/Insurance Carrier Org ID]],B223),2))</f>
        <v>TRUE</v>
      </c>
      <c r="I223" s="280" t="str">
        <f>IF(D223=ROUND(SUMIFS(AN_TME22[[#All],[Total Claims Excluded because of Truncation]], AN_TME22[[#All],[Insurance Category Code]],4, AN_TME22[[#All],[Advanced Network/Insurance Carrier Org ID]],B223),2), "TRUE", ROUND(D223-SUMIFS(AN_TME22[[#All],[Total Claims Excluded because of Truncation]], AN_TME22[[#All],[Insurance Category Code]],4, AN_TME22[[#All],[Advanced Network/Insurance Carrier Org ID]],B223),2))</f>
        <v>TRUE</v>
      </c>
      <c r="J223" s="281" t="str">
        <f>IF(E223=ROUND(SUMIFS(AN_TME22[[#All],[Count of Members with Claims Truncated]], AN_TME22[[#All],[Insurance Category Code]],4, AN_TME22[[#All],[Advanced Network/Insurance Carrier Org ID]],B223),2), "TRUE", ROUND(E223-SUMIFS(AN_TME22[[#All],[Count of Members with Claims Truncated]], AN_TME22[[#All],[Insurance Category Code]],4, AN_TME22[[#All],[Advanced Network/Insurance Carrier Org ID]],B223),2))</f>
        <v>TRUE</v>
      </c>
      <c r="K223" s="282" t="str">
        <f>IF(F223=ROUND(SUMIFS(AN_TME22[[#All],[TOTAL Non-Truncated Unadjusted Claims Expenses]], AN_TME22[[#All],[Insurance Category Code]],4, AN_TME22[[#All],[Advanced Network/Insurance Carrier Org ID]],B223),2), "TRUE", ROUND(F223-SUMIFS(AN_TME22[[#All],[TOTAL Non-Truncated Unadjusted Claims Expenses]], AN_TME22[[#All],[Insurance Category Code]],4, AN_TME22[[#All],[Advanced Network/Insurance Carrier Org ID]],B223),2))</f>
        <v>TRUE</v>
      </c>
      <c r="L223" s="295" t="str">
        <f>IF(G223=ROUND(SUMIFS(AN_TME22[[#All],[TOTAL Truncated Unadjusted Claims Expenses (A21 -A19)]], AN_TME22[[#All],[Insurance Category Code]],4, AN_TME22[[#All],[Advanced Network/Insurance Carrier Org ID]],B223),2), "TRUE", ROUND(G223-SUMIFS(AN_TME22[[#All],[TOTAL Truncated Unadjusted Claims Expenses (A21 -A19)]], AN_TME22[[#All],[Insurance Category Code]],4, AN_TME22[[#All],[Advanced Network/Insurance Carrier Org ID]],B223),2))</f>
        <v>TRUE</v>
      </c>
      <c r="M223" s="461" t="str">
        <f t="shared" si="19"/>
        <v>TRUE</v>
      </c>
      <c r="N223" s="282" t="b">
        <f>ROUND(SUMIFS(AN_TME22[[#All],[TOTAL Non-Truncated Unadjusted Claims Expenses]], AN_TME22[[#All],[Insurance Category Code]],4, AN_TME22[[#All],[Advanced Network/Insurance Carrier Org ID]],B223),2)&gt;=ROUND(SUMIFS(AN_TME22[[#All],[TOTAL Truncated Unadjusted Claims Expenses (A21 -A19)]], AN_TME22[[#All],[Insurance Category Code]],4, AN_TME22[[#All],[Advanced Network/Insurance Carrier Org ID]],B223),2)</f>
        <v>1</v>
      </c>
      <c r="O223" s="295" t="b">
        <f>ROUND(SUMIFS(AN_TME22[[#All],[TOTAL Truncated Unadjusted Claims Expenses (A21 -A19)]], AN_TME22[[#All],[Insurance Category Code]],4, AN_TME22[[#All],[Advanced Network/Insurance Carrier Org ID]],B223)+SUMIFS(AN_TME22[[#All],[Total Claims Excluded because of Truncation]], AN_TME22[[#All],[Insurance Category Code]],4, AN_TME22[[#All],[Advanced Network/Insurance Carrier Org ID]],B223),2)=ROUND(SUMIFS(AN_TME22[[#All],[TOTAL Non-Truncated Unadjusted Claims Expenses]], AN_TME22[[#All],[Insurance Category Code]],4, AN_TME22[[#All],[Advanced Network/Insurance Carrier Org ID]],B223),2)</f>
        <v>1</v>
      </c>
      <c r="Q223" s="236">
        <v>126</v>
      </c>
      <c r="R223" s="463">
        <f>ROUND(SUMIFS(Age_Sex23[[#All],[Total Member Months by Age/Sex Band]], Age_Sex23[[#All],[Advanced Network ID]], $Q223, Age_Sex23[[#All],[Insurance Category Code]],4),2)</f>
        <v>0</v>
      </c>
      <c r="S223" s="268">
        <f>ROUND(SUMIFS(Age_Sex23[[#All],[Total Dollars Excluded from Spending After Applying Truncation at the Member Level]], Age_Sex23[[#All],[Advanced Network ID]], $B223, Age_Sex23[[#All],[Insurance Category Code]],4),2)</f>
        <v>0</v>
      </c>
      <c r="T223" s="229">
        <f>ROUND(SUMIFS(Age_Sex23[[#All],[Count of Members whose Spending was Truncated]], Age_Sex23[[#All],[Advanced Network ID]], $B223, Age_Sex23[[#All],[Insurance Category Code]],4),2)</f>
        <v>0</v>
      </c>
      <c r="U223" s="230">
        <f>ROUND(SUMIFS(Age_Sex23[[#All],[Total Spending before Truncation is Applied]], Age_Sex23[[#All],[Advanced Network ID]], $B223, Age_Sex23[[#All],[Insurance Category Code]],4),2)</f>
        <v>0</v>
      </c>
      <c r="V223" s="232">
        <f>ROUND(SUMIFS(Age_Sex23[[#All],[Total Spending After Applying Truncation at the Member Level]], Age_Sex23[[#All],[Advanced Network ID]], $B223, Age_Sex23[[#All],[Insurance Category Code]],4),2)</f>
        <v>0</v>
      </c>
      <c r="W223" s="416" t="str">
        <f>IF(R223=ROUND(SUMIFS(AN_TME23[[#All],[Member Months]], AN_TME23[[#All],[Insurance Category Code]],4, AN_TME23[[#All],[Advanced Network/Insurance Carrier Org ID]],Q223),2), "TRUE", ROUND(R223-SUMIFS(AN_TME23[[#All],[Member Months]], AN_TME23[[#All],[Insurance Category Code]],4, AN_TME23[[#All],[Advanced Network/Insurance Carrier Org ID]],Q223),2))</f>
        <v>TRUE</v>
      </c>
      <c r="X223" s="280" t="str">
        <f>IF(S223=ROUND(SUMIFS(AN_TME23[[#All],[Total Claims Excluded because of Truncation]], AN_TME23[[#All],[Insurance Category Code]],4, AN_TME23[[#All],[Advanced Network/Insurance Carrier Org ID]],Q223),2), "TRUE", ROUND(S223-SUMIFS(AN_TME23[[#All],[Total Claims Excluded because of Truncation]], AN_TME23[[#All],[Insurance Category Code]],4, AN_TME23[[#All],[Advanced Network/Insurance Carrier Org ID]],Q223),2))</f>
        <v>TRUE</v>
      </c>
      <c r="Y223" s="281" t="str">
        <f>IF(T223=ROUND(SUMIFS(AN_TME23[[#All],[Count of Members with Claims Truncated]], AN_TME23[[#All],[Insurance Category Code]],4, AN_TME23[[#All],[Advanced Network/Insurance Carrier Org ID]],Q223),2), "TRUE", ROUND(T223-SUMIFS(AN_TME23[[#All],[Count of Members with Claims Truncated]], AN_TME23[[#All],[Insurance Category Code]],4, AN_TME23[[#All],[Advanced Network/Insurance Carrier Org ID]],Q223),2))</f>
        <v>TRUE</v>
      </c>
      <c r="Z223" s="282" t="str">
        <f>IF(U223=ROUND(SUMIFS(AN_TME23[[#All],[TOTAL Non-Truncated Unadjusted Claims Expenses]], AN_TME23[[#All],[Insurance Category Code]],4, AN_TME23[[#All],[Advanced Network/Insurance Carrier Org ID]],Q223),2), "TRUE", ROUND(U223-SUMIFS(AN_TME23[[#All],[TOTAL Non-Truncated Unadjusted Claims Expenses]], AN_TME23[[#All],[Insurance Category Code]],4, AN_TME23[[#All],[Advanced Network/Insurance Carrier Org ID]],Q223),2))</f>
        <v>TRUE</v>
      </c>
      <c r="AA223" s="295" t="str">
        <f>IF(V223=ROUND(SUMIFS(AN_TME23[[#All],[TOTAL Truncated Unadjusted Claims Expenses (A21 -A19)]], AN_TME23[[#All],[Insurance Category Code]],4, AN_TME23[[#All],[Advanced Network/Insurance Carrier Org ID]],Q223),2), "TRUE",ROUND( V223-SUMIFS(AN_TME23[[#All],[TOTAL Truncated Unadjusted Claims Expenses (A21 -A19)]], AN_TME23[[#All],[Insurance Category Code]],4, AN_TME23[[#All],[Advanced Network/Insurance Carrier Org ID]],Q223),2))</f>
        <v>TRUE</v>
      </c>
      <c r="AB223" s="461" t="str">
        <f t="shared" si="22"/>
        <v>TRUE</v>
      </c>
      <c r="AC223" s="282" t="b">
        <f>ROUND(SUMIFS(AN_TME23[[#All],[TOTAL Non-Truncated Unadjusted Claims Expenses]], AN_TME23[[#All],[Insurance Category Code]],4, AN_TME23[[#All],[Advanced Network/Insurance Carrier Org ID]],Q223),2)&gt;=ROUND(SUMIFS(AN_TME23[[#All],[TOTAL Truncated Unadjusted Claims Expenses (A21 -A19)]], AN_TME23[[#All],[Insurance Category Code]],4, AN_TME23[[#All],[Advanced Network/Insurance Carrier Org ID]],Q223),2)</f>
        <v>1</v>
      </c>
      <c r="AD223" s="295" t="b">
        <f>ROUND(SUMIFS(AN_TME23[[#All],[TOTAL Truncated Unadjusted Claims Expenses (A21 -A19)]], AN_TME23[[#All],[Insurance Category Code]],4, AN_TME23[[#All],[Advanced Network/Insurance Carrier Org ID]],Q223)+SUMIFS(AN_TME23[[#All],[Total Claims Excluded because of Truncation]], AN_TME23[[#All],[Insurance Category Code]],4, AN_TME23[[#All],[Advanced Network/Insurance Carrier Org ID]],Q223),2)=ROUND(SUMIFS(AN_TME23[[#All],[TOTAL Non-Truncated Unadjusted Claims Expenses]], AN_TME23[[#All],[Insurance Category Code]],4, AN_TME23[[#All],[Advanced Network/Insurance Carrier Org ID]],Q223),2)</f>
        <v>1</v>
      </c>
      <c r="AF223" s="323" t="str">
        <f t="shared" si="21"/>
        <v>NA</v>
      </c>
    </row>
    <row r="224" spans="2:32" outlineLevel="1" x14ac:dyDescent="0.25">
      <c r="B224" s="236">
        <v>127</v>
      </c>
      <c r="C224" s="463">
        <f>ROUND(SUMIFS(Age_Sex22[[#All],[Total Member Months by Age/Sex Band]], Age_Sex22[[#All],[Advanced Network ID]], $B224, Age_Sex22[[#All],[Insurance Category Code]],4),2)</f>
        <v>0</v>
      </c>
      <c r="D224" s="268">
        <f>ROUND(SUMIFS(Age_Sex22[[#All],[Total Dollars Excluded from Spending After Applying Truncation at the Member Level]], Age_Sex22[[#All],[Advanced Network ID]], $B224, Age_Sex22[[#All],[Insurance Category Code]],4),2)</f>
        <v>0</v>
      </c>
      <c r="E224" s="229">
        <f>ROUND(SUMIFS(Age_Sex22[[#All],[Count of Members whose Spending was Truncated]], Age_Sex22[[#All],[Advanced Network ID]], $B224, Age_Sex22[[#All],[Insurance Category Code]],4),2)</f>
        <v>0</v>
      </c>
      <c r="F224" s="230">
        <f>ROUND(SUMIFS(Age_Sex22[[#All],[Total Spending before Truncation is Applied]], Age_Sex22[[#All],[Advanced Network ID]], $B224, Age_Sex22[[#All],[Insurance Category Code]],4),2)</f>
        <v>0</v>
      </c>
      <c r="G224" s="232">
        <f>ROUND(SUMIFS(Age_Sex22[[#All],[Total Spending After Applying Truncation at the Member Level]], Age_Sex22[[#All],[Advanced Network ID]], $B224, Age_Sex22[[#All],[Insurance Category Code]],4),2)</f>
        <v>0</v>
      </c>
      <c r="H224" s="416" t="str">
        <f>IF(C224=ROUND(SUMIFS(AN_TME22[[#All],[Member Months]], AN_TME22[[#All],[Insurance Category Code]],4, AN_TME22[[#All],[Advanced Network/Insurance Carrier Org ID]],B224),2), "TRUE", ROUND(C224-SUMIFS(AN_TME22[[#All],[Member Months]], AN_TME22[[#All],[Insurance Category Code]],4, AN_TME22[[#All],[Advanced Network/Insurance Carrier Org ID]],B224),2))</f>
        <v>TRUE</v>
      </c>
      <c r="I224" s="280" t="str">
        <f>IF(D224=ROUND(SUMIFS(AN_TME22[[#All],[Total Claims Excluded because of Truncation]], AN_TME22[[#All],[Insurance Category Code]],4, AN_TME22[[#All],[Advanced Network/Insurance Carrier Org ID]],B224),2), "TRUE", ROUND(D224-SUMIFS(AN_TME22[[#All],[Total Claims Excluded because of Truncation]], AN_TME22[[#All],[Insurance Category Code]],4, AN_TME22[[#All],[Advanced Network/Insurance Carrier Org ID]],B224),2))</f>
        <v>TRUE</v>
      </c>
      <c r="J224" s="281" t="str">
        <f>IF(E224=ROUND(SUMIFS(AN_TME22[[#All],[Count of Members with Claims Truncated]], AN_TME22[[#All],[Insurance Category Code]],4, AN_TME22[[#All],[Advanced Network/Insurance Carrier Org ID]],B224),2), "TRUE", ROUND(E224-SUMIFS(AN_TME22[[#All],[Count of Members with Claims Truncated]], AN_TME22[[#All],[Insurance Category Code]],4, AN_TME22[[#All],[Advanced Network/Insurance Carrier Org ID]],B224),2))</f>
        <v>TRUE</v>
      </c>
      <c r="K224" s="282" t="str">
        <f>IF(F224=ROUND(SUMIFS(AN_TME22[[#All],[TOTAL Non-Truncated Unadjusted Claims Expenses]], AN_TME22[[#All],[Insurance Category Code]],4, AN_TME22[[#All],[Advanced Network/Insurance Carrier Org ID]],B224),2), "TRUE", ROUND(F224-SUMIFS(AN_TME22[[#All],[TOTAL Non-Truncated Unadjusted Claims Expenses]], AN_TME22[[#All],[Insurance Category Code]],4, AN_TME22[[#All],[Advanced Network/Insurance Carrier Org ID]],B224),2))</f>
        <v>TRUE</v>
      </c>
      <c r="L224" s="295" t="str">
        <f>IF(G224=ROUND(SUMIFS(AN_TME22[[#All],[TOTAL Truncated Unadjusted Claims Expenses (A21 -A19)]], AN_TME22[[#All],[Insurance Category Code]],4, AN_TME22[[#All],[Advanced Network/Insurance Carrier Org ID]],B224),2), "TRUE", ROUND(G224-SUMIFS(AN_TME22[[#All],[TOTAL Truncated Unadjusted Claims Expenses (A21 -A19)]], AN_TME22[[#All],[Insurance Category Code]],4, AN_TME22[[#All],[Advanced Network/Insurance Carrier Org ID]],B224),2))</f>
        <v>TRUE</v>
      </c>
      <c r="M224" s="461" t="str">
        <f t="shared" si="19"/>
        <v>TRUE</v>
      </c>
      <c r="N224" s="282" t="b">
        <f>ROUND(SUMIFS(AN_TME22[[#All],[TOTAL Non-Truncated Unadjusted Claims Expenses]], AN_TME22[[#All],[Insurance Category Code]],4, AN_TME22[[#All],[Advanced Network/Insurance Carrier Org ID]],B224),2)&gt;=ROUND(SUMIFS(AN_TME22[[#All],[TOTAL Truncated Unadjusted Claims Expenses (A21 -A19)]], AN_TME22[[#All],[Insurance Category Code]],4, AN_TME22[[#All],[Advanced Network/Insurance Carrier Org ID]],B224),2)</f>
        <v>1</v>
      </c>
      <c r="O224" s="295" t="b">
        <f>ROUND(SUMIFS(AN_TME22[[#All],[TOTAL Truncated Unadjusted Claims Expenses (A21 -A19)]], AN_TME22[[#All],[Insurance Category Code]],4, AN_TME22[[#All],[Advanced Network/Insurance Carrier Org ID]],B224)+SUMIFS(AN_TME22[[#All],[Total Claims Excluded because of Truncation]], AN_TME22[[#All],[Insurance Category Code]],4, AN_TME22[[#All],[Advanced Network/Insurance Carrier Org ID]],B224),2)=ROUND(SUMIFS(AN_TME22[[#All],[TOTAL Non-Truncated Unadjusted Claims Expenses]], AN_TME22[[#All],[Insurance Category Code]],4, AN_TME22[[#All],[Advanced Network/Insurance Carrier Org ID]],B224),2)</f>
        <v>1</v>
      </c>
      <c r="Q224" s="236">
        <v>127</v>
      </c>
      <c r="R224" s="463">
        <f>ROUND(SUMIFS(Age_Sex23[[#All],[Total Member Months by Age/Sex Band]], Age_Sex23[[#All],[Advanced Network ID]], $Q224, Age_Sex23[[#All],[Insurance Category Code]],4),2)</f>
        <v>0</v>
      </c>
      <c r="S224" s="268">
        <f>ROUND(SUMIFS(Age_Sex23[[#All],[Total Dollars Excluded from Spending After Applying Truncation at the Member Level]], Age_Sex23[[#All],[Advanced Network ID]], $B224, Age_Sex23[[#All],[Insurance Category Code]],4),2)</f>
        <v>0</v>
      </c>
      <c r="T224" s="229">
        <f>ROUND(SUMIFS(Age_Sex23[[#All],[Count of Members whose Spending was Truncated]], Age_Sex23[[#All],[Advanced Network ID]], $B224, Age_Sex23[[#All],[Insurance Category Code]],4),2)</f>
        <v>0</v>
      </c>
      <c r="U224" s="230">
        <f>ROUND(SUMIFS(Age_Sex23[[#All],[Total Spending before Truncation is Applied]], Age_Sex23[[#All],[Advanced Network ID]], $B224, Age_Sex23[[#All],[Insurance Category Code]],4),2)</f>
        <v>0</v>
      </c>
      <c r="V224" s="232">
        <f>ROUND(SUMIFS(Age_Sex23[[#All],[Total Spending After Applying Truncation at the Member Level]], Age_Sex23[[#All],[Advanced Network ID]], $B224, Age_Sex23[[#All],[Insurance Category Code]],4),2)</f>
        <v>0</v>
      </c>
      <c r="W224" s="416" t="str">
        <f>IF(R224=ROUND(SUMIFS(AN_TME23[[#All],[Member Months]], AN_TME23[[#All],[Insurance Category Code]],4, AN_TME23[[#All],[Advanced Network/Insurance Carrier Org ID]],Q224),2), "TRUE", ROUND(R224-SUMIFS(AN_TME23[[#All],[Member Months]], AN_TME23[[#All],[Insurance Category Code]],4, AN_TME23[[#All],[Advanced Network/Insurance Carrier Org ID]],Q224),2))</f>
        <v>TRUE</v>
      </c>
      <c r="X224" s="280" t="str">
        <f>IF(S224=ROUND(SUMIFS(AN_TME23[[#All],[Total Claims Excluded because of Truncation]], AN_TME23[[#All],[Insurance Category Code]],4, AN_TME23[[#All],[Advanced Network/Insurance Carrier Org ID]],Q224),2), "TRUE", ROUND(S224-SUMIFS(AN_TME23[[#All],[Total Claims Excluded because of Truncation]], AN_TME23[[#All],[Insurance Category Code]],4, AN_TME23[[#All],[Advanced Network/Insurance Carrier Org ID]],Q224),2))</f>
        <v>TRUE</v>
      </c>
      <c r="Y224" s="281" t="str">
        <f>IF(T224=ROUND(SUMIFS(AN_TME23[[#All],[Count of Members with Claims Truncated]], AN_TME23[[#All],[Insurance Category Code]],4, AN_TME23[[#All],[Advanced Network/Insurance Carrier Org ID]],Q224),2), "TRUE", ROUND(T224-SUMIFS(AN_TME23[[#All],[Count of Members with Claims Truncated]], AN_TME23[[#All],[Insurance Category Code]],4, AN_TME23[[#All],[Advanced Network/Insurance Carrier Org ID]],Q224),2))</f>
        <v>TRUE</v>
      </c>
      <c r="Z224" s="282" t="str">
        <f>IF(U224=ROUND(SUMIFS(AN_TME23[[#All],[TOTAL Non-Truncated Unadjusted Claims Expenses]], AN_TME23[[#All],[Insurance Category Code]],4, AN_TME23[[#All],[Advanced Network/Insurance Carrier Org ID]],Q224),2), "TRUE", ROUND(U224-SUMIFS(AN_TME23[[#All],[TOTAL Non-Truncated Unadjusted Claims Expenses]], AN_TME23[[#All],[Insurance Category Code]],4, AN_TME23[[#All],[Advanced Network/Insurance Carrier Org ID]],Q224),2))</f>
        <v>TRUE</v>
      </c>
      <c r="AA224" s="295" t="str">
        <f>IF(V224=ROUND(SUMIFS(AN_TME23[[#All],[TOTAL Truncated Unadjusted Claims Expenses (A21 -A19)]], AN_TME23[[#All],[Insurance Category Code]],4, AN_TME23[[#All],[Advanced Network/Insurance Carrier Org ID]],Q224),2), "TRUE",ROUND( V224-SUMIFS(AN_TME23[[#All],[TOTAL Truncated Unadjusted Claims Expenses (A21 -A19)]], AN_TME23[[#All],[Insurance Category Code]],4, AN_TME23[[#All],[Advanced Network/Insurance Carrier Org ID]],Q224),2))</f>
        <v>TRUE</v>
      </c>
      <c r="AB224" s="461" t="str">
        <f t="shared" si="22"/>
        <v>TRUE</v>
      </c>
      <c r="AC224" s="282" t="b">
        <f>ROUND(SUMIFS(AN_TME23[[#All],[TOTAL Non-Truncated Unadjusted Claims Expenses]], AN_TME23[[#All],[Insurance Category Code]],4, AN_TME23[[#All],[Advanced Network/Insurance Carrier Org ID]],Q224),2)&gt;=ROUND(SUMIFS(AN_TME23[[#All],[TOTAL Truncated Unadjusted Claims Expenses (A21 -A19)]], AN_TME23[[#All],[Insurance Category Code]],4, AN_TME23[[#All],[Advanced Network/Insurance Carrier Org ID]],Q224),2)</f>
        <v>1</v>
      </c>
      <c r="AD224" s="295" t="b">
        <f>ROUND(SUMIFS(AN_TME23[[#All],[TOTAL Truncated Unadjusted Claims Expenses (A21 -A19)]], AN_TME23[[#All],[Insurance Category Code]],4, AN_TME23[[#All],[Advanced Network/Insurance Carrier Org ID]],Q224)+SUMIFS(AN_TME23[[#All],[Total Claims Excluded because of Truncation]], AN_TME23[[#All],[Insurance Category Code]],4, AN_TME23[[#All],[Advanced Network/Insurance Carrier Org ID]],Q224),2)=ROUND(SUMIFS(AN_TME23[[#All],[TOTAL Non-Truncated Unadjusted Claims Expenses]], AN_TME23[[#All],[Insurance Category Code]],4, AN_TME23[[#All],[Advanced Network/Insurance Carrier Org ID]],Q224),2)</f>
        <v>1</v>
      </c>
      <c r="AF224" s="323" t="str">
        <f t="shared" si="21"/>
        <v>NA</v>
      </c>
    </row>
    <row r="225" spans="2:32" outlineLevel="1" x14ac:dyDescent="0.25">
      <c r="B225" s="236">
        <v>128</v>
      </c>
      <c r="C225" s="463">
        <f>ROUND(SUMIFS(Age_Sex22[[#All],[Total Member Months by Age/Sex Band]], Age_Sex22[[#All],[Advanced Network ID]], $B225, Age_Sex22[[#All],[Insurance Category Code]],4),2)</f>
        <v>0</v>
      </c>
      <c r="D225" s="268">
        <f>ROUND(SUMIFS(Age_Sex22[[#All],[Total Dollars Excluded from Spending After Applying Truncation at the Member Level]], Age_Sex22[[#All],[Advanced Network ID]], $B225, Age_Sex22[[#All],[Insurance Category Code]],4),2)</f>
        <v>0</v>
      </c>
      <c r="E225" s="229">
        <f>ROUND(SUMIFS(Age_Sex22[[#All],[Count of Members whose Spending was Truncated]], Age_Sex22[[#All],[Advanced Network ID]], $B225, Age_Sex22[[#All],[Insurance Category Code]],4),2)</f>
        <v>0</v>
      </c>
      <c r="F225" s="230">
        <f>ROUND(SUMIFS(Age_Sex22[[#All],[Total Spending before Truncation is Applied]], Age_Sex22[[#All],[Advanced Network ID]], $B225, Age_Sex22[[#All],[Insurance Category Code]],4),2)</f>
        <v>0</v>
      </c>
      <c r="G225" s="232">
        <f>ROUND(SUMIFS(Age_Sex22[[#All],[Total Spending After Applying Truncation at the Member Level]], Age_Sex22[[#All],[Advanced Network ID]], $B225, Age_Sex22[[#All],[Insurance Category Code]],4),2)</f>
        <v>0</v>
      </c>
      <c r="H225" s="416" t="str">
        <f>IF(C225=ROUND(SUMIFS(AN_TME22[[#All],[Member Months]], AN_TME22[[#All],[Insurance Category Code]],4, AN_TME22[[#All],[Advanced Network/Insurance Carrier Org ID]],B225),2), "TRUE", ROUND(C225-SUMIFS(AN_TME22[[#All],[Member Months]], AN_TME22[[#All],[Insurance Category Code]],4, AN_TME22[[#All],[Advanced Network/Insurance Carrier Org ID]],B225),2))</f>
        <v>TRUE</v>
      </c>
      <c r="I225" s="280" t="str">
        <f>IF(D225=ROUND(SUMIFS(AN_TME22[[#All],[Total Claims Excluded because of Truncation]], AN_TME22[[#All],[Insurance Category Code]],4, AN_TME22[[#All],[Advanced Network/Insurance Carrier Org ID]],B225),2), "TRUE", ROUND(D225-SUMIFS(AN_TME22[[#All],[Total Claims Excluded because of Truncation]], AN_TME22[[#All],[Insurance Category Code]],4, AN_TME22[[#All],[Advanced Network/Insurance Carrier Org ID]],B225),2))</f>
        <v>TRUE</v>
      </c>
      <c r="J225" s="281" t="str">
        <f>IF(E225=ROUND(SUMIFS(AN_TME22[[#All],[Count of Members with Claims Truncated]], AN_TME22[[#All],[Insurance Category Code]],4, AN_TME22[[#All],[Advanced Network/Insurance Carrier Org ID]],B225),2), "TRUE", ROUND(E225-SUMIFS(AN_TME22[[#All],[Count of Members with Claims Truncated]], AN_TME22[[#All],[Insurance Category Code]],4, AN_TME22[[#All],[Advanced Network/Insurance Carrier Org ID]],B225),2))</f>
        <v>TRUE</v>
      </c>
      <c r="K225" s="282" t="str">
        <f>IF(F225=ROUND(SUMIFS(AN_TME22[[#All],[TOTAL Non-Truncated Unadjusted Claims Expenses]], AN_TME22[[#All],[Insurance Category Code]],4, AN_TME22[[#All],[Advanced Network/Insurance Carrier Org ID]],B225),2), "TRUE", ROUND(F225-SUMIFS(AN_TME22[[#All],[TOTAL Non-Truncated Unadjusted Claims Expenses]], AN_TME22[[#All],[Insurance Category Code]],4, AN_TME22[[#All],[Advanced Network/Insurance Carrier Org ID]],B225),2))</f>
        <v>TRUE</v>
      </c>
      <c r="L225" s="295" t="str">
        <f>IF(G225=ROUND(SUMIFS(AN_TME22[[#All],[TOTAL Truncated Unadjusted Claims Expenses (A21 -A19)]], AN_TME22[[#All],[Insurance Category Code]],4, AN_TME22[[#All],[Advanced Network/Insurance Carrier Org ID]],B225),2), "TRUE", ROUND(G225-SUMIFS(AN_TME22[[#All],[TOTAL Truncated Unadjusted Claims Expenses (A21 -A19)]], AN_TME22[[#All],[Insurance Category Code]],4, AN_TME22[[#All],[Advanced Network/Insurance Carrier Org ID]],B225),2))</f>
        <v>TRUE</v>
      </c>
      <c r="M225" s="461" t="str">
        <f t="shared" si="19"/>
        <v>TRUE</v>
      </c>
      <c r="N225" s="282" t="b">
        <f>ROUND(SUMIFS(AN_TME22[[#All],[TOTAL Non-Truncated Unadjusted Claims Expenses]], AN_TME22[[#All],[Insurance Category Code]],4, AN_TME22[[#All],[Advanced Network/Insurance Carrier Org ID]],B225),2)&gt;=ROUND(SUMIFS(AN_TME22[[#All],[TOTAL Truncated Unadjusted Claims Expenses (A21 -A19)]], AN_TME22[[#All],[Insurance Category Code]],4, AN_TME22[[#All],[Advanced Network/Insurance Carrier Org ID]],B225),2)</f>
        <v>1</v>
      </c>
      <c r="O225" s="295" t="b">
        <f>ROUND(SUMIFS(AN_TME22[[#All],[TOTAL Truncated Unadjusted Claims Expenses (A21 -A19)]], AN_TME22[[#All],[Insurance Category Code]],4, AN_TME22[[#All],[Advanced Network/Insurance Carrier Org ID]],B225)+SUMIFS(AN_TME22[[#All],[Total Claims Excluded because of Truncation]], AN_TME22[[#All],[Insurance Category Code]],4, AN_TME22[[#All],[Advanced Network/Insurance Carrier Org ID]],B225),2)=ROUND(SUMIFS(AN_TME22[[#All],[TOTAL Non-Truncated Unadjusted Claims Expenses]], AN_TME22[[#All],[Insurance Category Code]],4, AN_TME22[[#All],[Advanced Network/Insurance Carrier Org ID]],B225),2)</f>
        <v>1</v>
      </c>
      <c r="Q225" s="236">
        <v>128</v>
      </c>
      <c r="R225" s="463">
        <f>ROUND(SUMIFS(Age_Sex23[[#All],[Total Member Months by Age/Sex Band]], Age_Sex23[[#All],[Advanced Network ID]], $Q225, Age_Sex23[[#All],[Insurance Category Code]],4),2)</f>
        <v>0</v>
      </c>
      <c r="S225" s="268">
        <f>ROUND(SUMIFS(Age_Sex23[[#All],[Total Dollars Excluded from Spending After Applying Truncation at the Member Level]], Age_Sex23[[#All],[Advanced Network ID]], $B225, Age_Sex23[[#All],[Insurance Category Code]],4),2)</f>
        <v>0</v>
      </c>
      <c r="T225" s="229">
        <f>ROUND(SUMIFS(Age_Sex23[[#All],[Count of Members whose Spending was Truncated]], Age_Sex23[[#All],[Advanced Network ID]], $B225, Age_Sex23[[#All],[Insurance Category Code]],4),2)</f>
        <v>0</v>
      </c>
      <c r="U225" s="230">
        <f>ROUND(SUMIFS(Age_Sex23[[#All],[Total Spending before Truncation is Applied]], Age_Sex23[[#All],[Advanced Network ID]], $B225, Age_Sex23[[#All],[Insurance Category Code]],4),2)</f>
        <v>0</v>
      </c>
      <c r="V225" s="232">
        <f>ROUND(SUMIFS(Age_Sex23[[#All],[Total Spending After Applying Truncation at the Member Level]], Age_Sex23[[#All],[Advanced Network ID]], $B225, Age_Sex23[[#All],[Insurance Category Code]],4),2)</f>
        <v>0</v>
      </c>
      <c r="W225" s="416" t="str">
        <f>IF(R225=ROUND(SUMIFS(AN_TME23[[#All],[Member Months]], AN_TME23[[#All],[Insurance Category Code]],4, AN_TME23[[#All],[Advanced Network/Insurance Carrier Org ID]],Q225),2), "TRUE", ROUND(R225-SUMIFS(AN_TME23[[#All],[Member Months]], AN_TME23[[#All],[Insurance Category Code]],4, AN_TME23[[#All],[Advanced Network/Insurance Carrier Org ID]],Q225),2))</f>
        <v>TRUE</v>
      </c>
      <c r="X225" s="280" t="str">
        <f>IF(S225=ROUND(SUMIFS(AN_TME23[[#All],[Total Claims Excluded because of Truncation]], AN_TME23[[#All],[Insurance Category Code]],4, AN_TME23[[#All],[Advanced Network/Insurance Carrier Org ID]],Q225),2), "TRUE", ROUND(S225-SUMIFS(AN_TME23[[#All],[Total Claims Excluded because of Truncation]], AN_TME23[[#All],[Insurance Category Code]],4, AN_TME23[[#All],[Advanced Network/Insurance Carrier Org ID]],Q225),2))</f>
        <v>TRUE</v>
      </c>
      <c r="Y225" s="281" t="str">
        <f>IF(T225=ROUND(SUMIFS(AN_TME23[[#All],[Count of Members with Claims Truncated]], AN_TME23[[#All],[Insurance Category Code]],4, AN_TME23[[#All],[Advanced Network/Insurance Carrier Org ID]],Q225),2), "TRUE", ROUND(T225-SUMIFS(AN_TME23[[#All],[Count of Members with Claims Truncated]], AN_TME23[[#All],[Insurance Category Code]],4, AN_TME23[[#All],[Advanced Network/Insurance Carrier Org ID]],Q225),2))</f>
        <v>TRUE</v>
      </c>
      <c r="Z225" s="282" t="str">
        <f>IF(U225=ROUND(SUMIFS(AN_TME23[[#All],[TOTAL Non-Truncated Unadjusted Claims Expenses]], AN_TME23[[#All],[Insurance Category Code]],4, AN_TME23[[#All],[Advanced Network/Insurance Carrier Org ID]],Q225),2), "TRUE", ROUND(U225-SUMIFS(AN_TME23[[#All],[TOTAL Non-Truncated Unadjusted Claims Expenses]], AN_TME23[[#All],[Insurance Category Code]],4, AN_TME23[[#All],[Advanced Network/Insurance Carrier Org ID]],Q225),2))</f>
        <v>TRUE</v>
      </c>
      <c r="AA225" s="295" t="str">
        <f>IF(V225=ROUND(SUMIFS(AN_TME23[[#All],[TOTAL Truncated Unadjusted Claims Expenses (A21 -A19)]], AN_TME23[[#All],[Insurance Category Code]],4, AN_TME23[[#All],[Advanced Network/Insurance Carrier Org ID]],Q225),2), "TRUE",ROUND( V225-SUMIFS(AN_TME23[[#All],[TOTAL Truncated Unadjusted Claims Expenses (A21 -A19)]], AN_TME23[[#All],[Insurance Category Code]],4, AN_TME23[[#All],[Advanced Network/Insurance Carrier Org ID]],Q225),2))</f>
        <v>TRUE</v>
      </c>
      <c r="AB225" s="461" t="str">
        <f t="shared" si="22"/>
        <v>TRUE</v>
      </c>
      <c r="AC225" s="282" t="b">
        <f>ROUND(SUMIFS(AN_TME23[[#All],[TOTAL Non-Truncated Unadjusted Claims Expenses]], AN_TME23[[#All],[Insurance Category Code]],4, AN_TME23[[#All],[Advanced Network/Insurance Carrier Org ID]],Q225),2)&gt;=ROUND(SUMIFS(AN_TME23[[#All],[TOTAL Truncated Unadjusted Claims Expenses (A21 -A19)]], AN_TME23[[#All],[Insurance Category Code]],4, AN_TME23[[#All],[Advanced Network/Insurance Carrier Org ID]],Q225),2)</f>
        <v>1</v>
      </c>
      <c r="AD225" s="295" t="b">
        <f>ROUND(SUMIFS(AN_TME23[[#All],[TOTAL Truncated Unadjusted Claims Expenses (A21 -A19)]], AN_TME23[[#All],[Insurance Category Code]],4, AN_TME23[[#All],[Advanced Network/Insurance Carrier Org ID]],Q225)+SUMIFS(AN_TME23[[#All],[Total Claims Excluded because of Truncation]], AN_TME23[[#All],[Insurance Category Code]],4, AN_TME23[[#All],[Advanced Network/Insurance Carrier Org ID]],Q225),2)=ROUND(SUMIFS(AN_TME23[[#All],[TOTAL Non-Truncated Unadjusted Claims Expenses]], AN_TME23[[#All],[Insurance Category Code]],4, AN_TME23[[#All],[Advanced Network/Insurance Carrier Org ID]],Q225),2)</f>
        <v>1</v>
      </c>
      <c r="AF225" s="323" t="str">
        <f t="shared" si="21"/>
        <v>NA</v>
      </c>
    </row>
    <row r="226" spans="2:32" outlineLevel="1" x14ac:dyDescent="0.25">
      <c r="B226" s="236">
        <v>129</v>
      </c>
      <c r="C226" s="463">
        <f>ROUND(SUMIFS(Age_Sex22[[#All],[Total Member Months by Age/Sex Band]], Age_Sex22[[#All],[Advanced Network ID]], $B226, Age_Sex22[[#All],[Insurance Category Code]],4),2)</f>
        <v>0</v>
      </c>
      <c r="D226" s="268">
        <f>ROUND(SUMIFS(Age_Sex22[[#All],[Total Dollars Excluded from Spending After Applying Truncation at the Member Level]], Age_Sex22[[#All],[Advanced Network ID]], $B226, Age_Sex22[[#All],[Insurance Category Code]],4),2)</f>
        <v>0</v>
      </c>
      <c r="E226" s="229">
        <f>ROUND(SUMIFS(Age_Sex22[[#All],[Count of Members whose Spending was Truncated]], Age_Sex22[[#All],[Advanced Network ID]], $B226, Age_Sex22[[#All],[Insurance Category Code]],4),2)</f>
        <v>0</v>
      </c>
      <c r="F226" s="230">
        <f>ROUND(SUMIFS(Age_Sex22[[#All],[Total Spending before Truncation is Applied]], Age_Sex22[[#All],[Advanced Network ID]], $B226, Age_Sex22[[#All],[Insurance Category Code]],4),2)</f>
        <v>0</v>
      </c>
      <c r="G226" s="232">
        <f>ROUND(SUMIFS(Age_Sex22[[#All],[Total Spending After Applying Truncation at the Member Level]], Age_Sex22[[#All],[Advanced Network ID]], $B226, Age_Sex22[[#All],[Insurance Category Code]],4),2)</f>
        <v>0</v>
      </c>
      <c r="H226" s="416" t="str">
        <f>IF(C226=ROUND(SUMIFS(AN_TME22[[#All],[Member Months]], AN_TME22[[#All],[Insurance Category Code]],4, AN_TME22[[#All],[Advanced Network/Insurance Carrier Org ID]],B226),2), "TRUE", ROUND(C226-SUMIFS(AN_TME22[[#All],[Member Months]], AN_TME22[[#All],[Insurance Category Code]],4, AN_TME22[[#All],[Advanced Network/Insurance Carrier Org ID]],B226),2))</f>
        <v>TRUE</v>
      </c>
      <c r="I226" s="280" t="str">
        <f>IF(D226=ROUND(SUMIFS(AN_TME22[[#All],[Total Claims Excluded because of Truncation]], AN_TME22[[#All],[Insurance Category Code]],4, AN_TME22[[#All],[Advanced Network/Insurance Carrier Org ID]],B226),2), "TRUE", ROUND(D226-SUMIFS(AN_TME22[[#All],[Total Claims Excluded because of Truncation]], AN_TME22[[#All],[Insurance Category Code]],4, AN_TME22[[#All],[Advanced Network/Insurance Carrier Org ID]],B226),2))</f>
        <v>TRUE</v>
      </c>
      <c r="J226" s="281" t="str">
        <f>IF(E226=ROUND(SUMIFS(AN_TME22[[#All],[Count of Members with Claims Truncated]], AN_TME22[[#All],[Insurance Category Code]],4, AN_TME22[[#All],[Advanced Network/Insurance Carrier Org ID]],B226),2), "TRUE", ROUND(E226-SUMIFS(AN_TME22[[#All],[Count of Members with Claims Truncated]], AN_TME22[[#All],[Insurance Category Code]],4, AN_TME22[[#All],[Advanced Network/Insurance Carrier Org ID]],B226),2))</f>
        <v>TRUE</v>
      </c>
      <c r="K226" s="282" t="str">
        <f>IF(F226=ROUND(SUMIFS(AN_TME22[[#All],[TOTAL Non-Truncated Unadjusted Claims Expenses]], AN_TME22[[#All],[Insurance Category Code]],4, AN_TME22[[#All],[Advanced Network/Insurance Carrier Org ID]],B226),2), "TRUE", ROUND(F226-SUMIFS(AN_TME22[[#All],[TOTAL Non-Truncated Unadjusted Claims Expenses]], AN_TME22[[#All],[Insurance Category Code]],4, AN_TME22[[#All],[Advanced Network/Insurance Carrier Org ID]],B226),2))</f>
        <v>TRUE</v>
      </c>
      <c r="L226" s="295" t="str">
        <f>IF(G226=ROUND(SUMIFS(AN_TME22[[#All],[TOTAL Truncated Unadjusted Claims Expenses (A21 -A19)]], AN_TME22[[#All],[Insurance Category Code]],4, AN_TME22[[#All],[Advanced Network/Insurance Carrier Org ID]],B226),2), "TRUE", ROUND(G226-SUMIFS(AN_TME22[[#All],[TOTAL Truncated Unadjusted Claims Expenses (A21 -A19)]], AN_TME22[[#All],[Insurance Category Code]],4, AN_TME22[[#All],[Advanced Network/Insurance Carrier Org ID]],B226),2))</f>
        <v>TRUE</v>
      </c>
      <c r="M226" s="461" t="str">
        <f t="shared" si="19"/>
        <v>TRUE</v>
      </c>
      <c r="N226" s="282" t="b">
        <f>ROUND(SUMIFS(AN_TME22[[#All],[TOTAL Non-Truncated Unadjusted Claims Expenses]], AN_TME22[[#All],[Insurance Category Code]],4, AN_TME22[[#All],[Advanced Network/Insurance Carrier Org ID]],B226),2)&gt;=ROUND(SUMIFS(AN_TME22[[#All],[TOTAL Truncated Unadjusted Claims Expenses (A21 -A19)]], AN_TME22[[#All],[Insurance Category Code]],4, AN_TME22[[#All],[Advanced Network/Insurance Carrier Org ID]],B226),2)</f>
        <v>1</v>
      </c>
      <c r="O226" s="295" t="b">
        <f>ROUND(SUMIFS(AN_TME22[[#All],[TOTAL Truncated Unadjusted Claims Expenses (A21 -A19)]], AN_TME22[[#All],[Insurance Category Code]],4, AN_TME22[[#All],[Advanced Network/Insurance Carrier Org ID]],B226)+SUMIFS(AN_TME22[[#All],[Total Claims Excluded because of Truncation]], AN_TME22[[#All],[Insurance Category Code]],4, AN_TME22[[#All],[Advanced Network/Insurance Carrier Org ID]],B226),2)=ROUND(SUMIFS(AN_TME22[[#All],[TOTAL Non-Truncated Unadjusted Claims Expenses]], AN_TME22[[#All],[Insurance Category Code]],4, AN_TME22[[#All],[Advanced Network/Insurance Carrier Org ID]],B226),2)</f>
        <v>1</v>
      </c>
      <c r="Q226" s="236">
        <v>129</v>
      </c>
      <c r="R226" s="463">
        <f>ROUND(SUMIFS(Age_Sex23[[#All],[Total Member Months by Age/Sex Band]], Age_Sex23[[#All],[Advanced Network ID]], $Q226, Age_Sex23[[#All],[Insurance Category Code]],4),2)</f>
        <v>0</v>
      </c>
      <c r="S226" s="268">
        <f>ROUND(SUMIFS(Age_Sex23[[#All],[Total Dollars Excluded from Spending After Applying Truncation at the Member Level]], Age_Sex23[[#All],[Advanced Network ID]], $B226, Age_Sex23[[#All],[Insurance Category Code]],4),2)</f>
        <v>0</v>
      </c>
      <c r="T226" s="229">
        <f>ROUND(SUMIFS(Age_Sex23[[#All],[Count of Members whose Spending was Truncated]], Age_Sex23[[#All],[Advanced Network ID]], $B226, Age_Sex23[[#All],[Insurance Category Code]],4),2)</f>
        <v>0</v>
      </c>
      <c r="U226" s="230">
        <f>ROUND(SUMIFS(Age_Sex23[[#All],[Total Spending before Truncation is Applied]], Age_Sex23[[#All],[Advanced Network ID]], $B226, Age_Sex23[[#All],[Insurance Category Code]],4),2)</f>
        <v>0</v>
      </c>
      <c r="V226" s="232">
        <f>ROUND(SUMIFS(Age_Sex23[[#All],[Total Spending After Applying Truncation at the Member Level]], Age_Sex23[[#All],[Advanced Network ID]], $B226, Age_Sex23[[#All],[Insurance Category Code]],4),2)</f>
        <v>0</v>
      </c>
      <c r="W226" s="416" t="str">
        <f>IF(R226=ROUND(SUMIFS(AN_TME23[[#All],[Member Months]], AN_TME23[[#All],[Insurance Category Code]],4, AN_TME23[[#All],[Advanced Network/Insurance Carrier Org ID]],Q226),2), "TRUE", ROUND(R226-SUMIFS(AN_TME23[[#All],[Member Months]], AN_TME23[[#All],[Insurance Category Code]],4, AN_TME23[[#All],[Advanced Network/Insurance Carrier Org ID]],Q226),2))</f>
        <v>TRUE</v>
      </c>
      <c r="X226" s="280" t="str">
        <f>IF(S226=ROUND(SUMIFS(AN_TME23[[#All],[Total Claims Excluded because of Truncation]], AN_TME23[[#All],[Insurance Category Code]],4, AN_TME23[[#All],[Advanced Network/Insurance Carrier Org ID]],Q226),2), "TRUE", ROUND(S226-SUMIFS(AN_TME23[[#All],[Total Claims Excluded because of Truncation]], AN_TME23[[#All],[Insurance Category Code]],4, AN_TME23[[#All],[Advanced Network/Insurance Carrier Org ID]],Q226),2))</f>
        <v>TRUE</v>
      </c>
      <c r="Y226" s="281" t="str">
        <f>IF(T226=ROUND(SUMIFS(AN_TME23[[#All],[Count of Members with Claims Truncated]], AN_TME23[[#All],[Insurance Category Code]],4, AN_TME23[[#All],[Advanced Network/Insurance Carrier Org ID]],Q226),2), "TRUE", ROUND(T226-SUMIFS(AN_TME23[[#All],[Count of Members with Claims Truncated]], AN_TME23[[#All],[Insurance Category Code]],4, AN_TME23[[#All],[Advanced Network/Insurance Carrier Org ID]],Q226),2))</f>
        <v>TRUE</v>
      </c>
      <c r="Z226" s="282" t="str">
        <f>IF(U226=ROUND(SUMIFS(AN_TME23[[#All],[TOTAL Non-Truncated Unadjusted Claims Expenses]], AN_TME23[[#All],[Insurance Category Code]],4, AN_TME23[[#All],[Advanced Network/Insurance Carrier Org ID]],Q226),2), "TRUE", ROUND(U226-SUMIFS(AN_TME23[[#All],[TOTAL Non-Truncated Unadjusted Claims Expenses]], AN_TME23[[#All],[Insurance Category Code]],4, AN_TME23[[#All],[Advanced Network/Insurance Carrier Org ID]],Q226),2))</f>
        <v>TRUE</v>
      </c>
      <c r="AA226" s="295" t="str">
        <f>IF(V226=ROUND(SUMIFS(AN_TME23[[#All],[TOTAL Truncated Unadjusted Claims Expenses (A21 -A19)]], AN_TME23[[#All],[Insurance Category Code]],4, AN_TME23[[#All],[Advanced Network/Insurance Carrier Org ID]],Q226),2), "TRUE",ROUND( V226-SUMIFS(AN_TME23[[#All],[TOTAL Truncated Unadjusted Claims Expenses (A21 -A19)]], AN_TME23[[#All],[Insurance Category Code]],4, AN_TME23[[#All],[Advanced Network/Insurance Carrier Org ID]],Q226),2))</f>
        <v>TRUE</v>
      </c>
      <c r="AB226" s="461" t="str">
        <f t="shared" si="22"/>
        <v>TRUE</v>
      </c>
      <c r="AC226" s="282" t="b">
        <f>ROUND(SUMIFS(AN_TME23[[#All],[TOTAL Non-Truncated Unadjusted Claims Expenses]], AN_TME23[[#All],[Insurance Category Code]],4, AN_TME23[[#All],[Advanced Network/Insurance Carrier Org ID]],Q226),2)&gt;=ROUND(SUMIFS(AN_TME23[[#All],[TOTAL Truncated Unadjusted Claims Expenses (A21 -A19)]], AN_TME23[[#All],[Insurance Category Code]],4, AN_TME23[[#All],[Advanced Network/Insurance Carrier Org ID]],Q226),2)</f>
        <v>1</v>
      </c>
      <c r="AD226" s="295" t="b">
        <f>ROUND(SUMIFS(AN_TME23[[#All],[TOTAL Truncated Unadjusted Claims Expenses (A21 -A19)]], AN_TME23[[#All],[Insurance Category Code]],4, AN_TME23[[#All],[Advanced Network/Insurance Carrier Org ID]],Q226)+SUMIFS(AN_TME23[[#All],[Total Claims Excluded because of Truncation]], AN_TME23[[#All],[Insurance Category Code]],4, AN_TME23[[#All],[Advanced Network/Insurance Carrier Org ID]],Q226),2)=ROUND(SUMIFS(AN_TME23[[#All],[TOTAL Non-Truncated Unadjusted Claims Expenses]], AN_TME23[[#All],[Insurance Category Code]],4, AN_TME23[[#All],[Advanced Network/Insurance Carrier Org ID]],Q226),2)</f>
        <v>1</v>
      </c>
      <c r="AF226" s="323" t="str">
        <f t="shared" si="21"/>
        <v>NA</v>
      </c>
    </row>
    <row r="227" spans="2:32" outlineLevel="1" x14ac:dyDescent="0.25">
      <c r="B227" s="236">
        <v>130</v>
      </c>
      <c r="C227" s="463">
        <f>ROUND(SUMIFS(Age_Sex22[[#All],[Total Member Months by Age/Sex Band]], Age_Sex22[[#All],[Advanced Network ID]], $B227, Age_Sex22[[#All],[Insurance Category Code]],4),2)</f>
        <v>0</v>
      </c>
      <c r="D227" s="268">
        <f>ROUND(SUMIFS(Age_Sex22[[#All],[Total Dollars Excluded from Spending After Applying Truncation at the Member Level]], Age_Sex22[[#All],[Advanced Network ID]], $B227, Age_Sex22[[#All],[Insurance Category Code]],4),2)</f>
        <v>0</v>
      </c>
      <c r="E227" s="229">
        <f>ROUND(SUMIFS(Age_Sex22[[#All],[Count of Members whose Spending was Truncated]], Age_Sex22[[#All],[Advanced Network ID]], $B227, Age_Sex22[[#All],[Insurance Category Code]],4),2)</f>
        <v>0</v>
      </c>
      <c r="F227" s="230">
        <f>ROUND(SUMIFS(Age_Sex22[[#All],[Total Spending before Truncation is Applied]], Age_Sex22[[#All],[Advanced Network ID]], $B227, Age_Sex22[[#All],[Insurance Category Code]],4),2)</f>
        <v>0</v>
      </c>
      <c r="G227" s="232">
        <f>ROUND(SUMIFS(Age_Sex22[[#All],[Total Spending After Applying Truncation at the Member Level]], Age_Sex22[[#All],[Advanced Network ID]], $B227, Age_Sex22[[#All],[Insurance Category Code]],4),2)</f>
        <v>0</v>
      </c>
      <c r="H227" s="416" t="str">
        <f>IF(C227=ROUND(SUMIFS(AN_TME22[[#All],[Member Months]], AN_TME22[[#All],[Insurance Category Code]],4, AN_TME22[[#All],[Advanced Network/Insurance Carrier Org ID]],B227),2), "TRUE", ROUND(C227-SUMIFS(AN_TME22[[#All],[Member Months]], AN_TME22[[#All],[Insurance Category Code]],4, AN_TME22[[#All],[Advanced Network/Insurance Carrier Org ID]],B227),2))</f>
        <v>TRUE</v>
      </c>
      <c r="I227" s="280" t="str">
        <f>IF(D227=ROUND(SUMIFS(AN_TME22[[#All],[Total Claims Excluded because of Truncation]], AN_TME22[[#All],[Insurance Category Code]],4, AN_TME22[[#All],[Advanced Network/Insurance Carrier Org ID]],B227),2), "TRUE", ROUND(D227-SUMIFS(AN_TME22[[#All],[Total Claims Excluded because of Truncation]], AN_TME22[[#All],[Insurance Category Code]],4, AN_TME22[[#All],[Advanced Network/Insurance Carrier Org ID]],B227),2))</f>
        <v>TRUE</v>
      </c>
      <c r="J227" s="281" t="str">
        <f>IF(E227=ROUND(SUMIFS(AN_TME22[[#All],[Count of Members with Claims Truncated]], AN_TME22[[#All],[Insurance Category Code]],4, AN_TME22[[#All],[Advanced Network/Insurance Carrier Org ID]],B227),2), "TRUE", ROUND(E227-SUMIFS(AN_TME22[[#All],[Count of Members with Claims Truncated]], AN_TME22[[#All],[Insurance Category Code]],4, AN_TME22[[#All],[Advanced Network/Insurance Carrier Org ID]],B227),2))</f>
        <v>TRUE</v>
      </c>
      <c r="K227" s="282" t="str">
        <f>IF(F227=ROUND(SUMIFS(AN_TME22[[#All],[TOTAL Non-Truncated Unadjusted Claims Expenses]], AN_TME22[[#All],[Insurance Category Code]],4, AN_TME22[[#All],[Advanced Network/Insurance Carrier Org ID]],B227),2), "TRUE", ROUND(F227-SUMIFS(AN_TME22[[#All],[TOTAL Non-Truncated Unadjusted Claims Expenses]], AN_TME22[[#All],[Insurance Category Code]],4, AN_TME22[[#All],[Advanced Network/Insurance Carrier Org ID]],B227),2))</f>
        <v>TRUE</v>
      </c>
      <c r="L227" s="295" t="str">
        <f>IF(G227=ROUND(SUMIFS(AN_TME22[[#All],[TOTAL Truncated Unadjusted Claims Expenses (A21 -A19)]], AN_TME22[[#All],[Insurance Category Code]],4, AN_TME22[[#All],[Advanced Network/Insurance Carrier Org ID]],B227),2), "TRUE", ROUND(G227-SUMIFS(AN_TME22[[#All],[TOTAL Truncated Unadjusted Claims Expenses (A21 -A19)]], AN_TME22[[#All],[Insurance Category Code]],4, AN_TME22[[#All],[Advanced Network/Insurance Carrier Org ID]],B227),2))</f>
        <v>TRUE</v>
      </c>
      <c r="M227" s="461" t="str">
        <f t="shared" si="19"/>
        <v>TRUE</v>
      </c>
      <c r="N227" s="282" t="b">
        <f>ROUND(SUMIFS(AN_TME22[[#All],[TOTAL Non-Truncated Unadjusted Claims Expenses]], AN_TME22[[#All],[Insurance Category Code]],4, AN_TME22[[#All],[Advanced Network/Insurance Carrier Org ID]],B227),2)&gt;=ROUND(SUMIFS(AN_TME22[[#All],[TOTAL Truncated Unadjusted Claims Expenses (A21 -A19)]], AN_TME22[[#All],[Insurance Category Code]],4, AN_TME22[[#All],[Advanced Network/Insurance Carrier Org ID]],B227),2)</f>
        <v>1</v>
      </c>
      <c r="O227" s="295" t="b">
        <f>ROUND(SUMIFS(AN_TME22[[#All],[TOTAL Truncated Unadjusted Claims Expenses (A21 -A19)]], AN_TME22[[#All],[Insurance Category Code]],4, AN_TME22[[#All],[Advanced Network/Insurance Carrier Org ID]],B227)+SUMIFS(AN_TME22[[#All],[Total Claims Excluded because of Truncation]], AN_TME22[[#All],[Insurance Category Code]],4, AN_TME22[[#All],[Advanced Network/Insurance Carrier Org ID]],B227),2)=ROUND(SUMIFS(AN_TME22[[#All],[TOTAL Non-Truncated Unadjusted Claims Expenses]], AN_TME22[[#All],[Insurance Category Code]],4, AN_TME22[[#All],[Advanced Network/Insurance Carrier Org ID]],B227),2)</f>
        <v>1</v>
      </c>
      <c r="Q227" s="236">
        <v>130</v>
      </c>
      <c r="R227" s="463">
        <f>ROUND(SUMIFS(Age_Sex23[[#All],[Total Member Months by Age/Sex Band]], Age_Sex23[[#All],[Advanced Network ID]], $Q227, Age_Sex23[[#All],[Insurance Category Code]],4),2)</f>
        <v>0</v>
      </c>
      <c r="S227" s="268">
        <f>ROUND(SUMIFS(Age_Sex23[[#All],[Total Dollars Excluded from Spending After Applying Truncation at the Member Level]], Age_Sex23[[#All],[Advanced Network ID]], $B227, Age_Sex23[[#All],[Insurance Category Code]],4),2)</f>
        <v>0</v>
      </c>
      <c r="T227" s="229">
        <f>ROUND(SUMIFS(Age_Sex23[[#All],[Count of Members whose Spending was Truncated]], Age_Sex23[[#All],[Advanced Network ID]], $B227, Age_Sex23[[#All],[Insurance Category Code]],4),2)</f>
        <v>0</v>
      </c>
      <c r="U227" s="230">
        <f>ROUND(SUMIFS(Age_Sex23[[#All],[Total Spending before Truncation is Applied]], Age_Sex23[[#All],[Advanced Network ID]], $B227, Age_Sex23[[#All],[Insurance Category Code]],4),2)</f>
        <v>0</v>
      </c>
      <c r="V227" s="232">
        <f>ROUND(SUMIFS(Age_Sex23[[#All],[Total Spending After Applying Truncation at the Member Level]], Age_Sex23[[#All],[Advanced Network ID]], $B227, Age_Sex23[[#All],[Insurance Category Code]],4),2)</f>
        <v>0</v>
      </c>
      <c r="W227" s="416" t="str">
        <f>IF(R227=ROUND(SUMIFS(AN_TME23[[#All],[Member Months]], AN_TME23[[#All],[Insurance Category Code]],4, AN_TME23[[#All],[Advanced Network/Insurance Carrier Org ID]],Q227),2), "TRUE", ROUND(R227-SUMIFS(AN_TME23[[#All],[Member Months]], AN_TME23[[#All],[Insurance Category Code]],4, AN_TME23[[#All],[Advanced Network/Insurance Carrier Org ID]],Q227),2))</f>
        <v>TRUE</v>
      </c>
      <c r="X227" s="280" t="str">
        <f>IF(S227=ROUND(SUMIFS(AN_TME23[[#All],[Total Claims Excluded because of Truncation]], AN_TME23[[#All],[Insurance Category Code]],4, AN_TME23[[#All],[Advanced Network/Insurance Carrier Org ID]],Q227),2), "TRUE", ROUND(S227-SUMIFS(AN_TME23[[#All],[Total Claims Excluded because of Truncation]], AN_TME23[[#All],[Insurance Category Code]],4, AN_TME23[[#All],[Advanced Network/Insurance Carrier Org ID]],Q227),2))</f>
        <v>TRUE</v>
      </c>
      <c r="Y227" s="281" t="str">
        <f>IF(T227=ROUND(SUMIFS(AN_TME23[[#All],[Count of Members with Claims Truncated]], AN_TME23[[#All],[Insurance Category Code]],4, AN_TME23[[#All],[Advanced Network/Insurance Carrier Org ID]],Q227),2), "TRUE", ROUND(T227-SUMIFS(AN_TME23[[#All],[Count of Members with Claims Truncated]], AN_TME23[[#All],[Insurance Category Code]],4, AN_TME23[[#All],[Advanced Network/Insurance Carrier Org ID]],Q227),2))</f>
        <v>TRUE</v>
      </c>
      <c r="Z227" s="282" t="str">
        <f>IF(U227=ROUND(SUMIFS(AN_TME23[[#All],[TOTAL Non-Truncated Unadjusted Claims Expenses]], AN_TME23[[#All],[Insurance Category Code]],4, AN_TME23[[#All],[Advanced Network/Insurance Carrier Org ID]],Q227),2), "TRUE", ROUND(U227-SUMIFS(AN_TME23[[#All],[TOTAL Non-Truncated Unadjusted Claims Expenses]], AN_TME23[[#All],[Insurance Category Code]],4, AN_TME23[[#All],[Advanced Network/Insurance Carrier Org ID]],Q227),2))</f>
        <v>TRUE</v>
      </c>
      <c r="AA227" s="295" t="str">
        <f>IF(V227=ROUND(SUMIFS(AN_TME23[[#All],[TOTAL Truncated Unadjusted Claims Expenses (A21 -A19)]], AN_TME23[[#All],[Insurance Category Code]],4, AN_TME23[[#All],[Advanced Network/Insurance Carrier Org ID]],Q227),2), "TRUE",ROUND( V227-SUMIFS(AN_TME23[[#All],[TOTAL Truncated Unadjusted Claims Expenses (A21 -A19)]], AN_TME23[[#All],[Insurance Category Code]],4, AN_TME23[[#All],[Advanced Network/Insurance Carrier Org ID]],Q227),2))</f>
        <v>TRUE</v>
      </c>
      <c r="AB227" s="461" t="str">
        <f t="shared" si="22"/>
        <v>TRUE</v>
      </c>
      <c r="AC227" s="282" t="b">
        <f>ROUND(SUMIFS(AN_TME23[[#All],[TOTAL Non-Truncated Unadjusted Claims Expenses]], AN_TME23[[#All],[Insurance Category Code]],4, AN_TME23[[#All],[Advanced Network/Insurance Carrier Org ID]],Q227),2)&gt;=ROUND(SUMIFS(AN_TME23[[#All],[TOTAL Truncated Unadjusted Claims Expenses (A21 -A19)]], AN_TME23[[#All],[Insurance Category Code]],4, AN_TME23[[#All],[Advanced Network/Insurance Carrier Org ID]],Q227),2)</f>
        <v>1</v>
      </c>
      <c r="AD227" s="295" t="b">
        <f>ROUND(SUMIFS(AN_TME23[[#All],[TOTAL Truncated Unadjusted Claims Expenses (A21 -A19)]], AN_TME23[[#All],[Insurance Category Code]],4, AN_TME23[[#All],[Advanced Network/Insurance Carrier Org ID]],Q227)+SUMIFS(AN_TME23[[#All],[Total Claims Excluded because of Truncation]], AN_TME23[[#All],[Insurance Category Code]],4, AN_TME23[[#All],[Advanced Network/Insurance Carrier Org ID]],Q227),2)=ROUND(SUMIFS(AN_TME23[[#All],[TOTAL Non-Truncated Unadjusted Claims Expenses]], AN_TME23[[#All],[Insurance Category Code]],4, AN_TME23[[#All],[Advanced Network/Insurance Carrier Org ID]],Q227),2)</f>
        <v>1</v>
      </c>
      <c r="AF227" s="323" t="str">
        <f t="shared" si="21"/>
        <v>NA</v>
      </c>
    </row>
    <row r="228" spans="2:32" outlineLevel="1" x14ac:dyDescent="0.25">
      <c r="B228" s="236">
        <v>131</v>
      </c>
      <c r="C228" s="463">
        <f>ROUND(SUMIFS(Age_Sex22[[#All],[Total Member Months by Age/Sex Band]], Age_Sex22[[#All],[Advanced Network ID]], $B228, Age_Sex22[[#All],[Insurance Category Code]],4),2)</f>
        <v>0</v>
      </c>
      <c r="D228" s="268">
        <f>ROUND(SUMIFS(Age_Sex22[[#All],[Total Dollars Excluded from Spending After Applying Truncation at the Member Level]], Age_Sex22[[#All],[Advanced Network ID]], $B228, Age_Sex22[[#All],[Insurance Category Code]],4),2)</f>
        <v>0</v>
      </c>
      <c r="E228" s="229">
        <f>ROUND(SUMIFS(Age_Sex22[[#All],[Count of Members whose Spending was Truncated]], Age_Sex22[[#All],[Advanced Network ID]], $B228, Age_Sex22[[#All],[Insurance Category Code]],4),2)</f>
        <v>0</v>
      </c>
      <c r="F228" s="230">
        <f>ROUND(SUMIFS(Age_Sex22[[#All],[Total Spending before Truncation is Applied]], Age_Sex22[[#All],[Advanced Network ID]], $B228, Age_Sex22[[#All],[Insurance Category Code]],4),2)</f>
        <v>0</v>
      </c>
      <c r="G228" s="232">
        <f>ROUND(SUMIFS(Age_Sex22[[#All],[Total Spending After Applying Truncation at the Member Level]], Age_Sex22[[#All],[Advanced Network ID]], $B228, Age_Sex22[[#All],[Insurance Category Code]],4),2)</f>
        <v>0</v>
      </c>
      <c r="H228" s="416" t="str">
        <f>IF(C228=ROUND(SUMIFS(AN_TME22[[#All],[Member Months]], AN_TME22[[#All],[Insurance Category Code]],4, AN_TME22[[#All],[Advanced Network/Insurance Carrier Org ID]],B228),2), "TRUE", ROUND(C228-SUMIFS(AN_TME22[[#All],[Member Months]], AN_TME22[[#All],[Insurance Category Code]],4, AN_TME22[[#All],[Advanced Network/Insurance Carrier Org ID]],B228),2))</f>
        <v>TRUE</v>
      </c>
      <c r="I228" s="280" t="str">
        <f>IF(D228=ROUND(SUMIFS(AN_TME22[[#All],[Total Claims Excluded because of Truncation]], AN_TME22[[#All],[Insurance Category Code]],4, AN_TME22[[#All],[Advanced Network/Insurance Carrier Org ID]],B228),2), "TRUE", ROUND(D228-SUMIFS(AN_TME22[[#All],[Total Claims Excluded because of Truncation]], AN_TME22[[#All],[Insurance Category Code]],4, AN_TME22[[#All],[Advanced Network/Insurance Carrier Org ID]],B228),2))</f>
        <v>TRUE</v>
      </c>
      <c r="J228" s="281" t="str">
        <f>IF(E228=ROUND(SUMIFS(AN_TME22[[#All],[Count of Members with Claims Truncated]], AN_TME22[[#All],[Insurance Category Code]],4, AN_TME22[[#All],[Advanced Network/Insurance Carrier Org ID]],B228),2), "TRUE", ROUND(E228-SUMIFS(AN_TME22[[#All],[Count of Members with Claims Truncated]], AN_TME22[[#All],[Insurance Category Code]],4, AN_TME22[[#All],[Advanced Network/Insurance Carrier Org ID]],B228),2))</f>
        <v>TRUE</v>
      </c>
      <c r="K228" s="282" t="str">
        <f>IF(F228=ROUND(SUMIFS(AN_TME22[[#All],[TOTAL Non-Truncated Unadjusted Claims Expenses]], AN_TME22[[#All],[Insurance Category Code]],4, AN_TME22[[#All],[Advanced Network/Insurance Carrier Org ID]],B228),2), "TRUE", ROUND(F228-SUMIFS(AN_TME22[[#All],[TOTAL Non-Truncated Unadjusted Claims Expenses]], AN_TME22[[#All],[Insurance Category Code]],4, AN_TME22[[#All],[Advanced Network/Insurance Carrier Org ID]],B228),2))</f>
        <v>TRUE</v>
      </c>
      <c r="L228" s="295" t="str">
        <f>IF(G228=ROUND(SUMIFS(AN_TME22[[#All],[TOTAL Truncated Unadjusted Claims Expenses (A21 -A19)]], AN_TME22[[#All],[Insurance Category Code]],4, AN_TME22[[#All],[Advanced Network/Insurance Carrier Org ID]],B228),2), "TRUE", ROUND(G228-SUMIFS(AN_TME22[[#All],[TOTAL Truncated Unadjusted Claims Expenses (A21 -A19)]], AN_TME22[[#All],[Insurance Category Code]],4, AN_TME22[[#All],[Advanced Network/Insurance Carrier Org ID]],B228),2))</f>
        <v>TRUE</v>
      </c>
      <c r="M228" s="461" t="str">
        <f t="shared" si="19"/>
        <v>TRUE</v>
      </c>
      <c r="N228" s="282" t="b">
        <f>ROUND(SUMIFS(AN_TME22[[#All],[TOTAL Non-Truncated Unadjusted Claims Expenses]], AN_TME22[[#All],[Insurance Category Code]],4, AN_TME22[[#All],[Advanced Network/Insurance Carrier Org ID]],B228),2)&gt;=ROUND(SUMIFS(AN_TME22[[#All],[TOTAL Truncated Unadjusted Claims Expenses (A21 -A19)]], AN_TME22[[#All],[Insurance Category Code]],4, AN_TME22[[#All],[Advanced Network/Insurance Carrier Org ID]],B228),2)</f>
        <v>1</v>
      </c>
      <c r="O228" s="295" t="b">
        <f>ROUND(SUMIFS(AN_TME22[[#All],[TOTAL Truncated Unadjusted Claims Expenses (A21 -A19)]], AN_TME22[[#All],[Insurance Category Code]],4, AN_TME22[[#All],[Advanced Network/Insurance Carrier Org ID]],B228)+SUMIFS(AN_TME22[[#All],[Total Claims Excluded because of Truncation]], AN_TME22[[#All],[Insurance Category Code]],4, AN_TME22[[#All],[Advanced Network/Insurance Carrier Org ID]],B228),2)=ROUND(SUMIFS(AN_TME22[[#All],[TOTAL Non-Truncated Unadjusted Claims Expenses]], AN_TME22[[#All],[Insurance Category Code]],4, AN_TME22[[#All],[Advanced Network/Insurance Carrier Org ID]],B228),2)</f>
        <v>1</v>
      </c>
      <c r="Q228" s="236">
        <v>131</v>
      </c>
      <c r="R228" s="463">
        <f>ROUND(SUMIFS(Age_Sex23[[#All],[Total Member Months by Age/Sex Band]], Age_Sex23[[#All],[Advanced Network ID]], $Q228, Age_Sex23[[#All],[Insurance Category Code]],4),2)</f>
        <v>0</v>
      </c>
      <c r="S228" s="268">
        <f>ROUND(SUMIFS(Age_Sex23[[#All],[Total Dollars Excluded from Spending After Applying Truncation at the Member Level]], Age_Sex23[[#All],[Advanced Network ID]], $B228, Age_Sex23[[#All],[Insurance Category Code]],4),2)</f>
        <v>0</v>
      </c>
      <c r="T228" s="229">
        <f>ROUND(SUMIFS(Age_Sex23[[#All],[Count of Members whose Spending was Truncated]], Age_Sex23[[#All],[Advanced Network ID]], $B228, Age_Sex23[[#All],[Insurance Category Code]],4),2)</f>
        <v>0</v>
      </c>
      <c r="U228" s="230">
        <f>ROUND(SUMIFS(Age_Sex23[[#All],[Total Spending before Truncation is Applied]], Age_Sex23[[#All],[Advanced Network ID]], $B228, Age_Sex23[[#All],[Insurance Category Code]],4),2)</f>
        <v>0</v>
      </c>
      <c r="V228" s="232">
        <f>ROUND(SUMIFS(Age_Sex23[[#All],[Total Spending After Applying Truncation at the Member Level]], Age_Sex23[[#All],[Advanced Network ID]], $B228, Age_Sex23[[#All],[Insurance Category Code]],4),2)</f>
        <v>0</v>
      </c>
      <c r="W228" s="416" t="str">
        <f>IF(R228=ROUND(SUMIFS(AN_TME23[[#All],[Member Months]], AN_TME23[[#All],[Insurance Category Code]],4, AN_TME23[[#All],[Advanced Network/Insurance Carrier Org ID]],Q228),2), "TRUE", ROUND(R228-SUMIFS(AN_TME23[[#All],[Member Months]], AN_TME23[[#All],[Insurance Category Code]],4, AN_TME23[[#All],[Advanced Network/Insurance Carrier Org ID]],Q228),2))</f>
        <v>TRUE</v>
      </c>
      <c r="X228" s="280" t="str">
        <f>IF(S228=ROUND(SUMIFS(AN_TME23[[#All],[Total Claims Excluded because of Truncation]], AN_TME23[[#All],[Insurance Category Code]],4, AN_TME23[[#All],[Advanced Network/Insurance Carrier Org ID]],Q228),2), "TRUE", ROUND(S228-SUMIFS(AN_TME23[[#All],[Total Claims Excluded because of Truncation]], AN_TME23[[#All],[Insurance Category Code]],4, AN_TME23[[#All],[Advanced Network/Insurance Carrier Org ID]],Q228),2))</f>
        <v>TRUE</v>
      </c>
      <c r="Y228" s="281" t="str">
        <f>IF(T228=ROUND(SUMIFS(AN_TME23[[#All],[Count of Members with Claims Truncated]], AN_TME23[[#All],[Insurance Category Code]],4, AN_TME23[[#All],[Advanced Network/Insurance Carrier Org ID]],Q228),2), "TRUE", ROUND(T228-SUMIFS(AN_TME23[[#All],[Count of Members with Claims Truncated]], AN_TME23[[#All],[Insurance Category Code]],4, AN_TME23[[#All],[Advanced Network/Insurance Carrier Org ID]],Q228),2))</f>
        <v>TRUE</v>
      </c>
      <c r="Z228" s="282" t="str">
        <f>IF(U228=ROUND(SUMIFS(AN_TME23[[#All],[TOTAL Non-Truncated Unadjusted Claims Expenses]], AN_TME23[[#All],[Insurance Category Code]],4, AN_TME23[[#All],[Advanced Network/Insurance Carrier Org ID]],Q228),2), "TRUE", ROUND(U228-SUMIFS(AN_TME23[[#All],[TOTAL Non-Truncated Unadjusted Claims Expenses]], AN_TME23[[#All],[Insurance Category Code]],4, AN_TME23[[#All],[Advanced Network/Insurance Carrier Org ID]],Q228),2))</f>
        <v>TRUE</v>
      </c>
      <c r="AA228" s="295" t="str">
        <f>IF(V228=ROUND(SUMIFS(AN_TME23[[#All],[TOTAL Truncated Unadjusted Claims Expenses (A21 -A19)]], AN_TME23[[#All],[Insurance Category Code]],4, AN_TME23[[#All],[Advanced Network/Insurance Carrier Org ID]],Q228),2), "TRUE",ROUND( V228-SUMIFS(AN_TME23[[#All],[TOTAL Truncated Unadjusted Claims Expenses (A21 -A19)]], AN_TME23[[#All],[Insurance Category Code]],4, AN_TME23[[#All],[Advanced Network/Insurance Carrier Org ID]],Q228),2))</f>
        <v>TRUE</v>
      </c>
      <c r="AB228" s="461" t="str">
        <f t="shared" si="22"/>
        <v>TRUE</v>
      </c>
      <c r="AC228" s="282" t="b">
        <f>ROUND(SUMIFS(AN_TME23[[#All],[TOTAL Non-Truncated Unadjusted Claims Expenses]], AN_TME23[[#All],[Insurance Category Code]],4, AN_TME23[[#All],[Advanced Network/Insurance Carrier Org ID]],Q228),2)&gt;=ROUND(SUMIFS(AN_TME23[[#All],[TOTAL Truncated Unadjusted Claims Expenses (A21 -A19)]], AN_TME23[[#All],[Insurance Category Code]],4, AN_TME23[[#All],[Advanced Network/Insurance Carrier Org ID]],Q228),2)</f>
        <v>1</v>
      </c>
      <c r="AD228" s="295" t="b">
        <f>ROUND(SUMIFS(AN_TME23[[#All],[TOTAL Truncated Unadjusted Claims Expenses (A21 -A19)]], AN_TME23[[#All],[Insurance Category Code]],4, AN_TME23[[#All],[Advanced Network/Insurance Carrier Org ID]],Q228)+SUMIFS(AN_TME23[[#All],[Total Claims Excluded because of Truncation]], AN_TME23[[#All],[Insurance Category Code]],4, AN_TME23[[#All],[Advanced Network/Insurance Carrier Org ID]],Q228),2)=ROUND(SUMIFS(AN_TME23[[#All],[TOTAL Non-Truncated Unadjusted Claims Expenses]], AN_TME23[[#All],[Insurance Category Code]],4, AN_TME23[[#All],[Advanced Network/Insurance Carrier Org ID]],Q228),2)</f>
        <v>1</v>
      </c>
      <c r="AF228" s="323" t="str">
        <f t="shared" si="21"/>
        <v>NA</v>
      </c>
    </row>
    <row r="229" spans="2:32" ht="15.75" outlineLevel="1" thickBot="1" x14ac:dyDescent="0.3">
      <c r="B229" s="237">
        <v>999</v>
      </c>
      <c r="C229" s="463">
        <f>ROUND(SUMIFS(Age_Sex22[[#All],[Total Member Months by Age/Sex Band]], Age_Sex22[[#All],[Advanced Network ID]], $B229, Age_Sex22[[#All],[Insurance Category Code]],4),2)</f>
        <v>0</v>
      </c>
      <c r="D229" s="268">
        <f>ROUND(SUMIFS(Age_Sex22[[#All],[Total Dollars Excluded from Spending After Applying Truncation at the Member Level]], Age_Sex22[[#All],[Advanced Network ID]], $B229, Age_Sex22[[#All],[Insurance Category Code]],4),2)</f>
        <v>0</v>
      </c>
      <c r="E229" s="229">
        <f>ROUND(SUMIFS(Age_Sex22[[#All],[Count of Members whose Spending was Truncated]], Age_Sex22[[#All],[Advanced Network ID]], $B229, Age_Sex22[[#All],[Insurance Category Code]],4),2)</f>
        <v>0</v>
      </c>
      <c r="F229" s="230">
        <f>ROUND(SUMIFS(Age_Sex22[[#All],[Total Spending before Truncation is Applied]], Age_Sex22[[#All],[Advanced Network ID]], $B229, Age_Sex22[[#All],[Insurance Category Code]],4),2)</f>
        <v>0</v>
      </c>
      <c r="G229" s="232">
        <f>ROUND(SUMIFS(Age_Sex22[[#All],[Total Spending After Applying Truncation at the Member Level]], Age_Sex22[[#All],[Advanced Network ID]], $B229, Age_Sex22[[#All],[Insurance Category Code]],4),2)</f>
        <v>0</v>
      </c>
      <c r="H229" s="416" t="str">
        <f>IF(C229=ROUND(SUMIFS(AN_TME22[[#All],[Member Months]], AN_TME22[[#All],[Insurance Category Code]],4, AN_TME22[[#All],[Advanced Network/Insurance Carrier Org ID]],B229),2), "TRUE", ROUND(C229-SUMIFS(AN_TME22[[#All],[Member Months]], AN_TME22[[#All],[Insurance Category Code]],4, AN_TME22[[#All],[Advanced Network/Insurance Carrier Org ID]],B229),2))</f>
        <v>TRUE</v>
      </c>
      <c r="I229" s="280" t="str">
        <f>IF(D229=ROUND(SUMIFS(AN_TME22[[#All],[Total Claims Excluded because of Truncation]], AN_TME22[[#All],[Insurance Category Code]],4, AN_TME22[[#All],[Advanced Network/Insurance Carrier Org ID]],B229),2), "TRUE", ROUND(D229-SUMIFS(AN_TME22[[#All],[Total Claims Excluded because of Truncation]], AN_TME22[[#All],[Insurance Category Code]],4, AN_TME22[[#All],[Advanced Network/Insurance Carrier Org ID]],B229),2))</f>
        <v>TRUE</v>
      </c>
      <c r="J229" s="281" t="str">
        <f>IF(E229=ROUND(SUMIFS(AN_TME22[[#All],[Count of Members with Claims Truncated]], AN_TME22[[#All],[Insurance Category Code]],4, AN_TME22[[#All],[Advanced Network/Insurance Carrier Org ID]],B229),2), "TRUE", ROUND(E229-SUMIFS(AN_TME22[[#All],[Count of Members with Claims Truncated]], AN_TME22[[#All],[Insurance Category Code]],4, AN_TME22[[#All],[Advanced Network/Insurance Carrier Org ID]],B229),2))</f>
        <v>TRUE</v>
      </c>
      <c r="K229" s="282" t="str">
        <f>IF(F229=ROUND(SUMIFS(AN_TME22[[#All],[TOTAL Non-Truncated Unadjusted Claims Expenses]], AN_TME22[[#All],[Insurance Category Code]],4, AN_TME22[[#All],[Advanced Network/Insurance Carrier Org ID]],B229),2), "TRUE", ROUND(F229-SUMIFS(AN_TME22[[#All],[TOTAL Non-Truncated Unadjusted Claims Expenses]], AN_TME22[[#All],[Insurance Category Code]],4, AN_TME22[[#All],[Advanced Network/Insurance Carrier Org ID]],B229),2))</f>
        <v>TRUE</v>
      </c>
      <c r="L229" s="295" t="str">
        <f>IF(G229=ROUND(SUMIFS(AN_TME22[[#All],[TOTAL Truncated Unadjusted Claims Expenses (A21 -A19)]], AN_TME22[[#All],[Insurance Category Code]],4, AN_TME22[[#All],[Advanced Network/Insurance Carrier Org ID]],B229),2), "TRUE", ROUND(G229-SUMIFS(AN_TME22[[#All],[TOTAL Truncated Unadjusted Claims Expenses (A21 -A19)]], AN_TME22[[#All],[Insurance Category Code]],4, AN_TME22[[#All],[Advanced Network/Insurance Carrier Org ID]],B229),2))</f>
        <v>TRUE</v>
      </c>
      <c r="M229" s="462" t="str">
        <f t="shared" si="19"/>
        <v>TRUE</v>
      </c>
      <c r="N229" s="282" t="b">
        <f>ROUND(SUMIFS(AN_TME22[[#All],[TOTAL Non-Truncated Unadjusted Claims Expenses]], AN_TME22[[#All],[Insurance Category Code]],4, AN_TME22[[#All],[Advanced Network/Insurance Carrier Org ID]],B229),2)&gt;=ROUND(SUMIFS(AN_TME22[[#All],[TOTAL Truncated Unadjusted Claims Expenses (A21 -A19)]], AN_TME22[[#All],[Insurance Category Code]],4, AN_TME22[[#All],[Advanced Network/Insurance Carrier Org ID]],B229),2)</f>
        <v>1</v>
      </c>
      <c r="O229" s="295" t="b">
        <f>ROUND(SUMIFS(AN_TME22[[#All],[TOTAL Truncated Unadjusted Claims Expenses (A21 -A19)]], AN_TME22[[#All],[Insurance Category Code]],4, AN_TME22[[#All],[Advanced Network/Insurance Carrier Org ID]],B229)+SUMIFS(AN_TME22[[#All],[Total Claims Excluded because of Truncation]], AN_TME22[[#All],[Insurance Category Code]],4, AN_TME22[[#All],[Advanced Network/Insurance Carrier Org ID]],B229),2)=ROUND(SUMIFS(AN_TME22[[#All],[TOTAL Non-Truncated Unadjusted Claims Expenses]], AN_TME22[[#All],[Insurance Category Code]],4, AN_TME22[[#All],[Advanced Network/Insurance Carrier Org ID]],B229),2)</f>
        <v>1</v>
      </c>
      <c r="Q229" s="237">
        <v>999</v>
      </c>
      <c r="R229" s="463">
        <f>ROUND(SUMIFS(Age_Sex23[[#All],[Total Member Months by Age/Sex Band]], Age_Sex23[[#All],[Advanced Network ID]], $Q229, Age_Sex23[[#All],[Insurance Category Code]],4),2)</f>
        <v>0</v>
      </c>
      <c r="S229" s="268">
        <f>ROUND(SUMIFS(Age_Sex23[[#All],[Total Dollars Excluded from Spending After Applying Truncation at the Member Level]], Age_Sex23[[#All],[Advanced Network ID]], $B229, Age_Sex23[[#All],[Insurance Category Code]],4),2)</f>
        <v>0</v>
      </c>
      <c r="T229" s="229">
        <f>ROUND(SUMIFS(Age_Sex23[[#All],[Count of Members whose Spending was Truncated]], Age_Sex23[[#All],[Advanced Network ID]], $B229, Age_Sex23[[#All],[Insurance Category Code]],4),2)</f>
        <v>0</v>
      </c>
      <c r="U229" s="230">
        <f>ROUND(SUMIFS(Age_Sex23[[#All],[Total Spending before Truncation is Applied]], Age_Sex23[[#All],[Advanced Network ID]], $B229, Age_Sex23[[#All],[Insurance Category Code]],4),2)</f>
        <v>0</v>
      </c>
      <c r="V229" s="232">
        <f>ROUND(SUMIFS(Age_Sex23[[#All],[Total Spending After Applying Truncation at the Member Level]], Age_Sex23[[#All],[Advanced Network ID]], $B229, Age_Sex23[[#All],[Insurance Category Code]],4),2)</f>
        <v>0</v>
      </c>
      <c r="W229" s="416" t="str">
        <f>IF(R229=ROUND(SUMIFS(AN_TME23[[#All],[Member Months]], AN_TME23[[#All],[Insurance Category Code]],4, AN_TME23[[#All],[Advanced Network/Insurance Carrier Org ID]],Q229),2), "TRUE", ROUND(R229-SUMIFS(AN_TME23[[#All],[Member Months]], AN_TME23[[#All],[Insurance Category Code]],4, AN_TME23[[#All],[Advanced Network/Insurance Carrier Org ID]],Q229),2))</f>
        <v>TRUE</v>
      </c>
      <c r="X229" s="280" t="str">
        <f>IF(S229=ROUND(SUMIFS(AN_TME23[[#All],[Total Claims Excluded because of Truncation]], AN_TME23[[#All],[Insurance Category Code]],4, AN_TME23[[#All],[Advanced Network/Insurance Carrier Org ID]],Q229),2), "TRUE", ROUND(S229-SUMIFS(AN_TME23[[#All],[Total Claims Excluded because of Truncation]], AN_TME23[[#All],[Insurance Category Code]],4, AN_TME23[[#All],[Advanced Network/Insurance Carrier Org ID]],Q229),2))</f>
        <v>TRUE</v>
      </c>
      <c r="Y229" s="281" t="str">
        <f>IF(T229=ROUND(SUMIFS(AN_TME23[[#All],[Count of Members with Claims Truncated]], AN_TME23[[#All],[Insurance Category Code]],4, AN_TME23[[#All],[Advanced Network/Insurance Carrier Org ID]],Q229),2), "TRUE", ROUND(T229-SUMIFS(AN_TME23[[#All],[Count of Members with Claims Truncated]], AN_TME23[[#All],[Insurance Category Code]],4, AN_TME23[[#All],[Advanced Network/Insurance Carrier Org ID]],Q229),2))</f>
        <v>TRUE</v>
      </c>
      <c r="Z229" s="282" t="str">
        <f>IF(U229=ROUND(SUMIFS(AN_TME23[[#All],[TOTAL Non-Truncated Unadjusted Claims Expenses]], AN_TME23[[#All],[Insurance Category Code]],4, AN_TME23[[#All],[Advanced Network/Insurance Carrier Org ID]],Q229),2), "TRUE", ROUND(U229-SUMIFS(AN_TME23[[#All],[TOTAL Non-Truncated Unadjusted Claims Expenses]], AN_TME23[[#All],[Insurance Category Code]],4, AN_TME23[[#All],[Advanced Network/Insurance Carrier Org ID]],Q229),2))</f>
        <v>TRUE</v>
      </c>
      <c r="AA229" s="295" t="str">
        <f>IF(V229=ROUND(SUMIFS(AN_TME23[[#All],[TOTAL Truncated Unadjusted Claims Expenses (A21 -A19)]], AN_TME23[[#All],[Insurance Category Code]],4, AN_TME23[[#All],[Advanced Network/Insurance Carrier Org ID]],Q229),2), "TRUE",ROUND( V229-SUMIFS(AN_TME23[[#All],[TOTAL Truncated Unadjusted Claims Expenses (A21 -A19)]], AN_TME23[[#All],[Insurance Category Code]],4, AN_TME23[[#All],[Advanced Network/Insurance Carrier Org ID]],Q229),2))</f>
        <v>TRUE</v>
      </c>
      <c r="AB229" s="462" t="str">
        <f t="shared" si="22"/>
        <v>TRUE</v>
      </c>
      <c r="AC229" s="282" t="b">
        <f>ROUND(SUMIFS(AN_TME23[[#All],[TOTAL Non-Truncated Unadjusted Claims Expenses]], AN_TME23[[#All],[Insurance Category Code]],4, AN_TME23[[#All],[Advanced Network/Insurance Carrier Org ID]],Q229),2)&gt;=ROUND(SUMIFS(AN_TME23[[#All],[TOTAL Truncated Unadjusted Claims Expenses (A21 -A19)]], AN_TME23[[#All],[Insurance Category Code]],4, AN_TME23[[#All],[Advanced Network/Insurance Carrier Org ID]],Q229),2)</f>
        <v>1</v>
      </c>
      <c r="AD229" s="295" t="b">
        <f>ROUND(SUMIFS(AN_TME23[[#All],[TOTAL Truncated Unadjusted Claims Expenses (A21 -A19)]], AN_TME23[[#All],[Insurance Category Code]],4, AN_TME23[[#All],[Advanced Network/Insurance Carrier Org ID]],Q229)+SUMIFS(AN_TME23[[#All],[Total Claims Excluded because of Truncation]], AN_TME23[[#All],[Insurance Category Code]],4, AN_TME23[[#All],[Advanced Network/Insurance Carrier Org ID]],Q229),2)=ROUND(SUMIFS(AN_TME23[[#All],[TOTAL Non-Truncated Unadjusted Claims Expenses]], AN_TME23[[#All],[Insurance Category Code]],4, AN_TME23[[#All],[Advanced Network/Insurance Carrier Org ID]],Q229),2)</f>
        <v>1</v>
      </c>
      <c r="AF229" s="324" t="str">
        <f t="shared" si="21"/>
        <v>NA</v>
      </c>
    </row>
    <row r="230" spans="2:32" outlineLevel="1" x14ac:dyDescent="0.25">
      <c r="B230" s="31"/>
      <c r="C230" s="31"/>
      <c r="D230" s="14"/>
      <c r="E230" s="117"/>
    </row>
    <row r="231" spans="2:32" outlineLevel="1" x14ac:dyDescent="0.25">
      <c r="B231" s="363" t="s">
        <v>366</v>
      </c>
      <c r="C231" s="14"/>
      <c r="D231" s="117"/>
      <c r="L231" s="231"/>
      <c r="M231" s="231"/>
      <c r="N231" s="231"/>
      <c r="O231" s="231"/>
      <c r="Q231" s="363" t="s">
        <v>366</v>
      </c>
    </row>
    <row r="232" spans="2:32" ht="19.5" outlineLevel="1" thickBot="1" x14ac:dyDescent="0.35">
      <c r="B232" s="279"/>
      <c r="C232" s="231"/>
      <c r="D232" s="14"/>
      <c r="E232" s="117"/>
      <c r="Q232" s="279"/>
      <c r="R232" s="231"/>
      <c r="S232" s="14"/>
      <c r="T232" s="117"/>
    </row>
    <row r="233" spans="2:32" ht="24" outlineLevel="1" thickBot="1" x14ac:dyDescent="0.4">
      <c r="B233" s="307" t="s">
        <v>388</v>
      </c>
      <c r="C233" s="617" t="s">
        <v>375</v>
      </c>
      <c r="D233" s="618"/>
      <c r="E233" s="618"/>
      <c r="F233" s="618"/>
      <c r="G233" s="619"/>
      <c r="H233" s="620" t="s">
        <v>376</v>
      </c>
      <c r="I233" s="621"/>
      <c r="J233" s="621"/>
      <c r="K233" s="621"/>
      <c r="L233" s="622"/>
      <c r="M233" s="614" t="s">
        <v>374</v>
      </c>
      <c r="N233" s="615"/>
      <c r="O233" s="616"/>
      <c r="Q233" s="307"/>
      <c r="R233" s="617" t="s">
        <v>441</v>
      </c>
      <c r="S233" s="618"/>
      <c r="T233" s="618"/>
      <c r="U233" s="618"/>
      <c r="V233" s="619"/>
      <c r="W233" s="620" t="s">
        <v>442</v>
      </c>
      <c r="X233" s="621"/>
      <c r="Y233" s="621"/>
      <c r="Z233" s="621"/>
      <c r="AA233" s="622"/>
      <c r="AB233" s="614" t="s">
        <v>374</v>
      </c>
      <c r="AC233" s="615"/>
      <c r="AD233" s="616"/>
    </row>
    <row r="234" spans="2:32" ht="105" customHeight="1" outlineLevel="1" thickBot="1" x14ac:dyDescent="0.3">
      <c r="B234" s="297" t="s">
        <v>235</v>
      </c>
      <c r="C234" s="298" t="s">
        <v>151</v>
      </c>
      <c r="D234" s="299" t="s">
        <v>236</v>
      </c>
      <c r="E234" s="299" t="s">
        <v>377</v>
      </c>
      <c r="F234" s="299" t="s">
        <v>153</v>
      </c>
      <c r="G234" s="300" t="s">
        <v>157</v>
      </c>
      <c r="H234" s="301" t="s">
        <v>211</v>
      </c>
      <c r="I234" s="302" t="s">
        <v>378</v>
      </c>
      <c r="J234" s="302" t="s">
        <v>379</v>
      </c>
      <c r="K234" s="302" t="s">
        <v>380</v>
      </c>
      <c r="L234" s="303" t="s">
        <v>381</v>
      </c>
      <c r="M234" s="304" t="s">
        <v>382</v>
      </c>
      <c r="N234" s="305" t="s">
        <v>383</v>
      </c>
      <c r="O234" s="306" t="s">
        <v>384</v>
      </c>
      <c r="Q234" s="297" t="s">
        <v>235</v>
      </c>
      <c r="R234" s="298" t="s">
        <v>151</v>
      </c>
      <c r="S234" s="299" t="s">
        <v>236</v>
      </c>
      <c r="T234" s="299" t="s">
        <v>377</v>
      </c>
      <c r="U234" s="299" t="s">
        <v>153</v>
      </c>
      <c r="V234" s="300" t="s">
        <v>157</v>
      </c>
      <c r="W234" s="301" t="s">
        <v>211</v>
      </c>
      <c r="X234" s="302" t="s">
        <v>378</v>
      </c>
      <c r="Y234" s="302" t="s">
        <v>379</v>
      </c>
      <c r="Z234" s="302" t="s">
        <v>380</v>
      </c>
      <c r="AA234" s="303" t="s">
        <v>381</v>
      </c>
      <c r="AB234" s="304" t="s">
        <v>382</v>
      </c>
      <c r="AC234" s="305" t="s">
        <v>383</v>
      </c>
      <c r="AD234" s="306" t="s">
        <v>384</v>
      </c>
      <c r="AF234" s="321" t="s">
        <v>458</v>
      </c>
    </row>
    <row r="235" spans="2:32" outlineLevel="1" x14ac:dyDescent="0.25">
      <c r="B235" s="236">
        <v>100</v>
      </c>
      <c r="C235" s="463">
        <f>ROUND(SUMIFS(Age_Sex22[[#All],[Total Member Months by Age/Sex Band]], Age_Sex22[[#All],[Advanced Network ID]], $B235, Age_Sex22[[#All],[Insurance Category Code]],5),2)</f>
        <v>0</v>
      </c>
      <c r="D235" s="268">
        <f>ROUND(SUMIFS(Age_Sex22[[#All],[Total Dollars Excluded from Spending After Applying Truncation at the Member Level]], Age_Sex22[[#All],[Advanced Network ID]], $B235, Age_Sex22[[#All],[Insurance Category Code]],5),2)</f>
        <v>0</v>
      </c>
      <c r="E235" s="229">
        <f>ROUND(SUMIFS(Age_Sex22[[#All],[Count of Members whose Spending was Truncated]], Age_Sex22[[#All],[Advanced Network ID]], $B235, Age_Sex22[[#All],[Insurance Category Code]],5),2)</f>
        <v>0</v>
      </c>
      <c r="F235" s="230">
        <f>ROUND(SUMIFS(Age_Sex22[[#All],[Total Spending before Truncation is Applied]], Age_Sex22[[#All],[Advanced Network ID]], $B235, Age_Sex22[[#All],[Insurance Category Code]],5),2)</f>
        <v>0</v>
      </c>
      <c r="G235" s="232">
        <f>ROUND(SUMIFS(Age_Sex22[[#All],[Total Spending After Applying Truncation at the Member Level]], Age_Sex22[[#All],[Advanced Network ID]], $B235, Age_Sex22[[#All],[Insurance Category Code]],5), 2)</f>
        <v>0</v>
      </c>
      <c r="H235" s="416" t="str">
        <f>IF(C235=ROUND(SUMIFS(AN_TME22[[#All],[Member Months]], AN_TME22[[#All],[Insurance Category Code]],5, AN_TME22[[#All],[Advanced Network/Insurance Carrier Org ID]],B235),2), "TRUE", ROUND(C235-SUMIFS(AN_TME22[[#All],[Member Months]], AN_TME22[[#All],[Insurance Category Code]],5, AN_TME22[[#All],[Advanced Network/Insurance Carrier Org ID]],B235),2))</f>
        <v>TRUE</v>
      </c>
      <c r="I235" s="280" t="str">
        <f>IF(D235=ROUND(SUMIFS(AN_TME22[[#All],[Total Claims Excluded because of Truncation]], AN_TME22[[#All],[Insurance Category Code]],5, AN_TME22[[#All],[Advanced Network/Insurance Carrier Org ID]],B235),2), "TRUE", ROUND(D235-SUMIFS(AN_TME22[[#All],[Total Claims Excluded because of Truncation]], AN_TME22[[#All],[Insurance Category Code]],5, AN_TME22[[#All],[Advanced Network/Insurance Carrier Org ID]],B235), 2))</f>
        <v>TRUE</v>
      </c>
      <c r="J235" s="281" t="str">
        <f>IF(E235=ROUND(SUMIFS(AN_TME22[[#All],[Count of Members with Claims Truncated]], AN_TME22[[#All],[Insurance Category Code]],5, AN_TME22[[#All],[Advanced Network/Insurance Carrier Org ID]],B235),2), "TRUE", ROUND(E235-SUMIFS(AN_TME22[[#All],[Count of Members with Claims Truncated]], AN_TME22[[#All],[Insurance Category Code]],5, AN_TME22[[#All],[Advanced Network/Insurance Carrier Org ID]],B235),2))</f>
        <v>TRUE</v>
      </c>
      <c r="K235" s="282" t="str">
        <f>IF(F235=ROUND(SUMIFS(AN_TME22[[#All],[TOTAL Non-Truncated Unadjusted Claims Expenses]], AN_TME22[[#All],[Insurance Category Code]],5, AN_TME22[[#All],[Advanced Network/Insurance Carrier Org ID]],B235),2), "TRUE", ROUND(F235-SUMIFS(AN_TME22[[#All],[TOTAL Non-Truncated Unadjusted Claims Expenses]], AN_TME22[[#All],[Insurance Category Code]],5, AN_TME22[[#All],[Advanced Network/Insurance Carrier Org ID]],B235), 2))</f>
        <v>TRUE</v>
      </c>
      <c r="L235" s="295" t="str">
        <f>IF(G235=ROUND(SUMIFS(AN_TME22[[#All],[TOTAL Truncated Unadjusted Claims Expenses (A21 -A19)]], AN_TME22[[#All],[Insurance Category Code]],5, AN_TME22[[#All],[Advanced Network/Insurance Carrier Org ID]],B235),2), "TRUE", ROUND(G235-SUMIFS(AN_TME22[[#All],[TOTAL Truncated Unadjusted Claims Expenses (A21 -A19)]], AN_TME22[[#All],[Insurance Category Code]],5, AN_TME22[[#All],[Advanced Network/Insurance Carrier Org ID]],B235),2))</f>
        <v>TRUE</v>
      </c>
      <c r="M235" s="461" t="str">
        <f t="shared" ref="M235:M267" si="23">IF(E235=0, "TRUE",IF((C235/12)&gt;E235,"TRUE",(C235/12)-E235))</f>
        <v>TRUE</v>
      </c>
      <c r="N235" s="282" t="b">
        <f>ROUND(SUMIFS(AN_TME22[[#All],[TOTAL Non-Truncated Unadjusted Claims Expenses]], AN_TME22[[#All],[Insurance Category Code]],5, AN_TME22[[#All],[Advanced Network/Insurance Carrier Org ID]],B235),2)&gt;=ROUND(SUMIFS(AN_TME22[[#All],[TOTAL Truncated Unadjusted Claims Expenses (A21 -A19)]], AN_TME22[[#All],[Insurance Category Code]],5, AN_TME22[[#All],[Advanced Network/Insurance Carrier Org ID]],B235),2)</f>
        <v>1</v>
      </c>
      <c r="O235" s="295" t="b">
        <f>ROUND(SUMIFS(AN_TME22[[#All],[TOTAL Truncated Unadjusted Claims Expenses (A21 -A19)]], AN_TME22[[#All],[Insurance Category Code]],5, AN_TME22[[#All],[Advanced Network/Insurance Carrier Org ID]],B235)+SUMIFS(AN_TME22[[#All],[Total Claims Excluded because of Truncation]], AN_TME22[[#All],[Insurance Category Code]],5, AN_TME22[[#All],[Advanced Network/Insurance Carrier Org ID]],B235),2)=ROUND(SUMIFS(AN_TME22[[#All],[TOTAL Non-Truncated Unadjusted Claims Expenses]], AN_TME22[[#All],[Insurance Category Code]],5, AN_TME22[[#All],[Advanced Network/Insurance Carrier Org ID]],B235),2)</f>
        <v>1</v>
      </c>
      <c r="Q235" s="236">
        <v>100</v>
      </c>
      <c r="R235" s="463">
        <f>ROUND(SUMIFS(Age_Sex23[[#All],[Total Member Months by Age/Sex Band]], Age_Sex23[[#All],[Advanced Network ID]], $Q235, Age_Sex23[[#All],[Insurance Category Code]],5),2)</f>
        <v>0</v>
      </c>
      <c r="S235" s="268">
        <f>ROUND(SUMIFS(Age_Sex23[[#All],[Total Dollars Excluded from Spending After Applying Truncation at the Member Level]], Age_Sex23[[#All],[Advanced Network ID]], $B235, Age_Sex23[[#All],[Insurance Category Code]],5),2)</f>
        <v>0</v>
      </c>
      <c r="T235" s="229">
        <f>ROUND(SUMIFS(Age_Sex23[[#All],[Count of Members whose Spending was Truncated]], Age_Sex23[[#All],[Advanced Network ID]], $B235, Age_Sex23[[#All],[Insurance Category Code]],5),2)</f>
        <v>0</v>
      </c>
      <c r="U235" s="230">
        <f>ROUND(SUMIFS(Age_Sex23[[#All],[Total Spending before Truncation is Applied]], Age_Sex23[[#All],[Advanced Network ID]], $B235, Age_Sex23[[#All],[Insurance Category Code]],5), 2)</f>
        <v>0</v>
      </c>
      <c r="V235" s="232">
        <f>ROUND(SUMIFS(Age_Sex23[[#All],[Total Spending After Applying Truncation at the Member Level]], Age_Sex23[[#All],[Advanced Network ID]], $B235, Age_Sex23[[#All],[Insurance Category Code]],5),2)</f>
        <v>0</v>
      </c>
      <c r="W235" s="416" t="str">
        <f>IF(R235=ROUND(SUMIFS(AN_TME23[[#All],[Member Months]], AN_TME23[[#All],[Insurance Category Code]],5, AN_TME23[[#All],[Advanced Network/Insurance Carrier Org ID]],Q235),2), "TRUE", ROUND(R235-SUMIFS(AN_TME23[[#All],[Member Months]], AN_TME23[[#All],[Insurance Category Code]],5, AN_TME23[[#All],[Advanced Network/Insurance Carrier Org ID]],Q235),2))</f>
        <v>TRUE</v>
      </c>
      <c r="X235" s="280" t="str">
        <f>IF(S235=ROUND(SUMIFS(AN_TME23[[#All],[Total Claims Excluded because of Truncation]], AN_TME23[[#All],[Insurance Category Code]],5, AN_TME23[[#All],[Advanced Network/Insurance Carrier Org ID]],Q235),2), "TRUE", ROUND(S235-SUMIFS(AN_TME23[[#All],[Total Claims Excluded because of Truncation]], AN_TME23[[#All],[Insurance Category Code]],5, AN_TME23[[#All],[Advanced Network/Insurance Carrier Org ID]],Q235),2))</f>
        <v>TRUE</v>
      </c>
      <c r="Y235" s="281" t="str">
        <f>IF(T235=ROUND(SUMIFS(AN_TME23[[#All],[Count of Members with Claims Truncated]], AN_TME23[[#All],[Insurance Category Code]],5, AN_TME23[[#All],[Advanced Network/Insurance Carrier Org ID]],Q235),2), "TRUE", ROUND(T235-SUMIFS(AN_TME23[[#All],[Count of Members with Claims Truncated]], AN_TME23[[#All],[Insurance Category Code]],5, AN_TME23[[#All],[Advanced Network/Insurance Carrier Org ID]],Q235),2))</f>
        <v>TRUE</v>
      </c>
      <c r="Z235" s="282" t="str">
        <f>IF(U235=ROUND(SUMIFS(AN_TME23[[#All],[TOTAL Non-Truncated Unadjusted Claims Expenses]], AN_TME23[[#All],[Insurance Category Code]],5, AN_TME23[[#All],[Advanced Network/Insurance Carrier Org ID]],Q235),2), "TRUE", ROUND(U235-SUMIFS(AN_TME23[[#All],[TOTAL Non-Truncated Unadjusted Claims Expenses]], AN_TME23[[#All],[Insurance Category Code]],5, AN_TME23[[#All],[Advanced Network/Insurance Carrier Org ID]],Q235),2))</f>
        <v>TRUE</v>
      </c>
      <c r="AA235" s="295" t="str">
        <f>IF(V235=ROUND(SUMIFS(AN_TME23[[#All],[TOTAL Truncated Unadjusted Claims Expenses (A21 -A19)]], AN_TME23[[#All],[Insurance Category Code]],5, AN_TME23[[#All],[Advanced Network/Insurance Carrier Org ID]],Q235),2), "TRUE", ROUND(V235-SUMIFS(AN_TME23[[#All],[TOTAL Truncated Unadjusted Claims Expenses (A21 -A19)]], AN_TME23[[#All],[Insurance Category Code]],5, AN_TME23[[#All],[Advanced Network/Insurance Carrier Org ID]],Q235),2))</f>
        <v>TRUE</v>
      </c>
      <c r="AB235" s="461" t="str">
        <f t="shared" ref="AB235" si="24">IF(T235=0, "TRUE",IF((R235/12)&gt;T235,"TRUE",(R235/12)-T235))</f>
        <v>TRUE</v>
      </c>
      <c r="AC235" s="282" t="b">
        <f>ROUND(SUMIFS(AN_TME23[[#All],[TOTAL Non-Truncated Unadjusted Claims Expenses]], AN_TME23[[#All],[Insurance Category Code]],5, AN_TME23[[#All],[Advanced Network/Insurance Carrier Org ID]],Q235),2)&gt;=ROUND(SUMIFS(AN_TME23[[#All],[TOTAL Truncated Unadjusted Claims Expenses (A21 -A19)]], AN_TME23[[#All],[Insurance Category Code]],5, AN_TME23[[#All],[Advanced Network/Insurance Carrier Org ID]],Q235),2)</f>
        <v>1</v>
      </c>
      <c r="AD235" s="295" t="b">
        <f>ROUND(SUMIFS(AN_TME23[[#All],[TOTAL Truncated Unadjusted Claims Expenses (A21 -A19)]], AN_TME23[[#All],[Insurance Category Code]],5, AN_TME23[[#All],[Advanced Network/Insurance Carrier Org ID]],Q235)+SUMIFS(AN_TME23[[#All],[Total Claims Excluded because of Truncation]], AN_TME23[[#All],[Insurance Category Code]],5, AN_TME23[[#All],[Advanced Network/Insurance Carrier Org ID]],Q235),2)=ROUND(SUMIFS(AN_TME23[[#All],[TOTAL Non-Truncated Unadjusted Claims Expenses]], AN_TME23[[#All],[Insurance Category Code]],5, AN_TME23[[#All],[Advanced Network/Insurance Carrier Org ID]],Q235),2)</f>
        <v>1</v>
      </c>
      <c r="AF235" s="322" t="str">
        <f t="shared" ref="AF235:AF267" si="25">IFERROR(R235/C235-1, "NA")</f>
        <v>NA</v>
      </c>
    </row>
    <row r="236" spans="2:32" outlineLevel="1" x14ac:dyDescent="0.25">
      <c r="B236" s="236">
        <v>101</v>
      </c>
      <c r="C236" s="463">
        <f>ROUND(SUMIFS(Age_Sex22[[#All],[Total Member Months by Age/Sex Band]], Age_Sex22[[#All],[Advanced Network ID]], $B236, Age_Sex22[[#All],[Insurance Category Code]],5),2)</f>
        <v>0</v>
      </c>
      <c r="D236" s="268">
        <f>ROUND(SUMIFS(Age_Sex22[[#All],[Total Dollars Excluded from Spending After Applying Truncation at the Member Level]], Age_Sex22[[#All],[Advanced Network ID]], $B236, Age_Sex22[[#All],[Insurance Category Code]],5),2)</f>
        <v>0</v>
      </c>
      <c r="E236" s="229">
        <f>ROUND(SUMIFS(Age_Sex22[[#All],[Count of Members whose Spending was Truncated]], Age_Sex22[[#All],[Advanced Network ID]], $B236, Age_Sex22[[#All],[Insurance Category Code]],5),2)</f>
        <v>0</v>
      </c>
      <c r="F236" s="230">
        <f>ROUND(SUMIFS(Age_Sex22[[#All],[Total Spending before Truncation is Applied]], Age_Sex22[[#All],[Advanced Network ID]], $B236, Age_Sex22[[#All],[Insurance Category Code]],5),2)</f>
        <v>0</v>
      </c>
      <c r="G236" s="232">
        <f>ROUND(SUMIFS(Age_Sex22[[#All],[Total Spending After Applying Truncation at the Member Level]], Age_Sex22[[#All],[Advanced Network ID]], $B236, Age_Sex22[[#All],[Insurance Category Code]],5), 2)</f>
        <v>0</v>
      </c>
      <c r="H236" s="416" t="str">
        <f>IF(C236=ROUND(SUMIFS(AN_TME22[[#All],[Member Months]], AN_TME22[[#All],[Insurance Category Code]],5, AN_TME22[[#All],[Advanced Network/Insurance Carrier Org ID]],B236),2), "TRUE", ROUND(C236-SUMIFS(AN_TME22[[#All],[Member Months]], AN_TME22[[#All],[Insurance Category Code]],5, AN_TME22[[#All],[Advanced Network/Insurance Carrier Org ID]],B236),2))</f>
        <v>TRUE</v>
      </c>
      <c r="I236" s="280" t="str">
        <f>IF(D236=ROUND(SUMIFS(AN_TME22[[#All],[Total Claims Excluded because of Truncation]], AN_TME22[[#All],[Insurance Category Code]],5, AN_TME22[[#All],[Advanced Network/Insurance Carrier Org ID]],B236),2), "TRUE", ROUND(D236-SUMIFS(AN_TME22[[#All],[Total Claims Excluded because of Truncation]], AN_TME22[[#All],[Insurance Category Code]],5, AN_TME22[[#All],[Advanced Network/Insurance Carrier Org ID]],B236), 2))</f>
        <v>TRUE</v>
      </c>
      <c r="J236" s="281" t="str">
        <f>IF(E236=ROUND(SUMIFS(AN_TME22[[#All],[Count of Members with Claims Truncated]], AN_TME22[[#All],[Insurance Category Code]],5, AN_TME22[[#All],[Advanced Network/Insurance Carrier Org ID]],B236),2), "TRUE", ROUND(E236-SUMIFS(AN_TME22[[#All],[Count of Members with Claims Truncated]], AN_TME22[[#All],[Insurance Category Code]],5, AN_TME22[[#All],[Advanced Network/Insurance Carrier Org ID]],B236),2))</f>
        <v>TRUE</v>
      </c>
      <c r="K236" s="282" t="str">
        <f>IF(F236=ROUND(SUMIFS(AN_TME22[[#All],[TOTAL Non-Truncated Unadjusted Claims Expenses]], AN_TME22[[#All],[Insurance Category Code]],5, AN_TME22[[#All],[Advanced Network/Insurance Carrier Org ID]],B236),2), "TRUE", ROUND(F236-SUMIFS(AN_TME22[[#All],[TOTAL Non-Truncated Unadjusted Claims Expenses]], AN_TME22[[#All],[Insurance Category Code]],5, AN_TME22[[#All],[Advanced Network/Insurance Carrier Org ID]],B236), 2))</f>
        <v>TRUE</v>
      </c>
      <c r="L236" s="295" t="str">
        <f>IF(G236=ROUND(SUMIFS(AN_TME22[[#All],[TOTAL Truncated Unadjusted Claims Expenses (A21 -A19)]], AN_TME22[[#All],[Insurance Category Code]],5, AN_TME22[[#All],[Advanced Network/Insurance Carrier Org ID]],B236),2), "TRUE", ROUND(G236-SUMIFS(AN_TME22[[#All],[TOTAL Truncated Unadjusted Claims Expenses (A21 -A19)]], AN_TME22[[#All],[Insurance Category Code]],5, AN_TME22[[#All],[Advanced Network/Insurance Carrier Org ID]],B236),2))</f>
        <v>TRUE</v>
      </c>
      <c r="M236" s="461" t="str">
        <f t="shared" si="23"/>
        <v>TRUE</v>
      </c>
      <c r="N236" s="282" t="b">
        <f>ROUND(SUMIFS(AN_TME22[[#All],[TOTAL Non-Truncated Unadjusted Claims Expenses]], AN_TME22[[#All],[Insurance Category Code]],5, AN_TME22[[#All],[Advanced Network/Insurance Carrier Org ID]],B236),2)&gt;=ROUND(SUMIFS(AN_TME22[[#All],[TOTAL Truncated Unadjusted Claims Expenses (A21 -A19)]], AN_TME22[[#All],[Insurance Category Code]],5, AN_TME22[[#All],[Advanced Network/Insurance Carrier Org ID]],B236),2)</f>
        <v>1</v>
      </c>
      <c r="O236" s="295" t="b">
        <f>ROUND(SUMIFS(AN_TME22[[#All],[TOTAL Truncated Unadjusted Claims Expenses (A21 -A19)]], AN_TME22[[#All],[Insurance Category Code]],5, AN_TME22[[#All],[Advanced Network/Insurance Carrier Org ID]],B236)+SUMIFS(AN_TME22[[#All],[Total Claims Excluded because of Truncation]], AN_TME22[[#All],[Insurance Category Code]],5, AN_TME22[[#All],[Advanced Network/Insurance Carrier Org ID]],B236),2)=ROUND(SUMIFS(AN_TME22[[#All],[TOTAL Non-Truncated Unadjusted Claims Expenses]], AN_TME22[[#All],[Insurance Category Code]],5, AN_TME22[[#All],[Advanced Network/Insurance Carrier Org ID]],B236),2)</f>
        <v>1</v>
      </c>
      <c r="Q236" s="236">
        <v>101</v>
      </c>
      <c r="R236" s="463">
        <f>ROUND(SUMIFS(Age_Sex23[[#All],[Total Member Months by Age/Sex Band]], Age_Sex23[[#All],[Advanced Network ID]], $Q236, Age_Sex23[[#All],[Insurance Category Code]],5),2)</f>
        <v>0</v>
      </c>
      <c r="S236" s="268">
        <f>ROUND(SUMIFS(Age_Sex23[[#All],[Total Dollars Excluded from Spending After Applying Truncation at the Member Level]], Age_Sex23[[#All],[Advanced Network ID]], $B236, Age_Sex23[[#All],[Insurance Category Code]],5),2)</f>
        <v>0</v>
      </c>
      <c r="T236" s="229">
        <f>ROUND(SUMIFS(Age_Sex23[[#All],[Count of Members whose Spending was Truncated]], Age_Sex23[[#All],[Advanced Network ID]], $B236, Age_Sex23[[#All],[Insurance Category Code]],5),2)</f>
        <v>0</v>
      </c>
      <c r="U236" s="230">
        <f>ROUND(SUMIFS(Age_Sex23[[#All],[Total Spending before Truncation is Applied]], Age_Sex23[[#All],[Advanced Network ID]], $B236, Age_Sex23[[#All],[Insurance Category Code]],5), 2)</f>
        <v>0</v>
      </c>
      <c r="V236" s="232">
        <f>ROUND(SUMIFS(Age_Sex23[[#All],[Total Spending After Applying Truncation at the Member Level]], Age_Sex23[[#All],[Advanced Network ID]], $B236, Age_Sex23[[#All],[Insurance Category Code]],5),2)</f>
        <v>0</v>
      </c>
      <c r="W236" s="416" t="str">
        <f>IF(R236=ROUND(SUMIFS(AN_TME23[[#All],[Member Months]], AN_TME23[[#All],[Insurance Category Code]],5, AN_TME23[[#All],[Advanced Network/Insurance Carrier Org ID]],Q236),2), "TRUE", ROUND(R236-SUMIFS(AN_TME23[[#All],[Member Months]], AN_TME23[[#All],[Insurance Category Code]],5, AN_TME23[[#All],[Advanced Network/Insurance Carrier Org ID]],Q236),2))</f>
        <v>TRUE</v>
      </c>
      <c r="X236" s="280" t="str">
        <f>IF(S236=ROUND(SUMIFS(AN_TME23[[#All],[Total Claims Excluded because of Truncation]], AN_TME23[[#All],[Insurance Category Code]],5, AN_TME23[[#All],[Advanced Network/Insurance Carrier Org ID]],Q236),2), "TRUE", ROUND(S236-SUMIFS(AN_TME23[[#All],[Total Claims Excluded because of Truncation]], AN_TME23[[#All],[Insurance Category Code]],5, AN_TME23[[#All],[Advanced Network/Insurance Carrier Org ID]],Q236),2))</f>
        <v>TRUE</v>
      </c>
      <c r="Y236" s="281" t="str">
        <f>IF(T236=ROUND(SUMIFS(AN_TME23[[#All],[Count of Members with Claims Truncated]], AN_TME23[[#All],[Insurance Category Code]],5, AN_TME23[[#All],[Advanced Network/Insurance Carrier Org ID]],Q236),2), "TRUE", ROUND(T236-SUMIFS(AN_TME23[[#All],[Count of Members with Claims Truncated]], AN_TME23[[#All],[Insurance Category Code]],5, AN_TME23[[#All],[Advanced Network/Insurance Carrier Org ID]],Q236),2))</f>
        <v>TRUE</v>
      </c>
      <c r="Z236" s="282" t="str">
        <f>IF(U236=ROUND(SUMIFS(AN_TME23[[#All],[TOTAL Non-Truncated Unadjusted Claims Expenses]], AN_TME23[[#All],[Insurance Category Code]],5, AN_TME23[[#All],[Advanced Network/Insurance Carrier Org ID]],Q236),2), "TRUE", ROUND(U236-SUMIFS(AN_TME23[[#All],[TOTAL Non-Truncated Unadjusted Claims Expenses]], AN_TME23[[#All],[Insurance Category Code]],5, AN_TME23[[#All],[Advanced Network/Insurance Carrier Org ID]],Q236),2))</f>
        <v>TRUE</v>
      </c>
      <c r="AA236" s="295" t="str">
        <f>IF(V236=ROUND(SUMIFS(AN_TME23[[#All],[TOTAL Truncated Unadjusted Claims Expenses (A21 -A19)]], AN_TME23[[#All],[Insurance Category Code]],5, AN_TME23[[#All],[Advanced Network/Insurance Carrier Org ID]],Q236),2), "TRUE", ROUND(V236-SUMIFS(AN_TME23[[#All],[TOTAL Truncated Unadjusted Claims Expenses (A21 -A19)]], AN_TME23[[#All],[Insurance Category Code]],5, AN_TME23[[#All],[Advanced Network/Insurance Carrier Org ID]],Q236),2))</f>
        <v>TRUE</v>
      </c>
      <c r="AB236" s="461" t="str">
        <f t="shared" ref="AB236:AB267" si="26">IF(T236=0, "TRUE",IF((R236/12)&gt;T236,"TRUE",(R236/12)-T236))</f>
        <v>TRUE</v>
      </c>
      <c r="AC236" s="282" t="b">
        <f>ROUND(SUMIFS(AN_TME23[[#All],[TOTAL Non-Truncated Unadjusted Claims Expenses]], AN_TME23[[#All],[Insurance Category Code]],5, AN_TME23[[#All],[Advanced Network/Insurance Carrier Org ID]],Q236),2)&gt;=ROUND(SUMIFS(AN_TME23[[#All],[TOTAL Truncated Unadjusted Claims Expenses (A21 -A19)]], AN_TME23[[#All],[Insurance Category Code]],5, AN_TME23[[#All],[Advanced Network/Insurance Carrier Org ID]],Q236),2)</f>
        <v>1</v>
      </c>
      <c r="AD236" s="295" t="b">
        <f>ROUND(SUMIFS(AN_TME23[[#All],[TOTAL Truncated Unadjusted Claims Expenses (A21 -A19)]], AN_TME23[[#All],[Insurance Category Code]],5, AN_TME23[[#All],[Advanced Network/Insurance Carrier Org ID]],Q236)+SUMIFS(AN_TME23[[#All],[Total Claims Excluded because of Truncation]], AN_TME23[[#All],[Insurance Category Code]],5, AN_TME23[[#All],[Advanced Network/Insurance Carrier Org ID]],Q236),2)=ROUND(SUMIFS(AN_TME23[[#All],[TOTAL Non-Truncated Unadjusted Claims Expenses]], AN_TME23[[#All],[Insurance Category Code]],5, AN_TME23[[#All],[Advanced Network/Insurance Carrier Org ID]],Q236),2)</f>
        <v>1</v>
      </c>
      <c r="AF236" s="323" t="str">
        <f t="shared" si="25"/>
        <v>NA</v>
      </c>
    </row>
    <row r="237" spans="2:32" outlineLevel="1" x14ac:dyDescent="0.25">
      <c r="B237" s="236">
        <v>102</v>
      </c>
      <c r="C237" s="463">
        <f>ROUND(SUMIFS(Age_Sex22[[#All],[Total Member Months by Age/Sex Band]], Age_Sex22[[#All],[Advanced Network ID]], $B237, Age_Sex22[[#All],[Insurance Category Code]],5),2)</f>
        <v>0</v>
      </c>
      <c r="D237" s="268">
        <f>ROUND(SUMIFS(Age_Sex22[[#All],[Total Dollars Excluded from Spending After Applying Truncation at the Member Level]], Age_Sex22[[#All],[Advanced Network ID]], $B237, Age_Sex22[[#All],[Insurance Category Code]],5),2)</f>
        <v>0</v>
      </c>
      <c r="E237" s="229">
        <f>ROUND(SUMIFS(Age_Sex22[[#All],[Count of Members whose Spending was Truncated]], Age_Sex22[[#All],[Advanced Network ID]], $B237, Age_Sex22[[#All],[Insurance Category Code]],5),2)</f>
        <v>0</v>
      </c>
      <c r="F237" s="230">
        <f>ROUND(SUMIFS(Age_Sex22[[#All],[Total Spending before Truncation is Applied]], Age_Sex22[[#All],[Advanced Network ID]], $B237, Age_Sex22[[#All],[Insurance Category Code]],5),2)</f>
        <v>0</v>
      </c>
      <c r="G237" s="232">
        <f>ROUND(SUMIFS(Age_Sex22[[#All],[Total Spending After Applying Truncation at the Member Level]], Age_Sex22[[#All],[Advanced Network ID]], $B237, Age_Sex22[[#All],[Insurance Category Code]],5), 2)</f>
        <v>0</v>
      </c>
      <c r="H237" s="416" t="str">
        <f>IF(C237=ROUND(SUMIFS(AN_TME22[[#All],[Member Months]], AN_TME22[[#All],[Insurance Category Code]],5, AN_TME22[[#All],[Advanced Network/Insurance Carrier Org ID]],B237),2), "TRUE", ROUND(C237-SUMIFS(AN_TME22[[#All],[Member Months]], AN_TME22[[#All],[Insurance Category Code]],5, AN_TME22[[#All],[Advanced Network/Insurance Carrier Org ID]],B237),2))</f>
        <v>TRUE</v>
      </c>
      <c r="I237" s="280" t="str">
        <f>IF(D237=ROUND(SUMIFS(AN_TME22[[#All],[Total Claims Excluded because of Truncation]], AN_TME22[[#All],[Insurance Category Code]],5, AN_TME22[[#All],[Advanced Network/Insurance Carrier Org ID]],B237),2), "TRUE", ROUND(D237-SUMIFS(AN_TME22[[#All],[Total Claims Excluded because of Truncation]], AN_TME22[[#All],[Insurance Category Code]],5, AN_TME22[[#All],[Advanced Network/Insurance Carrier Org ID]],B237), 2))</f>
        <v>TRUE</v>
      </c>
      <c r="J237" s="281" t="str">
        <f>IF(E237=ROUND(SUMIFS(AN_TME22[[#All],[Count of Members with Claims Truncated]], AN_TME22[[#All],[Insurance Category Code]],5, AN_TME22[[#All],[Advanced Network/Insurance Carrier Org ID]],B237),2), "TRUE", ROUND(E237-SUMIFS(AN_TME22[[#All],[Count of Members with Claims Truncated]], AN_TME22[[#All],[Insurance Category Code]],5, AN_TME22[[#All],[Advanced Network/Insurance Carrier Org ID]],B237),2))</f>
        <v>TRUE</v>
      </c>
      <c r="K237" s="282" t="str">
        <f>IF(F237=ROUND(SUMIFS(AN_TME22[[#All],[TOTAL Non-Truncated Unadjusted Claims Expenses]], AN_TME22[[#All],[Insurance Category Code]],5, AN_TME22[[#All],[Advanced Network/Insurance Carrier Org ID]],B237),2), "TRUE", ROUND(F237-SUMIFS(AN_TME22[[#All],[TOTAL Non-Truncated Unadjusted Claims Expenses]], AN_TME22[[#All],[Insurance Category Code]],5, AN_TME22[[#All],[Advanced Network/Insurance Carrier Org ID]],B237), 2))</f>
        <v>TRUE</v>
      </c>
      <c r="L237" s="295" t="str">
        <f>IF(G237=ROUND(SUMIFS(AN_TME22[[#All],[TOTAL Truncated Unadjusted Claims Expenses (A21 -A19)]], AN_TME22[[#All],[Insurance Category Code]],5, AN_TME22[[#All],[Advanced Network/Insurance Carrier Org ID]],B237),2), "TRUE", ROUND(G237-SUMIFS(AN_TME22[[#All],[TOTAL Truncated Unadjusted Claims Expenses (A21 -A19)]], AN_TME22[[#All],[Insurance Category Code]],5, AN_TME22[[#All],[Advanced Network/Insurance Carrier Org ID]],B237),2))</f>
        <v>TRUE</v>
      </c>
      <c r="M237" s="461" t="str">
        <f t="shared" si="23"/>
        <v>TRUE</v>
      </c>
      <c r="N237" s="282" t="b">
        <f>ROUND(SUMIFS(AN_TME22[[#All],[TOTAL Non-Truncated Unadjusted Claims Expenses]], AN_TME22[[#All],[Insurance Category Code]],5, AN_TME22[[#All],[Advanced Network/Insurance Carrier Org ID]],B237),2)&gt;=ROUND(SUMIFS(AN_TME22[[#All],[TOTAL Truncated Unadjusted Claims Expenses (A21 -A19)]], AN_TME22[[#All],[Insurance Category Code]],5, AN_TME22[[#All],[Advanced Network/Insurance Carrier Org ID]],B237),2)</f>
        <v>1</v>
      </c>
      <c r="O237" s="295" t="b">
        <f>ROUND(SUMIFS(AN_TME22[[#All],[TOTAL Truncated Unadjusted Claims Expenses (A21 -A19)]], AN_TME22[[#All],[Insurance Category Code]],5, AN_TME22[[#All],[Advanced Network/Insurance Carrier Org ID]],B237)+SUMIFS(AN_TME22[[#All],[Total Claims Excluded because of Truncation]], AN_TME22[[#All],[Insurance Category Code]],5, AN_TME22[[#All],[Advanced Network/Insurance Carrier Org ID]],B237),2)=ROUND(SUMIFS(AN_TME22[[#All],[TOTAL Non-Truncated Unadjusted Claims Expenses]], AN_TME22[[#All],[Insurance Category Code]],5, AN_TME22[[#All],[Advanced Network/Insurance Carrier Org ID]],B237),2)</f>
        <v>1</v>
      </c>
      <c r="Q237" s="236">
        <v>102</v>
      </c>
      <c r="R237" s="463">
        <f>ROUND(SUMIFS(Age_Sex23[[#All],[Total Member Months by Age/Sex Band]], Age_Sex23[[#All],[Advanced Network ID]], $Q237, Age_Sex23[[#All],[Insurance Category Code]],5),2)</f>
        <v>0</v>
      </c>
      <c r="S237" s="268">
        <f>ROUND(SUMIFS(Age_Sex23[[#All],[Total Dollars Excluded from Spending After Applying Truncation at the Member Level]], Age_Sex23[[#All],[Advanced Network ID]], $B237, Age_Sex23[[#All],[Insurance Category Code]],5),2)</f>
        <v>0</v>
      </c>
      <c r="T237" s="229">
        <f>ROUND(SUMIFS(Age_Sex23[[#All],[Count of Members whose Spending was Truncated]], Age_Sex23[[#All],[Advanced Network ID]], $B237, Age_Sex23[[#All],[Insurance Category Code]],5),2)</f>
        <v>0</v>
      </c>
      <c r="U237" s="230">
        <f>ROUND(SUMIFS(Age_Sex23[[#All],[Total Spending before Truncation is Applied]], Age_Sex23[[#All],[Advanced Network ID]], $B237, Age_Sex23[[#All],[Insurance Category Code]],5), 2)</f>
        <v>0</v>
      </c>
      <c r="V237" s="232">
        <f>ROUND(SUMIFS(Age_Sex23[[#All],[Total Spending After Applying Truncation at the Member Level]], Age_Sex23[[#All],[Advanced Network ID]], $B237, Age_Sex23[[#All],[Insurance Category Code]],5),2)</f>
        <v>0</v>
      </c>
      <c r="W237" s="416" t="str">
        <f>IF(R237=ROUND(SUMIFS(AN_TME23[[#All],[Member Months]], AN_TME23[[#All],[Insurance Category Code]],5, AN_TME23[[#All],[Advanced Network/Insurance Carrier Org ID]],Q237),2), "TRUE", ROUND(R237-SUMIFS(AN_TME23[[#All],[Member Months]], AN_TME23[[#All],[Insurance Category Code]],5, AN_TME23[[#All],[Advanced Network/Insurance Carrier Org ID]],Q237),2))</f>
        <v>TRUE</v>
      </c>
      <c r="X237" s="280" t="str">
        <f>IF(S237=ROUND(SUMIFS(AN_TME23[[#All],[Total Claims Excluded because of Truncation]], AN_TME23[[#All],[Insurance Category Code]],5, AN_TME23[[#All],[Advanced Network/Insurance Carrier Org ID]],Q237),2), "TRUE", ROUND(S237-SUMIFS(AN_TME23[[#All],[Total Claims Excluded because of Truncation]], AN_TME23[[#All],[Insurance Category Code]],5, AN_TME23[[#All],[Advanced Network/Insurance Carrier Org ID]],Q237),2))</f>
        <v>TRUE</v>
      </c>
      <c r="Y237" s="281" t="str">
        <f>IF(T237=ROUND(SUMIFS(AN_TME23[[#All],[Count of Members with Claims Truncated]], AN_TME23[[#All],[Insurance Category Code]],5, AN_TME23[[#All],[Advanced Network/Insurance Carrier Org ID]],Q237),2), "TRUE", ROUND(T237-SUMIFS(AN_TME23[[#All],[Count of Members with Claims Truncated]], AN_TME23[[#All],[Insurance Category Code]],5, AN_TME23[[#All],[Advanced Network/Insurance Carrier Org ID]],Q237),2))</f>
        <v>TRUE</v>
      </c>
      <c r="Z237" s="282" t="str">
        <f>IF(U237=ROUND(SUMIFS(AN_TME23[[#All],[TOTAL Non-Truncated Unadjusted Claims Expenses]], AN_TME23[[#All],[Insurance Category Code]],5, AN_TME23[[#All],[Advanced Network/Insurance Carrier Org ID]],Q237),2), "TRUE", ROUND(U237-SUMIFS(AN_TME23[[#All],[TOTAL Non-Truncated Unadjusted Claims Expenses]], AN_TME23[[#All],[Insurance Category Code]],5, AN_TME23[[#All],[Advanced Network/Insurance Carrier Org ID]],Q237),2))</f>
        <v>TRUE</v>
      </c>
      <c r="AA237" s="295" t="str">
        <f>IF(V237=ROUND(SUMIFS(AN_TME23[[#All],[TOTAL Truncated Unadjusted Claims Expenses (A21 -A19)]], AN_TME23[[#All],[Insurance Category Code]],5, AN_TME23[[#All],[Advanced Network/Insurance Carrier Org ID]],Q237),2), "TRUE", ROUND(V237-SUMIFS(AN_TME23[[#All],[TOTAL Truncated Unadjusted Claims Expenses (A21 -A19)]], AN_TME23[[#All],[Insurance Category Code]],5, AN_TME23[[#All],[Advanced Network/Insurance Carrier Org ID]],Q237),2))</f>
        <v>TRUE</v>
      </c>
      <c r="AB237" s="461" t="str">
        <f t="shared" si="26"/>
        <v>TRUE</v>
      </c>
      <c r="AC237" s="282" t="b">
        <f>ROUND(SUMIFS(AN_TME23[[#All],[TOTAL Non-Truncated Unadjusted Claims Expenses]], AN_TME23[[#All],[Insurance Category Code]],5, AN_TME23[[#All],[Advanced Network/Insurance Carrier Org ID]],Q237),2)&gt;=ROUND(SUMIFS(AN_TME23[[#All],[TOTAL Truncated Unadjusted Claims Expenses (A21 -A19)]], AN_TME23[[#All],[Insurance Category Code]],5, AN_TME23[[#All],[Advanced Network/Insurance Carrier Org ID]],Q237),2)</f>
        <v>1</v>
      </c>
      <c r="AD237" s="295" t="b">
        <f>ROUND(SUMIFS(AN_TME23[[#All],[TOTAL Truncated Unadjusted Claims Expenses (A21 -A19)]], AN_TME23[[#All],[Insurance Category Code]],5, AN_TME23[[#All],[Advanced Network/Insurance Carrier Org ID]],Q237)+SUMIFS(AN_TME23[[#All],[Total Claims Excluded because of Truncation]], AN_TME23[[#All],[Insurance Category Code]],5, AN_TME23[[#All],[Advanced Network/Insurance Carrier Org ID]],Q237),2)=ROUND(SUMIFS(AN_TME23[[#All],[TOTAL Non-Truncated Unadjusted Claims Expenses]], AN_TME23[[#All],[Insurance Category Code]],5, AN_TME23[[#All],[Advanced Network/Insurance Carrier Org ID]],Q237),2)</f>
        <v>1</v>
      </c>
      <c r="AF237" s="323" t="str">
        <f t="shared" si="25"/>
        <v>NA</v>
      </c>
    </row>
    <row r="238" spans="2:32" outlineLevel="1" x14ac:dyDescent="0.25">
      <c r="B238" s="236">
        <v>103</v>
      </c>
      <c r="C238" s="463">
        <f>ROUND(SUMIFS(Age_Sex22[[#All],[Total Member Months by Age/Sex Band]], Age_Sex22[[#All],[Advanced Network ID]], $B238, Age_Sex22[[#All],[Insurance Category Code]],5),2)</f>
        <v>0</v>
      </c>
      <c r="D238" s="268">
        <f>ROUND(SUMIFS(Age_Sex22[[#All],[Total Dollars Excluded from Spending After Applying Truncation at the Member Level]], Age_Sex22[[#All],[Advanced Network ID]], $B238, Age_Sex22[[#All],[Insurance Category Code]],5),2)</f>
        <v>0</v>
      </c>
      <c r="E238" s="229">
        <f>ROUND(SUMIFS(Age_Sex22[[#All],[Count of Members whose Spending was Truncated]], Age_Sex22[[#All],[Advanced Network ID]], $B238, Age_Sex22[[#All],[Insurance Category Code]],5),2)</f>
        <v>0</v>
      </c>
      <c r="F238" s="230">
        <f>ROUND(SUMIFS(Age_Sex22[[#All],[Total Spending before Truncation is Applied]], Age_Sex22[[#All],[Advanced Network ID]], $B238, Age_Sex22[[#All],[Insurance Category Code]],5),2)</f>
        <v>0</v>
      </c>
      <c r="G238" s="232">
        <f>ROUND(SUMIFS(Age_Sex22[[#All],[Total Spending After Applying Truncation at the Member Level]], Age_Sex22[[#All],[Advanced Network ID]], $B238, Age_Sex22[[#All],[Insurance Category Code]],5), 2)</f>
        <v>0</v>
      </c>
      <c r="H238" s="416" t="str">
        <f>IF(C238=ROUND(SUMIFS(AN_TME22[[#All],[Member Months]], AN_TME22[[#All],[Insurance Category Code]],5, AN_TME22[[#All],[Advanced Network/Insurance Carrier Org ID]],B238),2), "TRUE", ROUND(C238-SUMIFS(AN_TME22[[#All],[Member Months]], AN_TME22[[#All],[Insurance Category Code]],5, AN_TME22[[#All],[Advanced Network/Insurance Carrier Org ID]],B238),2))</f>
        <v>TRUE</v>
      </c>
      <c r="I238" s="280" t="str">
        <f>IF(D238=ROUND(SUMIFS(AN_TME22[[#All],[Total Claims Excluded because of Truncation]], AN_TME22[[#All],[Insurance Category Code]],5, AN_TME22[[#All],[Advanced Network/Insurance Carrier Org ID]],B238),2), "TRUE", ROUND(D238-SUMIFS(AN_TME22[[#All],[Total Claims Excluded because of Truncation]], AN_TME22[[#All],[Insurance Category Code]],5, AN_TME22[[#All],[Advanced Network/Insurance Carrier Org ID]],B238), 2))</f>
        <v>TRUE</v>
      </c>
      <c r="J238" s="281" t="str">
        <f>IF(E238=ROUND(SUMIFS(AN_TME22[[#All],[Count of Members with Claims Truncated]], AN_TME22[[#All],[Insurance Category Code]],5, AN_TME22[[#All],[Advanced Network/Insurance Carrier Org ID]],B238),2), "TRUE", ROUND(E238-SUMIFS(AN_TME22[[#All],[Count of Members with Claims Truncated]], AN_TME22[[#All],[Insurance Category Code]],5, AN_TME22[[#All],[Advanced Network/Insurance Carrier Org ID]],B238),2))</f>
        <v>TRUE</v>
      </c>
      <c r="K238" s="282" t="str">
        <f>IF(F238=ROUND(SUMIFS(AN_TME22[[#All],[TOTAL Non-Truncated Unadjusted Claims Expenses]], AN_TME22[[#All],[Insurance Category Code]],5, AN_TME22[[#All],[Advanced Network/Insurance Carrier Org ID]],B238),2), "TRUE", ROUND(F238-SUMIFS(AN_TME22[[#All],[TOTAL Non-Truncated Unadjusted Claims Expenses]], AN_TME22[[#All],[Insurance Category Code]],5, AN_TME22[[#All],[Advanced Network/Insurance Carrier Org ID]],B238), 2))</f>
        <v>TRUE</v>
      </c>
      <c r="L238" s="295" t="str">
        <f>IF(G238=ROUND(SUMIFS(AN_TME22[[#All],[TOTAL Truncated Unadjusted Claims Expenses (A21 -A19)]], AN_TME22[[#All],[Insurance Category Code]],5, AN_TME22[[#All],[Advanced Network/Insurance Carrier Org ID]],B238),2), "TRUE", ROUND(G238-SUMIFS(AN_TME22[[#All],[TOTAL Truncated Unadjusted Claims Expenses (A21 -A19)]], AN_TME22[[#All],[Insurance Category Code]],5, AN_TME22[[#All],[Advanced Network/Insurance Carrier Org ID]],B238),2))</f>
        <v>TRUE</v>
      </c>
      <c r="M238" s="461" t="str">
        <f t="shared" si="23"/>
        <v>TRUE</v>
      </c>
      <c r="N238" s="282" t="b">
        <f>ROUND(SUMIFS(AN_TME22[[#All],[TOTAL Non-Truncated Unadjusted Claims Expenses]], AN_TME22[[#All],[Insurance Category Code]],5, AN_TME22[[#All],[Advanced Network/Insurance Carrier Org ID]],B238),2)&gt;=ROUND(SUMIFS(AN_TME22[[#All],[TOTAL Truncated Unadjusted Claims Expenses (A21 -A19)]], AN_TME22[[#All],[Insurance Category Code]],5, AN_TME22[[#All],[Advanced Network/Insurance Carrier Org ID]],B238),2)</f>
        <v>1</v>
      </c>
      <c r="O238" s="295" t="b">
        <f>ROUND(SUMIFS(AN_TME22[[#All],[TOTAL Truncated Unadjusted Claims Expenses (A21 -A19)]], AN_TME22[[#All],[Insurance Category Code]],5, AN_TME22[[#All],[Advanced Network/Insurance Carrier Org ID]],B238)+SUMIFS(AN_TME22[[#All],[Total Claims Excluded because of Truncation]], AN_TME22[[#All],[Insurance Category Code]],5, AN_TME22[[#All],[Advanced Network/Insurance Carrier Org ID]],B238),2)=ROUND(SUMIFS(AN_TME22[[#All],[TOTAL Non-Truncated Unadjusted Claims Expenses]], AN_TME22[[#All],[Insurance Category Code]],5, AN_TME22[[#All],[Advanced Network/Insurance Carrier Org ID]],B238),2)</f>
        <v>1</v>
      </c>
      <c r="Q238" s="236">
        <v>103</v>
      </c>
      <c r="R238" s="463">
        <f>ROUND(SUMIFS(Age_Sex23[[#All],[Total Member Months by Age/Sex Band]], Age_Sex23[[#All],[Advanced Network ID]], $Q238, Age_Sex23[[#All],[Insurance Category Code]],5),2)</f>
        <v>0</v>
      </c>
      <c r="S238" s="268">
        <f>ROUND(SUMIFS(Age_Sex23[[#All],[Total Dollars Excluded from Spending After Applying Truncation at the Member Level]], Age_Sex23[[#All],[Advanced Network ID]], $B238, Age_Sex23[[#All],[Insurance Category Code]],5),2)</f>
        <v>0</v>
      </c>
      <c r="T238" s="229">
        <f>ROUND(SUMIFS(Age_Sex23[[#All],[Count of Members whose Spending was Truncated]], Age_Sex23[[#All],[Advanced Network ID]], $B238, Age_Sex23[[#All],[Insurance Category Code]],5),2)</f>
        <v>0</v>
      </c>
      <c r="U238" s="230">
        <f>ROUND(SUMIFS(Age_Sex23[[#All],[Total Spending before Truncation is Applied]], Age_Sex23[[#All],[Advanced Network ID]], $B238, Age_Sex23[[#All],[Insurance Category Code]],5), 2)</f>
        <v>0</v>
      </c>
      <c r="V238" s="232">
        <f>ROUND(SUMIFS(Age_Sex23[[#All],[Total Spending After Applying Truncation at the Member Level]], Age_Sex23[[#All],[Advanced Network ID]], $B238, Age_Sex23[[#All],[Insurance Category Code]],5),2)</f>
        <v>0</v>
      </c>
      <c r="W238" s="416" t="str">
        <f>IF(R238=ROUND(SUMIFS(AN_TME23[[#All],[Member Months]], AN_TME23[[#All],[Insurance Category Code]],5, AN_TME23[[#All],[Advanced Network/Insurance Carrier Org ID]],Q238),2), "TRUE", ROUND(R238-SUMIFS(AN_TME23[[#All],[Member Months]], AN_TME23[[#All],[Insurance Category Code]],5, AN_TME23[[#All],[Advanced Network/Insurance Carrier Org ID]],Q238),2))</f>
        <v>TRUE</v>
      </c>
      <c r="X238" s="280" t="str">
        <f>IF(S238=ROUND(SUMIFS(AN_TME23[[#All],[Total Claims Excluded because of Truncation]], AN_TME23[[#All],[Insurance Category Code]],5, AN_TME23[[#All],[Advanced Network/Insurance Carrier Org ID]],Q238),2), "TRUE", ROUND(S238-SUMIFS(AN_TME23[[#All],[Total Claims Excluded because of Truncation]], AN_TME23[[#All],[Insurance Category Code]],5, AN_TME23[[#All],[Advanced Network/Insurance Carrier Org ID]],Q238),2))</f>
        <v>TRUE</v>
      </c>
      <c r="Y238" s="281" t="str">
        <f>IF(T238=ROUND(SUMIFS(AN_TME23[[#All],[Count of Members with Claims Truncated]], AN_TME23[[#All],[Insurance Category Code]],5, AN_TME23[[#All],[Advanced Network/Insurance Carrier Org ID]],Q238),2), "TRUE", ROUND(T238-SUMIFS(AN_TME23[[#All],[Count of Members with Claims Truncated]], AN_TME23[[#All],[Insurance Category Code]],5, AN_TME23[[#All],[Advanced Network/Insurance Carrier Org ID]],Q238),2))</f>
        <v>TRUE</v>
      </c>
      <c r="Z238" s="282" t="str">
        <f>IF(U238=ROUND(SUMIFS(AN_TME23[[#All],[TOTAL Non-Truncated Unadjusted Claims Expenses]], AN_TME23[[#All],[Insurance Category Code]],5, AN_TME23[[#All],[Advanced Network/Insurance Carrier Org ID]],Q238),2), "TRUE", ROUND(U238-SUMIFS(AN_TME23[[#All],[TOTAL Non-Truncated Unadjusted Claims Expenses]], AN_TME23[[#All],[Insurance Category Code]],5, AN_TME23[[#All],[Advanced Network/Insurance Carrier Org ID]],Q238),2))</f>
        <v>TRUE</v>
      </c>
      <c r="AA238" s="295" t="str">
        <f>IF(V238=ROUND(SUMIFS(AN_TME23[[#All],[TOTAL Truncated Unadjusted Claims Expenses (A21 -A19)]], AN_TME23[[#All],[Insurance Category Code]],5, AN_TME23[[#All],[Advanced Network/Insurance Carrier Org ID]],Q238),2), "TRUE", ROUND(V238-SUMIFS(AN_TME23[[#All],[TOTAL Truncated Unadjusted Claims Expenses (A21 -A19)]], AN_TME23[[#All],[Insurance Category Code]],5, AN_TME23[[#All],[Advanced Network/Insurance Carrier Org ID]],Q238),2))</f>
        <v>TRUE</v>
      </c>
      <c r="AB238" s="461" t="str">
        <f t="shared" si="26"/>
        <v>TRUE</v>
      </c>
      <c r="AC238" s="282" t="b">
        <f>ROUND(SUMIFS(AN_TME23[[#All],[TOTAL Non-Truncated Unadjusted Claims Expenses]], AN_TME23[[#All],[Insurance Category Code]],5, AN_TME23[[#All],[Advanced Network/Insurance Carrier Org ID]],Q238),2)&gt;=ROUND(SUMIFS(AN_TME23[[#All],[TOTAL Truncated Unadjusted Claims Expenses (A21 -A19)]], AN_TME23[[#All],[Insurance Category Code]],5, AN_TME23[[#All],[Advanced Network/Insurance Carrier Org ID]],Q238),2)</f>
        <v>1</v>
      </c>
      <c r="AD238" s="295" t="b">
        <f>ROUND(SUMIFS(AN_TME23[[#All],[TOTAL Truncated Unadjusted Claims Expenses (A21 -A19)]], AN_TME23[[#All],[Insurance Category Code]],5, AN_TME23[[#All],[Advanced Network/Insurance Carrier Org ID]],Q238)+SUMIFS(AN_TME23[[#All],[Total Claims Excluded because of Truncation]], AN_TME23[[#All],[Insurance Category Code]],5, AN_TME23[[#All],[Advanced Network/Insurance Carrier Org ID]],Q238),2)=ROUND(SUMIFS(AN_TME23[[#All],[TOTAL Non-Truncated Unadjusted Claims Expenses]], AN_TME23[[#All],[Insurance Category Code]],5, AN_TME23[[#All],[Advanced Network/Insurance Carrier Org ID]],Q238),2)</f>
        <v>1</v>
      </c>
      <c r="AF238" s="323" t="str">
        <f t="shared" si="25"/>
        <v>NA</v>
      </c>
    </row>
    <row r="239" spans="2:32" outlineLevel="1" x14ac:dyDescent="0.25">
      <c r="B239" s="236">
        <v>104</v>
      </c>
      <c r="C239" s="463">
        <f>ROUND(SUMIFS(Age_Sex22[[#All],[Total Member Months by Age/Sex Band]], Age_Sex22[[#All],[Advanced Network ID]], $B239, Age_Sex22[[#All],[Insurance Category Code]],5),2)</f>
        <v>0</v>
      </c>
      <c r="D239" s="268">
        <f>ROUND(SUMIFS(Age_Sex22[[#All],[Total Dollars Excluded from Spending After Applying Truncation at the Member Level]], Age_Sex22[[#All],[Advanced Network ID]], $B239, Age_Sex22[[#All],[Insurance Category Code]],5),2)</f>
        <v>0</v>
      </c>
      <c r="E239" s="229">
        <f>ROUND(SUMIFS(Age_Sex22[[#All],[Count of Members whose Spending was Truncated]], Age_Sex22[[#All],[Advanced Network ID]], $B239, Age_Sex22[[#All],[Insurance Category Code]],5),2)</f>
        <v>0</v>
      </c>
      <c r="F239" s="230">
        <f>ROUND(SUMIFS(Age_Sex22[[#All],[Total Spending before Truncation is Applied]], Age_Sex22[[#All],[Advanced Network ID]], $B239, Age_Sex22[[#All],[Insurance Category Code]],5),2)</f>
        <v>0</v>
      </c>
      <c r="G239" s="232">
        <f>ROUND(SUMIFS(Age_Sex22[[#All],[Total Spending After Applying Truncation at the Member Level]], Age_Sex22[[#All],[Advanced Network ID]], $B239, Age_Sex22[[#All],[Insurance Category Code]],5), 2)</f>
        <v>0</v>
      </c>
      <c r="H239" s="416" t="str">
        <f>IF(C239=ROUND(SUMIFS(AN_TME22[[#All],[Member Months]], AN_TME22[[#All],[Insurance Category Code]],5, AN_TME22[[#All],[Advanced Network/Insurance Carrier Org ID]],B239),2), "TRUE", ROUND(C239-SUMIFS(AN_TME22[[#All],[Member Months]], AN_TME22[[#All],[Insurance Category Code]],5, AN_TME22[[#All],[Advanced Network/Insurance Carrier Org ID]],B239),2))</f>
        <v>TRUE</v>
      </c>
      <c r="I239" s="280" t="str">
        <f>IF(D239=ROUND(SUMIFS(AN_TME22[[#All],[Total Claims Excluded because of Truncation]], AN_TME22[[#All],[Insurance Category Code]],5, AN_TME22[[#All],[Advanced Network/Insurance Carrier Org ID]],B239),2), "TRUE", ROUND(D239-SUMIFS(AN_TME22[[#All],[Total Claims Excluded because of Truncation]], AN_TME22[[#All],[Insurance Category Code]],5, AN_TME22[[#All],[Advanced Network/Insurance Carrier Org ID]],B239), 2))</f>
        <v>TRUE</v>
      </c>
      <c r="J239" s="281" t="str">
        <f>IF(E239=ROUND(SUMIFS(AN_TME22[[#All],[Count of Members with Claims Truncated]], AN_TME22[[#All],[Insurance Category Code]],5, AN_TME22[[#All],[Advanced Network/Insurance Carrier Org ID]],B239),2), "TRUE", ROUND(E239-SUMIFS(AN_TME22[[#All],[Count of Members with Claims Truncated]], AN_TME22[[#All],[Insurance Category Code]],5, AN_TME22[[#All],[Advanced Network/Insurance Carrier Org ID]],B239),2))</f>
        <v>TRUE</v>
      </c>
      <c r="K239" s="282" t="str">
        <f>IF(F239=ROUND(SUMIFS(AN_TME22[[#All],[TOTAL Non-Truncated Unadjusted Claims Expenses]], AN_TME22[[#All],[Insurance Category Code]],5, AN_TME22[[#All],[Advanced Network/Insurance Carrier Org ID]],B239),2), "TRUE", ROUND(F239-SUMIFS(AN_TME22[[#All],[TOTAL Non-Truncated Unadjusted Claims Expenses]], AN_TME22[[#All],[Insurance Category Code]],5, AN_TME22[[#All],[Advanced Network/Insurance Carrier Org ID]],B239), 2))</f>
        <v>TRUE</v>
      </c>
      <c r="L239" s="295" t="str">
        <f>IF(G239=ROUND(SUMIFS(AN_TME22[[#All],[TOTAL Truncated Unadjusted Claims Expenses (A21 -A19)]], AN_TME22[[#All],[Insurance Category Code]],5, AN_TME22[[#All],[Advanced Network/Insurance Carrier Org ID]],B239),2), "TRUE", ROUND(G239-SUMIFS(AN_TME22[[#All],[TOTAL Truncated Unadjusted Claims Expenses (A21 -A19)]], AN_TME22[[#All],[Insurance Category Code]],5, AN_TME22[[#All],[Advanced Network/Insurance Carrier Org ID]],B239),2))</f>
        <v>TRUE</v>
      </c>
      <c r="M239" s="461" t="str">
        <f t="shared" si="23"/>
        <v>TRUE</v>
      </c>
      <c r="N239" s="282" t="b">
        <f>ROUND(SUMIFS(AN_TME22[[#All],[TOTAL Non-Truncated Unadjusted Claims Expenses]], AN_TME22[[#All],[Insurance Category Code]],5, AN_TME22[[#All],[Advanced Network/Insurance Carrier Org ID]],B239),2)&gt;=ROUND(SUMIFS(AN_TME22[[#All],[TOTAL Truncated Unadjusted Claims Expenses (A21 -A19)]], AN_TME22[[#All],[Insurance Category Code]],5, AN_TME22[[#All],[Advanced Network/Insurance Carrier Org ID]],B239),2)</f>
        <v>1</v>
      </c>
      <c r="O239" s="295" t="b">
        <f>ROUND(SUMIFS(AN_TME22[[#All],[TOTAL Truncated Unadjusted Claims Expenses (A21 -A19)]], AN_TME22[[#All],[Insurance Category Code]],5, AN_TME22[[#All],[Advanced Network/Insurance Carrier Org ID]],B239)+SUMIFS(AN_TME22[[#All],[Total Claims Excluded because of Truncation]], AN_TME22[[#All],[Insurance Category Code]],5, AN_TME22[[#All],[Advanced Network/Insurance Carrier Org ID]],B239),2)=ROUND(SUMIFS(AN_TME22[[#All],[TOTAL Non-Truncated Unadjusted Claims Expenses]], AN_TME22[[#All],[Insurance Category Code]],5, AN_TME22[[#All],[Advanced Network/Insurance Carrier Org ID]],B239),2)</f>
        <v>1</v>
      </c>
      <c r="Q239" s="236">
        <v>104</v>
      </c>
      <c r="R239" s="463">
        <f>ROUND(SUMIFS(Age_Sex23[[#All],[Total Member Months by Age/Sex Band]], Age_Sex23[[#All],[Advanced Network ID]], $Q239, Age_Sex23[[#All],[Insurance Category Code]],5),2)</f>
        <v>0</v>
      </c>
      <c r="S239" s="268">
        <f>ROUND(SUMIFS(Age_Sex23[[#All],[Total Dollars Excluded from Spending After Applying Truncation at the Member Level]], Age_Sex23[[#All],[Advanced Network ID]], $B239, Age_Sex23[[#All],[Insurance Category Code]],5),2)</f>
        <v>0</v>
      </c>
      <c r="T239" s="229">
        <f>ROUND(SUMIFS(Age_Sex23[[#All],[Count of Members whose Spending was Truncated]], Age_Sex23[[#All],[Advanced Network ID]], $B239, Age_Sex23[[#All],[Insurance Category Code]],5),2)</f>
        <v>0</v>
      </c>
      <c r="U239" s="230">
        <f>ROUND(SUMIFS(Age_Sex23[[#All],[Total Spending before Truncation is Applied]], Age_Sex23[[#All],[Advanced Network ID]], $B239, Age_Sex23[[#All],[Insurance Category Code]],5), 2)</f>
        <v>0</v>
      </c>
      <c r="V239" s="232">
        <f>ROUND(SUMIFS(Age_Sex23[[#All],[Total Spending After Applying Truncation at the Member Level]], Age_Sex23[[#All],[Advanced Network ID]], $B239, Age_Sex23[[#All],[Insurance Category Code]],5),2)</f>
        <v>0</v>
      </c>
      <c r="W239" s="416" t="str">
        <f>IF(R239=ROUND(SUMIFS(AN_TME23[[#All],[Member Months]], AN_TME23[[#All],[Insurance Category Code]],5, AN_TME23[[#All],[Advanced Network/Insurance Carrier Org ID]],Q239),2), "TRUE", ROUND(R239-SUMIFS(AN_TME23[[#All],[Member Months]], AN_TME23[[#All],[Insurance Category Code]],5, AN_TME23[[#All],[Advanced Network/Insurance Carrier Org ID]],Q239),2))</f>
        <v>TRUE</v>
      </c>
      <c r="X239" s="280" t="str">
        <f>IF(S239=ROUND(SUMIFS(AN_TME23[[#All],[Total Claims Excluded because of Truncation]], AN_TME23[[#All],[Insurance Category Code]],5, AN_TME23[[#All],[Advanced Network/Insurance Carrier Org ID]],Q239),2), "TRUE", ROUND(S239-SUMIFS(AN_TME23[[#All],[Total Claims Excluded because of Truncation]], AN_TME23[[#All],[Insurance Category Code]],5, AN_TME23[[#All],[Advanced Network/Insurance Carrier Org ID]],Q239),2))</f>
        <v>TRUE</v>
      </c>
      <c r="Y239" s="281" t="str">
        <f>IF(T239=ROUND(SUMIFS(AN_TME23[[#All],[Count of Members with Claims Truncated]], AN_TME23[[#All],[Insurance Category Code]],5, AN_TME23[[#All],[Advanced Network/Insurance Carrier Org ID]],Q239),2), "TRUE", ROUND(T239-SUMIFS(AN_TME23[[#All],[Count of Members with Claims Truncated]], AN_TME23[[#All],[Insurance Category Code]],5, AN_TME23[[#All],[Advanced Network/Insurance Carrier Org ID]],Q239),2))</f>
        <v>TRUE</v>
      </c>
      <c r="Z239" s="282" t="str">
        <f>IF(U239=ROUND(SUMIFS(AN_TME23[[#All],[TOTAL Non-Truncated Unadjusted Claims Expenses]], AN_TME23[[#All],[Insurance Category Code]],5, AN_TME23[[#All],[Advanced Network/Insurance Carrier Org ID]],Q239),2), "TRUE", ROUND(U239-SUMIFS(AN_TME23[[#All],[TOTAL Non-Truncated Unadjusted Claims Expenses]], AN_TME23[[#All],[Insurance Category Code]],5, AN_TME23[[#All],[Advanced Network/Insurance Carrier Org ID]],Q239),2))</f>
        <v>TRUE</v>
      </c>
      <c r="AA239" s="295" t="str">
        <f>IF(V239=ROUND(SUMIFS(AN_TME23[[#All],[TOTAL Truncated Unadjusted Claims Expenses (A21 -A19)]], AN_TME23[[#All],[Insurance Category Code]],5, AN_TME23[[#All],[Advanced Network/Insurance Carrier Org ID]],Q239),2), "TRUE", ROUND(V239-SUMIFS(AN_TME23[[#All],[TOTAL Truncated Unadjusted Claims Expenses (A21 -A19)]], AN_TME23[[#All],[Insurance Category Code]],5, AN_TME23[[#All],[Advanced Network/Insurance Carrier Org ID]],Q239),2))</f>
        <v>TRUE</v>
      </c>
      <c r="AB239" s="461" t="str">
        <f t="shared" si="26"/>
        <v>TRUE</v>
      </c>
      <c r="AC239" s="282" t="b">
        <f>ROUND(SUMIFS(AN_TME23[[#All],[TOTAL Non-Truncated Unadjusted Claims Expenses]], AN_TME23[[#All],[Insurance Category Code]],5, AN_TME23[[#All],[Advanced Network/Insurance Carrier Org ID]],Q239),2)&gt;=ROUND(SUMIFS(AN_TME23[[#All],[TOTAL Truncated Unadjusted Claims Expenses (A21 -A19)]], AN_TME23[[#All],[Insurance Category Code]],5, AN_TME23[[#All],[Advanced Network/Insurance Carrier Org ID]],Q239),2)</f>
        <v>1</v>
      </c>
      <c r="AD239" s="295" t="b">
        <f>ROUND(SUMIFS(AN_TME23[[#All],[TOTAL Truncated Unadjusted Claims Expenses (A21 -A19)]], AN_TME23[[#All],[Insurance Category Code]],5, AN_TME23[[#All],[Advanced Network/Insurance Carrier Org ID]],Q239)+SUMIFS(AN_TME23[[#All],[Total Claims Excluded because of Truncation]], AN_TME23[[#All],[Insurance Category Code]],5, AN_TME23[[#All],[Advanced Network/Insurance Carrier Org ID]],Q239),2)=ROUND(SUMIFS(AN_TME23[[#All],[TOTAL Non-Truncated Unadjusted Claims Expenses]], AN_TME23[[#All],[Insurance Category Code]],5, AN_TME23[[#All],[Advanced Network/Insurance Carrier Org ID]],Q239),2)</f>
        <v>1</v>
      </c>
      <c r="AF239" s="323" t="str">
        <f t="shared" si="25"/>
        <v>NA</v>
      </c>
    </row>
    <row r="240" spans="2:32" outlineLevel="1" x14ac:dyDescent="0.25">
      <c r="B240" s="236">
        <v>105</v>
      </c>
      <c r="C240" s="463">
        <f>ROUND(SUMIFS(Age_Sex22[[#All],[Total Member Months by Age/Sex Band]], Age_Sex22[[#All],[Advanced Network ID]], $B240, Age_Sex22[[#All],[Insurance Category Code]],5),2)</f>
        <v>0</v>
      </c>
      <c r="D240" s="268">
        <f>ROUND(SUMIFS(Age_Sex22[[#All],[Total Dollars Excluded from Spending After Applying Truncation at the Member Level]], Age_Sex22[[#All],[Advanced Network ID]], $B240, Age_Sex22[[#All],[Insurance Category Code]],5),2)</f>
        <v>0</v>
      </c>
      <c r="E240" s="229">
        <f>ROUND(SUMIFS(Age_Sex22[[#All],[Count of Members whose Spending was Truncated]], Age_Sex22[[#All],[Advanced Network ID]], $B240, Age_Sex22[[#All],[Insurance Category Code]],5),2)</f>
        <v>0</v>
      </c>
      <c r="F240" s="230">
        <f>ROUND(SUMIFS(Age_Sex22[[#All],[Total Spending before Truncation is Applied]], Age_Sex22[[#All],[Advanced Network ID]], $B240, Age_Sex22[[#All],[Insurance Category Code]],5),2)</f>
        <v>0</v>
      </c>
      <c r="G240" s="232">
        <f>ROUND(SUMIFS(Age_Sex22[[#All],[Total Spending After Applying Truncation at the Member Level]], Age_Sex22[[#All],[Advanced Network ID]], $B240, Age_Sex22[[#All],[Insurance Category Code]],5), 2)</f>
        <v>0</v>
      </c>
      <c r="H240" s="416" t="str">
        <f>IF(C240=ROUND(SUMIFS(AN_TME22[[#All],[Member Months]], AN_TME22[[#All],[Insurance Category Code]],5, AN_TME22[[#All],[Advanced Network/Insurance Carrier Org ID]],B240),2), "TRUE", ROUND(C240-SUMIFS(AN_TME22[[#All],[Member Months]], AN_TME22[[#All],[Insurance Category Code]],5, AN_TME22[[#All],[Advanced Network/Insurance Carrier Org ID]],B240),2))</f>
        <v>TRUE</v>
      </c>
      <c r="I240" s="280" t="str">
        <f>IF(D240=ROUND(SUMIFS(AN_TME22[[#All],[Total Claims Excluded because of Truncation]], AN_TME22[[#All],[Insurance Category Code]],5, AN_TME22[[#All],[Advanced Network/Insurance Carrier Org ID]],B240),2), "TRUE", ROUND(D240-SUMIFS(AN_TME22[[#All],[Total Claims Excluded because of Truncation]], AN_TME22[[#All],[Insurance Category Code]],5, AN_TME22[[#All],[Advanced Network/Insurance Carrier Org ID]],B240), 2))</f>
        <v>TRUE</v>
      </c>
      <c r="J240" s="281" t="str">
        <f>IF(E240=ROUND(SUMIFS(AN_TME22[[#All],[Count of Members with Claims Truncated]], AN_TME22[[#All],[Insurance Category Code]],5, AN_TME22[[#All],[Advanced Network/Insurance Carrier Org ID]],B240),2), "TRUE", ROUND(E240-SUMIFS(AN_TME22[[#All],[Count of Members with Claims Truncated]], AN_TME22[[#All],[Insurance Category Code]],5, AN_TME22[[#All],[Advanced Network/Insurance Carrier Org ID]],B240),2))</f>
        <v>TRUE</v>
      </c>
      <c r="K240" s="282" t="str">
        <f>IF(F240=ROUND(SUMIFS(AN_TME22[[#All],[TOTAL Non-Truncated Unadjusted Claims Expenses]], AN_TME22[[#All],[Insurance Category Code]],5, AN_TME22[[#All],[Advanced Network/Insurance Carrier Org ID]],B240),2), "TRUE", ROUND(F240-SUMIFS(AN_TME22[[#All],[TOTAL Non-Truncated Unadjusted Claims Expenses]], AN_TME22[[#All],[Insurance Category Code]],5, AN_TME22[[#All],[Advanced Network/Insurance Carrier Org ID]],B240), 2))</f>
        <v>TRUE</v>
      </c>
      <c r="L240" s="295" t="str">
        <f>IF(G240=ROUND(SUMIFS(AN_TME22[[#All],[TOTAL Truncated Unadjusted Claims Expenses (A21 -A19)]], AN_TME22[[#All],[Insurance Category Code]],5, AN_TME22[[#All],[Advanced Network/Insurance Carrier Org ID]],B240),2), "TRUE", ROUND(G240-SUMIFS(AN_TME22[[#All],[TOTAL Truncated Unadjusted Claims Expenses (A21 -A19)]], AN_TME22[[#All],[Insurance Category Code]],5, AN_TME22[[#All],[Advanced Network/Insurance Carrier Org ID]],B240),2))</f>
        <v>TRUE</v>
      </c>
      <c r="M240" s="461" t="str">
        <f t="shared" si="23"/>
        <v>TRUE</v>
      </c>
      <c r="N240" s="282" t="b">
        <f>ROUND(SUMIFS(AN_TME22[[#All],[TOTAL Non-Truncated Unadjusted Claims Expenses]], AN_TME22[[#All],[Insurance Category Code]],5, AN_TME22[[#All],[Advanced Network/Insurance Carrier Org ID]],B240),2)&gt;=ROUND(SUMIFS(AN_TME22[[#All],[TOTAL Truncated Unadjusted Claims Expenses (A21 -A19)]], AN_TME22[[#All],[Insurance Category Code]],5, AN_TME22[[#All],[Advanced Network/Insurance Carrier Org ID]],B240),2)</f>
        <v>1</v>
      </c>
      <c r="O240" s="295" t="b">
        <f>ROUND(SUMIFS(AN_TME22[[#All],[TOTAL Truncated Unadjusted Claims Expenses (A21 -A19)]], AN_TME22[[#All],[Insurance Category Code]],5, AN_TME22[[#All],[Advanced Network/Insurance Carrier Org ID]],B240)+SUMIFS(AN_TME22[[#All],[Total Claims Excluded because of Truncation]], AN_TME22[[#All],[Insurance Category Code]],5, AN_TME22[[#All],[Advanced Network/Insurance Carrier Org ID]],B240),2)=ROUND(SUMIFS(AN_TME22[[#All],[TOTAL Non-Truncated Unadjusted Claims Expenses]], AN_TME22[[#All],[Insurance Category Code]],5, AN_TME22[[#All],[Advanced Network/Insurance Carrier Org ID]],B240),2)</f>
        <v>1</v>
      </c>
      <c r="Q240" s="236">
        <v>105</v>
      </c>
      <c r="R240" s="463">
        <f>ROUND(SUMIFS(Age_Sex23[[#All],[Total Member Months by Age/Sex Band]], Age_Sex23[[#All],[Advanced Network ID]], $Q240, Age_Sex23[[#All],[Insurance Category Code]],5),2)</f>
        <v>0</v>
      </c>
      <c r="S240" s="268">
        <f>ROUND(SUMIFS(Age_Sex23[[#All],[Total Dollars Excluded from Spending After Applying Truncation at the Member Level]], Age_Sex23[[#All],[Advanced Network ID]], $B240, Age_Sex23[[#All],[Insurance Category Code]],5),2)</f>
        <v>0</v>
      </c>
      <c r="T240" s="229">
        <f>ROUND(SUMIFS(Age_Sex23[[#All],[Count of Members whose Spending was Truncated]], Age_Sex23[[#All],[Advanced Network ID]], $B240, Age_Sex23[[#All],[Insurance Category Code]],5),2)</f>
        <v>0</v>
      </c>
      <c r="U240" s="230">
        <f>ROUND(SUMIFS(Age_Sex23[[#All],[Total Spending before Truncation is Applied]], Age_Sex23[[#All],[Advanced Network ID]], $B240, Age_Sex23[[#All],[Insurance Category Code]],5), 2)</f>
        <v>0</v>
      </c>
      <c r="V240" s="232">
        <f>ROUND(SUMIFS(Age_Sex23[[#All],[Total Spending After Applying Truncation at the Member Level]], Age_Sex23[[#All],[Advanced Network ID]], $B240, Age_Sex23[[#All],[Insurance Category Code]],5),2)</f>
        <v>0</v>
      </c>
      <c r="W240" s="416" t="str">
        <f>IF(R240=ROUND(SUMIFS(AN_TME23[[#All],[Member Months]], AN_TME23[[#All],[Insurance Category Code]],5, AN_TME23[[#All],[Advanced Network/Insurance Carrier Org ID]],Q240),2), "TRUE", ROUND(R240-SUMIFS(AN_TME23[[#All],[Member Months]], AN_TME23[[#All],[Insurance Category Code]],5, AN_TME23[[#All],[Advanced Network/Insurance Carrier Org ID]],Q240),2))</f>
        <v>TRUE</v>
      </c>
      <c r="X240" s="280" t="str">
        <f>IF(S240=ROUND(SUMIFS(AN_TME23[[#All],[Total Claims Excluded because of Truncation]], AN_TME23[[#All],[Insurance Category Code]],5, AN_TME23[[#All],[Advanced Network/Insurance Carrier Org ID]],Q240),2), "TRUE", ROUND(S240-SUMIFS(AN_TME23[[#All],[Total Claims Excluded because of Truncation]], AN_TME23[[#All],[Insurance Category Code]],5, AN_TME23[[#All],[Advanced Network/Insurance Carrier Org ID]],Q240),2))</f>
        <v>TRUE</v>
      </c>
      <c r="Y240" s="281" t="str">
        <f>IF(T240=ROUND(SUMIFS(AN_TME23[[#All],[Count of Members with Claims Truncated]], AN_TME23[[#All],[Insurance Category Code]],5, AN_TME23[[#All],[Advanced Network/Insurance Carrier Org ID]],Q240),2), "TRUE", ROUND(T240-SUMIFS(AN_TME23[[#All],[Count of Members with Claims Truncated]], AN_TME23[[#All],[Insurance Category Code]],5, AN_TME23[[#All],[Advanced Network/Insurance Carrier Org ID]],Q240),2))</f>
        <v>TRUE</v>
      </c>
      <c r="Z240" s="282" t="str">
        <f>IF(U240=ROUND(SUMIFS(AN_TME23[[#All],[TOTAL Non-Truncated Unadjusted Claims Expenses]], AN_TME23[[#All],[Insurance Category Code]],5, AN_TME23[[#All],[Advanced Network/Insurance Carrier Org ID]],Q240),2), "TRUE", ROUND(U240-SUMIFS(AN_TME23[[#All],[TOTAL Non-Truncated Unadjusted Claims Expenses]], AN_TME23[[#All],[Insurance Category Code]],5, AN_TME23[[#All],[Advanced Network/Insurance Carrier Org ID]],Q240),2))</f>
        <v>TRUE</v>
      </c>
      <c r="AA240" s="295" t="str">
        <f>IF(V240=ROUND(SUMIFS(AN_TME23[[#All],[TOTAL Truncated Unadjusted Claims Expenses (A21 -A19)]], AN_TME23[[#All],[Insurance Category Code]],5, AN_TME23[[#All],[Advanced Network/Insurance Carrier Org ID]],Q240),2), "TRUE", ROUND(V240-SUMIFS(AN_TME23[[#All],[TOTAL Truncated Unadjusted Claims Expenses (A21 -A19)]], AN_TME23[[#All],[Insurance Category Code]],5, AN_TME23[[#All],[Advanced Network/Insurance Carrier Org ID]],Q240),2))</f>
        <v>TRUE</v>
      </c>
      <c r="AB240" s="461" t="str">
        <f t="shared" si="26"/>
        <v>TRUE</v>
      </c>
      <c r="AC240" s="282" t="b">
        <f>ROUND(SUMIFS(AN_TME23[[#All],[TOTAL Non-Truncated Unadjusted Claims Expenses]], AN_TME23[[#All],[Insurance Category Code]],5, AN_TME23[[#All],[Advanced Network/Insurance Carrier Org ID]],Q240),2)&gt;=ROUND(SUMIFS(AN_TME23[[#All],[TOTAL Truncated Unadjusted Claims Expenses (A21 -A19)]], AN_TME23[[#All],[Insurance Category Code]],5, AN_TME23[[#All],[Advanced Network/Insurance Carrier Org ID]],Q240),2)</f>
        <v>1</v>
      </c>
      <c r="AD240" s="295" t="b">
        <f>ROUND(SUMIFS(AN_TME23[[#All],[TOTAL Truncated Unadjusted Claims Expenses (A21 -A19)]], AN_TME23[[#All],[Insurance Category Code]],5, AN_TME23[[#All],[Advanced Network/Insurance Carrier Org ID]],Q240)+SUMIFS(AN_TME23[[#All],[Total Claims Excluded because of Truncation]], AN_TME23[[#All],[Insurance Category Code]],5, AN_TME23[[#All],[Advanced Network/Insurance Carrier Org ID]],Q240),2)=ROUND(SUMIFS(AN_TME23[[#All],[TOTAL Non-Truncated Unadjusted Claims Expenses]], AN_TME23[[#All],[Insurance Category Code]],5, AN_TME23[[#All],[Advanced Network/Insurance Carrier Org ID]],Q240),2)</f>
        <v>1</v>
      </c>
      <c r="AF240" s="323" t="str">
        <f t="shared" si="25"/>
        <v>NA</v>
      </c>
    </row>
    <row r="241" spans="2:32" outlineLevel="1" x14ac:dyDescent="0.25">
      <c r="B241" s="236">
        <v>106</v>
      </c>
      <c r="C241" s="463">
        <f>ROUND(SUMIFS(Age_Sex22[[#All],[Total Member Months by Age/Sex Band]], Age_Sex22[[#All],[Advanced Network ID]], $B241, Age_Sex22[[#All],[Insurance Category Code]],5),2)</f>
        <v>0</v>
      </c>
      <c r="D241" s="268">
        <f>ROUND(SUMIFS(Age_Sex22[[#All],[Total Dollars Excluded from Spending After Applying Truncation at the Member Level]], Age_Sex22[[#All],[Advanced Network ID]], $B241, Age_Sex22[[#All],[Insurance Category Code]],5),2)</f>
        <v>0</v>
      </c>
      <c r="E241" s="229">
        <f>ROUND(SUMIFS(Age_Sex22[[#All],[Count of Members whose Spending was Truncated]], Age_Sex22[[#All],[Advanced Network ID]], $B241, Age_Sex22[[#All],[Insurance Category Code]],5),2)</f>
        <v>0</v>
      </c>
      <c r="F241" s="230">
        <f>ROUND(SUMIFS(Age_Sex22[[#All],[Total Spending before Truncation is Applied]], Age_Sex22[[#All],[Advanced Network ID]], $B241, Age_Sex22[[#All],[Insurance Category Code]],5),2)</f>
        <v>0</v>
      </c>
      <c r="G241" s="232">
        <f>ROUND(SUMIFS(Age_Sex22[[#All],[Total Spending After Applying Truncation at the Member Level]], Age_Sex22[[#All],[Advanced Network ID]], $B241, Age_Sex22[[#All],[Insurance Category Code]],5), 2)</f>
        <v>0</v>
      </c>
      <c r="H241" s="416" t="str">
        <f>IF(C241=ROUND(SUMIFS(AN_TME22[[#All],[Member Months]], AN_TME22[[#All],[Insurance Category Code]],5, AN_TME22[[#All],[Advanced Network/Insurance Carrier Org ID]],B241),2), "TRUE", ROUND(C241-SUMIFS(AN_TME22[[#All],[Member Months]], AN_TME22[[#All],[Insurance Category Code]],5, AN_TME22[[#All],[Advanced Network/Insurance Carrier Org ID]],B241),2))</f>
        <v>TRUE</v>
      </c>
      <c r="I241" s="280" t="str">
        <f>IF(D241=ROUND(SUMIFS(AN_TME22[[#All],[Total Claims Excluded because of Truncation]], AN_TME22[[#All],[Insurance Category Code]],5, AN_TME22[[#All],[Advanced Network/Insurance Carrier Org ID]],B241),2), "TRUE", ROUND(D241-SUMIFS(AN_TME22[[#All],[Total Claims Excluded because of Truncation]], AN_TME22[[#All],[Insurance Category Code]],5, AN_TME22[[#All],[Advanced Network/Insurance Carrier Org ID]],B241), 2))</f>
        <v>TRUE</v>
      </c>
      <c r="J241" s="281" t="str">
        <f>IF(E241=ROUND(SUMIFS(AN_TME22[[#All],[Count of Members with Claims Truncated]], AN_TME22[[#All],[Insurance Category Code]],5, AN_TME22[[#All],[Advanced Network/Insurance Carrier Org ID]],B241),2), "TRUE", ROUND(E241-SUMIFS(AN_TME22[[#All],[Count of Members with Claims Truncated]], AN_TME22[[#All],[Insurance Category Code]],5, AN_TME22[[#All],[Advanced Network/Insurance Carrier Org ID]],B241),2))</f>
        <v>TRUE</v>
      </c>
      <c r="K241" s="282" t="str">
        <f>IF(F241=ROUND(SUMIFS(AN_TME22[[#All],[TOTAL Non-Truncated Unadjusted Claims Expenses]], AN_TME22[[#All],[Insurance Category Code]],5, AN_TME22[[#All],[Advanced Network/Insurance Carrier Org ID]],B241),2), "TRUE", ROUND(F241-SUMIFS(AN_TME22[[#All],[TOTAL Non-Truncated Unadjusted Claims Expenses]], AN_TME22[[#All],[Insurance Category Code]],5, AN_TME22[[#All],[Advanced Network/Insurance Carrier Org ID]],B241), 2))</f>
        <v>TRUE</v>
      </c>
      <c r="L241" s="295" t="str">
        <f>IF(G241=ROUND(SUMIFS(AN_TME22[[#All],[TOTAL Truncated Unadjusted Claims Expenses (A21 -A19)]], AN_TME22[[#All],[Insurance Category Code]],5, AN_TME22[[#All],[Advanced Network/Insurance Carrier Org ID]],B241),2), "TRUE", ROUND(G241-SUMIFS(AN_TME22[[#All],[TOTAL Truncated Unadjusted Claims Expenses (A21 -A19)]], AN_TME22[[#All],[Insurance Category Code]],5, AN_TME22[[#All],[Advanced Network/Insurance Carrier Org ID]],B241),2))</f>
        <v>TRUE</v>
      </c>
      <c r="M241" s="461" t="str">
        <f t="shared" si="23"/>
        <v>TRUE</v>
      </c>
      <c r="N241" s="282" t="b">
        <f>ROUND(SUMIFS(AN_TME22[[#All],[TOTAL Non-Truncated Unadjusted Claims Expenses]], AN_TME22[[#All],[Insurance Category Code]],5, AN_TME22[[#All],[Advanced Network/Insurance Carrier Org ID]],B241),2)&gt;=ROUND(SUMIFS(AN_TME22[[#All],[TOTAL Truncated Unadjusted Claims Expenses (A21 -A19)]], AN_TME22[[#All],[Insurance Category Code]],5, AN_TME22[[#All],[Advanced Network/Insurance Carrier Org ID]],B241),2)</f>
        <v>1</v>
      </c>
      <c r="O241" s="295" t="b">
        <f>ROUND(SUMIFS(AN_TME22[[#All],[TOTAL Truncated Unadjusted Claims Expenses (A21 -A19)]], AN_TME22[[#All],[Insurance Category Code]],5, AN_TME22[[#All],[Advanced Network/Insurance Carrier Org ID]],B241)+SUMIFS(AN_TME22[[#All],[Total Claims Excluded because of Truncation]], AN_TME22[[#All],[Insurance Category Code]],5, AN_TME22[[#All],[Advanced Network/Insurance Carrier Org ID]],B241),2)=ROUND(SUMIFS(AN_TME22[[#All],[TOTAL Non-Truncated Unadjusted Claims Expenses]], AN_TME22[[#All],[Insurance Category Code]],5, AN_TME22[[#All],[Advanced Network/Insurance Carrier Org ID]],B241),2)</f>
        <v>1</v>
      </c>
      <c r="Q241" s="236">
        <v>106</v>
      </c>
      <c r="R241" s="463">
        <f>ROUND(SUMIFS(Age_Sex23[[#All],[Total Member Months by Age/Sex Band]], Age_Sex23[[#All],[Advanced Network ID]], $Q241, Age_Sex23[[#All],[Insurance Category Code]],5),2)</f>
        <v>0</v>
      </c>
      <c r="S241" s="268">
        <f>ROUND(SUMIFS(Age_Sex23[[#All],[Total Dollars Excluded from Spending After Applying Truncation at the Member Level]], Age_Sex23[[#All],[Advanced Network ID]], $B241, Age_Sex23[[#All],[Insurance Category Code]],5),2)</f>
        <v>0</v>
      </c>
      <c r="T241" s="229">
        <f>ROUND(SUMIFS(Age_Sex23[[#All],[Count of Members whose Spending was Truncated]], Age_Sex23[[#All],[Advanced Network ID]], $B241, Age_Sex23[[#All],[Insurance Category Code]],5),2)</f>
        <v>0</v>
      </c>
      <c r="U241" s="230">
        <f>ROUND(SUMIFS(Age_Sex23[[#All],[Total Spending before Truncation is Applied]], Age_Sex23[[#All],[Advanced Network ID]], $B241, Age_Sex23[[#All],[Insurance Category Code]],5), 2)</f>
        <v>0</v>
      </c>
      <c r="V241" s="232">
        <f>ROUND(SUMIFS(Age_Sex23[[#All],[Total Spending After Applying Truncation at the Member Level]], Age_Sex23[[#All],[Advanced Network ID]], $B241, Age_Sex23[[#All],[Insurance Category Code]],5),2)</f>
        <v>0</v>
      </c>
      <c r="W241" s="416" t="str">
        <f>IF(R241=ROUND(SUMIFS(AN_TME23[[#All],[Member Months]], AN_TME23[[#All],[Insurance Category Code]],5, AN_TME23[[#All],[Advanced Network/Insurance Carrier Org ID]],Q241),2), "TRUE", ROUND(R241-SUMIFS(AN_TME23[[#All],[Member Months]], AN_TME23[[#All],[Insurance Category Code]],5, AN_TME23[[#All],[Advanced Network/Insurance Carrier Org ID]],Q241),2))</f>
        <v>TRUE</v>
      </c>
      <c r="X241" s="280" t="str">
        <f>IF(S241=ROUND(SUMIFS(AN_TME23[[#All],[Total Claims Excluded because of Truncation]], AN_TME23[[#All],[Insurance Category Code]],5, AN_TME23[[#All],[Advanced Network/Insurance Carrier Org ID]],Q241),2), "TRUE", ROUND(S241-SUMIFS(AN_TME23[[#All],[Total Claims Excluded because of Truncation]], AN_TME23[[#All],[Insurance Category Code]],5, AN_TME23[[#All],[Advanced Network/Insurance Carrier Org ID]],Q241),2))</f>
        <v>TRUE</v>
      </c>
      <c r="Y241" s="281" t="str">
        <f>IF(T241=ROUND(SUMIFS(AN_TME23[[#All],[Count of Members with Claims Truncated]], AN_TME23[[#All],[Insurance Category Code]],5, AN_TME23[[#All],[Advanced Network/Insurance Carrier Org ID]],Q241),2), "TRUE", ROUND(T241-SUMIFS(AN_TME23[[#All],[Count of Members with Claims Truncated]], AN_TME23[[#All],[Insurance Category Code]],5, AN_TME23[[#All],[Advanced Network/Insurance Carrier Org ID]],Q241),2))</f>
        <v>TRUE</v>
      </c>
      <c r="Z241" s="282" t="str">
        <f>IF(U241=ROUND(SUMIFS(AN_TME23[[#All],[TOTAL Non-Truncated Unadjusted Claims Expenses]], AN_TME23[[#All],[Insurance Category Code]],5, AN_TME23[[#All],[Advanced Network/Insurance Carrier Org ID]],Q241),2), "TRUE", ROUND(U241-SUMIFS(AN_TME23[[#All],[TOTAL Non-Truncated Unadjusted Claims Expenses]], AN_TME23[[#All],[Insurance Category Code]],5, AN_TME23[[#All],[Advanced Network/Insurance Carrier Org ID]],Q241),2))</f>
        <v>TRUE</v>
      </c>
      <c r="AA241" s="295" t="str">
        <f>IF(V241=ROUND(SUMIFS(AN_TME23[[#All],[TOTAL Truncated Unadjusted Claims Expenses (A21 -A19)]], AN_TME23[[#All],[Insurance Category Code]],5, AN_TME23[[#All],[Advanced Network/Insurance Carrier Org ID]],Q241),2), "TRUE", ROUND(V241-SUMIFS(AN_TME23[[#All],[TOTAL Truncated Unadjusted Claims Expenses (A21 -A19)]], AN_TME23[[#All],[Insurance Category Code]],5, AN_TME23[[#All],[Advanced Network/Insurance Carrier Org ID]],Q241),2))</f>
        <v>TRUE</v>
      </c>
      <c r="AB241" s="461" t="str">
        <f t="shared" si="26"/>
        <v>TRUE</v>
      </c>
      <c r="AC241" s="282" t="b">
        <f>ROUND(SUMIFS(AN_TME23[[#All],[TOTAL Non-Truncated Unadjusted Claims Expenses]], AN_TME23[[#All],[Insurance Category Code]],5, AN_TME23[[#All],[Advanced Network/Insurance Carrier Org ID]],Q241),2)&gt;=ROUND(SUMIFS(AN_TME23[[#All],[TOTAL Truncated Unadjusted Claims Expenses (A21 -A19)]], AN_TME23[[#All],[Insurance Category Code]],5, AN_TME23[[#All],[Advanced Network/Insurance Carrier Org ID]],Q241),2)</f>
        <v>1</v>
      </c>
      <c r="AD241" s="295" t="b">
        <f>ROUND(SUMIFS(AN_TME23[[#All],[TOTAL Truncated Unadjusted Claims Expenses (A21 -A19)]], AN_TME23[[#All],[Insurance Category Code]],5, AN_TME23[[#All],[Advanced Network/Insurance Carrier Org ID]],Q241)+SUMIFS(AN_TME23[[#All],[Total Claims Excluded because of Truncation]], AN_TME23[[#All],[Insurance Category Code]],5, AN_TME23[[#All],[Advanced Network/Insurance Carrier Org ID]],Q241),2)=ROUND(SUMIFS(AN_TME23[[#All],[TOTAL Non-Truncated Unadjusted Claims Expenses]], AN_TME23[[#All],[Insurance Category Code]],5, AN_TME23[[#All],[Advanced Network/Insurance Carrier Org ID]],Q241),2)</f>
        <v>1</v>
      </c>
      <c r="AF241" s="323" t="str">
        <f t="shared" si="25"/>
        <v>NA</v>
      </c>
    </row>
    <row r="242" spans="2:32" outlineLevel="1" x14ac:dyDescent="0.25">
      <c r="B242" s="236">
        <v>107</v>
      </c>
      <c r="C242" s="463">
        <f>ROUND(SUMIFS(Age_Sex22[[#All],[Total Member Months by Age/Sex Band]], Age_Sex22[[#All],[Advanced Network ID]], $B242, Age_Sex22[[#All],[Insurance Category Code]],5),2)</f>
        <v>0</v>
      </c>
      <c r="D242" s="268">
        <f>ROUND(SUMIFS(Age_Sex22[[#All],[Total Dollars Excluded from Spending After Applying Truncation at the Member Level]], Age_Sex22[[#All],[Advanced Network ID]], $B242, Age_Sex22[[#All],[Insurance Category Code]],5),2)</f>
        <v>0</v>
      </c>
      <c r="E242" s="229">
        <f>ROUND(SUMIFS(Age_Sex22[[#All],[Count of Members whose Spending was Truncated]], Age_Sex22[[#All],[Advanced Network ID]], $B242, Age_Sex22[[#All],[Insurance Category Code]],5),2)</f>
        <v>0</v>
      </c>
      <c r="F242" s="230">
        <f>ROUND(SUMIFS(Age_Sex22[[#All],[Total Spending before Truncation is Applied]], Age_Sex22[[#All],[Advanced Network ID]], $B242, Age_Sex22[[#All],[Insurance Category Code]],5),2)</f>
        <v>0</v>
      </c>
      <c r="G242" s="232">
        <f>ROUND(SUMIFS(Age_Sex22[[#All],[Total Spending After Applying Truncation at the Member Level]], Age_Sex22[[#All],[Advanced Network ID]], $B242, Age_Sex22[[#All],[Insurance Category Code]],5), 2)</f>
        <v>0</v>
      </c>
      <c r="H242" s="416" t="str">
        <f>IF(C242=ROUND(SUMIFS(AN_TME22[[#All],[Member Months]], AN_TME22[[#All],[Insurance Category Code]],5, AN_TME22[[#All],[Advanced Network/Insurance Carrier Org ID]],B242),2), "TRUE", ROUND(C242-SUMIFS(AN_TME22[[#All],[Member Months]], AN_TME22[[#All],[Insurance Category Code]],5, AN_TME22[[#All],[Advanced Network/Insurance Carrier Org ID]],B242),2))</f>
        <v>TRUE</v>
      </c>
      <c r="I242" s="280" t="str">
        <f>IF(D242=ROUND(SUMIFS(AN_TME22[[#All],[Total Claims Excluded because of Truncation]], AN_TME22[[#All],[Insurance Category Code]],5, AN_TME22[[#All],[Advanced Network/Insurance Carrier Org ID]],B242),2), "TRUE", ROUND(D242-SUMIFS(AN_TME22[[#All],[Total Claims Excluded because of Truncation]], AN_TME22[[#All],[Insurance Category Code]],5, AN_TME22[[#All],[Advanced Network/Insurance Carrier Org ID]],B242), 2))</f>
        <v>TRUE</v>
      </c>
      <c r="J242" s="281" t="str">
        <f>IF(E242=ROUND(SUMIFS(AN_TME22[[#All],[Count of Members with Claims Truncated]], AN_TME22[[#All],[Insurance Category Code]],5, AN_TME22[[#All],[Advanced Network/Insurance Carrier Org ID]],B242),2), "TRUE", ROUND(E242-SUMIFS(AN_TME22[[#All],[Count of Members with Claims Truncated]], AN_TME22[[#All],[Insurance Category Code]],5, AN_TME22[[#All],[Advanced Network/Insurance Carrier Org ID]],B242),2))</f>
        <v>TRUE</v>
      </c>
      <c r="K242" s="282" t="str">
        <f>IF(F242=ROUND(SUMIFS(AN_TME22[[#All],[TOTAL Non-Truncated Unadjusted Claims Expenses]], AN_TME22[[#All],[Insurance Category Code]],5, AN_TME22[[#All],[Advanced Network/Insurance Carrier Org ID]],B242),2), "TRUE", ROUND(F242-SUMIFS(AN_TME22[[#All],[TOTAL Non-Truncated Unadjusted Claims Expenses]], AN_TME22[[#All],[Insurance Category Code]],5, AN_TME22[[#All],[Advanced Network/Insurance Carrier Org ID]],B242), 2))</f>
        <v>TRUE</v>
      </c>
      <c r="L242" s="295" t="str">
        <f>IF(G242=ROUND(SUMIFS(AN_TME22[[#All],[TOTAL Truncated Unadjusted Claims Expenses (A21 -A19)]], AN_TME22[[#All],[Insurance Category Code]],5, AN_TME22[[#All],[Advanced Network/Insurance Carrier Org ID]],B242),2), "TRUE", ROUND(G242-SUMIFS(AN_TME22[[#All],[TOTAL Truncated Unadjusted Claims Expenses (A21 -A19)]], AN_TME22[[#All],[Insurance Category Code]],5, AN_TME22[[#All],[Advanced Network/Insurance Carrier Org ID]],B242),2))</f>
        <v>TRUE</v>
      </c>
      <c r="M242" s="461" t="str">
        <f t="shared" si="23"/>
        <v>TRUE</v>
      </c>
      <c r="N242" s="282" t="b">
        <f>ROUND(SUMIFS(AN_TME22[[#All],[TOTAL Non-Truncated Unadjusted Claims Expenses]], AN_TME22[[#All],[Insurance Category Code]],5, AN_TME22[[#All],[Advanced Network/Insurance Carrier Org ID]],B242),2)&gt;=ROUND(SUMIFS(AN_TME22[[#All],[TOTAL Truncated Unadjusted Claims Expenses (A21 -A19)]], AN_TME22[[#All],[Insurance Category Code]],5, AN_TME22[[#All],[Advanced Network/Insurance Carrier Org ID]],B242),2)</f>
        <v>1</v>
      </c>
      <c r="O242" s="295" t="b">
        <f>ROUND(SUMIFS(AN_TME22[[#All],[TOTAL Truncated Unadjusted Claims Expenses (A21 -A19)]], AN_TME22[[#All],[Insurance Category Code]],5, AN_TME22[[#All],[Advanced Network/Insurance Carrier Org ID]],B242)+SUMIFS(AN_TME22[[#All],[Total Claims Excluded because of Truncation]], AN_TME22[[#All],[Insurance Category Code]],5, AN_TME22[[#All],[Advanced Network/Insurance Carrier Org ID]],B242),2)=ROUND(SUMIFS(AN_TME22[[#All],[TOTAL Non-Truncated Unadjusted Claims Expenses]], AN_TME22[[#All],[Insurance Category Code]],5, AN_TME22[[#All],[Advanced Network/Insurance Carrier Org ID]],B242),2)</f>
        <v>1</v>
      </c>
      <c r="Q242" s="236">
        <v>107</v>
      </c>
      <c r="R242" s="463">
        <f>ROUND(SUMIFS(Age_Sex23[[#All],[Total Member Months by Age/Sex Band]], Age_Sex23[[#All],[Advanced Network ID]], $Q242, Age_Sex23[[#All],[Insurance Category Code]],5),2)</f>
        <v>0</v>
      </c>
      <c r="S242" s="268">
        <f>ROUND(SUMIFS(Age_Sex23[[#All],[Total Dollars Excluded from Spending After Applying Truncation at the Member Level]], Age_Sex23[[#All],[Advanced Network ID]], $B242, Age_Sex23[[#All],[Insurance Category Code]],5),2)</f>
        <v>0</v>
      </c>
      <c r="T242" s="229">
        <f>ROUND(SUMIFS(Age_Sex23[[#All],[Count of Members whose Spending was Truncated]], Age_Sex23[[#All],[Advanced Network ID]], $B242, Age_Sex23[[#All],[Insurance Category Code]],5),2)</f>
        <v>0</v>
      </c>
      <c r="U242" s="230">
        <f>ROUND(SUMIFS(Age_Sex23[[#All],[Total Spending before Truncation is Applied]], Age_Sex23[[#All],[Advanced Network ID]], $B242, Age_Sex23[[#All],[Insurance Category Code]],5), 2)</f>
        <v>0</v>
      </c>
      <c r="V242" s="232">
        <f>ROUND(SUMIFS(Age_Sex23[[#All],[Total Spending After Applying Truncation at the Member Level]], Age_Sex23[[#All],[Advanced Network ID]], $B242, Age_Sex23[[#All],[Insurance Category Code]],5),2)</f>
        <v>0</v>
      </c>
      <c r="W242" s="416" t="str">
        <f>IF(R242=ROUND(SUMIFS(AN_TME23[[#All],[Member Months]], AN_TME23[[#All],[Insurance Category Code]],5, AN_TME23[[#All],[Advanced Network/Insurance Carrier Org ID]],Q242),2), "TRUE", ROUND(R242-SUMIFS(AN_TME23[[#All],[Member Months]], AN_TME23[[#All],[Insurance Category Code]],5, AN_TME23[[#All],[Advanced Network/Insurance Carrier Org ID]],Q242),2))</f>
        <v>TRUE</v>
      </c>
      <c r="X242" s="280" t="str">
        <f>IF(S242=ROUND(SUMIFS(AN_TME23[[#All],[Total Claims Excluded because of Truncation]], AN_TME23[[#All],[Insurance Category Code]],5, AN_TME23[[#All],[Advanced Network/Insurance Carrier Org ID]],Q242),2), "TRUE", ROUND(S242-SUMIFS(AN_TME23[[#All],[Total Claims Excluded because of Truncation]], AN_TME23[[#All],[Insurance Category Code]],5, AN_TME23[[#All],[Advanced Network/Insurance Carrier Org ID]],Q242),2))</f>
        <v>TRUE</v>
      </c>
      <c r="Y242" s="281" t="str">
        <f>IF(T242=ROUND(SUMIFS(AN_TME23[[#All],[Count of Members with Claims Truncated]], AN_TME23[[#All],[Insurance Category Code]],5, AN_TME23[[#All],[Advanced Network/Insurance Carrier Org ID]],Q242),2), "TRUE", ROUND(T242-SUMIFS(AN_TME23[[#All],[Count of Members with Claims Truncated]], AN_TME23[[#All],[Insurance Category Code]],5, AN_TME23[[#All],[Advanced Network/Insurance Carrier Org ID]],Q242),2))</f>
        <v>TRUE</v>
      </c>
      <c r="Z242" s="282" t="str">
        <f>IF(U242=ROUND(SUMIFS(AN_TME23[[#All],[TOTAL Non-Truncated Unadjusted Claims Expenses]], AN_TME23[[#All],[Insurance Category Code]],5, AN_TME23[[#All],[Advanced Network/Insurance Carrier Org ID]],Q242),2), "TRUE", ROUND(U242-SUMIFS(AN_TME23[[#All],[TOTAL Non-Truncated Unadjusted Claims Expenses]], AN_TME23[[#All],[Insurance Category Code]],5, AN_TME23[[#All],[Advanced Network/Insurance Carrier Org ID]],Q242),2))</f>
        <v>TRUE</v>
      </c>
      <c r="AA242" s="295" t="str">
        <f>IF(V242=ROUND(SUMIFS(AN_TME23[[#All],[TOTAL Truncated Unadjusted Claims Expenses (A21 -A19)]], AN_TME23[[#All],[Insurance Category Code]],5, AN_TME23[[#All],[Advanced Network/Insurance Carrier Org ID]],Q242),2), "TRUE", ROUND(V242-SUMIFS(AN_TME23[[#All],[TOTAL Truncated Unadjusted Claims Expenses (A21 -A19)]], AN_TME23[[#All],[Insurance Category Code]],5, AN_TME23[[#All],[Advanced Network/Insurance Carrier Org ID]],Q242),2))</f>
        <v>TRUE</v>
      </c>
      <c r="AB242" s="461" t="str">
        <f t="shared" si="26"/>
        <v>TRUE</v>
      </c>
      <c r="AC242" s="282" t="b">
        <f>ROUND(SUMIFS(AN_TME23[[#All],[TOTAL Non-Truncated Unadjusted Claims Expenses]], AN_TME23[[#All],[Insurance Category Code]],5, AN_TME23[[#All],[Advanced Network/Insurance Carrier Org ID]],Q242),2)&gt;=ROUND(SUMIFS(AN_TME23[[#All],[TOTAL Truncated Unadjusted Claims Expenses (A21 -A19)]], AN_TME23[[#All],[Insurance Category Code]],5, AN_TME23[[#All],[Advanced Network/Insurance Carrier Org ID]],Q242),2)</f>
        <v>1</v>
      </c>
      <c r="AD242" s="295" t="b">
        <f>ROUND(SUMIFS(AN_TME23[[#All],[TOTAL Truncated Unadjusted Claims Expenses (A21 -A19)]], AN_TME23[[#All],[Insurance Category Code]],5, AN_TME23[[#All],[Advanced Network/Insurance Carrier Org ID]],Q242)+SUMIFS(AN_TME23[[#All],[Total Claims Excluded because of Truncation]], AN_TME23[[#All],[Insurance Category Code]],5, AN_TME23[[#All],[Advanced Network/Insurance Carrier Org ID]],Q242),2)=ROUND(SUMIFS(AN_TME23[[#All],[TOTAL Non-Truncated Unadjusted Claims Expenses]], AN_TME23[[#All],[Insurance Category Code]],5, AN_TME23[[#All],[Advanced Network/Insurance Carrier Org ID]],Q242),2)</f>
        <v>1</v>
      </c>
      <c r="AF242" s="323" t="str">
        <f t="shared" si="25"/>
        <v>NA</v>
      </c>
    </row>
    <row r="243" spans="2:32" outlineLevel="1" x14ac:dyDescent="0.25">
      <c r="B243" s="236">
        <v>108</v>
      </c>
      <c r="C243" s="463">
        <f>ROUND(SUMIFS(Age_Sex22[[#All],[Total Member Months by Age/Sex Band]], Age_Sex22[[#All],[Advanced Network ID]], $B243, Age_Sex22[[#All],[Insurance Category Code]],5),2)</f>
        <v>0</v>
      </c>
      <c r="D243" s="268">
        <f>ROUND(SUMIFS(Age_Sex22[[#All],[Total Dollars Excluded from Spending After Applying Truncation at the Member Level]], Age_Sex22[[#All],[Advanced Network ID]], $B243, Age_Sex22[[#All],[Insurance Category Code]],5),2)</f>
        <v>0</v>
      </c>
      <c r="E243" s="229">
        <f>ROUND(SUMIFS(Age_Sex22[[#All],[Count of Members whose Spending was Truncated]], Age_Sex22[[#All],[Advanced Network ID]], $B243, Age_Sex22[[#All],[Insurance Category Code]],5),2)</f>
        <v>0</v>
      </c>
      <c r="F243" s="230">
        <f>ROUND(SUMIFS(Age_Sex22[[#All],[Total Spending before Truncation is Applied]], Age_Sex22[[#All],[Advanced Network ID]], $B243, Age_Sex22[[#All],[Insurance Category Code]],5),2)</f>
        <v>0</v>
      </c>
      <c r="G243" s="232">
        <f>ROUND(SUMIFS(Age_Sex22[[#All],[Total Spending After Applying Truncation at the Member Level]], Age_Sex22[[#All],[Advanced Network ID]], $B243, Age_Sex22[[#All],[Insurance Category Code]],5), 2)</f>
        <v>0</v>
      </c>
      <c r="H243" s="416" t="str">
        <f>IF(C243=ROUND(SUMIFS(AN_TME22[[#All],[Member Months]], AN_TME22[[#All],[Insurance Category Code]],5, AN_TME22[[#All],[Advanced Network/Insurance Carrier Org ID]],B243),2), "TRUE", ROUND(C243-SUMIFS(AN_TME22[[#All],[Member Months]], AN_TME22[[#All],[Insurance Category Code]],5, AN_TME22[[#All],[Advanced Network/Insurance Carrier Org ID]],B243),2))</f>
        <v>TRUE</v>
      </c>
      <c r="I243" s="280" t="str">
        <f>IF(D243=ROUND(SUMIFS(AN_TME22[[#All],[Total Claims Excluded because of Truncation]], AN_TME22[[#All],[Insurance Category Code]],5, AN_TME22[[#All],[Advanced Network/Insurance Carrier Org ID]],B243),2), "TRUE", ROUND(D243-SUMIFS(AN_TME22[[#All],[Total Claims Excluded because of Truncation]], AN_TME22[[#All],[Insurance Category Code]],5, AN_TME22[[#All],[Advanced Network/Insurance Carrier Org ID]],B243), 2))</f>
        <v>TRUE</v>
      </c>
      <c r="J243" s="281" t="str">
        <f>IF(E243=ROUND(SUMIFS(AN_TME22[[#All],[Count of Members with Claims Truncated]], AN_TME22[[#All],[Insurance Category Code]],5, AN_TME22[[#All],[Advanced Network/Insurance Carrier Org ID]],B243),2), "TRUE", ROUND(E243-SUMIFS(AN_TME22[[#All],[Count of Members with Claims Truncated]], AN_TME22[[#All],[Insurance Category Code]],5, AN_TME22[[#All],[Advanced Network/Insurance Carrier Org ID]],B243),2))</f>
        <v>TRUE</v>
      </c>
      <c r="K243" s="282" t="str">
        <f>IF(F243=ROUND(SUMIFS(AN_TME22[[#All],[TOTAL Non-Truncated Unadjusted Claims Expenses]], AN_TME22[[#All],[Insurance Category Code]],5, AN_TME22[[#All],[Advanced Network/Insurance Carrier Org ID]],B243),2), "TRUE", ROUND(F243-SUMIFS(AN_TME22[[#All],[TOTAL Non-Truncated Unadjusted Claims Expenses]], AN_TME22[[#All],[Insurance Category Code]],5, AN_TME22[[#All],[Advanced Network/Insurance Carrier Org ID]],B243), 2))</f>
        <v>TRUE</v>
      </c>
      <c r="L243" s="295" t="str">
        <f>IF(G243=ROUND(SUMIFS(AN_TME22[[#All],[TOTAL Truncated Unadjusted Claims Expenses (A21 -A19)]], AN_TME22[[#All],[Insurance Category Code]],5, AN_TME22[[#All],[Advanced Network/Insurance Carrier Org ID]],B243),2), "TRUE", ROUND(G243-SUMIFS(AN_TME22[[#All],[TOTAL Truncated Unadjusted Claims Expenses (A21 -A19)]], AN_TME22[[#All],[Insurance Category Code]],5, AN_TME22[[#All],[Advanced Network/Insurance Carrier Org ID]],B243),2))</f>
        <v>TRUE</v>
      </c>
      <c r="M243" s="461" t="str">
        <f t="shared" si="23"/>
        <v>TRUE</v>
      </c>
      <c r="N243" s="282" t="b">
        <f>ROUND(SUMIFS(AN_TME22[[#All],[TOTAL Non-Truncated Unadjusted Claims Expenses]], AN_TME22[[#All],[Insurance Category Code]],5, AN_TME22[[#All],[Advanced Network/Insurance Carrier Org ID]],B243),2)&gt;=ROUND(SUMIFS(AN_TME22[[#All],[TOTAL Truncated Unadjusted Claims Expenses (A21 -A19)]], AN_TME22[[#All],[Insurance Category Code]],5, AN_TME22[[#All],[Advanced Network/Insurance Carrier Org ID]],B243),2)</f>
        <v>1</v>
      </c>
      <c r="O243" s="295" t="b">
        <f>ROUND(SUMIFS(AN_TME22[[#All],[TOTAL Truncated Unadjusted Claims Expenses (A21 -A19)]], AN_TME22[[#All],[Insurance Category Code]],5, AN_TME22[[#All],[Advanced Network/Insurance Carrier Org ID]],B243)+SUMIFS(AN_TME22[[#All],[Total Claims Excluded because of Truncation]], AN_TME22[[#All],[Insurance Category Code]],5, AN_TME22[[#All],[Advanced Network/Insurance Carrier Org ID]],B243),2)=ROUND(SUMIFS(AN_TME22[[#All],[TOTAL Non-Truncated Unadjusted Claims Expenses]], AN_TME22[[#All],[Insurance Category Code]],5, AN_TME22[[#All],[Advanced Network/Insurance Carrier Org ID]],B243),2)</f>
        <v>1</v>
      </c>
      <c r="Q243" s="236">
        <v>108</v>
      </c>
      <c r="R243" s="463">
        <f>ROUND(SUMIFS(Age_Sex23[[#All],[Total Member Months by Age/Sex Band]], Age_Sex23[[#All],[Advanced Network ID]], $Q243, Age_Sex23[[#All],[Insurance Category Code]],5),2)</f>
        <v>0</v>
      </c>
      <c r="S243" s="268">
        <f>ROUND(SUMIFS(Age_Sex23[[#All],[Total Dollars Excluded from Spending After Applying Truncation at the Member Level]], Age_Sex23[[#All],[Advanced Network ID]], $B243, Age_Sex23[[#All],[Insurance Category Code]],5),2)</f>
        <v>0</v>
      </c>
      <c r="T243" s="229">
        <f>ROUND(SUMIFS(Age_Sex23[[#All],[Count of Members whose Spending was Truncated]], Age_Sex23[[#All],[Advanced Network ID]], $B243, Age_Sex23[[#All],[Insurance Category Code]],5),2)</f>
        <v>0</v>
      </c>
      <c r="U243" s="230">
        <f>ROUND(SUMIFS(Age_Sex23[[#All],[Total Spending before Truncation is Applied]], Age_Sex23[[#All],[Advanced Network ID]], $B243, Age_Sex23[[#All],[Insurance Category Code]],5), 2)</f>
        <v>0</v>
      </c>
      <c r="V243" s="232">
        <f>ROUND(SUMIFS(Age_Sex23[[#All],[Total Spending After Applying Truncation at the Member Level]], Age_Sex23[[#All],[Advanced Network ID]], $B243, Age_Sex23[[#All],[Insurance Category Code]],5),2)</f>
        <v>0</v>
      </c>
      <c r="W243" s="416" t="str">
        <f>IF(R243=ROUND(SUMIFS(AN_TME23[[#All],[Member Months]], AN_TME23[[#All],[Insurance Category Code]],5, AN_TME23[[#All],[Advanced Network/Insurance Carrier Org ID]],Q243),2), "TRUE", ROUND(R243-SUMIFS(AN_TME23[[#All],[Member Months]], AN_TME23[[#All],[Insurance Category Code]],5, AN_TME23[[#All],[Advanced Network/Insurance Carrier Org ID]],Q243),2))</f>
        <v>TRUE</v>
      </c>
      <c r="X243" s="280" t="str">
        <f>IF(S243=ROUND(SUMIFS(AN_TME23[[#All],[Total Claims Excluded because of Truncation]], AN_TME23[[#All],[Insurance Category Code]],5, AN_TME23[[#All],[Advanced Network/Insurance Carrier Org ID]],Q243),2), "TRUE", ROUND(S243-SUMIFS(AN_TME23[[#All],[Total Claims Excluded because of Truncation]], AN_TME23[[#All],[Insurance Category Code]],5, AN_TME23[[#All],[Advanced Network/Insurance Carrier Org ID]],Q243),2))</f>
        <v>TRUE</v>
      </c>
      <c r="Y243" s="281" t="str">
        <f>IF(T243=ROUND(SUMIFS(AN_TME23[[#All],[Count of Members with Claims Truncated]], AN_TME23[[#All],[Insurance Category Code]],5, AN_TME23[[#All],[Advanced Network/Insurance Carrier Org ID]],Q243),2), "TRUE", ROUND(T243-SUMIFS(AN_TME23[[#All],[Count of Members with Claims Truncated]], AN_TME23[[#All],[Insurance Category Code]],5, AN_TME23[[#All],[Advanced Network/Insurance Carrier Org ID]],Q243),2))</f>
        <v>TRUE</v>
      </c>
      <c r="Z243" s="282" t="str">
        <f>IF(U243=ROUND(SUMIFS(AN_TME23[[#All],[TOTAL Non-Truncated Unadjusted Claims Expenses]], AN_TME23[[#All],[Insurance Category Code]],5, AN_TME23[[#All],[Advanced Network/Insurance Carrier Org ID]],Q243),2), "TRUE", ROUND(U243-SUMIFS(AN_TME23[[#All],[TOTAL Non-Truncated Unadjusted Claims Expenses]], AN_TME23[[#All],[Insurance Category Code]],5, AN_TME23[[#All],[Advanced Network/Insurance Carrier Org ID]],Q243),2))</f>
        <v>TRUE</v>
      </c>
      <c r="AA243" s="295" t="str">
        <f>IF(V243=ROUND(SUMIFS(AN_TME23[[#All],[TOTAL Truncated Unadjusted Claims Expenses (A21 -A19)]], AN_TME23[[#All],[Insurance Category Code]],5, AN_TME23[[#All],[Advanced Network/Insurance Carrier Org ID]],Q243),2), "TRUE", ROUND(V243-SUMIFS(AN_TME23[[#All],[TOTAL Truncated Unadjusted Claims Expenses (A21 -A19)]], AN_TME23[[#All],[Insurance Category Code]],5, AN_TME23[[#All],[Advanced Network/Insurance Carrier Org ID]],Q243),2))</f>
        <v>TRUE</v>
      </c>
      <c r="AB243" s="461" t="str">
        <f t="shared" si="26"/>
        <v>TRUE</v>
      </c>
      <c r="AC243" s="282" t="b">
        <f>ROUND(SUMIFS(AN_TME23[[#All],[TOTAL Non-Truncated Unadjusted Claims Expenses]], AN_TME23[[#All],[Insurance Category Code]],5, AN_TME23[[#All],[Advanced Network/Insurance Carrier Org ID]],Q243),2)&gt;=ROUND(SUMIFS(AN_TME23[[#All],[TOTAL Truncated Unadjusted Claims Expenses (A21 -A19)]], AN_TME23[[#All],[Insurance Category Code]],5, AN_TME23[[#All],[Advanced Network/Insurance Carrier Org ID]],Q243),2)</f>
        <v>1</v>
      </c>
      <c r="AD243" s="295" t="b">
        <f>ROUND(SUMIFS(AN_TME23[[#All],[TOTAL Truncated Unadjusted Claims Expenses (A21 -A19)]], AN_TME23[[#All],[Insurance Category Code]],5, AN_TME23[[#All],[Advanced Network/Insurance Carrier Org ID]],Q243)+SUMIFS(AN_TME23[[#All],[Total Claims Excluded because of Truncation]], AN_TME23[[#All],[Insurance Category Code]],5, AN_TME23[[#All],[Advanced Network/Insurance Carrier Org ID]],Q243),2)=ROUND(SUMIFS(AN_TME23[[#All],[TOTAL Non-Truncated Unadjusted Claims Expenses]], AN_TME23[[#All],[Insurance Category Code]],5, AN_TME23[[#All],[Advanced Network/Insurance Carrier Org ID]],Q243),2)</f>
        <v>1</v>
      </c>
      <c r="AF243" s="323" t="str">
        <f t="shared" si="25"/>
        <v>NA</v>
      </c>
    </row>
    <row r="244" spans="2:32" outlineLevel="1" x14ac:dyDescent="0.25">
      <c r="B244" s="236">
        <v>109</v>
      </c>
      <c r="C244" s="463">
        <f>ROUND(SUMIFS(Age_Sex22[[#All],[Total Member Months by Age/Sex Band]], Age_Sex22[[#All],[Advanced Network ID]], $B244, Age_Sex22[[#All],[Insurance Category Code]],5),2)</f>
        <v>0</v>
      </c>
      <c r="D244" s="268">
        <f>ROUND(SUMIFS(Age_Sex22[[#All],[Total Dollars Excluded from Spending After Applying Truncation at the Member Level]], Age_Sex22[[#All],[Advanced Network ID]], $B244, Age_Sex22[[#All],[Insurance Category Code]],5),2)</f>
        <v>0</v>
      </c>
      <c r="E244" s="229">
        <f>ROUND(SUMIFS(Age_Sex22[[#All],[Count of Members whose Spending was Truncated]], Age_Sex22[[#All],[Advanced Network ID]], $B244, Age_Sex22[[#All],[Insurance Category Code]],5),2)</f>
        <v>0</v>
      </c>
      <c r="F244" s="230">
        <f>ROUND(SUMIFS(Age_Sex22[[#All],[Total Spending before Truncation is Applied]], Age_Sex22[[#All],[Advanced Network ID]], $B244, Age_Sex22[[#All],[Insurance Category Code]],5),2)</f>
        <v>0</v>
      </c>
      <c r="G244" s="232">
        <f>ROUND(SUMIFS(Age_Sex22[[#All],[Total Spending After Applying Truncation at the Member Level]], Age_Sex22[[#All],[Advanced Network ID]], $B244, Age_Sex22[[#All],[Insurance Category Code]],5), 2)</f>
        <v>0</v>
      </c>
      <c r="H244" s="416" t="str">
        <f>IF(C244=ROUND(SUMIFS(AN_TME22[[#All],[Member Months]], AN_TME22[[#All],[Insurance Category Code]],5, AN_TME22[[#All],[Advanced Network/Insurance Carrier Org ID]],B244),2), "TRUE", ROUND(C244-SUMIFS(AN_TME22[[#All],[Member Months]], AN_TME22[[#All],[Insurance Category Code]],5, AN_TME22[[#All],[Advanced Network/Insurance Carrier Org ID]],B244),2))</f>
        <v>TRUE</v>
      </c>
      <c r="I244" s="280" t="str">
        <f>IF(D244=ROUND(SUMIFS(AN_TME22[[#All],[Total Claims Excluded because of Truncation]], AN_TME22[[#All],[Insurance Category Code]],5, AN_TME22[[#All],[Advanced Network/Insurance Carrier Org ID]],B244),2), "TRUE", ROUND(D244-SUMIFS(AN_TME22[[#All],[Total Claims Excluded because of Truncation]], AN_TME22[[#All],[Insurance Category Code]],5, AN_TME22[[#All],[Advanced Network/Insurance Carrier Org ID]],B244), 2))</f>
        <v>TRUE</v>
      </c>
      <c r="J244" s="281" t="str">
        <f>IF(E244=ROUND(SUMIFS(AN_TME22[[#All],[Count of Members with Claims Truncated]], AN_TME22[[#All],[Insurance Category Code]],5, AN_TME22[[#All],[Advanced Network/Insurance Carrier Org ID]],B244),2), "TRUE", ROUND(E244-SUMIFS(AN_TME22[[#All],[Count of Members with Claims Truncated]], AN_TME22[[#All],[Insurance Category Code]],5, AN_TME22[[#All],[Advanced Network/Insurance Carrier Org ID]],B244),2))</f>
        <v>TRUE</v>
      </c>
      <c r="K244" s="282" t="str">
        <f>IF(F244=ROUND(SUMIFS(AN_TME22[[#All],[TOTAL Non-Truncated Unadjusted Claims Expenses]], AN_TME22[[#All],[Insurance Category Code]],5, AN_TME22[[#All],[Advanced Network/Insurance Carrier Org ID]],B244),2), "TRUE", ROUND(F244-SUMIFS(AN_TME22[[#All],[TOTAL Non-Truncated Unadjusted Claims Expenses]], AN_TME22[[#All],[Insurance Category Code]],5, AN_TME22[[#All],[Advanced Network/Insurance Carrier Org ID]],B244), 2))</f>
        <v>TRUE</v>
      </c>
      <c r="L244" s="295" t="str">
        <f>IF(G244=ROUND(SUMIFS(AN_TME22[[#All],[TOTAL Truncated Unadjusted Claims Expenses (A21 -A19)]], AN_TME22[[#All],[Insurance Category Code]],5, AN_TME22[[#All],[Advanced Network/Insurance Carrier Org ID]],B244),2), "TRUE", ROUND(G244-SUMIFS(AN_TME22[[#All],[TOTAL Truncated Unadjusted Claims Expenses (A21 -A19)]], AN_TME22[[#All],[Insurance Category Code]],5, AN_TME22[[#All],[Advanced Network/Insurance Carrier Org ID]],B244),2))</f>
        <v>TRUE</v>
      </c>
      <c r="M244" s="461" t="str">
        <f t="shared" si="23"/>
        <v>TRUE</v>
      </c>
      <c r="N244" s="282" t="b">
        <f>ROUND(SUMIFS(AN_TME22[[#All],[TOTAL Non-Truncated Unadjusted Claims Expenses]], AN_TME22[[#All],[Insurance Category Code]],5, AN_TME22[[#All],[Advanced Network/Insurance Carrier Org ID]],B244),2)&gt;=ROUND(SUMIFS(AN_TME22[[#All],[TOTAL Truncated Unadjusted Claims Expenses (A21 -A19)]], AN_TME22[[#All],[Insurance Category Code]],5, AN_TME22[[#All],[Advanced Network/Insurance Carrier Org ID]],B244),2)</f>
        <v>1</v>
      </c>
      <c r="O244" s="295" t="b">
        <f>ROUND(SUMIFS(AN_TME22[[#All],[TOTAL Truncated Unadjusted Claims Expenses (A21 -A19)]], AN_TME22[[#All],[Insurance Category Code]],5, AN_TME22[[#All],[Advanced Network/Insurance Carrier Org ID]],B244)+SUMIFS(AN_TME22[[#All],[Total Claims Excluded because of Truncation]], AN_TME22[[#All],[Insurance Category Code]],5, AN_TME22[[#All],[Advanced Network/Insurance Carrier Org ID]],B244),2)=ROUND(SUMIFS(AN_TME22[[#All],[TOTAL Non-Truncated Unadjusted Claims Expenses]], AN_TME22[[#All],[Insurance Category Code]],5, AN_TME22[[#All],[Advanced Network/Insurance Carrier Org ID]],B244),2)</f>
        <v>1</v>
      </c>
      <c r="Q244" s="236">
        <v>109</v>
      </c>
      <c r="R244" s="463">
        <f>ROUND(SUMIFS(Age_Sex23[[#All],[Total Member Months by Age/Sex Band]], Age_Sex23[[#All],[Advanced Network ID]], $Q244, Age_Sex23[[#All],[Insurance Category Code]],5),2)</f>
        <v>0</v>
      </c>
      <c r="S244" s="268">
        <f>ROUND(SUMIFS(Age_Sex23[[#All],[Total Dollars Excluded from Spending After Applying Truncation at the Member Level]], Age_Sex23[[#All],[Advanced Network ID]], $B244, Age_Sex23[[#All],[Insurance Category Code]],5),2)</f>
        <v>0</v>
      </c>
      <c r="T244" s="229">
        <f>ROUND(SUMIFS(Age_Sex23[[#All],[Count of Members whose Spending was Truncated]], Age_Sex23[[#All],[Advanced Network ID]], $B244, Age_Sex23[[#All],[Insurance Category Code]],5),2)</f>
        <v>0</v>
      </c>
      <c r="U244" s="230">
        <f>ROUND(SUMIFS(Age_Sex23[[#All],[Total Spending before Truncation is Applied]], Age_Sex23[[#All],[Advanced Network ID]], $B244, Age_Sex23[[#All],[Insurance Category Code]],5), 2)</f>
        <v>0</v>
      </c>
      <c r="V244" s="232">
        <f>ROUND(SUMIFS(Age_Sex23[[#All],[Total Spending After Applying Truncation at the Member Level]], Age_Sex23[[#All],[Advanced Network ID]], $B244, Age_Sex23[[#All],[Insurance Category Code]],5),2)</f>
        <v>0</v>
      </c>
      <c r="W244" s="416" t="str">
        <f>IF(R244=ROUND(SUMIFS(AN_TME23[[#All],[Member Months]], AN_TME23[[#All],[Insurance Category Code]],5, AN_TME23[[#All],[Advanced Network/Insurance Carrier Org ID]],Q244),2), "TRUE", ROUND(R244-SUMIFS(AN_TME23[[#All],[Member Months]], AN_TME23[[#All],[Insurance Category Code]],5, AN_TME23[[#All],[Advanced Network/Insurance Carrier Org ID]],Q244),2))</f>
        <v>TRUE</v>
      </c>
      <c r="X244" s="280" t="str">
        <f>IF(S244=ROUND(SUMIFS(AN_TME23[[#All],[Total Claims Excluded because of Truncation]], AN_TME23[[#All],[Insurance Category Code]],5, AN_TME23[[#All],[Advanced Network/Insurance Carrier Org ID]],Q244),2), "TRUE", ROUND(S244-SUMIFS(AN_TME23[[#All],[Total Claims Excluded because of Truncation]], AN_TME23[[#All],[Insurance Category Code]],5, AN_TME23[[#All],[Advanced Network/Insurance Carrier Org ID]],Q244),2))</f>
        <v>TRUE</v>
      </c>
      <c r="Y244" s="281" t="str">
        <f>IF(T244=ROUND(SUMIFS(AN_TME23[[#All],[Count of Members with Claims Truncated]], AN_TME23[[#All],[Insurance Category Code]],5, AN_TME23[[#All],[Advanced Network/Insurance Carrier Org ID]],Q244),2), "TRUE", ROUND(T244-SUMIFS(AN_TME23[[#All],[Count of Members with Claims Truncated]], AN_TME23[[#All],[Insurance Category Code]],5, AN_TME23[[#All],[Advanced Network/Insurance Carrier Org ID]],Q244),2))</f>
        <v>TRUE</v>
      </c>
      <c r="Z244" s="282" t="str">
        <f>IF(U244=ROUND(SUMIFS(AN_TME23[[#All],[TOTAL Non-Truncated Unadjusted Claims Expenses]], AN_TME23[[#All],[Insurance Category Code]],5, AN_TME23[[#All],[Advanced Network/Insurance Carrier Org ID]],Q244),2), "TRUE", ROUND(U244-SUMIFS(AN_TME23[[#All],[TOTAL Non-Truncated Unadjusted Claims Expenses]], AN_TME23[[#All],[Insurance Category Code]],5, AN_TME23[[#All],[Advanced Network/Insurance Carrier Org ID]],Q244),2))</f>
        <v>TRUE</v>
      </c>
      <c r="AA244" s="295" t="str">
        <f>IF(V244=ROUND(SUMIFS(AN_TME23[[#All],[TOTAL Truncated Unadjusted Claims Expenses (A21 -A19)]], AN_TME23[[#All],[Insurance Category Code]],5, AN_TME23[[#All],[Advanced Network/Insurance Carrier Org ID]],Q244),2), "TRUE", ROUND(V244-SUMIFS(AN_TME23[[#All],[TOTAL Truncated Unadjusted Claims Expenses (A21 -A19)]], AN_TME23[[#All],[Insurance Category Code]],5, AN_TME23[[#All],[Advanced Network/Insurance Carrier Org ID]],Q244),2))</f>
        <v>TRUE</v>
      </c>
      <c r="AB244" s="461" t="str">
        <f t="shared" si="26"/>
        <v>TRUE</v>
      </c>
      <c r="AC244" s="282" t="b">
        <f>ROUND(SUMIFS(AN_TME23[[#All],[TOTAL Non-Truncated Unadjusted Claims Expenses]], AN_TME23[[#All],[Insurance Category Code]],5, AN_TME23[[#All],[Advanced Network/Insurance Carrier Org ID]],Q244),2)&gt;=ROUND(SUMIFS(AN_TME23[[#All],[TOTAL Truncated Unadjusted Claims Expenses (A21 -A19)]], AN_TME23[[#All],[Insurance Category Code]],5, AN_TME23[[#All],[Advanced Network/Insurance Carrier Org ID]],Q244),2)</f>
        <v>1</v>
      </c>
      <c r="AD244" s="295" t="b">
        <f>ROUND(SUMIFS(AN_TME23[[#All],[TOTAL Truncated Unadjusted Claims Expenses (A21 -A19)]], AN_TME23[[#All],[Insurance Category Code]],5, AN_TME23[[#All],[Advanced Network/Insurance Carrier Org ID]],Q244)+SUMIFS(AN_TME23[[#All],[Total Claims Excluded because of Truncation]], AN_TME23[[#All],[Insurance Category Code]],5, AN_TME23[[#All],[Advanced Network/Insurance Carrier Org ID]],Q244),2)=ROUND(SUMIFS(AN_TME23[[#All],[TOTAL Non-Truncated Unadjusted Claims Expenses]], AN_TME23[[#All],[Insurance Category Code]],5, AN_TME23[[#All],[Advanced Network/Insurance Carrier Org ID]],Q244),2)</f>
        <v>1</v>
      </c>
      <c r="AF244" s="323" t="str">
        <f t="shared" si="25"/>
        <v>NA</v>
      </c>
    </row>
    <row r="245" spans="2:32" outlineLevel="1" x14ac:dyDescent="0.25">
      <c r="B245" s="236">
        <v>110</v>
      </c>
      <c r="C245" s="463">
        <f>ROUND(SUMIFS(Age_Sex22[[#All],[Total Member Months by Age/Sex Band]], Age_Sex22[[#All],[Advanced Network ID]], $B245, Age_Sex22[[#All],[Insurance Category Code]],5),2)</f>
        <v>0</v>
      </c>
      <c r="D245" s="268">
        <f>ROUND(SUMIFS(Age_Sex22[[#All],[Total Dollars Excluded from Spending After Applying Truncation at the Member Level]], Age_Sex22[[#All],[Advanced Network ID]], $B245, Age_Sex22[[#All],[Insurance Category Code]],5),2)</f>
        <v>0</v>
      </c>
      <c r="E245" s="229">
        <f>ROUND(SUMIFS(Age_Sex22[[#All],[Count of Members whose Spending was Truncated]], Age_Sex22[[#All],[Advanced Network ID]], $B245, Age_Sex22[[#All],[Insurance Category Code]],5),2)</f>
        <v>0</v>
      </c>
      <c r="F245" s="230">
        <f>ROUND(SUMIFS(Age_Sex22[[#All],[Total Spending before Truncation is Applied]], Age_Sex22[[#All],[Advanced Network ID]], $B245, Age_Sex22[[#All],[Insurance Category Code]],5),2)</f>
        <v>0</v>
      </c>
      <c r="G245" s="232">
        <f>ROUND(SUMIFS(Age_Sex22[[#All],[Total Spending After Applying Truncation at the Member Level]], Age_Sex22[[#All],[Advanced Network ID]], $B245, Age_Sex22[[#All],[Insurance Category Code]],5), 2)</f>
        <v>0</v>
      </c>
      <c r="H245" s="416" t="str">
        <f>IF(C245=ROUND(SUMIFS(AN_TME22[[#All],[Member Months]], AN_TME22[[#All],[Insurance Category Code]],5, AN_TME22[[#All],[Advanced Network/Insurance Carrier Org ID]],B245),2), "TRUE", ROUND(C245-SUMIFS(AN_TME22[[#All],[Member Months]], AN_TME22[[#All],[Insurance Category Code]],5, AN_TME22[[#All],[Advanced Network/Insurance Carrier Org ID]],B245),2))</f>
        <v>TRUE</v>
      </c>
      <c r="I245" s="280" t="str">
        <f>IF(D245=ROUND(SUMIFS(AN_TME22[[#All],[Total Claims Excluded because of Truncation]], AN_TME22[[#All],[Insurance Category Code]],5, AN_TME22[[#All],[Advanced Network/Insurance Carrier Org ID]],B245),2), "TRUE", ROUND(D245-SUMIFS(AN_TME22[[#All],[Total Claims Excluded because of Truncation]], AN_TME22[[#All],[Insurance Category Code]],5, AN_TME22[[#All],[Advanced Network/Insurance Carrier Org ID]],B245), 2))</f>
        <v>TRUE</v>
      </c>
      <c r="J245" s="281" t="str">
        <f>IF(E245=ROUND(SUMIFS(AN_TME22[[#All],[Count of Members with Claims Truncated]], AN_TME22[[#All],[Insurance Category Code]],5, AN_TME22[[#All],[Advanced Network/Insurance Carrier Org ID]],B245),2), "TRUE", ROUND(E245-SUMIFS(AN_TME22[[#All],[Count of Members with Claims Truncated]], AN_TME22[[#All],[Insurance Category Code]],5, AN_TME22[[#All],[Advanced Network/Insurance Carrier Org ID]],B245),2))</f>
        <v>TRUE</v>
      </c>
      <c r="K245" s="282" t="str">
        <f>IF(F245=ROUND(SUMIFS(AN_TME22[[#All],[TOTAL Non-Truncated Unadjusted Claims Expenses]], AN_TME22[[#All],[Insurance Category Code]],5, AN_TME22[[#All],[Advanced Network/Insurance Carrier Org ID]],B245),2), "TRUE", ROUND(F245-SUMIFS(AN_TME22[[#All],[TOTAL Non-Truncated Unadjusted Claims Expenses]], AN_TME22[[#All],[Insurance Category Code]],5, AN_TME22[[#All],[Advanced Network/Insurance Carrier Org ID]],B245), 2))</f>
        <v>TRUE</v>
      </c>
      <c r="L245" s="295" t="str">
        <f>IF(G245=ROUND(SUMIFS(AN_TME22[[#All],[TOTAL Truncated Unadjusted Claims Expenses (A21 -A19)]], AN_TME22[[#All],[Insurance Category Code]],5, AN_TME22[[#All],[Advanced Network/Insurance Carrier Org ID]],B245),2), "TRUE", ROUND(G245-SUMIFS(AN_TME22[[#All],[TOTAL Truncated Unadjusted Claims Expenses (A21 -A19)]], AN_TME22[[#All],[Insurance Category Code]],5, AN_TME22[[#All],[Advanced Network/Insurance Carrier Org ID]],B245),2))</f>
        <v>TRUE</v>
      </c>
      <c r="M245" s="461" t="str">
        <f t="shared" si="23"/>
        <v>TRUE</v>
      </c>
      <c r="N245" s="282" t="b">
        <f>ROUND(SUMIFS(AN_TME22[[#All],[TOTAL Non-Truncated Unadjusted Claims Expenses]], AN_TME22[[#All],[Insurance Category Code]],5, AN_TME22[[#All],[Advanced Network/Insurance Carrier Org ID]],B245),2)&gt;=ROUND(SUMIFS(AN_TME22[[#All],[TOTAL Truncated Unadjusted Claims Expenses (A21 -A19)]], AN_TME22[[#All],[Insurance Category Code]],5, AN_TME22[[#All],[Advanced Network/Insurance Carrier Org ID]],B245),2)</f>
        <v>1</v>
      </c>
      <c r="O245" s="295" t="b">
        <f>ROUND(SUMIFS(AN_TME22[[#All],[TOTAL Truncated Unadjusted Claims Expenses (A21 -A19)]], AN_TME22[[#All],[Insurance Category Code]],5, AN_TME22[[#All],[Advanced Network/Insurance Carrier Org ID]],B245)+SUMIFS(AN_TME22[[#All],[Total Claims Excluded because of Truncation]], AN_TME22[[#All],[Insurance Category Code]],5, AN_TME22[[#All],[Advanced Network/Insurance Carrier Org ID]],B245),2)=ROUND(SUMIFS(AN_TME22[[#All],[TOTAL Non-Truncated Unadjusted Claims Expenses]], AN_TME22[[#All],[Insurance Category Code]],5, AN_TME22[[#All],[Advanced Network/Insurance Carrier Org ID]],B245),2)</f>
        <v>1</v>
      </c>
      <c r="Q245" s="236">
        <v>110</v>
      </c>
      <c r="R245" s="463">
        <f>ROUND(SUMIFS(Age_Sex23[[#All],[Total Member Months by Age/Sex Band]], Age_Sex23[[#All],[Advanced Network ID]], $Q245, Age_Sex23[[#All],[Insurance Category Code]],5),2)</f>
        <v>0</v>
      </c>
      <c r="S245" s="268">
        <f>ROUND(SUMIFS(Age_Sex23[[#All],[Total Dollars Excluded from Spending After Applying Truncation at the Member Level]], Age_Sex23[[#All],[Advanced Network ID]], $B245, Age_Sex23[[#All],[Insurance Category Code]],5),2)</f>
        <v>0</v>
      </c>
      <c r="T245" s="229">
        <f>ROUND(SUMIFS(Age_Sex23[[#All],[Count of Members whose Spending was Truncated]], Age_Sex23[[#All],[Advanced Network ID]], $B245, Age_Sex23[[#All],[Insurance Category Code]],5),2)</f>
        <v>0</v>
      </c>
      <c r="U245" s="230">
        <f>ROUND(SUMIFS(Age_Sex23[[#All],[Total Spending before Truncation is Applied]], Age_Sex23[[#All],[Advanced Network ID]], $B245, Age_Sex23[[#All],[Insurance Category Code]],5), 2)</f>
        <v>0</v>
      </c>
      <c r="V245" s="232">
        <f>ROUND(SUMIFS(Age_Sex23[[#All],[Total Spending After Applying Truncation at the Member Level]], Age_Sex23[[#All],[Advanced Network ID]], $B245, Age_Sex23[[#All],[Insurance Category Code]],5),2)</f>
        <v>0</v>
      </c>
      <c r="W245" s="416" t="str">
        <f>IF(R245=ROUND(SUMIFS(AN_TME23[[#All],[Member Months]], AN_TME23[[#All],[Insurance Category Code]],5, AN_TME23[[#All],[Advanced Network/Insurance Carrier Org ID]],Q245),2), "TRUE", ROUND(R245-SUMIFS(AN_TME23[[#All],[Member Months]], AN_TME23[[#All],[Insurance Category Code]],5, AN_TME23[[#All],[Advanced Network/Insurance Carrier Org ID]],Q245),2))</f>
        <v>TRUE</v>
      </c>
      <c r="X245" s="280" t="str">
        <f>IF(S245=ROUND(SUMIFS(AN_TME23[[#All],[Total Claims Excluded because of Truncation]], AN_TME23[[#All],[Insurance Category Code]],5, AN_TME23[[#All],[Advanced Network/Insurance Carrier Org ID]],Q245),2), "TRUE", ROUND(S245-SUMIFS(AN_TME23[[#All],[Total Claims Excluded because of Truncation]], AN_TME23[[#All],[Insurance Category Code]],5, AN_TME23[[#All],[Advanced Network/Insurance Carrier Org ID]],Q245),2))</f>
        <v>TRUE</v>
      </c>
      <c r="Y245" s="281" t="str">
        <f>IF(T245=ROUND(SUMIFS(AN_TME23[[#All],[Count of Members with Claims Truncated]], AN_TME23[[#All],[Insurance Category Code]],5, AN_TME23[[#All],[Advanced Network/Insurance Carrier Org ID]],Q245),2), "TRUE", ROUND(T245-SUMIFS(AN_TME23[[#All],[Count of Members with Claims Truncated]], AN_TME23[[#All],[Insurance Category Code]],5, AN_TME23[[#All],[Advanced Network/Insurance Carrier Org ID]],Q245),2))</f>
        <v>TRUE</v>
      </c>
      <c r="Z245" s="282" t="str">
        <f>IF(U245=ROUND(SUMIFS(AN_TME23[[#All],[TOTAL Non-Truncated Unadjusted Claims Expenses]], AN_TME23[[#All],[Insurance Category Code]],5, AN_TME23[[#All],[Advanced Network/Insurance Carrier Org ID]],Q245),2), "TRUE", ROUND(U245-SUMIFS(AN_TME23[[#All],[TOTAL Non-Truncated Unadjusted Claims Expenses]], AN_TME23[[#All],[Insurance Category Code]],5, AN_TME23[[#All],[Advanced Network/Insurance Carrier Org ID]],Q245),2))</f>
        <v>TRUE</v>
      </c>
      <c r="AA245" s="295" t="str">
        <f>IF(V245=ROUND(SUMIFS(AN_TME23[[#All],[TOTAL Truncated Unadjusted Claims Expenses (A21 -A19)]], AN_TME23[[#All],[Insurance Category Code]],5, AN_TME23[[#All],[Advanced Network/Insurance Carrier Org ID]],Q245),2), "TRUE", ROUND(V245-SUMIFS(AN_TME23[[#All],[TOTAL Truncated Unadjusted Claims Expenses (A21 -A19)]], AN_TME23[[#All],[Insurance Category Code]],5, AN_TME23[[#All],[Advanced Network/Insurance Carrier Org ID]],Q245),2))</f>
        <v>TRUE</v>
      </c>
      <c r="AB245" s="461" t="str">
        <f t="shared" si="26"/>
        <v>TRUE</v>
      </c>
      <c r="AC245" s="282" t="b">
        <f>ROUND(SUMIFS(AN_TME23[[#All],[TOTAL Non-Truncated Unadjusted Claims Expenses]], AN_TME23[[#All],[Insurance Category Code]],5, AN_TME23[[#All],[Advanced Network/Insurance Carrier Org ID]],Q245),2)&gt;=ROUND(SUMIFS(AN_TME23[[#All],[TOTAL Truncated Unadjusted Claims Expenses (A21 -A19)]], AN_TME23[[#All],[Insurance Category Code]],5, AN_TME23[[#All],[Advanced Network/Insurance Carrier Org ID]],Q245),2)</f>
        <v>1</v>
      </c>
      <c r="AD245" s="295" t="b">
        <f>ROUND(SUMIFS(AN_TME23[[#All],[TOTAL Truncated Unadjusted Claims Expenses (A21 -A19)]], AN_TME23[[#All],[Insurance Category Code]],5, AN_TME23[[#All],[Advanced Network/Insurance Carrier Org ID]],Q245)+SUMIFS(AN_TME23[[#All],[Total Claims Excluded because of Truncation]], AN_TME23[[#All],[Insurance Category Code]],5, AN_TME23[[#All],[Advanced Network/Insurance Carrier Org ID]],Q245),2)=ROUND(SUMIFS(AN_TME23[[#All],[TOTAL Non-Truncated Unadjusted Claims Expenses]], AN_TME23[[#All],[Insurance Category Code]],5, AN_TME23[[#All],[Advanced Network/Insurance Carrier Org ID]],Q245),2)</f>
        <v>1</v>
      </c>
      <c r="AF245" s="323" t="str">
        <f t="shared" si="25"/>
        <v>NA</v>
      </c>
    </row>
    <row r="246" spans="2:32" outlineLevel="1" x14ac:dyDescent="0.25">
      <c r="B246" s="236">
        <v>111</v>
      </c>
      <c r="C246" s="463">
        <f>ROUND(SUMIFS(Age_Sex22[[#All],[Total Member Months by Age/Sex Band]], Age_Sex22[[#All],[Advanced Network ID]], $B246, Age_Sex22[[#All],[Insurance Category Code]],5),2)</f>
        <v>0</v>
      </c>
      <c r="D246" s="268">
        <f>ROUND(SUMIFS(Age_Sex22[[#All],[Total Dollars Excluded from Spending After Applying Truncation at the Member Level]], Age_Sex22[[#All],[Advanced Network ID]], $B246, Age_Sex22[[#All],[Insurance Category Code]],5),2)</f>
        <v>0</v>
      </c>
      <c r="E246" s="229">
        <f>ROUND(SUMIFS(Age_Sex22[[#All],[Count of Members whose Spending was Truncated]], Age_Sex22[[#All],[Advanced Network ID]], $B246, Age_Sex22[[#All],[Insurance Category Code]],5),2)</f>
        <v>0</v>
      </c>
      <c r="F246" s="230">
        <f>ROUND(SUMIFS(Age_Sex22[[#All],[Total Spending before Truncation is Applied]], Age_Sex22[[#All],[Advanced Network ID]], $B246, Age_Sex22[[#All],[Insurance Category Code]],5),2)</f>
        <v>0</v>
      </c>
      <c r="G246" s="232">
        <f>ROUND(SUMIFS(Age_Sex22[[#All],[Total Spending After Applying Truncation at the Member Level]], Age_Sex22[[#All],[Advanced Network ID]], $B246, Age_Sex22[[#All],[Insurance Category Code]],5), 2)</f>
        <v>0</v>
      </c>
      <c r="H246" s="416" t="str">
        <f>IF(C246=ROUND(SUMIFS(AN_TME22[[#All],[Member Months]], AN_TME22[[#All],[Insurance Category Code]],5, AN_TME22[[#All],[Advanced Network/Insurance Carrier Org ID]],B246),2), "TRUE", ROUND(C246-SUMIFS(AN_TME22[[#All],[Member Months]], AN_TME22[[#All],[Insurance Category Code]],5, AN_TME22[[#All],[Advanced Network/Insurance Carrier Org ID]],B246),2))</f>
        <v>TRUE</v>
      </c>
      <c r="I246" s="280" t="str">
        <f>IF(D246=ROUND(SUMIFS(AN_TME22[[#All],[Total Claims Excluded because of Truncation]], AN_TME22[[#All],[Insurance Category Code]],5, AN_TME22[[#All],[Advanced Network/Insurance Carrier Org ID]],B246),2), "TRUE", ROUND(D246-SUMIFS(AN_TME22[[#All],[Total Claims Excluded because of Truncation]], AN_TME22[[#All],[Insurance Category Code]],5, AN_TME22[[#All],[Advanced Network/Insurance Carrier Org ID]],B246), 2))</f>
        <v>TRUE</v>
      </c>
      <c r="J246" s="281" t="str">
        <f>IF(E246=ROUND(SUMIFS(AN_TME22[[#All],[Count of Members with Claims Truncated]], AN_TME22[[#All],[Insurance Category Code]],5, AN_TME22[[#All],[Advanced Network/Insurance Carrier Org ID]],B246),2), "TRUE", ROUND(E246-SUMIFS(AN_TME22[[#All],[Count of Members with Claims Truncated]], AN_TME22[[#All],[Insurance Category Code]],5, AN_TME22[[#All],[Advanced Network/Insurance Carrier Org ID]],B246),2))</f>
        <v>TRUE</v>
      </c>
      <c r="K246" s="282" t="str">
        <f>IF(F246=ROUND(SUMIFS(AN_TME22[[#All],[TOTAL Non-Truncated Unadjusted Claims Expenses]], AN_TME22[[#All],[Insurance Category Code]],5, AN_TME22[[#All],[Advanced Network/Insurance Carrier Org ID]],B246),2), "TRUE", ROUND(F246-SUMIFS(AN_TME22[[#All],[TOTAL Non-Truncated Unadjusted Claims Expenses]], AN_TME22[[#All],[Insurance Category Code]],5, AN_TME22[[#All],[Advanced Network/Insurance Carrier Org ID]],B246), 2))</f>
        <v>TRUE</v>
      </c>
      <c r="L246" s="295" t="str">
        <f>IF(G246=ROUND(SUMIFS(AN_TME22[[#All],[TOTAL Truncated Unadjusted Claims Expenses (A21 -A19)]], AN_TME22[[#All],[Insurance Category Code]],5, AN_TME22[[#All],[Advanced Network/Insurance Carrier Org ID]],B246),2), "TRUE", ROUND(G246-SUMIFS(AN_TME22[[#All],[TOTAL Truncated Unadjusted Claims Expenses (A21 -A19)]], AN_TME22[[#All],[Insurance Category Code]],5, AN_TME22[[#All],[Advanced Network/Insurance Carrier Org ID]],B246),2))</f>
        <v>TRUE</v>
      </c>
      <c r="M246" s="461" t="str">
        <f t="shared" si="23"/>
        <v>TRUE</v>
      </c>
      <c r="N246" s="282" t="b">
        <f>ROUND(SUMIFS(AN_TME22[[#All],[TOTAL Non-Truncated Unadjusted Claims Expenses]], AN_TME22[[#All],[Insurance Category Code]],5, AN_TME22[[#All],[Advanced Network/Insurance Carrier Org ID]],B246),2)&gt;=ROUND(SUMIFS(AN_TME22[[#All],[TOTAL Truncated Unadjusted Claims Expenses (A21 -A19)]], AN_TME22[[#All],[Insurance Category Code]],5, AN_TME22[[#All],[Advanced Network/Insurance Carrier Org ID]],B246),2)</f>
        <v>1</v>
      </c>
      <c r="O246" s="295" t="b">
        <f>ROUND(SUMIFS(AN_TME22[[#All],[TOTAL Truncated Unadjusted Claims Expenses (A21 -A19)]], AN_TME22[[#All],[Insurance Category Code]],5, AN_TME22[[#All],[Advanced Network/Insurance Carrier Org ID]],B246)+SUMIFS(AN_TME22[[#All],[Total Claims Excluded because of Truncation]], AN_TME22[[#All],[Insurance Category Code]],5, AN_TME22[[#All],[Advanced Network/Insurance Carrier Org ID]],B246),2)=ROUND(SUMIFS(AN_TME22[[#All],[TOTAL Non-Truncated Unadjusted Claims Expenses]], AN_TME22[[#All],[Insurance Category Code]],5, AN_TME22[[#All],[Advanced Network/Insurance Carrier Org ID]],B246),2)</f>
        <v>1</v>
      </c>
      <c r="Q246" s="236">
        <v>111</v>
      </c>
      <c r="R246" s="463">
        <f>ROUND(SUMIFS(Age_Sex23[[#All],[Total Member Months by Age/Sex Band]], Age_Sex23[[#All],[Advanced Network ID]], $Q246, Age_Sex23[[#All],[Insurance Category Code]],5),2)</f>
        <v>0</v>
      </c>
      <c r="S246" s="268">
        <f>ROUND(SUMIFS(Age_Sex23[[#All],[Total Dollars Excluded from Spending After Applying Truncation at the Member Level]], Age_Sex23[[#All],[Advanced Network ID]], $B246, Age_Sex23[[#All],[Insurance Category Code]],5),2)</f>
        <v>0</v>
      </c>
      <c r="T246" s="229">
        <f>ROUND(SUMIFS(Age_Sex23[[#All],[Count of Members whose Spending was Truncated]], Age_Sex23[[#All],[Advanced Network ID]], $B246, Age_Sex23[[#All],[Insurance Category Code]],5),2)</f>
        <v>0</v>
      </c>
      <c r="U246" s="230">
        <f>ROUND(SUMIFS(Age_Sex23[[#All],[Total Spending before Truncation is Applied]], Age_Sex23[[#All],[Advanced Network ID]], $B246, Age_Sex23[[#All],[Insurance Category Code]],5), 2)</f>
        <v>0</v>
      </c>
      <c r="V246" s="232">
        <f>ROUND(SUMIFS(Age_Sex23[[#All],[Total Spending After Applying Truncation at the Member Level]], Age_Sex23[[#All],[Advanced Network ID]], $B246, Age_Sex23[[#All],[Insurance Category Code]],5),2)</f>
        <v>0</v>
      </c>
      <c r="W246" s="416" t="str">
        <f>IF(R246=ROUND(SUMIFS(AN_TME23[[#All],[Member Months]], AN_TME23[[#All],[Insurance Category Code]],5, AN_TME23[[#All],[Advanced Network/Insurance Carrier Org ID]],Q246),2), "TRUE", ROUND(R246-SUMIFS(AN_TME23[[#All],[Member Months]], AN_TME23[[#All],[Insurance Category Code]],5, AN_TME23[[#All],[Advanced Network/Insurance Carrier Org ID]],Q246),2))</f>
        <v>TRUE</v>
      </c>
      <c r="X246" s="280" t="str">
        <f>IF(S246=ROUND(SUMIFS(AN_TME23[[#All],[Total Claims Excluded because of Truncation]], AN_TME23[[#All],[Insurance Category Code]],5, AN_TME23[[#All],[Advanced Network/Insurance Carrier Org ID]],Q246),2), "TRUE", ROUND(S246-SUMIFS(AN_TME23[[#All],[Total Claims Excluded because of Truncation]], AN_TME23[[#All],[Insurance Category Code]],5, AN_TME23[[#All],[Advanced Network/Insurance Carrier Org ID]],Q246),2))</f>
        <v>TRUE</v>
      </c>
      <c r="Y246" s="281" t="str">
        <f>IF(T246=ROUND(SUMIFS(AN_TME23[[#All],[Count of Members with Claims Truncated]], AN_TME23[[#All],[Insurance Category Code]],5, AN_TME23[[#All],[Advanced Network/Insurance Carrier Org ID]],Q246),2), "TRUE", ROUND(T246-SUMIFS(AN_TME23[[#All],[Count of Members with Claims Truncated]], AN_TME23[[#All],[Insurance Category Code]],5, AN_TME23[[#All],[Advanced Network/Insurance Carrier Org ID]],Q246),2))</f>
        <v>TRUE</v>
      </c>
      <c r="Z246" s="282" t="str">
        <f>IF(U246=ROUND(SUMIFS(AN_TME23[[#All],[TOTAL Non-Truncated Unadjusted Claims Expenses]], AN_TME23[[#All],[Insurance Category Code]],5, AN_TME23[[#All],[Advanced Network/Insurance Carrier Org ID]],Q246),2), "TRUE", ROUND(U246-SUMIFS(AN_TME23[[#All],[TOTAL Non-Truncated Unadjusted Claims Expenses]], AN_TME23[[#All],[Insurance Category Code]],5, AN_TME23[[#All],[Advanced Network/Insurance Carrier Org ID]],Q246),2))</f>
        <v>TRUE</v>
      </c>
      <c r="AA246" s="295" t="str">
        <f>IF(V246=ROUND(SUMIFS(AN_TME23[[#All],[TOTAL Truncated Unadjusted Claims Expenses (A21 -A19)]], AN_TME23[[#All],[Insurance Category Code]],5, AN_TME23[[#All],[Advanced Network/Insurance Carrier Org ID]],Q246),2), "TRUE", ROUND(V246-SUMIFS(AN_TME23[[#All],[TOTAL Truncated Unadjusted Claims Expenses (A21 -A19)]], AN_TME23[[#All],[Insurance Category Code]],5, AN_TME23[[#All],[Advanced Network/Insurance Carrier Org ID]],Q246),2))</f>
        <v>TRUE</v>
      </c>
      <c r="AB246" s="461" t="str">
        <f t="shared" si="26"/>
        <v>TRUE</v>
      </c>
      <c r="AC246" s="282" t="b">
        <f>ROUND(SUMIFS(AN_TME23[[#All],[TOTAL Non-Truncated Unadjusted Claims Expenses]], AN_TME23[[#All],[Insurance Category Code]],5, AN_TME23[[#All],[Advanced Network/Insurance Carrier Org ID]],Q246),2)&gt;=ROUND(SUMIFS(AN_TME23[[#All],[TOTAL Truncated Unadjusted Claims Expenses (A21 -A19)]], AN_TME23[[#All],[Insurance Category Code]],5, AN_TME23[[#All],[Advanced Network/Insurance Carrier Org ID]],Q246),2)</f>
        <v>1</v>
      </c>
      <c r="AD246" s="295" t="b">
        <f>ROUND(SUMIFS(AN_TME23[[#All],[TOTAL Truncated Unadjusted Claims Expenses (A21 -A19)]], AN_TME23[[#All],[Insurance Category Code]],5, AN_TME23[[#All],[Advanced Network/Insurance Carrier Org ID]],Q246)+SUMIFS(AN_TME23[[#All],[Total Claims Excluded because of Truncation]], AN_TME23[[#All],[Insurance Category Code]],5, AN_TME23[[#All],[Advanced Network/Insurance Carrier Org ID]],Q246),2)=ROUND(SUMIFS(AN_TME23[[#All],[TOTAL Non-Truncated Unadjusted Claims Expenses]], AN_TME23[[#All],[Insurance Category Code]],5, AN_TME23[[#All],[Advanced Network/Insurance Carrier Org ID]],Q246),2)</f>
        <v>1</v>
      </c>
      <c r="AF246" s="323" t="str">
        <f t="shared" si="25"/>
        <v>NA</v>
      </c>
    </row>
    <row r="247" spans="2:32" outlineLevel="1" x14ac:dyDescent="0.25">
      <c r="B247" s="236">
        <v>112</v>
      </c>
      <c r="C247" s="463">
        <f>ROUND(SUMIFS(Age_Sex22[[#All],[Total Member Months by Age/Sex Band]], Age_Sex22[[#All],[Advanced Network ID]], $B247, Age_Sex22[[#All],[Insurance Category Code]],5),2)</f>
        <v>0</v>
      </c>
      <c r="D247" s="268">
        <f>ROUND(SUMIFS(Age_Sex22[[#All],[Total Dollars Excluded from Spending After Applying Truncation at the Member Level]], Age_Sex22[[#All],[Advanced Network ID]], $B247, Age_Sex22[[#All],[Insurance Category Code]],5),2)</f>
        <v>0</v>
      </c>
      <c r="E247" s="229">
        <f>ROUND(SUMIFS(Age_Sex22[[#All],[Count of Members whose Spending was Truncated]], Age_Sex22[[#All],[Advanced Network ID]], $B247, Age_Sex22[[#All],[Insurance Category Code]],5),2)</f>
        <v>0</v>
      </c>
      <c r="F247" s="230">
        <f>ROUND(SUMIFS(Age_Sex22[[#All],[Total Spending before Truncation is Applied]], Age_Sex22[[#All],[Advanced Network ID]], $B247, Age_Sex22[[#All],[Insurance Category Code]],5),2)</f>
        <v>0</v>
      </c>
      <c r="G247" s="232">
        <f>ROUND(SUMIFS(Age_Sex22[[#All],[Total Spending After Applying Truncation at the Member Level]], Age_Sex22[[#All],[Advanced Network ID]], $B247, Age_Sex22[[#All],[Insurance Category Code]],5), 2)</f>
        <v>0</v>
      </c>
      <c r="H247" s="416" t="str">
        <f>IF(C247=ROUND(SUMIFS(AN_TME22[[#All],[Member Months]], AN_TME22[[#All],[Insurance Category Code]],5, AN_TME22[[#All],[Advanced Network/Insurance Carrier Org ID]],B247),2), "TRUE", ROUND(C247-SUMIFS(AN_TME22[[#All],[Member Months]], AN_TME22[[#All],[Insurance Category Code]],5, AN_TME22[[#All],[Advanced Network/Insurance Carrier Org ID]],B247),2))</f>
        <v>TRUE</v>
      </c>
      <c r="I247" s="280" t="str">
        <f>IF(D247=ROUND(SUMIFS(AN_TME22[[#All],[Total Claims Excluded because of Truncation]], AN_TME22[[#All],[Insurance Category Code]],5, AN_TME22[[#All],[Advanced Network/Insurance Carrier Org ID]],B247),2), "TRUE", ROUND(D247-SUMIFS(AN_TME22[[#All],[Total Claims Excluded because of Truncation]], AN_TME22[[#All],[Insurance Category Code]],5, AN_TME22[[#All],[Advanced Network/Insurance Carrier Org ID]],B247), 2))</f>
        <v>TRUE</v>
      </c>
      <c r="J247" s="281" t="str">
        <f>IF(E247=ROUND(SUMIFS(AN_TME22[[#All],[Count of Members with Claims Truncated]], AN_TME22[[#All],[Insurance Category Code]],5, AN_TME22[[#All],[Advanced Network/Insurance Carrier Org ID]],B247),2), "TRUE", ROUND(E247-SUMIFS(AN_TME22[[#All],[Count of Members with Claims Truncated]], AN_TME22[[#All],[Insurance Category Code]],5, AN_TME22[[#All],[Advanced Network/Insurance Carrier Org ID]],B247),2))</f>
        <v>TRUE</v>
      </c>
      <c r="K247" s="282" t="str">
        <f>IF(F247=ROUND(SUMIFS(AN_TME22[[#All],[TOTAL Non-Truncated Unadjusted Claims Expenses]], AN_TME22[[#All],[Insurance Category Code]],5, AN_TME22[[#All],[Advanced Network/Insurance Carrier Org ID]],B247),2), "TRUE", ROUND(F247-SUMIFS(AN_TME22[[#All],[TOTAL Non-Truncated Unadjusted Claims Expenses]], AN_TME22[[#All],[Insurance Category Code]],5, AN_TME22[[#All],[Advanced Network/Insurance Carrier Org ID]],B247), 2))</f>
        <v>TRUE</v>
      </c>
      <c r="L247" s="295" t="str">
        <f>IF(G247=ROUND(SUMIFS(AN_TME22[[#All],[TOTAL Truncated Unadjusted Claims Expenses (A21 -A19)]], AN_TME22[[#All],[Insurance Category Code]],5, AN_TME22[[#All],[Advanced Network/Insurance Carrier Org ID]],B247),2), "TRUE", ROUND(G247-SUMIFS(AN_TME22[[#All],[TOTAL Truncated Unadjusted Claims Expenses (A21 -A19)]], AN_TME22[[#All],[Insurance Category Code]],5, AN_TME22[[#All],[Advanced Network/Insurance Carrier Org ID]],B247),2))</f>
        <v>TRUE</v>
      </c>
      <c r="M247" s="461" t="str">
        <f t="shared" si="23"/>
        <v>TRUE</v>
      </c>
      <c r="N247" s="282" t="b">
        <f>ROUND(SUMIFS(AN_TME22[[#All],[TOTAL Non-Truncated Unadjusted Claims Expenses]], AN_TME22[[#All],[Insurance Category Code]],5, AN_TME22[[#All],[Advanced Network/Insurance Carrier Org ID]],B247),2)&gt;=ROUND(SUMIFS(AN_TME22[[#All],[TOTAL Truncated Unadjusted Claims Expenses (A21 -A19)]], AN_TME22[[#All],[Insurance Category Code]],5, AN_TME22[[#All],[Advanced Network/Insurance Carrier Org ID]],B247),2)</f>
        <v>1</v>
      </c>
      <c r="O247" s="295" t="b">
        <f>ROUND(SUMIFS(AN_TME22[[#All],[TOTAL Truncated Unadjusted Claims Expenses (A21 -A19)]], AN_TME22[[#All],[Insurance Category Code]],5, AN_TME22[[#All],[Advanced Network/Insurance Carrier Org ID]],B247)+SUMIFS(AN_TME22[[#All],[Total Claims Excluded because of Truncation]], AN_TME22[[#All],[Insurance Category Code]],5, AN_TME22[[#All],[Advanced Network/Insurance Carrier Org ID]],B247),2)=ROUND(SUMIFS(AN_TME22[[#All],[TOTAL Non-Truncated Unadjusted Claims Expenses]], AN_TME22[[#All],[Insurance Category Code]],5, AN_TME22[[#All],[Advanced Network/Insurance Carrier Org ID]],B247),2)</f>
        <v>1</v>
      </c>
      <c r="Q247" s="236">
        <v>112</v>
      </c>
      <c r="R247" s="463">
        <f>ROUND(SUMIFS(Age_Sex23[[#All],[Total Member Months by Age/Sex Band]], Age_Sex23[[#All],[Advanced Network ID]], $Q247, Age_Sex23[[#All],[Insurance Category Code]],5),2)</f>
        <v>0</v>
      </c>
      <c r="S247" s="268">
        <f>ROUND(SUMIFS(Age_Sex23[[#All],[Total Dollars Excluded from Spending After Applying Truncation at the Member Level]], Age_Sex23[[#All],[Advanced Network ID]], $B247, Age_Sex23[[#All],[Insurance Category Code]],5),2)</f>
        <v>0</v>
      </c>
      <c r="T247" s="229">
        <f>ROUND(SUMIFS(Age_Sex23[[#All],[Count of Members whose Spending was Truncated]], Age_Sex23[[#All],[Advanced Network ID]], $B247, Age_Sex23[[#All],[Insurance Category Code]],5),2)</f>
        <v>0</v>
      </c>
      <c r="U247" s="230">
        <f>ROUND(SUMIFS(Age_Sex23[[#All],[Total Spending before Truncation is Applied]], Age_Sex23[[#All],[Advanced Network ID]], $B247, Age_Sex23[[#All],[Insurance Category Code]],5), 2)</f>
        <v>0</v>
      </c>
      <c r="V247" s="232">
        <f>ROUND(SUMIFS(Age_Sex23[[#All],[Total Spending After Applying Truncation at the Member Level]], Age_Sex23[[#All],[Advanced Network ID]], $B247, Age_Sex23[[#All],[Insurance Category Code]],5),2)</f>
        <v>0</v>
      </c>
      <c r="W247" s="416" t="str">
        <f>IF(R247=ROUND(SUMIFS(AN_TME23[[#All],[Member Months]], AN_TME23[[#All],[Insurance Category Code]],5, AN_TME23[[#All],[Advanced Network/Insurance Carrier Org ID]],Q247),2), "TRUE", ROUND(R247-SUMIFS(AN_TME23[[#All],[Member Months]], AN_TME23[[#All],[Insurance Category Code]],5, AN_TME23[[#All],[Advanced Network/Insurance Carrier Org ID]],Q247),2))</f>
        <v>TRUE</v>
      </c>
      <c r="X247" s="280" t="str">
        <f>IF(S247=ROUND(SUMIFS(AN_TME23[[#All],[Total Claims Excluded because of Truncation]], AN_TME23[[#All],[Insurance Category Code]],5, AN_TME23[[#All],[Advanced Network/Insurance Carrier Org ID]],Q247),2), "TRUE", ROUND(S247-SUMIFS(AN_TME23[[#All],[Total Claims Excluded because of Truncation]], AN_TME23[[#All],[Insurance Category Code]],5, AN_TME23[[#All],[Advanced Network/Insurance Carrier Org ID]],Q247),2))</f>
        <v>TRUE</v>
      </c>
      <c r="Y247" s="281" t="str">
        <f>IF(T247=ROUND(SUMIFS(AN_TME23[[#All],[Count of Members with Claims Truncated]], AN_TME23[[#All],[Insurance Category Code]],5, AN_TME23[[#All],[Advanced Network/Insurance Carrier Org ID]],Q247),2), "TRUE", ROUND(T247-SUMIFS(AN_TME23[[#All],[Count of Members with Claims Truncated]], AN_TME23[[#All],[Insurance Category Code]],5, AN_TME23[[#All],[Advanced Network/Insurance Carrier Org ID]],Q247),2))</f>
        <v>TRUE</v>
      </c>
      <c r="Z247" s="282" t="str">
        <f>IF(U247=ROUND(SUMIFS(AN_TME23[[#All],[TOTAL Non-Truncated Unadjusted Claims Expenses]], AN_TME23[[#All],[Insurance Category Code]],5, AN_TME23[[#All],[Advanced Network/Insurance Carrier Org ID]],Q247),2), "TRUE", ROUND(U247-SUMIFS(AN_TME23[[#All],[TOTAL Non-Truncated Unadjusted Claims Expenses]], AN_TME23[[#All],[Insurance Category Code]],5, AN_TME23[[#All],[Advanced Network/Insurance Carrier Org ID]],Q247),2))</f>
        <v>TRUE</v>
      </c>
      <c r="AA247" s="295" t="str">
        <f>IF(V247=ROUND(SUMIFS(AN_TME23[[#All],[TOTAL Truncated Unadjusted Claims Expenses (A21 -A19)]], AN_TME23[[#All],[Insurance Category Code]],5, AN_TME23[[#All],[Advanced Network/Insurance Carrier Org ID]],Q247),2), "TRUE", ROUND(V247-SUMIFS(AN_TME23[[#All],[TOTAL Truncated Unadjusted Claims Expenses (A21 -A19)]], AN_TME23[[#All],[Insurance Category Code]],5, AN_TME23[[#All],[Advanced Network/Insurance Carrier Org ID]],Q247),2))</f>
        <v>TRUE</v>
      </c>
      <c r="AB247" s="461" t="str">
        <f t="shared" si="26"/>
        <v>TRUE</v>
      </c>
      <c r="AC247" s="282" t="b">
        <f>ROUND(SUMIFS(AN_TME23[[#All],[TOTAL Non-Truncated Unadjusted Claims Expenses]], AN_TME23[[#All],[Insurance Category Code]],5, AN_TME23[[#All],[Advanced Network/Insurance Carrier Org ID]],Q247),2)&gt;=ROUND(SUMIFS(AN_TME23[[#All],[TOTAL Truncated Unadjusted Claims Expenses (A21 -A19)]], AN_TME23[[#All],[Insurance Category Code]],5, AN_TME23[[#All],[Advanced Network/Insurance Carrier Org ID]],Q247),2)</f>
        <v>1</v>
      </c>
      <c r="AD247" s="295" t="b">
        <f>ROUND(SUMIFS(AN_TME23[[#All],[TOTAL Truncated Unadjusted Claims Expenses (A21 -A19)]], AN_TME23[[#All],[Insurance Category Code]],5, AN_TME23[[#All],[Advanced Network/Insurance Carrier Org ID]],Q247)+SUMIFS(AN_TME23[[#All],[Total Claims Excluded because of Truncation]], AN_TME23[[#All],[Insurance Category Code]],5, AN_TME23[[#All],[Advanced Network/Insurance Carrier Org ID]],Q247),2)=ROUND(SUMIFS(AN_TME23[[#All],[TOTAL Non-Truncated Unadjusted Claims Expenses]], AN_TME23[[#All],[Insurance Category Code]],5, AN_TME23[[#All],[Advanced Network/Insurance Carrier Org ID]],Q247),2)</f>
        <v>1</v>
      </c>
      <c r="AF247" s="323" t="str">
        <f t="shared" si="25"/>
        <v>NA</v>
      </c>
    </row>
    <row r="248" spans="2:32" outlineLevel="1" x14ac:dyDescent="0.25">
      <c r="B248" s="236">
        <v>113</v>
      </c>
      <c r="C248" s="463">
        <f>ROUND(SUMIFS(Age_Sex22[[#All],[Total Member Months by Age/Sex Band]], Age_Sex22[[#All],[Advanced Network ID]], $B248, Age_Sex22[[#All],[Insurance Category Code]],5),2)</f>
        <v>0</v>
      </c>
      <c r="D248" s="268">
        <f>ROUND(SUMIFS(Age_Sex22[[#All],[Total Dollars Excluded from Spending After Applying Truncation at the Member Level]], Age_Sex22[[#All],[Advanced Network ID]], $B248, Age_Sex22[[#All],[Insurance Category Code]],5),2)</f>
        <v>0</v>
      </c>
      <c r="E248" s="229">
        <f>ROUND(SUMIFS(Age_Sex22[[#All],[Count of Members whose Spending was Truncated]], Age_Sex22[[#All],[Advanced Network ID]], $B248, Age_Sex22[[#All],[Insurance Category Code]],5),2)</f>
        <v>0</v>
      </c>
      <c r="F248" s="230">
        <f>ROUND(SUMIFS(Age_Sex22[[#All],[Total Spending before Truncation is Applied]], Age_Sex22[[#All],[Advanced Network ID]], $B248, Age_Sex22[[#All],[Insurance Category Code]],5),2)</f>
        <v>0</v>
      </c>
      <c r="G248" s="232">
        <f>ROUND(SUMIFS(Age_Sex22[[#All],[Total Spending After Applying Truncation at the Member Level]], Age_Sex22[[#All],[Advanced Network ID]], $B248, Age_Sex22[[#All],[Insurance Category Code]],5), 2)</f>
        <v>0</v>
      </c>
      <c r="H248" s="416" t="str">
        <f>IF(C248=ROUND(SUMIFS(AN_TME22[[#All],[Member Months]], AN_TME22[[#All],[Insurance Category Code]],5, AN_TME22[[#All],[Advanced Network/Insurance Carrier Org ID]],B248),2), "TRUE", ROUND(C248-SUMIFS(AN_TME22[[#All],[Member Months]], AN_TME22[[#All],[Insurance Category Code]],5, AN_TME22[[#All],[Advanced Network/Insurance Carrier Org ID]],B248),2))</f>
        <v>TRUE</v>
      </c>
      <c r="I248" s="280" t="str">
        <f>IF(D248=ROUND(SUMIFS(AN_TME22[[#All],[Total Claims Excluded because of Truncation]], AN_TME22[[#All],[Insurance Category Code]],5, AN_TME22[[#All],[Advanced Network/Insurance Carrier Org ID]],B248),2), "TRUE", ROUND(D248-SUMIFS(AN_TME22[[#All],[Total Claims Excluded because of Truncation]], AN_TME22[[#All],[Insurance Category Code]],5, AN_TME22[[#All],[Advanced Network/Insurance Carrier Org ID]],B248), 2))</f>
        <v>TRUE</v>
      </c>
      <c r="J248" s="281" t="str">
        <f>IF(E248=ROUND(SUMIFS(AN_TME22[[#All],[Count of Members with Claims Truncated]], AN_TME22[[#All],[Insurance Category Code]],5, AN_TME22[[#All],[Advanced Network/Insurance Carrier Org ID]],B248),2), "TRUE", ROUND(E248-SUMIFS(AN_TME22[[#All],[Count of Members with Claims Truncated]], AN_TME22[[#All],[Insurance Category Code]],5, AN_TME22[[#All],[Advanced Network/Insurance Carrier Org ID]],B248),2))</f>
        <v>TRUE</v>
      </c>
      <c r="K248" s="282" t="str">
        <f>IF(F248=ROUND(SUMIFS(AN_TME22[[#All],[TOTAL Non-Truncated Unadjusted Claims Expenses]], AN_TME22[[#All],[Insurance Category Code]],5, AN_TME22[[#All],[Advanced Network/Insurance Carrier Org ID]],B248),2), "TRUE", ROUND(F248-SUMIFS(AN_TME22[[#All],[TOTAL Non-Truncated Unadjusted Claims Expenses]], AN_TME22[[#All],[Insurance Category Code]],5, AN_TME22[[#All],[Advanced Network/Insurance Carrier Org ID]],B248), 2))</f>
        <v>TRUE</v>
      </c>
      <c r="L248" s="295" t="str">
        <f>IF(G248=ROUND(SUMIFS(AN_TME22[[#All],[TOTAL Truncated Unadjusted Claims Expenses (A21 -A19)]], AN_TME22[[#All],[Insurance Category Code]],5, AN_TME22[[#All],[Advanced Network/Insurance Carrier Org ID]],B248),2), "TRUE", ROUND(G248-SUMIFS(AN_TME22[[#All],[TOTAL Truncated Unadjusted Claims Expenses (A21 -A19)]], AN_TME22[[#All],[Insurance Category Code]],5, AN_TME22[[#All],[Advanced Network/Insurance Carrier Org ID]],B248),2))</f>
        <v>TRUE</v>
      </c>
      <c r="M248" s="461" t="str">
        <f t="shared" si="23"/>
        <v>TRUE</v>
      </c>
      <c r="N248" s="282" t="b">
        <f>ROUND(SUMIFS(AN_TME22[[#All],[TOTAL Non-Truncated Unadjusted Claims Expenses]], AN_TME22[[#All],[Insurance Category Code]],5, AN_TME22[[#All],[Advanced Network/Insurance Carrier Org ID]],B248),2)&gt;=ROUND(SUMIFS(AN_TME22[[#All],[TOTAL Truncated Unadjusted Claims Expenses (A21 -A19)]], AN_TME22[[#All],[Insurance Category Code]],5, AN_TME22[[#All],[Advanced Network/Insurance Carrier Org ID]],B248),2)</f>
        <v>1</v>
      </c>
      <c r="O248" s="295" t="b">
        <f>ROUND(SUMIFS(AN_TME22[[#All],[TOTAL Truncated Unadjusted Claims Expenses (A21 -A19)]], AN_TME22[[#All],[Insurance Category Code]],5, AN_TME22[[#All],[Advanced Network/Insurance Carrier Org ID]],B248)+SUMIFS(AN_TME22[[#All],[Total Claims Excluded because of Truncation]], AN_TME22[[#All],[Insurance Category Code]],5, AN_TME22[[#All],[Advanced Network/Insurance Carrier Org ID]],B248),2)=ROUND(SUMIFS(AN_TME22[[#All],[TOTAL Non-Truncated Unadjusted Claims Expenses]], AN_TME22[[#All],[Insurance Category Code]],5, AN_TME22[[#All],[Advanced Network/Insurance Carrier Org ID]],B248),2)</f>
        <v>1</v>
      </c>
      <c r="Q248" s="236">
        <v>113</v>
      </c>
      <c r="R248" s="463">
        <f>ROUND(SUMIFS(Age_Sex23[[#All],[Total Member Months by Age/Sex Band]], Age_Sex23[[#All],[Advanced Network ID]], $Q248, Age_Sex23[[#All],[Insurance Category Code]],5),2)</f>
        <v>0</v>
      </c>
      <c r="S248" s="268">
        <f>ROUND(SUMIFS(Age_Sex23[[#All],[Total Dollars Excluded from Spending After Applying Truncation at the Member Level]], Age_Sex23[[#All],[Advanced Network ID]], $B248, Age_Sex23[[#All],[Insurance Category Code]],5),2)</f>
        <v>0</v>
      </c>
      <c r="T248" s="229">
        <f>ROUND(SUMIFS(Age_Sex23[[#All],[Count of Members whose Spending was Truncated]], Age_Sex23[[#All],[Advanced Network ID]], $B248, Age_Sex23[[#All],[Insurance Category Code]],5),2)</f>
        <v>0</v>
      </c>
      <c r="U248" s="230">
        <f>ROUND(SUMIFS(Age_Sex23[[#All],[Total Spending before Truncation is Applied]], Age_Sex23[[#All],[Advanced Network ID]], $B248, Age_Sex23[[#All],[Insurance Category Code]],5), 2)</f>
        <v>0</v>
      </c>
      <c r="V248" s="232">
        <f>ROUND(SUMIFS(Age_Sex23[[#All],[Total Spending After Applying Truncation at the Member Level]], Age_Sex23[[#All],[Advanced Network ID]], $B248, Age_Sex23[[#All],[Insurance Category Code]],5),2)</f>
        <v>0</v>
      </c>
      <c r="W248" s="416" t="str">
        <f>IF(R248=ROUND(SUMIFS(AN_TME23[[#All],[Member Months]], AN_TME23[[#All],[Insurance Category Code]],5, AN_TME23[[#All],[Advanced Network/Insurance Carrier Org ID]],Q248),2), "TRUE", ROUND(R248-SUMIFS(AN_TME23[[#All],[Member Months]], AN_TME23[[#All],[Insurance Category Code]],5, AN_TME23[[#All],[Advanced Network/Insurance Carrier Org ID]],Q248),2))</f>
        <v>TRUE</v>
      </c>
      <c r="X248" s="280" t="str">
        <f>IF(S248=ROUND(SUMIFS(AN_TME23[[#All],[Total Claims Excluded because of Truncation]], AN_TME23[[#All],[Insurance Category Code]],5, AN_TME23[[#All],[Advanced Network/Insurance Carrier Org ID]],Q248),2), "TRUE", ROUND(S248-SUMIFS(AN_TME23[[#All],[Total Claims Excluded because of Truncation]], AN_TME23[[#All],[Insurance Category Code]],5, AN_TME23[[#All],[Advanced Network/Insurance Carrier Org ID]],Q248),2))</f>
        <v>TRUE</v>
      </c>
      <c r="Y248" s="281" t="str">
        <f>IF(T248=ROUND(SUMIFS(AN_TME23[[#All],[Count of Members with Claims Truncated]], AN_TME23[[#All],[Insurance Category Code]],5, AN_TME23[[#All],[Advanced Network/Insurance Carrier Org ID]],Q248),2), "TRUE", ROUND(T248-SUMIFS(AN_TME23[[#All],[Count of Members with Claims Truncated]], AN_TME23[[#All],[Insurance Category Code]],5, AN_TME23[[#All],[Advanced Network/Insurance Carrier Org ID]],Q248),2))</f>
        <v>TRUE</v>
      </c>
      <c r="Z248" s="282" t="str">
        <f>IF(U248=ROUND(SUMIFS(AN_TME23[[#All],[TOTAL Non-Truncated Unadjusted Claims Expenses]], AN_TME23[[#All],[Insurance Category Code]],5, AN_TME23[[#All],[Advanced Network/Insurance Carrier Org ID]],Q248),2), "TRUE", ROUND(U248-SUMIFS(AN_TME23[[#All],[TOTAL Non-Truncated Unadjusted Claims Expenses]], AN_TME23[[#All],[Insurance Category Code]],5, AN_TME23[[#All],[Advanced Network/Insurance Carrier Org ID]],Q248),2))</f>
        <v>TRUE</v>
      </c>
      <c r="AA248" s="295" t="str">
        <f>IF(V248=ROUND(SUMIFS(AN_TME23[[#All],[TOTAL Truncated Unadjusted Claims Expenses (A21 -A19)]], AN_TME23[[#All],[Insurance Category Code]],5, AN_TME23[[#All],[Advanced Network/Insurance Carrier Org ID]],Q248),2), "TRUE", ROUND(V248-SUMIFS(AN_TME23[[#All],[TOTAL Truncated Unadjusted Claims Expenses (A21 -A19)]], AN_TME23[[#All],[Insurance Category Code]],5, AN_TME23[[#All],[Advanced Network/Insurance Carrier Org ID]],Q248),2))</f>
        <v>TRUE</v>
      </c>
      <c r="AB248" s="461" t="str">
        <f t="shared" si="26"/>
        <v>TRUE</v>
      </c>
      <c r="AC248" s="282" t="b">
        <f>ROUND(SUMIFS(AN_TME23[[#All],[TOTAL Non-Truncated Unadjusted Claims Expenses]], AN_TME23[[#All],[Insurance Category Code]],5, AN_TME23[[#All],[Advanced Network/Insurance Carrier Org ID]],Q248),2)&gt;=ROUND(SUMIFS(AN_TME23[[#All],[TOTAL Truncated Unadjusted Claims Expenses (A21 -A19)]], AN_TME23[[#All],[Insurance Category Code]],5, AN_TME23[[#All],[Advanced Network/Insurance Carrier Org ID]],Q248),2)</f>
        <v>1</v>
      </c>
      <c r="AD248" s="295" t="b">
        <f>ROUND(SUMIFS(AN_TME23[[#All],[TOTAL Truncated Unadjusted Claims Expenses (A21 -A19)]], AN_TME23[[#All],[Insurance Category Code]],5, AN_TME23[[#All],[Advanced Network/Insurance Carrier Org ID]],Q248)+SUMIFS(AN_TME23[[#All],[Total Claims Excluded because of Truncation]], AN_TME23[[#All],[Insurance Category Code]],5, AN_TME23[[#All],[Advanced Network/Insurance Carrier Org ID]],Q248),2)=ROUND(SUMIFS(AN_TME23[[#All],[TOTAL Non-Truncated Unadjusted Claims Expenses]], AN_TME23[[#All],[Insurance Category Code]],5, AN_TME23[[#All],[Advanced Network/Insurance Carrier Org ID]],Q248),2)</f>
        <v>1</v>
      </c>
      <c r="AF248" s="323" t="str">
        <f t="shared" si="25"/>
        <v>NA</v>
      </c>
    </row>
    <row r="249" spans="2:32" outlineLevel="1" x14ac:dyDescent="0.25">
      <c r="B249" s="236">
        <v>114</v>
      </c>
      <c r="C249" s="463">
        <f>ROUND(SUMIFS(Age_Sex22[[#All],[Total Member Months by Age/Sex Band]], Age_Sex22[[#All],[Advanced Network ID]], $B249, Age_Sex22[[#All],[Insurance Category Code]],5),2)</f>
        <v>0</v>
      </c>
      <c r="D249" s="268">
        <f>ROUND(SUMIFS(Age_Sex22[[#All],[Total Dollars Excluded from Spending After Applying Truncation at the Member Level]], Age_Sex22[[#All],[Advanced Network ID]], $B249, Age_Sex22[[#All],[Insurance Category Code]],5),2)</f>
        <v>0</v>
      </c>
      <c r="E249" s="229">
        <f>ROUND(SUMIFS(Age_Sex22[[#All],[Count of Members whose Spending was Truncated]], Age_Sex22[[#All],[Advanced Network ID]], $B249, Age_Sex22[[#All],[Insurance Category Code]],5),2)</f>
        <v>0</v>
      </c>
      <c r="F249" s="230">
        <f>ROUND(SUMIFS(Age_Sex22[[#All],[Total Spending before Truncation is Applied]], Age_Sex22[[#All],[Advanced Network ID]], $B249, Age_Sex22[[#All],[Insurance Category Code]],5),2)</f>
        <v>0</v>
      </c>
      <c r="G249" s="232">
        <f>ROUND(SUMIFS(Age_Sex22[[#All],[Total Spending After Applying Truncation at the Member Level]], Age_Sex22[[#All],[Advanced Network ID]], $B249, Age_Sex22[[#All],[Insurance Category Code]],5), 2)</f>
        <v>0</v>
      </c>
      <c r="H249" s="416" t="str">
        <f>IF(C249=ROUND(SUMIFS(AN_TME22[[#All],[Member Months]], AN_TME22[[#All],[Insurance Category Code]],5, AN_TME22[[#All],[Advanced Network/Insurance Carrier Org ID]],B249),2), "TRUE", ROUND(C249-SUMIFS(AN_TME22[[#All],[Member Months]], AN_TME22[[#All],[Insurance Category Code]],5, AN_TME22[[#All],[Advanced Network/Insurance Carrier Org ID]],B249),2))</f>
        <v>TRUE</v>
      </c>
      <c r="I249" s="280" t="str">
        <f>IF(D249=ROUND(SUMIFS(AN_TME22[[#All],[Total Claims Excluded because of Truncation]], AN_TME22[[#All],[Insurance Category Code]],5, AN_TME22[[#All],[Advanced Network/Insurance Carrier Org ID]],B249),2), "TRUE", ROUND(D249-SUMIFS(AN_TME22[[#All],[Total Claims Excluded because of Truncation]], AN_TME22[[#All],[Insurance Category Code]],5, AN_TME22[[#All],[Advanced Network/Insurance Carrier Org ID]],B249), 2))</f>
        <v>TRUE</v>
      </c>
      <c r="J249" s="281" t="str">
        <f>IF(E249=ROUND(SUMIFS(AN_TME22[[#All],[Count of Members with Claims Truncated]], AN_TME22[[#All],[Insurance Category Code]],5, AN_TME22[[#All],[Advanced Network/Insurance Carrier Org ID]],B249),2), "TRUE", ROUND(E249-SUMIFS(AN_TME22[[#All],[Count of Members with Claims Truncated]], AN_TME22[[#All],[Insurance Category Code]],5, AN_TME22[[#All],[Advanced Network/Insurance Carrier Org ID]],B249),2))</f>
        <v>TRUE</v>
      </c>
      <c r="K249" s="282" t="str">
        <f>IF(F249=ROUND(SUMIFS(AN_TME22[[#All],[TOTAL Non-Truncated Unadjusted Claims Expenses]], AN_TME22[[#All],[Insurance Category Code]],5, AN_TME22[[#All],[Advanced Network/Insurance Carrier Org ID]],B249),2), "TRUE", ROUND(F249-SUMIFS(AN_TME22[[#All],[TOTAL Non-Truncated Unadjusted Claims Expenses]], AN_TME22[[#All],[Insurance Category Code]],5, AN_TME22[[#All],[Advanced Network/Insurance Carrier Org ID]],B249), 2))</f>
        <v>TRUE</v>
      </c>
      <c r="L249" s="295" t="str">
        <f>IF(G249=ROUND(SUMIFS(AN_TME22[[#All],[TOTAL Truncated Unadjusted Claims Expenses (A21 -A19)]], AN_TME22[[#All],[Insurance Category Code]],5, AN_TME22[[#All],[Advanced Network/Insurance Carrier Org ID]],B249),2), "TRUE", ROUND(G249-SUMIFS(AN_TME22[[#All],[TOTAL Truncated Unadjusted Claims Expenses (A21 -A19)]], AN_TME22[[#All],[Insurance Category Code]],5, AN_TME22[[#All],[Advanced Network/Insurance Carrier Org ID]],B249),2))</f>
        <v>TRUE</v>
      </c>
      <c r="M249" s="461" t="str">
        <f t="shared" si="23"/>
        <v>TRUE</v>
      </c>
      <c r="N249" s="282" t="b">
        <f>ROUND(SUMIFS(AN_TME22[[#All],[TOTAL Non-Truncated Unadjusted Claims Expenses]], AN_TME22[[#All],[Insurance Category Code]],5, AN_TME22[[#All],[Advanced Network/Insurance Carrier Org ID]],B249),2)&gt;=ROUND(SUMIFS(AN_TME22[[#All],[TOTAL Truncated Unadjusted Claims Expenses (A21 -A19)]], AN_TME22[[#All],[Insurance Category Code]],5, AN_TME22[[#All],[Advanced Network/Insurance Carrier Org ID]],B249),2)</f>
        <v>1</v>
      </c>
      <c r="O249" s="295" t="b">
        <f>ROUND(SUMIFS(AN_TME22[[#All],[TOTAL Truncated Unadjusted Claims Expenses (A21 -A19)]], AN_TME22[[#All],[Insurance Category Code]],5, AN_TME22[[#All],[Advanced Network/Insurance Carrier Org ID]],B249)+SUMIFS(AN_TME22[[#All],[Total Claims Excluded because of Truncation]], AN_TME22[[#All],[Insurance Category Code]],5, AN_TME22[[#All],[Advanced Network/Insurance Carrier Org ID]],B249),2)=ROUND(SUMIFS(AN_TME22[[#All],[TOTAL Non-Truncated Unadjusted Claims Expenses]], AN_TME22[[#All],[Insurance Category Code]],5, AN_TME22[[#All],[Advanced Network/Insurance Carrier Org ID]],B249),2)</f>
        <v>1</v>
      </c>
      <c r="Q249" s="236">
        <v>114</v>
      </c>
      <c r="R249" s="463">
        <f>ROUND(SUMIFS(Age_Sex23[[#All],[Total Member Months by Age/Sex Band]], Age_Sex23[[#All],[Advanced Network ID]], $Q249, Age_Sex23[[#All],[Insurance Category Code]],5),2)</f>
        <v>0</v>
      </c>
      <c r="S249" s="268">
        <f>ROUND(SUMIFS(Age_Sex23[[#All],[Total Dollars Excluded from Spending After Applying Truncation at the Member Level]], Age_Sex23[[#All],[Advanced Network ID]], $B249, Age_Sex23[[#All],[Insurance Category Code]],5),2)</f>
        <v>0</v>
      </c>
      <c r="T249" s="229">
        <f>ROUND(SUMIFS(Age_Sex23[[#All],[Count of Members whose Spending was Truncated]], Age_Sex23[[#All],[Advanced Network ID]], $B249, Age_Sex23[[#All],[Insurance Category Code]],5),2)</f>
        <v>0</v>
      </c>
      <c r="U249" s="230">
        <f>ROUND(SUMIFS(Age_Sex23[[#All],[Total Spending before Truncation is Applied]], Age_Sex23[[#All],[Advanced Network ID]], $B249, Age_Sex23[[#All],[Insurance Category Code]],5), 2)</f>
        <v>0</v>
      </c>
      <c r="V249" s="232">
        <f>ROUND(SUMIFS(Age_Sex23[[#All],[Total Spending After Applying Truncation at the Member Level]], Age_Sex23[[#All],[Advanced Network ID]], $B249, Age_Sex23[[#All],[Insurance Category Code]],5),2)</f>
        <v>0</v>
      </c>
      <c r="W249" s="416" t="str">
        <f>IF(R249=ROUND(SUMIFS(AN_TME23[[#All],[Member Months]], AN_TME23[[#All],[Insurance Category Code]],5, AN_TME23[[#All],[Advanced Network/Insurance Carrier Org ID]],Q249),2), "TRUE", ROUND(R249-SUMIFS(AN_TME23[[#All],[Member Months]], AN_TME23[[#All],[Insurance Category Code]],5, AN_TME23[[#All],[Advanced Network/Insurance Carrier Org ID]],Q249),2))</f>
        <v>TRUE</v>
      </c>
      <c r="X249" s="280" t="str">
        <f>IF(S249=ROUND(SUMIFS(AN_TME23[[#All],[Total Claims Excluded because of Truncation]], AN_TME23[[#All],[Insurance Category Code]],5, AN_TME23[[#All],[Advanced Network/Insurance Carrier Org ID]],Q249),2), "TRUE", ROUND(S249-SUMIFS(AN_TME23[[#All],[Total Claims Excluded because of Truncation]], AN_TME23[[#All],[Insurance Category Code]],5, AN_TME23[[#All],[Advanced Network/Insurance Carrier Org ID]],Q249),2))</f>
        <v>TRUE</v>
      </c>
      <c r="Y249" s="281" t="str">
        <f>IF(T249=ROUND(SUMIFS(AN_TME23[[#All],[Count of Members with Claims Truncated]], AN_TME23[[#All],[Insurance Category Code]],5, AN_TME23[[#All],[Advanced Network/Insurance Carrier Org ID]],Q249),2), "TRUE", ROUND(T249-SUMIFS(AN_TME23[[#All],[Count of Members with Claims Truncated]], AN_TME23[[#All],[Insurance Category Code]],5, AN_TME23[[#All],[Advanced Network/Insurance Carrier Org ID]],Q249),2))</f>
        <v>TRUE</v>
      </c>
      <c r="Z249" s="282" t="str">
        <f>IF(U249=ROUND(SUMIFS(AN_TME23[[#All],[TOTAL Non-Truncated Unadjusted Claims Expenses]], AN_TME23[[#All],[Insurance Category Code]],5, AN_TME23[[#All],[Advanced Network/Insurance Carrier Org ID]],Q249),2), "TRUE", ROUND(U249-SUMIFS(AN_TME23[[#All],[TOTAL Non-Truncated Unadjusted Claims Expenses]], AN_TME23[[#All],[Insurance Category Code]],5, AN_TME23[[#All],[Advanced Network/Insurance Carrier Org ID]],Q249),2))</f>
        <v>TRUE</v>
      </c>
      <c r="AA249" s="295" t="str">
        <f>IF(V249=ROUND(SUMIFS(AN_TME23[[#All],[TOTAL Truncated Unadjusted Claims Expenses (A21 -A19)]], AN_TME23[[#All],[Insurance Category Code]],5, AN_TME23[[#All],[Advanced Network/Insurance Carrier Org ID]],Q249),2), "TRUE", ROUND(V249-SUMIFS(AN_TME23[[#All],[TOTAL Truncated Unadjusted Claims Expenses (A21 -A19)]], AN_TME23[[#All],[Insurance Category Code]],5, AN_TME23[[#All],[Advanced Network/Insurance Carrier Org ID]],Q249),2))</f>
        <v>TRUE</v>
      </c>
      <c r="AB249" s="461" t="str">
        <f t="shared" si="26"/>
        <v>TRUE</v>
      </c>
      <c r="AC249" s="282" t="b">
        <f>ROUND(SUMIFS(AN_TME23[[#All],[TOTAL Non-Truncated Unadjusted Claims Expenses]], AN_TME23[[#All],[Insurance Category Code]],5, AN_TME23[[#All],[Advanced Network/Insurance Carrier Org ID]],Q249),2)&gt;=ROUND(SUMIFS(AN_TME23[[#All],[TOTAL Truncated Unadjusted Claims Expenses (A21 -A19)]], AN_TME23[[#All],[Insurance Category Code]],5, AN_TME23[[#All],[Advanced Network/Insurance Carrier Org ID]],Q249),2)</f>
        <v>1</v>
      </c>
      <c r="AD249" s="295" t="b">
        <f>ROUND(SUMIFS(AN_TME23[[#All],[TOTAL Truncated Unadjusted Claims Expenses (A21 -A19)]], AN_TME23[[#All],[Insurance Category Code]],5, AN_TME23[[#All],[Advanced Network/Insurance Carrier Org ID]],Q249)+SUMIFS(AN_TME23[[#All],[Total Claims Excluded because of Truncation]], AN_TME23[[#All],[Insurance Category Code]],5, AN_TME23[[#All],[Advanced Network/Insurance Carrier Org ID]],Q249),2)=ROUND(SUMIFS(AN_TME23[[#All],[TOTAL Non-Truncated Unadjusted Claims Expenses]], AN_TME23[[#All],[Insurance Category Code]],5, AN_TME23[[#All],[Advanced Network/Insurance Carrier Org ID]],Q249),2)</f>
        <v>1</v>
      </c>
      <c r="AF249" s="323" t="str">
        <f t="shared" si="25"/>
        <v>NA</v>
      </c>
    </row>
    <row r="250" spans="2:32" outlineLevel="1" x14ac:dyDescent="0.25">
      <c r="B250" s="236">
        <v>115</v>
      </c>
      <c r="C250" s="463">
        <f>ROUND(SUMIFS(Age_Sex22[[#All],[Total Member Months by Age/Sex Band]], Age_Sex22[[#All],[Advanced Network ID]], $B250, Age_Sex22[[#All],[Insurance Category Code]],5),2)</f>
        <v>0</v>
      </c>
      <c r="D250" s="268">
        <f>ROUND(SUMIFS(Age_Sex22[[#All],[Total Dollars Excluded from Spending After Applying Truncation at the Member Level]], Age_Sex22[[#All],[Advanced Network ID]], $B250, Age_Sex22[[#All],[Insurance Category Code]],5),2)</f>
        <v>0</v>
      </c>
      <c r="E250" s="229">
        <f>ROUND(SUMIFS(Age_Sex22[[#All],[Count of Members whose Spending was Truncated]], Age_Sex22[[#All],[Advanced Network ID]], $B250, Age_Sex22[[#All],[Insurance Category Code]],5),2)</f>
        <v>0</v>
      </c>
      <c r="F250" s="230">
        <f>ROUND(SUMIFS(Age_Sex22[[#All],[Total Spending before Truncation is Applied]], Age_Sex22[[#All],[Advanced Network ID]], $B250, Age_Sex22[[#All],[Insurance Category Code]],5),2)</f>
        <v>0</v>
      </c>
      <c r="G250" s="232">
        <f>ROUND(SUMIFS(Age_Sex22[[#All],[Total Spending After Applying Truncation at the Member Level]], Age_Sex22[[#All],[Advanced Network ID]], $B250, Age_Sex22[[#All],[Insurance Category Code]],5), 2)</f>
        <v>0</v>
      </c>
      <c r="H250" s="416" t="str">
        <f>IF(C250=ROUND(SUMIFS(AN_TME22[[#All],[Member Months]], AN_TME22[[#All],[Insurance Category Code]],5, AN_TME22[[#All],[Advanced Network/Insurance Carrier Org ID]],B250),2), "TRUE", ROUND(C250-SUMIFS(AN_TME22[[#All],[Member Months]], AN_TME22[[#All],[Insurance Category Code]],5, AN_TME22[[#All],[Advanced Network/Insurance Carrier Org ID]],B250),2))</f>
        <v>TRUE</v>
      </c>
      <c r="I250" s="280" t="str">
        <f>IF(D250=ROUND(SUMIFS(AN_TME22[[#All],[Total Claims Excluded because of Truncation]], AN_TME22[[#All],[Insurance Category Code]],5, AN_TME22[[#All],[Advanced Network/Insurance Carrier Org ID]],B250),2), "TRUE", ROUND(D250-SUMIFS(AN_TME22[[#All],[Total Claims Excluded because of Truncation]], AN_TME22[[#All],[Insurance Category Code]],5, AN_TME22[[#All],[Advanced Network/Insurance Carrier Org ID]],B250), 2))</f>
        <v>TRUE</v>
      </c>
      <c r="J250" s="281" t="str">
        <f>IF(E250=ROUND(SUMIFS(AN_TME22[[#All],[Count of Members with Claims Truncated]], AN_TME22[[#All],[Insurance Category Code]],5, AN_TME22[[#All],[Advanced Network/Insurance Carrier Org ID]],B250),2), "TRUE", ROUND(E250-SUMIFS(AN_TME22[[#All],[Count of Members with Claims Truncated]], AN_TME22[[#All],[Insurance Category Code]],5, AN_TME22[[#All],[Advanced Network/Insurance Carrier Org ID]],B250),2))</f>
        <v>TRUE</v>
      </c>
      <c r="K250" s="282" t="str">
        <f>IF(F250=ROUND(SUMIFS(AN_TME22[[#All],[TOTAL Non-Truncated Unadjusted Claims Expenses]], AN_TME22[[#All],[Insurance Category Code]],5, AN_TME22[[#All],[Advanced Network/Insurance Carrier Org ID]],B250),2), "TRUE", ROUND(F250-SUMIFS(AN_TME22[[#All],[TOTAL Non-Truncated Unadjusted Claims Expenses]], AN_TME22[[#All],[Insurance Category Code]],5, AN_TME22[[#All],[Advanced Network/Insurance Carrier Org ID]],B250), 2))</f>
        <v>TRUE</v>
      </c>
      <c r="L250" s="295" t="str">
        <f>IF(G250=ROUND(SUMIFS(AN_TME22[[#All],[TOTAL Truncated Unadjusted Claims Expenses (A21 -A19)]], AN_TME22[[#All],[Insurance Category Code]],5, AN_TME22[[#All],[Advanced Network/Insurance Carrier Org ID]],B250),2), "TRUE", ROUND(G250-SUMIFS(AN_TME22[[#All],[TOTAL Truncated Unadjusted Claims Expenses (A21 -A19)]], AN_TME22[[#All],[Insurance Category Code]],5, AN_TME22[[#All],[Advanced Network/Insurance Carrier Org ID]],B250),2))</f>
        <v>TRUE</v>
      </c>
      <c r="M250" s="461" t="str">
        <f t="shared" si="23"/>
        <v>TRUE</v>
      </c>
      <c r="N250" s="282" t="b">
        <f>ROUND(SUMIFS(AN_TME22[[#All],[TOTAL Non-Truncated Unadjusted Claims Expenses]], AN_TME22[[#All],[Insurance Category Code]],5, AN_TME22[[#All],[Advanced Network/Insurance Carrier Org ID]],B250),2)&gt;=ROUND(SUMIFS(AN_TME22[[#All],[TOTAL Truncated Unadjusted Claims Expenses (A21 -A19)]], AN_TME22[[#All],[Insurance Category Code]],5, AN_TME22[[#All],[Advanced Network/Insurance Carrier Org ID]],B250),2)</f>
        <v>1</v>
      </c>
      <c r="O250" s="295" t="b">
        <f>ROUND(SUMIFS(AN_TME22[[#All],[TOTAL Truncated Unadjusted Claims Expenses (A21 -A19)]], AN_TME22[[#All],[Insurance Category Code]],5, AN_TME22[[#All],[Advanced Network/Insurance Carrier Org ID]],B250)+SUMIFS(AN_TME22[[#All],[Total Claims Excluded because of Truncation]], AN_TME22[[#All],[Insurance Category Code]],5, AN_TME22[[#All],[Advanced Network/Insurance Carrier Org ID]],B250),2)=ROUND(SUMIFS(AN_TME22[[#All],[TOTAL Non-Truncated Unadjusted Claims Expenses]], AN_TME22[[#All],[Insurance Category Code]],5, AN_TME22[[#All],[Advanced Network/Insurance Carrier Org ID]],B250),2)</f>
        <v>1</v>
      </c>
      <c r="Q250" s="236">
        <v>115</v>
      </c>
      <c r="R250" s="463">
        <f>ROUND(SUMIFS(Age_Sex23[[#All],[Total Member Months by Age/Sex Band]], Age_Sex23[[#All],[Advanced Network ID]], $Q250, Age_Sex23[[#All],[Insurance Category Code]],5),2)</f>
        <v>0</v>
      </c>
      <c r="S250" s="268">
        <f>ROUND(SUMIFS(Age_Sex23[[#All],[Total Dollars Excluded from Spending After Applying Truncation at the Member Level]], Age_Sex23[[#All],[Advanced Network ID]], $B250, Age_Sex23[[#All],[Insurance Category Code]],5),2)</f>
        <v>0</v>
      </c>
      <c r="T250" s="229">
        <f>ROUND(SUMIFS(Age_Sex23[[#All],[Count of Members whose Spending was Truncated]], Age_Sex23[[#All],[Advanced Network ID]], $B250, Age_Sex23[[#All],[Insurance Category Code]],5),2)</f>
        <v>0</v>
      </c>
      <c r="U250" s="230">
        <f>ROUND(SUMIFS(Age_Sex23[[#All],[Total Spending before Truncation is Applied]], Age_Sex23[[#All],[Advanced Network ID]], $B250, Age_Sex23[[#All],[Insurance Category Code]],5), 2)</f>
        <v>0</v>
      </c>
      <c r="V250" s="232">
        <f>ROUND(SUMIFS(Age_Sex23[[#All],[Total Spending After Applying Truncation at the Member Level]], Age_Sex23[[#All],[Advanced Network ID]], $B250, Age_Sex23[[#All],[Insurance Category Code]],5),2)</f>
        <v>0</v>
      </c>
      <c r="W250" s="416" t="str">
        <f>IF(R250=ROUND(SUMIFS(AN_TME23[[#All],[Member Months]], AN_TME23[[#All],[Insurance Category Code]],5, AN_TME23[[#All],[Advanced Network/Insurance Carrier Org ID]],Q250),2), "TRUE", ROUND(R250-SUMIFS(AN_TME23[[#All],[Member Months]], AN_TME23[[#All],[Insurance Category Code]],5, AN_TME23[[#All],[Advanced Network/Insurance Carrier Org ID]],Q250),2))</f>
        <v>TRUE</v>
      </c>
      <c r="X250" s="280" t="str">
        <f>IF(S250=ROUND(SUMIFS(AN_TME23[[#All],[Total Claims Excluded because of Truncation]], AN_TME23[[#All],[Insurance Category Code]],5, AN_TME23[[#All],[Advanced Network/Insurance Carrier Org ID]],Q250),2), "TRUE", ROUND(S250-SUMIFS(AN_TME23[[#All],[Total Claims Excluded because of Truncation]], AN_TME23[[#All],[Insurance Category Code]],5, AN_TME23[[#All],[Advanced Network/Insurance Carrier Org ID]],Q250),2))</f>
        <v>TRUE</v>
      </c>
      <c r="Y250" s="281" t="str">
        <f>IF(T250=ROUND(SUMIFS(AN_TME23[[#All],[Count of Members with Claims Truncated]], AN_TME23[[#All],[Insurance Category Code]],5, AN_TME23[[#All],[Advanced Network/Insurance Carrier Org ID]],Q250),2), "TRUE", ROUND(T250-SUMIFS(AN_TME23[[#All],[Count of Members with Claims Truncated]], AN_TME23[[#All],[Insurance Category Code]],5, AN_TME23[[#All],[Advanced Network/Insurance Carrier Org ID]],Q250),2))</f>
        <v>TRUE</v>
      </c>
      <c r="Z250" s="282" t="str">
        <f>IF(U250=ROUND(SUMIFS(AN_TME23[[#All],[TOTAL Non-Truncated Unadjusted Claims Expenses]], AN_TME23[[#All],[Insurance Category Code]],5, AN_TME23[[#All],[Advanced Network/Insurance Carrier Org ID]],Q250),2), "TRUE", ROUND(U250-SUMIFS(AN_TME23[[#All],[TOTAL Non-Truncated Unadjusted Claims Expenses]], AN_TME23[[#All],[Insurance Category Code]],5, AN_TME23[[#All],[Advanced Network/Insurance Carrier Org ID]],Q250),2))</f>
        <v>TRUE</v>
      </c>
      <c r="AA250" s="295" t="str">
        <f>IF(V250=ROUND(SUMIFS(AN_TME23[[#All],[TOTAL Truncated Unadjusted Claims Expenses (A21 -A19)]], AN_TME23[[#All],[Insurance Category Code]],5, AN_TME23[[#All],[Advanced Network/Insurance Carrier Org ID]],Q250),2), "TRUE", ROUND(V250-SUMIFS(AN_TME23[[#All],[TOTAL Truncated Unadjusted Claims Expenses (A21 -A19)]], AN_TME23[[#All],[Insurance Category Code]],5, AN_TME23[[#All],[Advanced Network/Insurance Carrier Org ID]],Q250),2))</f>
        <v>TRUE</v>
      </c>
      <c r="AB250" s="461" t="str">
        <f t="shared" si="26"/>
        <v>TRUE</v>
      </c>
      <c r="AC250" s="282" t="b">
        <f>ROUND(SUMIFS(AN_TME23[[#All],[TOTAL Non-Truncated Unadjusted Claims Expenses]], AN_TME23[[#All],[Insurance Category Code]],5, AN_TME23[[#All],[Advanced Network/Insurance Carrier Org ID]],Q250),2)&gt;=ROUND(SUMIFS(AN_TME23[[#All],[TOTAL Truncated Unadjusted Claims Expenses (A21 -A19)]], AN_TME23[[#All],[Insurance Category Code]],5, AN_TME23[[#All],[Advanced Network/Insurance Carrier Org ID]],Q250),2)</f>
        <v>1</v>
      </c>
      <c r="AD250" s="295" t="b">
        <f>ROUND(SUMIFS(AN_TME23[[#All],[TOTAL Truncated Unadjusted Claims Expenses (A21 -A19)]], AN_TME23[[#All],[Insurance Category Code]],5, AN_TME23[[#All],[Advanced Network/Insurance Carrier Org ID]],Q250)+SUMIFS(AN_TME23[[#All],[Total Claims Excluded because of Truncation]], AN_TME23[[#All],[Insurance Category Code]],5, AN_TME23[[#All],[Advanced Network/Insurance Carrier Org ID]],Q250),2)=ROUND(SUMIFS(AN_TME23[[#All],[TOTAL Non-Truncated Unadjusted Claims Expenses]], AN_TME23[[#All],[Insurance Category Code]],5, AN_TME23[[#All],[Advanced Network/Insurance Carrier Org ID]],Q250),2)</f>
        <v>1</v>
      </c>
      <c r="AF250" s="323" t="str">
        <f t="shared" si="25"/>
        <v>NA</v>
      </c>
    </row>
    <row r="251" spans="2:32" outlineLevel="1" x14ac:dyDescent="0.25">
      <c r="B251" s="236">
        <v>116</v>
      </c>
      <c r="C251" s="463">
        <f>ROUND(SUMIFS(Age_Sex22[[#All],[Total Member Months by Age/Sex Band]], Age_Sex22[[#All],[Advanced Network ID]], $B251, Age_Sex22[[#All],[Insurance Category Code]],5),2)</f>
        <v>0</v>
      </c>
      <c r="D251" s="268">
        <f>ROUND(SUMIFS(Age_Sex22[[#All],[Total Dollars Excluded from Spending After Applying Truncation at the Member Level]], Age_Sex22[[#All],[Advanced Network ID]], $B251, Age_Sex22[[#All],[Insurance Category Code]],5),2)</f>
        <v>0</v>
      </c>
      <c r="E251" s="229">
        <f>ROUND(SUMIFS(Age_Sex22[[#All],[Count of Members whose Spending was Truncated]], Age_Sex22[[#All],[Advanced Network ID]], $B251, Age_Sex22[[#All],[Insurance Category Code]],5),2)</f>
        <v>0</v>
      </c>
      <c r="F251" s="230">
        <f>ROUND(SUMIFS(Age_Sex22[[#All],[Total Spending before Truncation is Applied]], Age_Sex22[[#All],[Advanced Network ID]], $B251, Age_Sex22[[#All],[Insurance Category Code]],5),2)</f>
        <v>0</v>
      </c>
      <c r="G251" s="232">
        <f>ROUND(SUMIFS(Age_Sex22[[#All],[Total Spending After Applying Truncation at the Member Level]], Age_Sex22[[#All],[Advanced Network ID]], $B251, Age_Sex22[[#All],[Insurance Category Code]],5), 2)</f>
        <v>0</v>
      </c>
      <c r="H251" s="416" t="str">
        <f>IF(C251=ROUND(SUMIFS(AN_TME22[[#All],[Member Months]], AN_TME22[[#All],[Insurance Category Code]],5, AN_TME22[[#All],[Advanced Network/Insurance Carrier Org ID]],B251),2), "TRUE", ROUND(C251-SUMIFS(AN_TME22[[#All],[Member Months]], AN_TME22[[#All],[Insurance Category Code]],5, AN_TME22[[#All],[Advanced Network/Insurance Carrier Org ID]],B251),2))</f>
        <v>TRUE</v>
      </c>
      <c r="I251" s="280" t="str">
        <f>IF(D251=ROUND(SUMIFS(AN_TME22[[#All],[Total Claims Excluded because of Truncation]], AN_TME22[[#All],[Insurance Category Code]],5, AN_TME22[[#All],[Advanced Network/Insurance Carrier Org ID]],B251),2), "TRUE", ROUND(D251-SUMIFS(AN_TME22[[#All],[Total Claims Excluded because of Truncation]], AN_TME22[[#All],[Insurance Category Code]],5, AN_TME22[[#All],[Advanced Network/Insurance Carrier Org ID]],B251), 2))</f>
        <v>TRUE</v>
      </c>
      <c r="J251" s="281" t="str">
        <f>IF(E251=ROUND(SUMIFS(AN_TME22[[#All],[Count of Members with Claims Truncated]], AN_TME22[[#All],[Insurance Category Code]],5, AN_TME22[[#All],[Advanced Network/Insurance Carrier Org ID]],B251),2), "TRUE", ROUND(E251-SUMIFS(AN_TME22[[#All],[Count of Members with Claims Truncated]], AN_TME22[[#All],[Insurance Category Code]],5, AN_TME22[[#All],[Advanced Network/Insurance Carrier Org ID]],B251),2))</f>
        <v>TRUE</v>
      </c>
      <c r="K251" s="282" t="str">
        <f>IF(F251=ROUND(SUMIFS(AN_TME22[[#All],[TOTAL Non-Truncated Unadjusted Claims Expenses]], AN_TME22[[#All],[Insurance Category Code]],5, AN_TME22[[#All],[Advanced Network/Insurance Carrier Org ID]],B251),2), "TRUE", ROUND(F251-SUMIFS(AN_TME22[[#All],[TOTAL Non-Truncated Unadjusted Claims Expenses]], AN_TME22[[#All],[Insurance Category Code]],5, AN_TME22[[#All],[Advanced Network/Insurance Carrier Org ID]],B251), 2))</f>
        <v>TRUE</v>
      </c>
      <c r="L251" s="295" t="str">
        <f>IF(G251=ROUND(SUMIFS(AN_TME22[[#All],[TOTAL Truncated Unadjusted Claims Expenses (A21 -A19)]], AN_TME22[[#All],[Insurance Category Code]],5, AN_TME22[[#All],[Advanced Network/Insurance Carrier Org ID]],B251),2), "TRUE", ROUND(G251-SUMIFS(AN_TME22[[#All],[TOTAL Truncated Unadjusted Claims Expenses (A21 -A19)]], AN_TME22[[#All],[Insurance Category Code]],5, AN_TME22[[#All],[Advanced Network/Insurance Carrier Org ID]],B251),2))</f>
        <v>TRUE</v>
      </c>
      <c r="M251" s="461" t="str">
        <f t="shared" si="23"/>
        <v>TRUE</v>
      </c>
      <c r="N251" s="282" t="b">
        <f>ROUND(SUMIFS(AN_TME22[[#All],[TOTAL Non-Truncated Unadjusted Claims Expenses]], AN_TME22[[#All],[Insurance Category Code]],5, AN_TME22[[#All],[Advanced Network/Insurance Carrier Org ID]],B251),2)&gt;=ROUND(SUMIFS(AN_TME22[[#All],[TOTAL Truncated Unadjusted Claims Expenses (A21 -A19)]], AN_TME22[[#All],[Insurance Category Code]],5, AN_TME22[[#All],[Advanced Network/Insurance Carrier Org ID]],B251),2)</f>
        <v>1</v>
      </c>
      <c r="O251" s="295" t="b">
        <f>ROUND(SUMIFS(AN_TME22[[#All],[TOTAL Truncated Unadjusted Claims Expenses (A21 -A19)]], AN_TME22[[#All],[Insurance Category Code]],5, AN_TME22[[#All],[Advanced Network/Insurance Carrier Org ID]],B251)+SUMIFS(AN_TME22[[#All],[Total Claims Excluded because of Truncation]], AN_TME22[[#All],[Insurance Category Code]],5, AN_TME22[[#All],[Advanced Network/Insurance Carrier Org ID]],B251),2)=ROUND(SUMIFS(AN_TME22[[#All],[TOTAL Non-Truncated Unadjusted Claims Expenses]], AN_TME22[[#All],[Insurance Category Code]],5, AN_TME22[[#All],[Advanced Network/Insurance Carrier Org ID]],B251),2)</f>
        <v>1</v>
      </c>
      <c r="Q251" s="236">
        <v>116</v>
      </c>
      <c r="R251" s="463">
        <f>ROUND(SUMIFS(Age_Sex23[[#All],[Total Member Months by Age/Sex Band]], Age_Sex23[[#All],[Advanced Network ID]], $Q251, Age_Sex23[[#All],[Insurance Category Code]],5),2)</f>
        <v>0</v>
      </c>
      <c r="S251" s="268">
        <f>ROUND(SUMIFS(Age_Sex23[[#All],[Total Dollars Excluded from Spending After Applying Truncation at the Member Level]], Age_Sex23[[#All],[Advanced Network ID]], $B251, Age_Sex23[[#All],[Insurance Category Code]],5),2)</f>
        <v>0</v>
      </c>
      <c r="T251" s="229">
        <f>ROUND(SUMIFS(Age_Sex23[[#All],[Count of Members whose Spending was Truncated]], Age_Sex23[[#All],[Advanced Network ID]], $B251, Age_Sex23[[#All],[Insurance Category Code]],5),2)</f>
        <v>0</v>
      </c>
      <c r="U251" s="230">
        <f>ROUND(SUMIFS(Age_Sex23[[#All],[Total Spending before Truncation is Applied]], Age_Sex23[[#All],[Advanced Network ID]], $B251, Age_Sex23[[#All],[Insurance Category Code]],5), 2)</f>
        <v>0</v>
      </c>
      <c r="V251" s="232">
        <f>ROUND(SUMIFS(Age_Sex23[[#All],[Total Spending After Applying Truncation at the Member Level]], Age_Sex23[[#All],[Advanced Network ID]], $B251, Age_Sex23[[#All],[Insurance Category Code]],5),2)</f>
        <v>0</v>
      </c>
      <c r="W251" s="416" t="str">
        <f>IF(R251=ROUND(SUMIFS(AN_TME23[[#All],[Member Months]], AN_TME23[[#All],[Insurance Category Code]],5, AN_TME23[[#All],[Advanced Network/Insurance Carrier Org ID]],Q251),2), "TRUE", ROUND(R251-SUMIFS(AN_TME23[[#All],[Member Months]], AN_TME23[[#All],[Insurance Category Code]],5, AN_TME23[[#All],[Advanced Network/Insurance Carrier Org ID]],Q251),2))</f>
        <v>TRUE</v>
      </c>
      <c r="X251" s="280" t="str">
        <f>IF(S251=ROUND(SUMIFS(AN_TME23[[#All],[Total Claims Excluded because of Truncation]], AN_TME23[[#All],[Insurance Category Code]],5, AN_TME23[[#All],[Advanced Network/Insurance Carrier Org ID]],Q251),2), "TRUE", ROUND(S251-SUMIFS(AN_TME23[[#All],[Total Claims Excluded because of Truncation]], AN_TME23[[#All],[Insurance Category Code]],5, AN_TME23[[#All],[Advanced Network/Insurance Carrier Org ID]],Q251),2))</f>
        <v>TRUE</v>
      </c>
      <c r="Y251" s="281" t="str">
        <f>IF(T251=ROUND(SUMIFS(AN_TME23[[#All],[Count of Members with Claims Truncated]], AN_TME23[[#All],[Insurance Category Code]],5, AN_TME23[[#All],[Advanced Network/Insurance Carrier Org ID]],Q251),2), "TRUE", ROUND(T251-SUMIFS(AN_TME23[[#All],[Count of Members with Claims Truncated]], AN_TME23[[#All],[Insurance Category Code]],5, AN_TME23[[#All],[Advanced Network/Insurance Carrier Org ID]],Q251),2))</f>
        <v>TRUE</v>
      </c>
      <c r="Z251" s="282" t="str">
        <f>IF(U251=ROUND(SUMIFS(AN_TME23[[#All],[TOTAL Non-Truncated Unadjusted Claims Expenses]], AN_TME23[[#All],[Insurance Category Code]],5, AN_TME23[[#All],[Advanced Network/Insurance Carrier Org ID]],Q251),2), "TRUE", ROUND(U251-SUMIFS(AN_TME23[[#All],[TOTAL Non-Truncated Unadjusted Claims Expenses]], AN_TME23[[#All],[Insurance Category Code]],5, AN_TME23[[#All],[Advanced Network/Insurance Carrier Org ID]],Q251),2))</f>
        <v>TRUE</v>
      </c>
      <c r="AA251" s="295" t="str">
        <f>IF(V251=ROUND(SUMIFS(AN_TME23[[#All],[TOTAL Truncated Unadjusted Claims Expenses (A21 -A19)]], AN_TME23[[#All],[Insurance Category Code]],5, AN_TME23[[#All],[Advanced Network/Insurance Carrier Org ID]],Q251),2), "TRUE", ROUND(V251-SUMIFS(AN_TME23[[#All],[TOTAL Truncated Unadjusted Claims Expenses (A21 -A19)]], AN_TME23[[#All],[Insurance Category Code]],5, AN_TME23[[#All],[Advanced Network/Insurance Carrier Org ID]],Q251),2))</f>
        <v>TRUE</v>
      </c>
      <c r="AB251" s="461" t="str">
        <f t="shared" si="26"/>
        <v>TRUE</v>
      </c>
      <c r="AC251" s="282" t="b">
        <f>ROUND(SUMIFS(AN_TME23[[#All],[TOTAL Non-Truncated Unadjusted Claims Expenses]], AN_TME23[[#All],[Insurance Category Code]],5, AN_TME23[[#All],[Advanced Network/Insurance Carrier Org ID]],Q251),2)&gt;=ROUND(SUMIFS(AN_TME23[[#All],[TOTAL Truncated Unadjusted Claims Expenses (A21 -A19)]], AN_TME23[[#All],[Insurance Category Code]],5, AN_TME23[[#All],[Advanced Network/Insurance Carrier Org ID]],Q251),2)</f>
        <v>1</v>
      </c>
      <c r="AD251" s="295" t="b">
        <f>ROUND(SUMIFS(AN_TME23[[#All],[TOTAL Truncated Unadjusted Claims Expenses (A21 -A19)]], AN_TME23[[#All],[Insurance Category Code]],5, AN_TME23[[#All],[Advanced Network/Insurance Carrier Org ID]],Q251)+SUMIFS(AN_TME23[[#All],[Total Claims Excluded because of Truncation]], AN_TME23[[#All],[Insurance Category Code]],5, AN_TME23[[#All],[Advanced Network/Insurance Carrier Org ID]],Q251),2)=ROUND(SUMIFS(AN_TME23[[#All],[TOTAL Non-Truncated Unadjusted Claims Expenses]], AN_TME23[[#All],[Insurance Category Code]],5, AN_TME23[[#All],[Advanced Network/Insurance Carrier Org ID]],Q251),2)</f>
        <v>1</v>
      </c>
      <c r="AF251" s="323" t="str">
        <f t="shared" si="25"/>
        <v>NA</v>
      </c>
    </row>
    <row r="252" spans="2:32" outlineLevel="1" x14ac:dyDescent="0.25">
      <c r="B252" s="236">
        <v>117</v>
      </c>
      <c r="C252" s="463">
        <f>ROUND(SUMIFS(Age_Sex22[[#All],[Total Member Months by Age/Sex Band]], Age_Sex22[[#All],[Advanced Network ID]], $B252, Age_Sex22[[#All],[Insurance Category Code]],5),2)</f>
        <v>0</v>
      </c>
      <c r="D252" s="268">
        <f>ROUND(SUMIFS(Age_Sex22[[#All],[Total Dollars Excluded from Spending After Applying Truncation at the Member Level]], Age_Sex22[[#All],[Advanced Network ID]], $B252, Age_Sex22[[#All],[Insurance Category Code]],5),2)</f>
        <v>0</v>
      </c>
      <c r="E252" s="229">
        <f>ROUND(SUMIFS(Age_Sex22[[#All],[Count of Members whose Spending was Truncated]], Age_Sex22[[#All],[Advanced Network ID]], $B252, Age_Sex22[[#All],[Insurance Category Code]],5),2)</f>
        <v>0</v>
      </c>
      <c r="F252" s="230">
        <f>ROUND(SUMIFS(Age_Sex22[[#All],[Total Spending before Truncation is Applied]], Age_Sex22[[#All],[Advanced Network ID]], $B252, Age_Sex22[[#All],[Insurance Category Code]],5),2)</f>
        <v>0</v>
      </c>
      <c r="G252" s="232">
        <f>ROUND(SUMIFS(Age_Sex22[[#All],[Total Spending After Applying Truncation at the Member Level]], Age_Sex22[[#All],[Advanced Network ID]], $B252, Age_Sex22[[#All],[Insurance Category Code]],5), 2)</f>
        <v>0</v>
      </c>
      <c r="H252" s="416" t="str">
        <f>IF(C252=ROUND(SUMIFS(AN_TME22[[#All],[Member Months]], AN_TME22[[#All],[Insurance Category Code]],5, AN_TME22[[#All],[Advanced Network/Insurance Carrier Org ID]],B252),2), "TRUE", ROUND(C252-SUMIFS(AN_TME22[[#All],[Member Months]], AN_TME22[[#All],[Insurance Category Code]],5, AN_TME22[[#All],[Advanced Network/Insurance Carrier Org ID]],B252),2))</f>
        <v>TRUE</v>
      </c>
      <c r="I252" s="280" t="str">
        <f>IF(D252=ROUND(SUMIFS(AN_TME22[[#All],[Total Claims Excluded because of Truncation]], AN_TME22[[#All],[Insurance Category Code]],5, AN_TME22[[#All],[Advanced Network/Insurance Carrier Org ID]],B252),2), "TRUE", ROUND(D252-SUMIFS(AN_TME22[[#All],[Total Claims Excluded because of Truncation]], AN_TME22[[#All],[Insurance Category Code]],5, AN_TME22[[#All],[Advanced Network/Insurance Carrier Org ID]],B252), 2))</f>
        <v>TRUE</v>
      </c>
      <c r="J252" s="281" t="str">
        <f>IF(E252=ROUND(SUMIFS(AN_TME22[[#All],[Count of Members with Claims Truncated]], AN_TME22[[#All],[Insurance Category Code]],5, AN_TME22[[#All],[Advanced Network/Insurance Carrier Org ID]],B252),2), "TRUE", ROUND(E252-SUMIFS(AN_TME22[[#All],[Count of Members with Claims Truncated]], AN_TME22[[#All],[Insurance Category Code]],5, AN_TME22[[#All],[Advanced Network/Insurance Carrier Org ID]],B252),2))</f>
        <v>TRUE</v>
      </c>
      <c r="K252" s="282" t="str">
        <f>IF(F252=ROUND(SUMIFS(AN_TME22[[#All],[TOTAL Non-Truncated Unadjusted Claims Expenses]], AN_TME22[[#All],[Insurance Category Code]],5, AN_TME22[[#All],[Advanced Network/Insurance Carrier Org ID]],B252),2), "TRUE", ROUND(F252-SUMIFS(AN_TME22[[#All],[TOTAL Non-Truncated Unadjusted Claims Expenses]], AN_TME22[[#All],[Insurance Category Code]],5, AN_TME22[[#All],[Advanced Network/Insurance Carrier Org ID]],B252), 2))</f>
        <v>TRUE</v>
      </c>
      <c r="L252" s="295" t="str">
        <f>IF(G252=ROUND(SUMIFS(AN_TME22[[#All],[TOTAL Truncated Unadjusted Claims Expenses (A21 -A19)]], AN_TME22[[#All],[Insurance Category Code]],5, AN_TME22[[#All],[Advanced Network/Insurance Carrier Org ID]],B252),2), "TRUE", ROUND(G252-SUMIFS(AN_TME22[[#All],[TOTAL Truncated Unadjusted Claims Expenses (A21 -A19)]], AN_TME22[[#All],[Insurance Category Code]],5, AN_TME22[[#All],[Advanced Network/Insurance Carrier Org ID]],B252),2))</f>
        <v>TRUE</v>
      </c>
      <c r="M252" s="461" t="str">
        <f t="shared" si="23"/>
        <v>TRUE</v>
      </c>
      <c r="N252" s="282" t="b">
        <f>ROUND(SUMIFS(AN_TME22[[#All],[TOTAL Non-Truncated Unadjusted Claims Expenses]], AN_TME22[[#All],[Insurance Category Code]],5, AN_TME22[[#All],[Advanced Network/Insurance Carrier Org ID]],B252),2)&gt;=ROUND(SUMIFS(AN_TME22[[#All],[TOTAL Truncated Unadjusted Claims Expenses (A21 -A19)]], AN_TME22[[#All],[Insurance Category Code]],5, AN_TME22[[#All],[Advanced Network/Insurance Carrier Org ID]],B252),2)</f>
        <v>1</v>
      </c>
      <c r="O252" s="295" t="b">
        <f>ROUND(SUMIFS(AN_TME22[[#All],[TOTAL Truncated Unadjusted Claims Expenses (A21 -A19)]], AN_TME22[[#All],[Insurance Category Code]],5, AN_TME22[[#All],[Advanced Network/Insurance Carrier Org ID]],B252)+SUMIFS(AN_TME22[[#All],[Total Claims Excluded because of Truncation]], AN_TME22[[#All],[Insurance Category Code]],5, AN_TME22[[#All],[Advanced Network/Insurance Carrier Org ID]],B252),2)=ROUND(SUMIFS(AN_TME22[[#All],[TOTAL Non-Truncated Unadjusted Claims Expenses]], AN_TME22[[#All],[Insurance Category Code]],5, AN_TME22[[#All],[Advanced Network/Insurance Carrier Org ID]],B252),2)</f>
        <v>1</v>
      </c>
      <c r="Q252" s="236">
        <v>117</v>
      </c>
      <c r="R252" s="463">
        <f>ROUND(SUMIFS(Age_Sex23[[#All],[Total Member Months by Age/Sex Band]], Age_Sex23[[#All],[Advanced Network ID]], $Q252, Age_Sex23[[#All],[Insurance Category Code]],5),2)</f>
        <v>0</v>
      </c>
      <c r="S252" s="268">
        <f>ROUND(SUMIFS(Age_Sex23[[#All],[Total Dollars Excluded from Spending After Applying Truncation at the Member Level]], Age_Sex23[[#All],[Advanced Network ID]], $B252, Age_Sex23[[#All],[Insurance Category Code]],5),2)</f>
        <v>0</v>
      </c>
      <c r="T252" s="229">
        <f>ROUND(SUMIFS(Age_Sex23[[#All],[Count of Members whose Spending was Truncated]], Age_Sex23[[#All],[Advanced Network ID]], $B252, Age_Sex23[[#All],[Insurance Category Code]],5),2)</f>
        <v>0</v>
      </c>
      <c r="U252" s="230">
        <f>ROUND(SUMIFS(Age_Sex23[[#All],[Total Spending before Truncation is Applied]], Age_Sex23[[#All],[Advanced Network ID]], $B252, Age_Sex23[[#All],[Insurance Category Code]],5), 2)</f>
        <v>0</v>
      </c>
      <c r="V252" s="232">
        <f>ROUND(SUMIFS(Age_Sex23[[#All],[Total Spending After Applying Truncation at the Member Level]], Age_Sex23[[#All],[Advanced Network ID]], $B252, Age_Sex23[[#All],[Insurance Category Code]],5),2)</f>
        <v>0</v>
      </c>
      <c r="W252" s="416" t="str">
        <f>IF(R252=ROUND(SUMIFS(AN_TME23[[#All],[Member Months]], AN_TME23[[#All],[Insurance Category Code]],5, AN_TME23[[#All],[Advanced Network/Insurance Carrier Org ID]],Q252),2), "TRUE", ROUND(R252-SUMIFS(AN_TME23[[#All],[Member Months]], AN_TME23[[#All],[Insurance Category Code]],5, AN_TME23[[#All],[Advanced Network/Insurance Carrier Org ID]],Q252),2))</f>
        <v>TRUE</v>
      </c>
      <c r="X252" s="280" t="str">
        <f>IF(S252=ROUND(SUMIFS(AN_TME23[[#All],[Total Claims Excluded because of Truncation]], AN_TME23[[#All],[Insurance Category Code]],5, AN_TME23[[#All],[Advanced Network/Insurance Carrier Org ID]],Q252),2), "TRUE", ROUND(S252-SUMIFS(AN_TME23[[#All],[Total Claims Excluded because of Truncation]], AN_TME23[[#All],[Insurance Category Code]],5, AN_TME23[[#All],[Advanced Network/Insurance Carrier Org ID]],Q252),2))</f>
        <v>TRUE</v>
      </c>
      <c r="Y252" s="281" t="str">
        <f>IF(T252=ROUND(SUMIFS(AN_TME23[[#All],[Count of Members with Claims Truncated]], AN_TME23[[#All],[Insurance Category Code]],5, AN_TME23[[#All],[Advanced Network/Insurance Carrier Org ID]],Q252),2), "TRUE", ROUND(T252-SUMIFS(AN_TME23[[#All],[Count of Members with Claims Truncated]], AN_TME23[[#All],[Insurance Category Code]],5, AN_TME23[[#All],[Advanced Network/Insurance Carrier Org ID]],Q252),2))</f>
        <v>TRUE</v>
      </c>
      <c r="Z252" s="282" t="str">
        <f>IF(U252=ROUND(SUMIFS(AN_TME23[[#All],[TOTAL Non-Truncated Unadjusted Claims Expenses]], AN_TME23[[#All],[Insurance Category Code]],5, AN_TME23[[#All],[Advanced Network/Insurance Carrier Org ID]],Q252),2), "TRUE", ROUND(U252-SUMIFS(AN_TME23[[#All],[TOTAL Non-Truncated Unadjusted Claims Expenses]], AN_TME23[[#All],[Insurance Category Code]],5, AN_TME23[[#All],[Advanced Network/Insurance Carrier Org ID]],Q252),2))</f>
        <v>TRUE</v>
      </c>
      <c r="AA252" s="295" t="str">
        <f>IF(V252=ROUND(SUMIFS(AN_TME23[[#All],[TOTAL Truncated Unadjusted Claims Expenses (A21 -A19)]], AN_TME23[[#All],[Insurance Category Code]],5, AN_TME23[[#All],[Advanced Network/Insurance Carrier Org ID]],Q252),2), "TRUE", ROUND(V252-SUMIFS(AN_TME23[[#All],[TOTAL Truncated Unadjusted Claims Expenses (A21 -A19)]], AN_TME23[[#All],[Insurance Category Code]],5, AN_TME23[[#All],[Advanced Network/Insurance Carrier Org ID]],Q252),2))</f>
        <v>TRUE</v>
      </c>
      <c r="AB252" s="461" t="str">
        <f t="shared" si="26"/>
        <v>TRUE</v>
      </c>
      <c r="AC252" s="282" t="b">
        <f>ROUND(SUMIFS(AN_TME23[[#All],[TOTAL Non-Truncated Unadjusted Claims Expenses]], AN_TME23[[#All],[Insurance Category Code]],5, AN_TME23[[#All],[Advanced Network/Insurance Carrier Org ID]],Q252),2)&gt;=ROUND(SUMIFS(AN_TME23[[#All],[TOTAL Truncated Unadjusted Claims Expenses (A21 -A19)]], AN_TME23[[#All],[Insurance Category Code]],5, AN_TME23[[#All],[Advanced Network/Insurance Carrier Org ID]],Q252),2)</f>
        <v>1</v>
      </c>
      <c r="AD252" s="295" t="b">
        <f>ROUND(SUMIFS(AN_TME23[[#All],[TOTAL Truncated Unadjusted Claims Expenses (A21 -A19)]], AN_TME23[[#All],[Insurance Category Code]],5, AN_TME23[[#All],[Advanced Network/Insurance Carrier Org ID]],Q252)+SUMIFS(AN_TME23[[#All],[Total Claims Excluded because of Truncation]], AN_TME23[[#All],[Insurance Category Code]],5, AN_TME23[[#All],[Advanced Network/Insurance Carrier Org ID]],Q252),2)=ROUND(SUMIFS(AN_TME23[[#All],[TOTAL Non-Truncated Unadjusted Claims Expenses]], AN_TME23[[#All],[Insurance Category Code]],5, AN_TME23[[#All],[Advanced Network/Insurance Carrier Org ID]],Q252),2)</f>
        <v>1</v>
      </c>
      <c r="AF252" s="323" t="str">
        <f t="shared" si="25"/>
        <v>NA</v>
      </c>
    </row>
    <row r="253" spans="2:32" outlineLevel="1" x14ac:dyDescent="0.25">
      <c r="B253" s="236">
        <v>118</v>
      </c>
      <c r="C253" s="463">
        <f>ROUND(SUMIFS(Age_Sex22[[#All],[Total Member Months by Age/Sex Band]], Age_Sex22[[#All],[Advanced Network ID]], $B253, Age_Sex22[[#All],[Insurance Category Code]],5),2)</f>
        <v>0</v>
      </c>
      <c r="D253" s="268">
        <f>ROUND(SUMIFS(Age_Sex22[[#All],[Total Dollars Excluded from Spending After Applying Truncation at the Member Level]], Age_Sex22[[#All],[Advanced Network ID]], $B253, Age_Sex22[[#All],[Insurance Category Code]],5),2)</f>
        <v>0</v>
      </c>
      <c r="E253" s="229">
        <f>ROUND(SUMIFS(Age_Sex22[[#All],[Count of Members whose Spending was Truncated]], Age_Sex22[[#All],[Advanced Network ID]], $B253, Age_Sex22[[#All],[Insurance Category Code]],5),2)</f>
        <v>0</v>
      </c>
      <c r="F253" s="230">
        <f>ROUND(SUMIFS(Age_Sex22[[#All],[Total Spending before Truncation is Applied]], Age_Sex22[[#All],[Advanced Network ID]], $B253, Age_Sex22[[#All],[Insurance Category Code]],5),2)</f>
        <v>0</v>
      </c>
      <c r="G253" s="232">
        <f>ROUND(SUMIFS(Age_Sex22[[#All],[Total Spending After Applying Truncation at the Member Level]], Age_Sex22[[#All],[Advanced Network ID]], $B253, Age_Sex22[[#All],[Insurance Category Code]],5), 2)</f>
        <v>0</v>
      </c>
      <c r="H253" s="416" t="str">
        <f>IF(C253=ROUND(SUMIFS(AN_TME22[[#All],[Member Months]], AN_TME22[[#All],[Insurance Category Code]],5, AN_TME22[[#All],[Advanced Network/Insurance Carrier Org ID]],B253),2), "TRUE", ROUND(C253-SUMIFS(AN_TME22[[#All],[Member Months]], AN_TME22[[#All],[Insurance Category Code]],5, AN_TME22[[#All],[Advanced Network/Insurance Carrier Org ID]],B253),2))</f>
        <v>TRUE</v>
      </c>
      <c r="I253" s="280" t="str">
        <f>IF(D253=ROUND(SUMIFS(AN_TME22[[#All],[Total Claims Excluded because of Truncation]], AN_TME22[[#All],[Insurance Category Code]],5, AN_TME22[[#All],[Advanced Network/Insurance Carrier Org ID]],B253),2), "TRUE", ROUND(D253-SUMIFS(AN_TME22[[#All],[Total Claims Excluded because of Truncation]], AN_TME22[[#All],[Insurance Category Code]],5, AN_TME22[[#All],[Advanced Network/Insurance Carrier Org ID]],B253), 2))</f>
        <v>TRUE</v>
      </c>
      <c r="J253" s="281" t="str">
        <f>IF(E253=ROUND(SUMIFS(AN_TME22[[#All],[Count of Members with Claims Truncated]], AN_TME22[[#All],[Insurance Category Code]],5, AN_TME22[[#All],[Advanced Network/Insurance Carrier Org ID]],B253),2), "TRUE", ROUND(E253-SUMIFS(AN_TME22[[#All],[Count of Members with Claims Truncated]], AN_TME22[[#All],[Insurance Category Code]],5, AN_TME22[[#All],[Advanced Network/Insurance Carrier Org ID]],B253),2))</f>
        <v>TRUE</v>
      </c>
      <c r="K253" s="282" t="str">
        <f>IF(F253=ROUND(SUMIFS(AN_TME22[[#All],[TOTAL Non-Truncated Unadjusted Claims Expenses]], AN_TME22[[#All],[Insurance Category Code]],5, AN_TME22[[#All],[Advanced Network/Insurance Carrier Org ID]],B253),2), "TRUE", ROUND(F253-SUMIFS(AN_TME22[[#All],[TOTAL Non-Truncated Unadjusted Claims Expenses]], AN_TME22[[#All],[Insurance Category Code]],5, AN_TME22[[#All],[Advanced Network/Insurance Carrier Org ID]],B253), 2))</f>
        <v>TRUE</v>
      </c>
      <c r="L253" s="295" t="str">
        <f>IF(G253=ROUND(SUMIFS(AN_TME22[[#All],[TOTAL Truncated Unadjusted Claims Expenses (A21 -A19)]], AN_TME22[[#All],[Insurance Category Code]],5, AN_TME22[[#All],[Advanced Network/Insurance Carrier Org ID]],B253),2), "TRUE", ROUND(G253-SUMIFS(AN_TME22[[#All],[TOTAL Truncated Unadjusted Claims Expenses (A21 -A19)]], AN_TME22[[#All],[Insurance Category Code]],5, AN_TME22[[#All],[Advanced Network/Insurance Carrier Org ID]],B253),2))</f>
        <v>TRUE</v>
      </c>
      <c r="M253" s="461" t="str">
        <f t="shared" si="23"/>
        <v>TRUE</v>
      </c>
      <c r="N253" s="282" t="b">
        <f>ROUND(SUMIFS(AN_TME22[[#All],[TOTAL Non-Truncated Unadjusted Claims Expenses]], AN_TME22[[#All],[Insurance Category Code]],5, AN_TME22[[#All],[Advanced Network/Insurance Carrier Org ID]],B253),2)&gt;=ROUND(SUMIFS(AN_TME22[[#All],[TOTAL Truncated Unadjusted Claims Expenses (A21 -A19)]], AN_TME22[[#All],[Insurance Category Code]],5, AN_TME22[[#All],[Advanced Network/Insurance Carrier Org ID]],B253),2)</f>
        <v>1</v>
      </c>
      <c r="O253" s="295" t="b">
        <f>ROUND(SUMIFS(AN_TME22[[#All],[TOTAL Truncated Unadjusted Claims Expenses (A21 -A19)]], AN_TME22[[#All],[Insurance Category Code]],5, AN_TME22[[#All],[Advanced Network/Insurance Carrier Org ID]],B253)+SUMIFS(AN_TME22[[#All],[Total Claims Excluded because of Truncation]], AN_TME22[[#All],[Insurance Category Code]],5, AN_TME22[[#All],[Advanced Network/Insurance Carrier Org ID]],B253),2)=ROUND(SUMIFS(AN_TME22[[#All],[TOTAL Non-Truncated Unadjusted Claims Expenses]], AN_TME22[[#All],[Insurance Category Code]],5, AN_TME22[[#All],[Advanced Network/Insurance Carrier Org ID]],B253),2)</f>
        <v>1</v>
      </c>
      <c r="Q253" s="236">
        <v>118</v>
      </c>
      <c r="R253" s="463">
        <f>ROUND(SUMIFS(Age_Sex23[[#All],[Total Member Months by Age/Sex Band]], Age_Sex23[[#All],[Advanced Network ID]], $Q253, Age_Sex23[[#All],[Insurance Category Code]],5),2)</f>
        <v>0</v>
      </c>
      <c r="S253" s="268">
        <f>ROUND(SUMIFS(Age_Sex23[[#All],[Total Dollars Excluded from Spending After Applying Truncation at the Member Level]], Age_Sex23[[#All],[Advanced Network ID]], $B253, Age_Sex23[[#All],[Insurance Category Code]],5),2)</f>
        <v>0</v>
      </c>
      <c r="T253" s="229">
        <f>ROUND(SUMIFS(Age_Sex23[[#All],[Count of Members whose Spending was Truncated]], Age_Sex23[[#All],[Advanced Network ID]], $B253, Age_Sex23[[#All],[Insurance Category Code]],5),2)</f>
        <v>0</v>
      </c>
      <c r="U253" s="230">
        <f>ROUND(SUMIFS(Age_Sex23[[#All],[Total Spending before Truncation is Applied]], Age_Sex23[[#All],[Advanced Network ID]], $B253, Age_Sex23[[#All],[Insurance Category Code]],5), 2)</f>
        <v>0</v>
      </c>
      <c r="V253" s="232">
        <f>ROUND(SUMIFS(Age_Sex23[[#All],[Total Spending After Applying Truncation at the Member Level]], Age_Sex23[[#All],[Advanced Network ID]], $B253, Age_Sex23[[#All],[Insurance Category Code]],5),2)</f>
        <v>0</v>
      </c>
      <c r="W253" s="416" t="str">
        <f>IF(R253=ROUND(SUMIFS(AN_TME23[[#All],[Member Months]], AN_TME23[[#All],[Insurance Category Code]],5, AN_TME23[[#All],[Advanced Network/Insurance Carrier Org ID]],Q253),2), "TRUE", ROUND(R253-SUMIFS(AN_TME23[[#All],[Member Months]], AN_TME23[[#All],[Insurance Category Code]],5, AN_TME23[[#All],[Advanced Network/Insurance Carrier Org ID]],Q253),2))</f>
        <v>TRUE</v>
      </c>
      <c r="X253" s="280" t="str">
        <f>IF(S253=ROUND(SUMIFS(AN_TME23[[#All],[Total Claims Excluded because of Truncation]], AN_TME23[[#All],[Insurance Category Code]],5, AN_TME23[[#All],[Advanced Network/Insurance Carrier Org ID]],Q253),2), "TRUE", ROUND(S253-SUMIFS(AN_TME23[[#All],[Total Claims Excluded because of Truncation]], AN_TME23[[#All],[Insurance Category Code]],5, AN_TME23[[#All],[Advanced Network/Insurance Carrier Org ID]],Q253),2))</f>
        <v>TRUE</v>
      </c>
      <c r="Y253" s="281" t="str">
        <f>IF(T253=ROUND(SUMIFS(AN_TME23[[#All],[Count of Members with Claims Truncated]], AN_TME23[[#All],[Insurance Category Code]],5, AN_TME23[[#All],[Advanced Network/Insurance Carrier Org ID]],Q253),2), "TRUE", ROUND(T253-SUMIFS(AN_TME23[[#All],[Count of Members with Claims Truncated]], AN_TME23[[#All],[Insurance Category Code]],5, AN_TME23[[#All],[Advanced Network/Insurance Carrier Org ID]],Q253),2))</f>
        <v>TRUE</v>
      </c>
      <c r="Z253" s="282" t="str">
        <f>IF(U253=ROUND(SUMIFS(AN_TME23[[#All],[TOTAL Non-Truncated Unadjusted Claims Expenses]], AN_TME23[[#All],[Insurance Category Code]],5, AN_TME23[[#All],[Advanced Network/Insurance Carrier Org ID]],Q253),2), "TRUE", ROUND(U253-SUMIFS(AN_TME23[[#All],[TOTAL Non-Truncated Unadjusted Claims Expenses]], AN_TME23[[#All],[Insurance Category Code]],5, AN_TME23[[#All],[Advanced Network/Insurance Carrier Org ID]],Q253),2))</f>
        <v>TRUE</v>
      </c>
      <c r="AA253" s="295" t="str">
        <f>IF(V253=ROUND(SUMIFS(AN_TME23[[#All],[TOTAL Truncated Unadjusted Claims Expenses (A21 -A19)]], AN_TME23[[#All],[Insurance Category Code]],5, AN_TME23[[#All],[Advanced Network/Insurance Carrier Org ID]],Q253),2), "TRUE", ROUND(V253-SUMIFS(AN_TME23[[#All],[TOTAL Truncated Unadjusted Claims Expenses (A21 -A19)]], AN_TME23[[#All],[Insurance Category Code]],5, AN_TME23[[#All],[Advanced Network/Insurance Carrier Org ID]],Q253),2))</f>
        <v>TRUE</v>
      </c>
      <c r="AB253" s="461" t="str">
        <f t="shared" si="26"/>
        <v>TRUE</v>
      </c>
      <c r="AC253" s="282" t="b">
        <f>ROUND(SUMIFS(AN_TME23[[#All],[TOTAL Non-Truncated Unadjusted Claims Expenses]], AN_TME23[[#All],[Insurance Category Code]],5, AN_TME23[[#All],[Advanced Network/Insurance Carrier Org ID]],Q253),2)&gt;=ROUND(SUMIFS(AN_TME23[[#All],[TOTAL Truncated Unadjusted Claims Expenses (A21 -A19)]], AN_TME23[[#All],[Insurance Category Code]],5, AN_TME23[[#All],[Advanced Network/Insurance Carrier Org ID]],Q253),2)</f>
        <v>1</v>
      </c>
      <c r="AD253" s="295" t="b">
        <f>ROUND(SUMIFS(AN_TME23[[#All],[TOTAL Truncated Unadjusted Claims Expenses (A21 -A19)]], AN_TME23[[#All],[Insurance Category Code]],5, AN_TME23[[#All],[Advanced Network/Insurance Carrier Org ID]],Q253)+SUMIFS(AN_TME23[[#All],[Total Claims Excluded because of Truncation]], AN_TME23[[#All],[Insurance Category Code]],5, AN_TME23[[#All],[Advanced Network/Insurance Carrier Org ID]],Q253),2)=ROUND(SUMIFS(AN_TME23[[#All],[TOTAL Non-Truncated Unadjusted Claims Expenses]], AN_TME23[[#All],[Insurance Category Code]],5, AN_TME23[[#All],[Advanced Network/Insurance Carrier Org ID]],Q253),2)</f>
        <v>1</v>
      </c>
      <c r="AF253" s="323" t="str">
        <f t="shared" si="25"/>
        <v>NA</v>
      </c>
    </row>
    <row r="254" spans="2:32" outlineLevel="1" x14ac:dyDescent="0.25">
      <c r="B254" s="236">
        <v>119</v>
      </c>
      <c r="C254" s="463">
        <f>ROUND(SUMIFS(Age_Sex22[[#All],[Total Member Months by Age/Sex Band]], Age_Sex22[[#All],[Advanced Network ID]], $B254, Age_Sex22[[#All],[Insurance Category Code]],5),2)</f>
        <v>0</v>
      </c>
      <c r="D254" s="268">
        <f>ROUND(SUMIFS(Age_Sex22[[#All],[Total Dollars Excluded from Spending After Applying Truncation at the Member Level]], Age_Sex22[[#All],[Advanced Network ID]], $B254, Age_Sex22[[#All],[Insurance Category Code]],5),2)</f>
        <v>0</v>
      </c>
      <c r="E254" s="229">
        <f>ROUND(SUMIFS(Age_Sex22[[#All],[Count of Members whose Spending was Truncated]], Age_Sex22[[#All],[Advanced Network ID]], $B254, Age_Sex22[[#All],[Insurance Category Code]],5),2)</f>
        <v>0</v>
      </c>
      <c r="F254" s="230">
        <f>ROUND(SUMIFS(Age_Sex22[[#All],[Total Spending before Truncation is Applied]], Age_Sex22[[#All],[Advanced Network ID]], $B254, Age_Sex22[[#All],[Insurance Category Code]],5),2)</f>
        <v>0</v>
      </c>
      <c r="G254" s="232">
        <f>ROUND(SUMIFS(Age_Sex22[[#All],[Total Spending After Applying Truncation at the Member Level]], Age_Sex22[[#All],[Advanced Network ID]], $B254, Age_Sex22[[#All],[Insurance Category Code]],5), 2)</f>
        <v>0</v>
      </c>
      <c r="H254" s="416" t="str">
        <f>IF(C254=ROUND(SUMIFS(AN_TME22[[#All],[Member Months]], AN_TME22[[#All],[Insurance Category Code]],5, AN_TME22[[#All],[Advanced Network/Insurance Carrier Org ID]],B254),2), "TRUE", ROUND(C254-SUMIFS(AN_TME22[[#All],[Member Months]], AN_TME22[[#All],[Insurance Category Code]],5, AN_TME22[[#All],[Advanced Network/Insurance Carrier Org ID]],B254),2))</f>
        <v>TRUE</v>
      </c>
      <c r="I254" s="280" t="str">
        <f>IF(D254=ROUND(SUMIFS(AN_TME22[[#All],[Total Claims Excluded because of Truncation]], AN_TME22[[#All],[Insurance Category Code]],5, AN_TME22[[#All],[Advanced Network/Insurance Carrier Org ID]],B254),2), "TRUE", ROUND(D254-SUMIFS(AN_TME22[[#All],[Total Claims Excluded because of Truncation]], AN_TME22[[#All],[Insurance Category Code]],5, AN_TME22[[#All],[Advanced Network/Insurance Carrier Org ID]],B254), 2))</f>
        <v>TRUE</v>
      </c>
      <c r="J254" s="281" t="str">
        <f>IF(E254=ROUND(SUMIFS(AN_TME22[[#All],[Count of Members with Claims Truncated]], AN_TME22[[#All],[Insurance Category Code]],5, AN_TME22[[#All],[Advanced Network/Insurance Carrier Org ID]],B254),2), "TRUE", ROUND(E254-SUMIFS(AN_TME22[[#All],[Count of Members with Claims Truncated]], AN_TME22[[#All],[Insurance Category Code]],5, AN_TME22[[#All],[Advanced Network/Insurance Carrier Org ID]],B254),2))</f>
        <v>TRUE</v>
      </c>
      <c r="K254" s="282" t="str">
        <f>IF(F254=ROUND(SUMIFS(AN_TME22[[#All],[TOTAL Non-Truncated Unadjusted Claims Expenses]], AN_TME22[[#All],[Insurance Category Code]],5, AN_TME22[[#All],[Advanced Network/Insurance Carrier Org ID]],B254),2), "TRUE", ROUND(F254-SUMIFS(AN_TME22[[#All],[TOTAL Non-Truncated Unadjusted Claims Expenses]], AN_TME22[[#All],[Insurance Category Code]],5, AN_TME22[[#All],[Advanced Network/Insurance Carrier Org ID]],B254), 2))</f>
        <v>TRUE</v>
      </c>
      <c r="L254" s="295" t="str">
        <f>IF(G254=ROUND(SUMIFS(AN_TME22[[#All],[TOTAL Truncated Unadjusted Claims Expenses (A21 -A19)]], AN_TME22[[#All],[Insurance Category Code]],5, AN_TME22[[#All],[Advanced Network/Insurance Carrier Org ID]],B254),2), "TRUE", ROUND(G254-SUMIFS(AN_TME22[[#All],[TOTAL Truncated Unadjusted Claims Expenses (A21 -A19)]], AN_TME22[[#All],[Insurance Category Code]],5, AN_TME22[[#All],[Advanced Network/Insurance Carrier Org ID]],B254),2))</f>
        <v>TRUE</v>
      </c>
      <c r="M254" s="461" t="str">
        <f t="shared" si="23"/>
        <v>TRUE</v>
      </c>
      <c r="N254" s="282" t="b">
        <f>ROUND(SUMIFS(AN_TME22[[#All],[TOTAL Non-Truncated Unadjusted Claims Expenses]], AN_TME22[[#All],[Insurance Category Code]],5, AN_TME22[[#All],[Advanced Network/Insurance Carrier Org ID]],B254),2)&gt;=ROUND(SUMIFS(AN_TME22[[#All],[TOTAL Truncated Unadjusted Claims Expenses (A21 -A19)]], AN_TME22[[#All],[Insurance Category Code]],5, AN_TME22[[#All],[Advanced Network/Insurance Carrier Org ID]],B254),2)</f>
        <v>1</v>
      </c>
      <c r="O254" s="295" t="b">
        <f>ROUND(SUMIFS(AN_TME22[[#All],[TOTAL Truncated Unadjusted Claims Expenses (A21 -A19)]], AN_TME22[[#All],[Insurance Category Code]],5, AN_TME22[[#All],[Advanced Network/Insurance Carrier Org ID]],B254)+SUMIFS(AN_TME22[[#All],[Total Claims Excluded because of Truncation]], AN_TME22[[#All],[Insurance Category Code]],5, AN_TME22[[#All],[Advanced Network/Insurance Carrier Org ID]],B254),2)=ROUND(SUMIFS(AN_TME22[[#All],[TOTAL Non-Truncated Unadjusted Claims Expenses]], AN_TME22[[#All],[Insurance Category Code]],5, AN_TME22[[#All],[Advanced Network/Insurance Carrier Org ID]],B254),2)</f>
        <v>1</v>
      </c>
      <c r="Q254" s="236">
        <v>119</v>
      </c>
      <c r="R254" s="463">
        <f>ROUND(SUMIFS(Age_Sex23[[#All],[Total Member Months by Age/Sex Band]], Age_Sex23[[#All],[Advanced Network ID]], $Q254, Age_Sex23[[#All],[Insurance Category Code]],5),2)</f>
        <v>0</v>
      </c>
      <c r="S254" s="268">
        <f>ROUND(SUMIFS(Age_Sex23[[#All],[Total Dollars Excluded from Spending After Applying Truncation at the Member Level]], Age_Sex23[[#All],[Advanced Network ID]], $B254, Age_Sex23[[#All],[Insurance Category Code]],5),2)</f>
        <v>0</v>
      </c>
      <c r="T254" s="229">
        <f>ROUND(SUMIFS(Age_Sex23[[#All],[Count of Members whose Spending was Truncated]], Age_Sex23[[#All],[Advanced Network ID]], $B254, Age_Sex23[[#All],[Insurance Category Code]],5),2)</f>
        <v>0</v>
      </c>
      <c r="U254" s="230">
        <f>ROUND(SUMIFS(Age_Sex23[[#All],[Total Spending before Truncation is Applied]], Age_Sex23[[#All],[Advanced Network ID]], $B254, Age_Sex23[[#All],[Insurance Category Code]],5), 2)</f>
        <v>0</v>
      </c>
      <c r="V254" s="232">
        <f>ROUND(SUMIFS(Age_Sex23[[#All],[Total Spending After Applying Truncation at the Member Level]], Age_Sex23[[#All],[Advanced Network ID]], $B254, Age_Sex23[[#All],[Insurance Category Code]],5),2)</f>
        <v>0</v>
      </c>
      <c r="W254" s="416" t="str">
        <f>IF(R254=ROUND(SUMIFS(AN_TME23[[#All],[Member Months]], AN_TME23[[#All],[Insurance Category Code]],5, AN_TME23[[#All],[Advanced Network/Insurance Carrier Org ID]],Q254),2), "TRUE", ROUND(R254-SUMIFS(AN_TME23[[#All],[Member Months]], AN_TME23[[#All],[Insurance Category Code]],5, AN_TME23[[#All],[Advanced Network/Insurance Carrier Org ID]],Q254),2))</f>
        <v>TRUE</v>
      </c>
      <c r="X254" s="280" t="str">
        <f>IF(S254=ROUND(SUMIFS(AN_TME23[[#All],[Total Claims Excluded because of Truncation]], AN_TME23[[#All],[Insurance Category Code]],5, AN_TME23[[#All],[Advanced Network/Insurance Carrier Org ID]],Q254),2), "TRUE", ROUND(S254-SUMIFS(AN_TME23[[#All],[Total Claims Excluded because of Truncation]], AN_TME23[[#All],[Insurance Category Code]],5, AN_TME23[[#All],[Advanced Network/Insurance Carrier Org ID]],Q254),2))</f>
        <v>TRUE</v>
      </c>
      <c r="Y254" s="281" t="str">
        <f>IF(T254=ROUND(SUMIFS(AN_TME23[[#All],[Count of Members with Claims Truncated]], AN_TME23[[#All],[Insurance Category Code]],5, AN_TME23[[#All],[Advanced Network/Insurance Carrier Org ID]],Q254),2), "TRUE", ROUND(T254-SUMIFS(AN_TME23[[#All],[Count of Members with Claims Truncated]], AN_TME23[[#All],[Insurance Category Code]],5, AN_TME23[[#All],[Advanced Network/Insurance Carrier Org ID]],Q254),2))</f>
        <v>TRUE</v>
      </c>
      <c r="Z254" s="282" t="str">
        <f>IF(U254=ROUND(SUMIFS(AN_TME23[[#All],[TOTAL Non-Truncated Unadjusted Claims Expenses]], AN_TME23[[#All],[Insurance Category Code]],5, AN_TME23[[#All],[Advanced Network/Insurance Carrier Org ID]],Q254),2), "TRUE", ROUND(U254-SUMIFS(AN_TME23[[#All],[TOTAL Non-Truncated Unadjusted Claims Expenses]], AN_TME23[[#All],[Insurance Category Code]],5, AN_TME23[[#All],[Advanced Network/Insurance Carrier Org ID]],Q254),2))</f>
        <v>TRUE</v>
      </c>
      <c r="AA254" s="295" t="str">
        <f>IF(V254=ROUND(SUMIFS(AN_TME23[[#All],[TOTAL Truncated Unadjusted Claims Expenses (A21 -A19)]], AN_TME23[[#All],[Insurance Category Code]],5, AN_TME23[[#All],[Advanced Network/Insurance Carrier Org ID]],Q254),2), "TRUE", ROUND(V254-SUMIFS(AN_TME23[[#All],[TOTAL Truncated Unadjusted Claims Expenses (A21 -A19)]], AN_TME23[[#All],[Insurance Category Code]],5, AN_TME23[[#All],[Advanced Network/Insurance Carrier Org ID]],Q254),2))</f>
        <v>TRUE</v>
      </c>
      <c r="AB254" s="461" t="str">
        <f t="shared" si="26"/>
        <v>TRUE</v>
      </c>
      <c r="AC254" s="282" t="b">
        <f>ROUND(SUMIFS(AN_TME23[[#All],[TOTAL Non-Truncated Unadjusted Claims Expenses]], AN_TME23[[#All],[Insurance Category Code]],5, AN_TME23[[#All],[Advanced Network/Insurance Carrier Org ID]],Q254),2)&gt;=ROUND(SUMIFS(AN_TME23[[#All],[TOTAL Truncated Unadjusted Claims Expenses (A21 -A19)]], AN_TME23[[#All],[Insurance Category Code]],5, AN_TME23[[#All],[Advanced Network/Insurance Carrier Org ID]],Q254),2)</f>
        <v>1</v>
      </c>
      <c r="AD254" s="295" t="b">
        <f>ROUND(SUMIFS(AN_TME23[[#All],[TOTAL Truncated Unadjusted Claims Expenses (A21 -A19)]], AN_TME23[[#All],[Insurance Category Code]],5, AN_TME23[[#All],[Advanced Network/Insurance Carrier Org ID]],Q254)+SUMIFS(AN_TME23[[#All],[Total Claims Excluded because of Truncation]], AN_TME23[[#All],[Insurance Category Code]],5, AN_TME23[[#All],[Advanced Network/Insurance Carrier Org ID]],Q254),2)=ROUND(SUMIFS(AN_TME23[[#All],[TOTAL Non-Truncated Unadjusted Claims Expenses]], AN_TME23[[#All],[Insurance Category Code]],5, AN_TME23[[#All],[Advanced Network/Insurance Carrier Org ID]],Q254),2)</f>
        <v>1</v>
      </c>
      <c r="AF254" s="323" t="str">
        <f t="shared" si="25"/>
        <v>NA</v>
      </c>
    </row>
    <row r="255" spans="2:32" outlineLevel="1" x14ac:dyDescent="0.25">
      <c r="B255" s="236">
        <v>120</v>
      </c>
      <c r="C255" s="463">
        <f>ROUND(SUMIFS(Age_Sex22[[#All],[Total Member Months by Age/Sex Band]], Age_Sex22[[#All],[Advanced Network ID]], $B255, Age_Sex22[[#All],[Insurance Category Code]],5),2)</f>
        <v>0</v>
      </c>
      <c r="D255" s="268">
        <f>ROUND(SUMIFS(Age_Sex22[[#All],[Total Dollars Excluded from Spending After Applying Truncation at the Member Level]], Age_Sex22[[#All],[Advanced Network ID]], $B255, Age_Sex22[[#All],[Insurance Category Code]],5),2)</f>
        <v>0</v>
      </c>
      <c r="E255" s="229">
        <f>ROUND(SUMIFS(Age_Sex22[[#All],[Count of Members whose Spending was Truncated]], Age_Sex22[[#All],[Advanced Network ID]], $B255, Age_Sex22[[#All],[Insurance Category Code]],5),2)</f>
        <v>0</v>
      </c>
      <c r="F255" s="230">
        <f>ROUND(SUMIFS(Age_Sex22[[#All],[Total Spending before Truncation is Applied]], Age_Sex22[[#All],[Advanced Network ID]], $B255, Age_Sex22[[#All],[Insurance Category Code]],5),2)</f>
        <v>0</v>
      </c>
      <c r="G255" s="232">
        <f>ROUND(SUMIFS(Age_Sex22[[#All],[Total Spending After Applying Truncation at the Member Level]], Age_Sex22[[#All],[Advanced Network ID]], $B255, Age_Sex22[[#All],[Insurance Category Code]],5), 2)</f>
        <v>0</v>
      </c>
      <c r="H255" s="416" t="str">
        <f>IF(C255=ROUND(SUMIFS(AN_TME22[[#All],[Member Months]], AN_TME22[[#All],[Insurance Category Code]],5, AN_TME22[[#All],[Advanced Network/Insurance Carrier Org ID]],B255),2), "TRUE", ROUND(C255-SUMIFS(AN_TME22[[#All],[Member Months]], AN_TME22[[#All],[Insurance Category Code]],5, AN_TME22[[#All],[Advanced Network/Insurance Carrier Org ID]],B255),2))</f>
        <v>TRUE</v>
      </c>
      <c r="I255" s="280" t="str">
        <f>IF(D255=ROUND(SUMIFS(AN_TME22[[#All],[Total Claims Excluded because of Truncation]], AN_TME22[[#All],[Insurance Category Code]],5, AN_TME22[[#All],[Advanced Network/Insurance Carrier Org ID]],B255),2), "TRUE", ROUND(D255-SUMIFS(AN_TME22[[#All],[Total Claims Excluded because of Truncation]], AN_TME22[[#All],[Insurance Category Code]],5, AN_TME22[[#All],[Advanced Network/Insurance Carrier Org ID]],B255), 2))</f>
        <v>TRUE</v>
      </c>
      <c r="J255" s="281" t="str">
        <f>IF(E255=ROUND(SUMIFS(AN_TME22[[#All],[Count of Members with Claims Truncated]], AN_TME22[[#All],[Insurance Category Code]],5, AN_TME22[[#All],[Advanced Network/Insurance Carrier Org ID]],B255),2), "TRUE", ROUND(E255-SUMIFS(AN_TME22[[#All],[Count of Members with Claims Truncated]], AN_TME22[[#All],[Insurance Category Code]],5, AN_TME22[[#All],[Advanced Network/Insurance Carrier Org ID]],B255),2))</f>
        <v>TRUE</v>
      </c>
      <c r="K255" s="282" t="str">
        <f>IF(F255=ROUND(SUMIFS(AN_TME22[[#All],[TOTAL Non-Truncated Unadjusted Claims Expenses]], AN_TME22[[#All],[Insurance Category Code]],5, AN_TME22[[#All],[Advanced Network/Insurance Carrier Org ID]],B255),2), "TRUE", ROUND(F255-SUMIFS(AN_TME22[[#All],[TOTAL Non-Truncated Unadjusted Claims Expenses]], AN_TME22[[#All],[Insurance Category Code]],5, AN_TME22[[#All],[Advanced Network/Insurance Carrier Org ID]],B255), 2))</f>
        <v>TRUE</v>
      </c>
      <c r="L255" s="295" t="str">
        <f>IF(G255=ROUND(SUMIFS(AN_TME22[[#All],[TOTAL Truncated Unadjusted Claims Expenses (A21 -A19)]], AN_TME22[[#All],[Insurance Category Code]],5, AN_TME22[[#All],[Advanced Network/Insurance Carrier Org ID]],B255),2), "TRUE", ROUND(G255-SUMIFS(AN_TME22[[#All],[TOTAL Truncated Unadjusted Claims Expenses (A21 -A19)]], AN_TME22[[#All],[Insurance Category Code]],5, AN_TME22[[#All],[Advanced Network/Insurance Carrier Org ID]],B255),2))</f>
        <v>TRUE</v>
      </c>
      <c r="M255" s="461" t="str">
        <f t="shared" si="23"/>
        <v>TRUE</v>
      </c>
      <c r="N255" s="282" t="b">
        <f>ROUND(SUMIFS(AN_TME22[[#All],[TOTAL Non-Truncated Unadjusted Claims Expenses]], AN_TME22[[#All],[Insurance Category Code]],5, AN_TME22[[#All],[Advanced Network/Insurance Carrier Org ID]],B255),2)&gt;=ROUND(SUMIFS(AN_TME22[[#All],[TOTAL Truncated Unadjusted Claims Expenses (A21 -A19)]], AN_TME22[[#All],[Insurance Category Code]],5, AN_TME22[[#All],[Advanced Network/Insurance Carrier Org ID]],B255),2)</f>
        <v>1</v>
      </c>
      <c r="O255" s="295" t="b">
        <f>ROUND(SUMIFS(AN_TME22[[#All],[TOTAL Truncated Unadjusted Claims Expenses (A21 -A19)]], AN_TME22[[#All],[Insurance Category Code]],5, AN_TME22[[#All],[Advanced Network/Insurance Carrier Org ID]],B255)+SUMIFS(AN_TME22[[#All],[Total Claims Excluded because of Truncation]], AN_TME22[[#All],[Insurance Category Code]],5, AN_TME22[[#All],[Advanced Network/Insurance Carrier Org ID]],B255),2)=ROUND(SUMIFS(AN_TME22[[#All],[TOTAL Non-Truncated Unadjusted Claims Expenses]], AN_TME22[[#All],[Insurance Category Code]],5, AN_TME22[[#All],[Advanced Network/Insurance Carrier Org ID]],B255),2)</f>
        <v>1</v>
      </c>
      <c r="Q255" s="236">
        <v>120</v>
      </c>
      <c r="R255" s="463">
        <f>ROUND(SUMIFS(Age_Sex23[[#All],[Total Member Months by Age/Sex Band]], Age_Sex23[[#All],[Advanced Network ID]], $Q255, Age_Sex23[[#All],[Insurance Category Code]],5),2)</f>
        <v>0</v>
      </c>
      <c r="S255" s="268">
        <f>ROUND(SUMIFS(Age_Sex23[[#All],[Total Dollars Excluded from Spending After Applying Truncation at the Member Level]], Age_Sex23[[#All],[Advanced Network ID]], $B255, Age_Sex23[[#All],[Insurance Category Code]],5),2)</f>
        <v>0</v>
      </c>
      <c r="T255" s="229">
        <f>ROUND(SUMIFS(Age_Sex23[[#All],[Count of Members whose Spending was Truncated]], Age_Sex23[[#All],[Advanced Network ID]], $B255, Age_Sex23[[#All],[Insurance Category Code]],5),2)</f>
        <v>0</v>
      </c>
      <c r="U255" s="230">
        <f>ROUND(SUMIFS(Age_Sex23[[#All],[Total Spending before Truncation is Applied]], Age_Sex23[[#All],[Advanced Network ID]], $B255, Age_Sex23[[#All],[Insurance Category Code]],5), 2)</f>
        <v>0</v>
      </c>
      <c r="V255" s="232">
        <f>ROUND(SUMIFS(Age_Sex23[[#All],[Total Spending After Applying Truncation at the Member Level]], Age_Sex23[[#All],[Advanced Network ID]], $B255, Age_Sex23[[#All],[Insurance Category Code]],5),2)</f>
        <v>0</v>
      </c>
      <c r="W255" s="416" t="str">
        <f>IF(R255=ROUND(SUMIFS(AN_TME23[[#All],[Member Months]], AN_TME23[[#All],[Insurance Category Code]],5, AN_TME23[[#All],[Advanced Network/Insurance Carrier Org ID]],Q255),2), "TRUE", ROUND(R255-SUMIFS(AN_TME23[[#All],[Member Months]], AN_TME23[[#All],[Insurance Category Code]],5, AN_TME23[[#All],[Advanced Network/Insurance Carrier Org ID]],Q255),2))</f>
        <v>TRUE</v>
      </c>
      <c r="X255" s="280" t="str">
        <f>IF(S255=ROUND(SUMIFS(AN_TME23[[#All],[Total Claims Excluded because of Truncation]], AN_TME23[[#All],[Insurance Category Code]],5, AN_TME23[[#All],[Advanced Network/Insurance Carrier Org ID]],Q255),2), "TRUE", ROUND(S255-SUMIFS(AN_TME23[[#All],[Total Claims Excluded because of Truncation]], AN_TME23[[#All],[Insurance Category Code]],5, AN_TME23[[#All],[Advanced Network/Insurance Carrier Org ID]],Q255),2))</f>
        <v>TRUE</v>
      </c>
      <c r="Y255" s="281" t="str">
        <f>IF(T255=ROUND(SUMIFS(AN_TME23[[#All],[Count of Members with Claims Truncated]], AN_TME23[[#All],[Insurance Category Code]],5, AN_TME23[[#All],[Advanced Network/Insurance Carrier Org ID]],Q255),2), "TRUE", ROUND(T255-SUMIFS(AN_TME23[[#All],[Count of Members with Claims Truncated]], AN_TME23[[#All],[Insurance Category Code]],5, AN_TME23[[#All],[Advanced Network/Insurance Carrier Org ID]],Q255),2))</f>
        <v>TRUE</v>
      </c>
      <c r="Z255" s="282" t="str">
        <f>IF(U255=ROUND(SUMIFS(AN_TME23[[#All],[TOTAL Non-Truncated Unadjusted Claims Expenses]], AN_TME23[[#All],[Insurance Category Code]],5, AN_TME23[[#All],[Advanced Network/Insurance Carrier Org ID]],Q255),2), "TRUE", ROUND(U255-SUMIFS(AN_TME23[[#All],[TOTAL Non-Truncated Unadjusted Claims Expenses]], AN_TME23[[#All],[Insurance Category Code]],5, AN_TME23[[#All],[Advanced Network/Insurance Carrier Org ID]],Q255),2))</f>
        <v>TRUE</v>
      </c>
      <c r="AA255" s="295" t="str">
        <f>IF(V255=ROUND(SUMIFS(AN_TME23[[#All],[TOTAL Truncated Unadjusted Claims Expenses (A21 -A19)]], AN_TME23[[#All],[Insurance Category Code]],5, AN_TME23[[#All],[Advanced Network/Insurance Carrier Org ID]],Q255),2), "TRUE", ROUND(V255-SUMIFS(AN_TME23[[#All],[TOTAL Truncated Unadjusted Claims Expenses (A21 -A19)]], AN_TME23[[#All],[Insurance Category Code]],5, AN_TME23[[#All],[Advanced Network/Insurance Carrier Org ID]],Q255),2))</f>
        <v>TRUE</v>
      </c>
      <c r="AB255" s="461" t="str">
        <f t="shared" si="26"/>
        <v>TRUE</v>
      </c>
      <c r="AC255" s="282" t="b">
        <f>ROUND(SUMIFS(AN_TME23[[#All],[TOTAL Non-Truncated Unadjusted Claims Expenses]], AN_TME23[[#All],[Insurance Category Code]],5, AN_TME23[[#All],[Advanced Network/Insurance Carrier Org ID]],Q255),2)&gt;=ROUND(SUMIFS(AN_TME23[[#All],[TOTAL Truncated Unadjusted Claims Expenses (A21 -A19)]], AN_TME23[[#All],[Insurance Category Code]],5, AN_TME23[[#All],[Advanced Network/Insurance Carrier Org ID]],Q255),2)</f>
        <v>1</v>
      </c>
      <c r="AD255" s="295" t="b">
        <f>ROUND(SUMIFS(AN_TME23[[#All],[TOTAL Truncated Unadjusted Claims Expenses (A21 -A19)]], AN_TME23[[#All],[Insurance Category Code]],5, AN_TME23[[#All],[Advanced Network/Insurance Carrier Org ID]],Q255)+SUMIFS(AN_TME23[[#All],[Total Claims Excluded because of Truncation]], AN_TME23[[#All],[Insurance Category Code]],5, AN_TME23[[#All],[Advanced Network/Insurance Carrier Org ID]],Q255),2)=ROUND(SUMIFS(AN_TME23[[#All],[TOTAL Non-Truncated Unadjusted Claims Expenses]], AN_TME23[[#All],[Insurance Category Code]],5, AN_TME23[[#All],[Advanced Network/Insurance Carrier Org ID]],Q255),2)</f>
        <v>1</v>
      </c>
      <c r="AF255" s="323" t="str">
        <f t="shared" si="25"/>
        <v>NA</v>
      </c>
    </row>
    <row r="256" spans="2:32" outlineLevel="1" x14ac:dyDescent="0.25">
      <c r="B256" s="236">
        <v>121</v>
      </c>
      <c r="C256" s="463">
        <f>ROUND(SUMIFS(Age_Sex22[[#All],[Total Member Months by Age/Sex Band]], Age_Sex22[[#All],[Advanced Network ID]], $B256, Age_Sex22[[#All],[Insurance Category Code]],5),2)</f>
        <v>0</v>
      </c>
      <c r="D256" s="268">
        <f>ROUND(SUMIFS(Age_Sex22[[#All],[Total Dollars Excluded from Spending After Applying Truncation at the Member Level]], Age_Sex22[[#All],[Advanced Network ID]], $B256, Age_Sex22[[#All],[Insurance Category Code]],5),2)</f>
        <v>0</v>
      </c>
      <c r="E256" s="229">
        <f>ROUND(SUMIFS(Age_Sex22[[#All],[Count of Members whose Spending was Truncated]], Age_Sex22[[#All],[Advanced Network ID]], $B256, Age_Sex22[[#All],[Insurance Category Code]],5),2)</f>
        <v>0</v>
      </c>
      <c r="F256" s="230">
        <f>ROUND(SUMIFS(Age_Sex22[[#All],[Total Spending before Truncation is Applied]], Age_Sex22[[#All],[Advanced Network ID]], $B256, Age_Sex22[[#All],[Insurance Category Code]],5),2)</f>
        <v>0</v>
      </c>
      <c r="G256" s="232">
        <f>ROUND(SUMIFS(Age_Sex22[[#All],[Total Spending After Applying Truncation at the Member Level]], Age_Sex22[[#All],[Advanced Network ID]], $B256, Age_Sex22[[#All],[Insurance Category Code]],5), 2)</f>
        <v>0</v>
      </c>
      <c r="H256" s="416" t="str">
        <f>IF(C256=ROUND(SUMIFS(AN_TME22[[#All],[Member Months]], AN_TME22[[#All],[Insurance Category Code]],5, AN_TME22[[#All],[Advanced Network/Insurance Carrier Org ID]],B256),2), "TRUE", ROUND(C256-SUMIFS(AN_TME22[[#All],[Member Months]], AN_TME22[[#All],[Insurance Category Code]],5, AN_TME22[[#All],[Advanced Network/Insurance Carrier Org ID]],B256),2))</f>
        <v>TRUE</v>
      </c>
      <c r="I256" s="280" t="str">
        <f>IF(D256=ROUND(SUMIFS(AN_TME22[[#All],[Total Claims Excluded because of Truncation]], AN_TME22[[#All],[Insurance Category Code]],5, AN_TME22[[#All],[Advanced Network/Insurance Carrier Org ID]],B256),2), "TRUE", ROUND(D256-SUMIFS(AN_TME22[[#All],[Total Claims Excluded because of Truncation]], AN_TME22[[#All],[Insurance Category Code]],5, AN_TME22[[#All],[Advanced Network/Insurance Carrier Org ID]],B256), 2))</f>
        <v>TRUE</v>
      </c>
      <c r="J256" s="281" t="str">
        <f>IF(E256=ROUND(SUMIFS(AN_TME22[[#All],[Count of Members with Claims Truncated]], AN_TME22[[#All],[Insurance Category Code]],5, AN_TME22[[#All],[Advanced Network/Insurance Carrier Org ID]],B256),2), "TRUE", ROUND(E256-SUMIFS(AN_TME22[[#All],[Count of Members with Claims Truncated]], AN_TME22[[#All],[Insurance Category Code]],5, AN_TME22[[#All],[Advanced Network/Insurance Carrier Org ID]],B256),2))</f>
        <v>TRUE</v>
      </c>
      <c r="K256" s="282" t="str">
        <f>IF(F256=ROUND(SUMIFS(AN_TME22[[#All],[TOTAL Non-Truncated Unadjusted Claims Expenses]], AN_TME22[[#All],[Insurance Category Code]],5, AN_TME22[[#All],[Advanced Network/Insurance Carrier Org ID]],B256),2), "TRUE", ROUND(F256-SUMIFS(AN_TME22[[#All],[TOTAL Non-Truncated Unadjusted Claims Expenses]], AN_TME22[[#All],[Insurance Category Code]],5, AN_TME22[[#All],[Advanced Network/Insurance Carrier Org ID]],B256), 2))</f>
        <v>TRUE</v>
      </c>
      <c r="L256" s="295" t="str">
        <f>IF(G256=ROUND(SUMIFS(AN_TME22[[#All],[TOTAL Truncated Unadjusted Claims Expenses (A21 -A19)]], AN_TME22[[#All],[Insurance Category Code]],5, AN_TME22[[#All],[Advanced Network/Insurance Carrier Org ID]],B256),2), "TRUE", ROUND(G256-SUMIFS(AN_TME22[[#All],[TOTAL Truncated Unadjusted Claims Expenses (A21 -A19)]], AN_TME22[[#All],[Insurance Category Code]],5, AN_TME22[[#All],[Advanced Network/Insurance Carrier Org ID]],B256),2))</f>
        <v>TRUE</v>
      </c>
      <c r="M256" s="461" t="str">
        <f t="shared" si="23"/>
        <v>TRUE</v>
      </c>
      <c r="N256" s="282" t="b">
        <f>ROUND(SUMIFS(AN_TME22[[#All],[TOTAL Non-Truncated Unadjusted Claims Expenses]], AN_TME22[[#All],[Insurance Category Code]],5, AN_TME22[[#All],[Advanced Network/Insurance Carrier Org ID]],B256),2)&gt;=ROUND(SUMIFS(AN_TME22[[#All],[TOTAL Truncated Unadjusted Claims Expenses (A21 -A19)]], AN_TME22[[#All],[Insurance Category Code]],5, AN_TME22[[#All],[Advanced Network/Insurance Carrier Org ID]],B256),2)</f>
        <v>1</v>
      </c>
      <c r="O256" s="295" t="b">
        <f>ROUND(SUMIFS(AN_TME22[[#All],[TOTAL Truncated Unadjusted Claims Expenses (A21 -A19)]], AN_TME22[[#All],[Insurance Category Code]],5, AN_TME22[[#All],[Advanced Network/Insurance Carrier Org ID]],B256)+SUMIFS(AN_TME22[[#All],[Total Claims Excluded because of Truncation]], AN_TME22[[#All],[Insurance Category Code]],5, AN_TME22[[#All],[Advanced Network/Insurance Carrier Org ID]],B256),2)=ROUND(SUMIFS(AN_TME22[[#All],[TOTAL Non-Truncated Unadjusted Claims Expenses]], AN_TME22[[#All],[Insurance Category Code]],5, AN_TME22[[#All],[Advanced Network/Insurance Carrier Org ID]],B256),2)</f>
        <v>1</v>
      </c>
      <c r="Q256" s="236">
        <v>121</v>
      </c>
      <c r="R256" s="463">
        <f>ROUND(SUMIFS(Age_Sex23[[#All],[Total Member Months by Age/Sex Band]], Age_Sex23[[#All],[Advanced Network ID]], $Q256, Age_Sex23[[#All],[Insurance Category Code]],5),2)</f>
        <v>0</v>
      </c>
      <c r="S256" s="268">
        <f>ROUND(SUMIFS(Age_Sex23[[#All],[Total Dollars Excluded from Spending After Applying Truncation at the Member Level]], Age_Sex23[[#All],[Advanced Network ID]], $B256, Age_Sex23[[#All],[Insurance Category Code]],5),2)</f>
        <v>0</v>
      </c>
      <c r="T256" s="229">
        <f>ROUND(SUMIFS(Age_Sex23[[#All],[Count of Members whose Spending was Truncated]], Age_Sex23[[#All],[Advanced Network ID]], $B256, Age_Sex23[[#All],[Insurance Category Code]],5),2)</f>
        <v>0</v>
      </c>
      <c r="U256" s="230">
        <f>ROUND(SUMIFS(Age_Sex23[[#All],[Total Spending before Truncation is Applied]], Age_Sex23[[#All],[Advanced Network ID]], $B256, Age_Sex23[[#All],[Insurance Category Code]],5), 2)</f>
        <v>0</v>
      </c>
      <c r="V256" s="232">
        <f>ROUND(SUMIFS(Age_Sex23[[#All],[Total Spending After Applying Truncation at the Member Level]], Age_Sex23[[#All],[Advanced Network ID]], $B256, Age_Sex23[[#All],[Insurance Category Code]],5),2)</f>
        <v>0</v>
      </c>
      <c r="W256" s="416" t="str">
        <f>IF(R256=ROUND(SUMIFS(AN_TME23[[#All],[Member Months]], AN_TME23[[#All],[Insurance Category Code]],5, AN_TME23[[#All],[Advanced Network/Insurance Carrier Org ID]],Q256),2), "TRUE", ROUND(R256-SUMIFS(AN_TME23[[#All],[Member Months]], AN_TME23[[#All],[Insurance Category Code]],5, AN_TME23[[#All],[Advanced Network/Insurance Carrier Org ID]],Q256),2))</f>
        <v>TRUE</v>
      </c>
      <c r="X256" s="280" t="str">
        <f>IF(S256=ROUND(SUMIFS(AN_TME23[[#All],[Total Claims Excluded because of Truncation]], AN_TME23[[#All],[Insurance Category Code]],5, AN_TME23[[#All],[Advanced Network/Insurance Carrier Org ID]],Q256),2), "TRUE", ROUND(S256-SUMIFS(AN_TME23[[#All],[Total Claims Excluded because of Truncation]], AN_TME23[[#All],[Insurance Category Code]],5, AN_TME23[[#All],[Advanced Network/Insurance Carrier Org ID]],Q256),2))</f>
        <v>TRUE</v>
      </c>
      <c r="Y256" s="281" t="str">
        <f>IF(T256=ROUND(SUMIFS(AN_TME23[[#All],[Count of Members with Claims Truncated]], AN_TME23[[#All],[Insurance Category Code]],5, AN_TME23[[#All],[Advanced Network/Insurance Carrier Org ID]],Q256),2), "TRUE", ROUND(T256-SUMIFS(AN_TME23[[#All],[Count of Members with Claims Truncated]], AN_TME23[[#All],[Insurance Category Code]],5, AN_TME23[[#All],[Advanced Network/Insurance Carrier Org ID]],Q256),2))</f>
        <v>TRUE</v>
      </c>
      <c r="Z256" s="282" t="str">
        <f>IF(U256=ROUND(SUMIFS(AN_TME23[[#All],[TOTAL Non-Truncated Unadjusted Claims Expenses]], AN_TME23[[#All],[Insurance Category Code]],5, AN_TME23[[#All],[Advanced Network/Insurance Carrier Org ID]],Q256),2), "TRUE", ROUND(U256-SUMIFS(AN_TME23[[#All],[TOTAL Non-Truncated Unadjusted Claims Expenses]], AN_TME23[[#All],[Insurance Category Code]],5, AN_TME23[[#All],[Advanced Network/Insurance Carrier Org ID]],Q256),2))</f>
        <v>TRUE</v>
      </c>
      <c r="AA256" s="295" t="str">
        <f>IF(V256=ROUND(SUMIFS(AN_TME23[[#All],[TOTAL Truncated Unadjusted Claims Expenses (A21 -A19)]], AN_TME23[[#All],[Insurance Category Code]],5, AN_TME23[[#All],[Advanced Network/Insurance Carrier Org ID]],Q256),2), "TRUE", ROUND(V256-SUMIFS(AN_TME23[[#All],[TOTAL Truncated Unadjusted Claims Expenses (A21 -A19)]], AN_TME23[[#All],[Insurance Category Code]],5, AN_TME23[[#All],[Advanced Network/Insurance Carrier Org ID]],Q256),2))</f>
        <v>TRUE</v>
      </c>
      <c r="AB256" s="461" t="str">
        <f t="shared" si="26"/>
        <v>TRUE</v>
      </c>
      <c r="AC256" s="282" t="b">
        <f>ROUND(SUMIFS(AN_TME23[[#All],[TOTAL Non-Truncated Unadjusted Claims Expenses]], AN_TME23[[#All],[Insurance Category Code]],5, AN_TME23[[#All],[Advanced Network/Insurance Carrier Org ID]],Q256),2)&gt;=ROUND(SUMIFS(AN_TME23[[#All],[TOTAL Truncated Unadjusted Claims Expenses (A21 -A19)]], AN_TME23[[#All],[Insurance Category Code]],5, AN_TME23[[#All],[Advanced Network/Insurance Carrier Org ID]],Q256),2)</f>
        <v>1</v>
      </c>
      <c r="AD256" s="295" t="b">
        <f>ROUND(SUMIFS(AN_TME23[[#All],[TOTAL Truncated Unadjusted Claims Expenses (A21 -A19)]], AN_TME23[[#All],[Insurance Category Code]],5, AN_TME23[[#All],[Advanced Network/Insurance Carrier Org ID]],Q256)+SUMIFS(AN_TME23[[#All],[Total Claims Excluded because of Truncation]], AN_TME23[[#All],[Insurance Category Code]],5, AN_TME23[[#All],[Advanced Network/Insurance Carrier Org ID]],Q256),2)=ROUND(SUMIFS(AN_TME23[[#All],[TOTAL Non-Truncated Unadjusted Claims Expenses]], AN_TME23[[#All],[Insurance Category Code]],5, AN_TME23[[#All],[Advanced Network/Insurance Carrier Org ID]],Q256),2)</f>
        <v>1</v>
      </c>
      <c r="AF256" s="323" t="str">
        <f t="shared" si="25"/>
        <v>NA</v>
      </c>
    </row>
    <row r="257" spans="2:32" outlineLevel="1" x14ac:dyDescent="0.25">
      <c r="B257" s="236">
        <v>122</v>
      </c>
      <c r="C257" s="463">
        <f>ROUND(SUMIFS(Age_Sex22[[#All],[Total Member Months by Age/Sex Band]], Age_Sex22[[#All],[Advanced Network ID]], $B257, Age_Sex22[[#All],[Insurance Category Code]],5),2)</f>
        <v>0</v>
      </c>
      <c r="D257" s="268">
        <f>ROUND(SUMIFS(Age_Sex22[[#All],[Total Dollars Excluded from Spending After Applying Truncation at the Member Level]], Age_Sex22[[#All],[Advanced Network ID]], $B257, Age_Sex22[[#All],[Insurance Category Code]],5),2)</f>
        <v>0</v>
      </c>
      <c r="E257" s="229">
        <f>ROUND(SUMIFS(Age_Sex22[[#All],[Count of Members whose Spending was Truncated]], Age_Sex22[[#All],[Advanced Network ID]], $B257, Age_Sex22[[#All],[Insurance Category Code]],5),2)</f>
        <v>0</v>
      </c>
      <c r="F257" s="230">
        <f>ROUND(SUMIFS(Age_Sex22[[#All],[Total Spending before Truncation is Applied]], Age_Sex22[[#All],[Advanced Network ID]], $B257, Age_Sex22[[#All],[Insurance Category Code]],5),2)</f>
        <v>0</v>
      </c>
      <c r="G257" s="232">
        <f>ROUND(SUMIFS(Age_Sex22[[#All],[Total Spending After Applying Truncation at the Member Level]], Age_Sex22[[#All],[Advanced Network ID]], $B257, Age_Sex22[[#All],[Insurance Category Code]],5), 2)</f>
        <v>0</v>
      </c>
      <c r="H257" s="416" t="str">
        <f>IF(C257=ROUND(SUMIFS(AN_TME22[[#All],[Member Months]], AN_TME22[[#All],[Insurance Category Code]],5, AN_TME22[[#All],[Advanced Network/Insurance Carrier Org ID]],B257),2), "TRUE", ROUND(C257-SUMIFS(AN_TME22[[#All],[Member Months]], AN_TME22[[#All],[Insurance Category Code]],5, AN_TME22[[#All],[Advanced Network/Insurance Carrier Org ID]],B257),2))</f>
        <v>TRUE</v>
      </c>
      <c r="I257" s="280" t="str">
        <f>IF(D257=ROUND(SUMIFS(AN_TME22[[#All],[Total Claims Excluded because of Truncation]], AN_TME22[[#All],[Insurance Category Code]],5, AN_TME22[[#All],[Advanced Network/Insurance Carrier Org ID]],B257),2), "TRUE", ROUND(D257-SUMIFS(AN_TME22[[#All],[Total Claims Excluded because of Truncation]], AN_TME22[[#All],[Insurance Category Code]],5, AN_TME22[[#All],[Advanced Network/Insurance Carrier Org ID]],B257), 2))</f>
        <v>TRUE</v>
      </c>
      <c r="J257" s="281" t="str">
        <f>IF(E257=ROUND(SUMIFS(AN_TME22[[#All],[Count of Members with Claims Truncated]], AN_TME22[[#All],[Insurance Category Code]],5, AN_TME22[[#All],[Advanced Network/Insurance Carrier Org ID]],B257),2), "TRUE", ROUND(E257-SUMIFS(AN_TME22[[#All],[Count of Members with Claims Truncated]], AN_TME22[[#All],[Insurance Category Code]],5, AN_TME22[[#All],[Advanced Network/Insurance Carrier Org ID]],B257),2))</f>
        <v>TRUE</v>
      </c>
      <c r="K257" s="282" t="str">
        <f>IF(F257=ROUND(SUMIFS(AN_TME22[[#All],[TOTAL Non-Truncated Unadjusted Claims Expenses]], AN_TME22[[#All],[Insurance Category Code]],5, AN_TME22[[#All],[Advanced Network/Insurance Carrier Org ID]],B257),2), "TRUE", ROUND(F257-SUMIFS(AN_TME22[[#All],[TOTAL Non-Truncated Unadjusted Claims Expenses]], AN_TME22[[#All],[Insurance Category Code]],5, AN_TME22[[#All],[Advanced Network/Insurance Carrier Org ID]],B257), 2))</f>
        <v>TRUE</v>
      </c>
      <c r="L257" s="295" t="str">
        <f>IF(G257=ROUND(SUMIFS(AN_TME22[[#All],[TOTAL Truncated Unadjusted Claims Expenses (A21 -A19)]], AN_TME22[[#All],[Insurance Category Code]],5, AN_TME22[[#All],[Advanced Network/Insurance Carrier Org ID]],B257),2), "TRUE", ROUND(G257-SUMIFS(AN_TME22[[#All],[TOTAL Truncated Unadjusted Claims Expenses (A21 -A19)]], AN_TME22[[#All],[Insurance Category Code]],5, AN_TME22[[#All],[Advanced Network/Insurance Carrier Org ID]],B257),2))</f>
        <v>TRUE</v>
      </c>
      <c r="M257" s="461" t="str">
        <f t="shared" si="23"/>
        <v>TRUE</v>
      </c>
      <c r="N257" s="282" t="b">
        <f>ROUND(SUMIFS(AN_TME22[[#All],[TOTAL Non-Truncated Unadjusted Claims Expenses]], AN_TME22[[#All],[Insurance Category Code]],5, AN_TME22[[#All],[Advanced Network/Insurance Carrier Org ID]],B257),2)&gt;=ROUND(SUMIFS(AN_TME22[[#All],[TOTAL Truncated Unadjusted Claims Expenses (A21 -A19)]], AN_TME22[[#All],[Insurance Category Code]],5, AN_TME22[[#All],[Advanced Network/Insurance Carrier Org ID]],B257),2)</f>
        <v>1</v>
      </c>
      <c r="O257" s="295" t="b">
        <f>ROUND(SUMIFS(AN_TME22[[#All],[TOTAL Truncated Unadjusted Claims Expenses (A21 -A19)]], AN_TME22[[#All],[Insurance Category Code]],5, AN_TME22[[#All],[Advanced Network/Insurance Carrier Org ID]],B257)+SUMIFS(AN_TME22[[#All],[Total Claims Excluded because of Truncation]], AN_TME22[[#All],[Insurance Category Code]],5, AN_TME22[[#All],[Advanced Network/Insurance Carrier Org ID]],B257),2)=ROUND(SUMIFS(AN_TME22[[#All],[TOTAL Non-Truncated Unadjusted Claims Expenses]], AN_TME22[[#All],[Insurance Category Code]],5, AN_TME22[[#All],[Advanced Network/Insurance Carrier Org ID]],B257),2)</f>
        <v>1</v>
      </c>
      <c r="Q257" s="236">
        <v>122</v>
      </c>
      <c r="R257" s="463">
        <f>ROUND(SUMIFS(Age_Sex23[[#All],[Total Member Months by Age/Sex Band]], Age_Sex23[[#All],[Advanced Network ID]], $Q257, Age_Sex23[[#All],[Insurance Category Code]],5),2)</f>
        <v>0</v>
      </c>
      <c r="S257" s="268">
        <f>ROUND(SUMIFS(Age_Sex23[[#All],[Total Dollars Excluded from Spending After Applying Truncation at the Member Level]], Age_Sex23[[#All],[Advanced Network ID]], $B257, Age_Sex23[[#All],[Insurance Category Code]],5),2)</f>
        <v>0</v>
      </c>
      <c r="T257" s="229">
        <f>ROUND(SUMIFS(Age_Sex23[[#All],[Count of Members whose Spending was Truncated]], Age_Sex23[[#All],[Advanced Network ID]], $B257, Age_Sex23[[#All],[Insurance Category Code]],5),2)</f>
        <v>0</v>
      </c>
      <c r="U257" s="230">
        <f>ROUND(SUMIFS(Age_Sex23[[#All],[Total Spending before Truncation is Applied]], Age_Sex23[[#All],[Advanced Network ID]], $B257, Age_Sex23[[#All],[Insurance Category Code]],5), 2)</f>
        <v>0</v>
      </c>
      <c r="V257" s="232">
        <f>ROUND(SUMIFS(Age_Sex23[[#All],[Total Spending After Applying Truncation at the Member Level]], Age_Sex23[[#All],[Advanced Network ID]], $B257, Age_Sex23[[#All],[Insurance Category Code]],5),2)</f>
        <v>0</v>
      </c>
      <c r="W257" s="416" t="str">
        <f>IF(R257=ROUND(SUMIFS(AN_TME23[[#All],[Member Months]], AN_TME23[[#All],[Insurance Category Code]],5, AN_TME23[[#All],[Advanced Network/Insurance Carrier Org ID]],Q257),2), "TRUE", ROUND(R257-SUMIFS(AN_TME23[[#All],[Member Months]], AN_TME23[[#All],[Insurance Category Code]],5, AN_TME23[[#All],[Advanced Network/Insurance Carrier Org ID]],Q257),2))</f>
        <v>TRUE</v>
      </c>
      <c r="X257" s="280" t="str">
        <f>IF(S257=ROUND(SUMIFS(AN_TME23[[#All],[Total Claims Excluded because of Truncation]], AN_TME23[[#All],[Insurance Category Code]],5, AN_TME23[[#All],[Advanced Network/Insurance Carrier Org ID]],Q257),2), "TRUE", ROUND(S257-SUMIFS(AN_TME23[[#All],[Total Claims Excluded because of Truncation]], AN_TME23[[#All],[Insurance Category Code]],5, AN_TME23[[#All],[Advanced Network/Insurance Carrier Org ID]],Q257),2))</f>
        <v>TRUE</v>
      </c>
      <c r="Y257" s="281" t="str">
        <f>IF(T257=ROUND(SUMIFS(AN_TME23[[#All],[Count of Members with Claims Truncated]], AN_TME23[[#All],[Insurance Category Code]],5, AN_TME23[[#All],[Advanced Network/Insurance Carrier Org ID]],Q257),2), "TRUE", ROUND(T257-SUMIFS(AN_TME23[[#All],[Count of Members with Claims Truncated]], AN_TME23[[#All],[Insurance Category Code]],5, AN_TME23[[#All],[Advanced Network/Insurance Carrier Org ID]],Q257),2))</f>
        <v>TRUE</v>
      </c>
      <c r="Z257" s="282" t="str">
        <f>IF(U257=ROUND(SUMIFS(AN_TME23[[#All],[TOTAL Non-Truncated Unadjusted Claims Expenses]], AN_TME23[[#All],[Insurance Category Code]],5, AN_TME23[[#All],[Advanced Network/Insurance Carrier Org ID]],Q257),2), "TRUE", ROUND(U257-SUMIFS(AN_TME23[[#All],[TOTAL Non-Truncated Unadjusted Claims Expenses]], AN_TME23[[#All],[Insurance Category Code]],5, AN_TME23[[#All],[Advanced Network/Insurance Carrier Org ID]],Q257),2))</f>
        <v>TRUE</v>
      </c>
      <c r="AA257" s="295" t="str">
        <f>IF(V257=ROUND(SUMIFS(AN_TME23[[#All],[TOTAL Truncated Unadjusted Claims Expenses (A21 -A19)]], AN_TME23[[#All],[Insurance Category Code]],5, AN_TME23[[#All],[Advanced Network/Insurance Carrier Org ID]],Q257),2), "TRUE", ROUND(V257-SUMIFS(AN_TME23[[#All],[TOTAL Truncated Unadjusted Claims Expenses (A21 -A19)]], AN_TME23[[#All],[Insurance Category Code]],5, AN_TME23[[#All],[Advanced Network/Insurance Carrier Org ID]],Q257),2))</f>
        <v>TRUE</v>
      </c>
      <c r="AB257" s="461" t="str">
        <f t="shared" si="26"/>
        <v>TRUE</v>
      </c>
      <c r="AC257" s="282" t="b">
        <f>ROUND(SUMIFS(AN_TME23[[#All],[TOTAL Non-Truncated Unadjusted Claims Expenses]], AN_TME23[[#All],[Insurance Category Code]],5, AN_TME23[[#All],[Advanced Network/Insurance Carrier Org ID]],Q257),2)&gt;=ROUND(SUMIFS(AN_TME23[[#All],[TOTAL Truncated Unadjusted Claims Expenses (A21 -A19)]], AN_TME23[[#All],[Insurance Category Code]],5, AN_TME23[[#All],[Advanced Network/Insurance Carrier Org ID]],Q257),2)</f>
        <v>1</v>
      </c>
      <c r="AD257" s="295" t="b">
        <f>ROUND(SUMIFS(AN_TME23[[#All],[TOTAL Truncated Unadjusted Claims Expenses (A21 -A19)]], AN_TME23[[#All],[Insurance Category Code]],5, AN_TME23[[#All],[Advanced Network/Insurance Carrier Org ID]],Q257)+SUMIFS(AN_TME23[[#All],[Total Claims Excluded because of Truncation]], AN_TME23[[#All],[Insurance Category Code]],5, AN_TME23[[#All],[Advanced Network/Insurance Carrier Org ID]],Q257),2)=ROUND(SUMIFS(AN_TME23[[#All],[TOTAL Non-Truncated Unadjusted Claims Expenses]], AN_TME23[[#All],[Insurance Category Code]],5, AN_TME23[[#All],[Advanced Network/Insurance Carrier Org ID]],Q257),2)</f>
        <v>1</v>
      </c>
      <c r="AF257" s="323" t="str">
        <f t="shared" si="25"/>
        <v>NA</v>
      </c>
    </row>
    <row r="258" spans="2:32" outlineLevel="1" x14ac:dyDescent="0.25">
      <c r="B258" s="236">
        <v>123</v>
      </c>
      <c r="C258" s="463">
        <f>ROUND(SUMIFS(Age_Sex22[[#All],[Total Member Months by Age/Sex Band]], Age_Sex22[[#All],[Advanced Network ID]], $B258, Age_Sex22[[#All],[Insurance Category Code]],5),2)</f>
        <v>0</v>
      </c>
      <c r="D258" s="268">
        <f>ROUND(SUMIFS(Age_Sex22[[#All],[Total Dollars Excluded from Spending After Applying Truncation at the Member Level]], Age_Sex22[[#All],[Advanced Network ID]], $B258, Age_Sex22[[#All],[Insurance Category Code]],5),2)</f>
        <v>0</v>
      </c>
      <c r="E258" s="229">
        <f>ROUND(SUMIFS(Age_Sex22[[#All],[Count of Members whose Spending was Truncated]], Age_Sex22[[#All],[Advanced Network ID]], $B258, Age_Sex22[[#All],[Insurance Category Code]],5),2)</f>
        <v>0</v>
      </c>
      <c r="F258" s="230">
        <f>ROUND(SUMIFS(Age_Sex22[[#All],[Total Spending before Truncation is Applied]], Age_Sex22[[#All],[Advanced Network ID]], $B258, Age_Sex22[[#All],[Insurance Category Code]],5),2)</f>
        <v>0</v>
      </c>
      <c r="G258" s="232">
        <f>ROUND(SUMIFS(Age_Sex22[[#All],[Total Spending After Applying Truncation at the Member Level]], Age_Sex22[[#All],[Advanced Network ID]], $B258, Age_Sex22[[#All],[Insurance Category Code]],5), 2)</f>
        <v>0</v>
      </c>
      <c r="H258" s="416" t="str">
        <f>IF(C258=ROUND(SUMIFS(AN_TME22[[#All],[Member Months]], AN_TME22[[#All],[Insurance Category Code]],5, AN_TME22[[#All],[Advanced Network/Insurance Carrier Org ID]],B258),2), "TRUE", ROUND(C258-SUMIFS(AN_TME22[[#All],[Member Months]], AN_TME22[[#All],[Insurance Category Code]],5, AN_TME22[[#All],[Advanced Network/Insurance Carrier Org ID]],B258),2))</f>
        <v>TRUE</v>
      </c>
      <c r="I258" s="280" t="str">
        <f>IF(D258=ROUND(SUMIFS(AN_TME22[[#All],[Total Claims Excluded because of Truncation]], AN_TME22[[#All],[Insurance Category Code]],5, AN_TME22[[#All],[Advanced Network/Insurance Carrier Org ID]],B258),2), "TRUE", ROUND(D258-SUMIFS(AN_TME22[[#All],[Total Claims Excluded because of Truncation]], AN_TME22[[#All],[Insurance Category Code]],5, AN_TME22[[#All],[Advanced Network/Insurance Carrier Org ID]],B258), 2))</f>
        <v>TRUE</v>
      </c>
      <c r="J258" s="281" t="str">
        <f>IF(E258=ROUND(SUMIFS(AN_TME22[[#All],[Count of Members with Claims Truncated]], AN_TME22[[#All],[Insurance Category Code]],5, AN_TME22[[#All],[Advanced Network/Insurance Carrier Org ID]],B258),2), "TRUE", ROUND(E258-SUMIFS(AN_TME22[[#All],[Count of Members with Claims Truncated]], AN_TME22[[#All],[Insurance Category Code]],5, AN_TME22[[#All],[Advanced Network/Insurance Carrier Org ID]],B258),2))</f>
        <v>TRUE</v>
      </c>
      <c r="K258" s="282" t="str">
        <f>IF(F258=ROUND(SUMIFS(AN_TME22[[#All],[TOTAL Non-Truncated Unadjusted Claims Expenses]], AN_TME22[[#All],[Insurance Category Code]],5, AN_TME22[[#All],[Advanced Network/Insurance Carrier Org ID]],B258),2), "TRUE", ROUND(F258-SUMIFS(AN_TME22[[#All],[TOTAL Non-Truncated Unadjusted Claims Expenses]], AN_TME22[[#All],[Insurance Category Code]],5, AN_TME22[[#All],[Advanced Network/Insurance Carrier Org ID]],B258), 2))</f>
        <v>TRUE</v>
      </c>
      <c r="L258" s="295" t="str">
        <f>IF(G258=ROUND(SUMIFS(AN_TME22[[#All],[TOTAL Truncated Unadjusted Claims Expenses (A21 -A19)]], AN_TME22[[#All],[Insurance Category Code]],5, AN_TME22[[#All],[Advanced Network/Insurance Carrier Org ID]],B258),2), "TRUE", ROUND(G258-SUMIFS(AN_TME22[[#All],[TOTAL Truncated Unadjusted Claims Expenses (A21 -A19)]], AN_TME22[[#All],[Insurance Category Code]],5, AN_TME22[[#All],[Advanced Network/Insurance Carrier Org ID]],B258),2))</f>
        <v>TRUE</v>
      </c>
      <c r="M258" s="461" t="str">
        <f t="shared" si="23"/>
        <v>TRUE</v>
      </c>
      <c r="N258" s="282" t="b">
        <f>ROUND(SUMIFS(AN_TME22[[#All],[TOTAL Non-Truncated Unadjusted Claims Expenses]], AN_TME22[[#All],[Insurance Category Code]],5, AN_TME22[[#All],[Advanced Network/Insurance Carrier Org ID]],B258),2)&gt;=ROUND(SUMIFS(AN_TME22[[#All],[TOTAL Truncated Unadjusted Claims Expenses (A21 -A19)]], AN_TME22[[#All],[Insurance Category Code]],5, AN_TME22[[#All],[Advanced Network/Insurance Carrier Org ID]],B258),2)</f>
        <v>1</v>
      </c>
      <c r="O258" s="295" t="b">
        <f>ROUND(SUMIFS(AN_TME22[[#All],[TOTAL Truncated Unadjusted Claims Expenses (A21 -A19)]], AN_TME22[[#All],[Insurance Category Code]],5, AN_TME22[[#All],[Advanced Network/Insurance Carrier Org ID]],B258)+SUMIFS(AN_TME22[[#All],[Total Claims Excluded because of Truncation]], AN_TME22[[#All],[Insurance Category Code]],5, AN_TME22[[#All],[Advanced Network/Insurance Carrier Org ID]],B258),2)=ROUND(SUMIFS(AN_TME22[[#All],[TOTAL Non-Truncated Unadjusted Claims Expenses]], AN_TME22[[#All],[Insurance Category Code]],5, AN_TME22[[#All],[Advanced Network/Insurance Carrier Org ID]],B258),2)</f>
        <v>1</v>
      </c>
      <c r="Q258" s="236">
        <v>123</v>
      </c>
      <c r="R258" s="463">
        <f>ROUND(SUMIFS(Age_Sex23[[#All],[Total Member Months by Age/Sex Band]], Age_Sex23[[#All],[Advanced Network ID]], $Q258, Age_Sex23[[#All],[Insurance Category Code]],5),2)</f>
        <v>0</v>
      </c>
      <c r="S258" s="268">
        <f>ROUND(SUMIFS(Age_Sex23[[#All],[Total Dollars Excluded from Spending After Applying Truncation at the Member Level]], Age_Sex23[[#All],[Advanced Network ID]], $B258, Age_Sex23[[#All],[Insurance Category Code]],5),2)</f>
        <v>0</v>
      </c>
      <c r="T258" s="229">
        <f>ROUND(SUMIFS(Age_Sex23[[#All],[Count of Members whose Spending was Truncated]], Age_Sex23[[#All],[Advanced Network ID]], $B258, Age_Sex23[[#All],[Insurance Category Code]],5),2)</f>
        <v>0</v>
      </c>
      <c r="U258" s="230">
        <f>ROUND(SUMIFS(Age_Sex23[[#All],[Total Spending before Truncation is Applied]], Age_Sex23[[#All],[Advanced Network ID]], $B258, Age_Sex23[[#All],[Insurance Category Code]],5), 2)</f>
        <v>0</v>
      </c>
      <c r="V258" s="232">
        <f>ROUND(SUMIFS(Age_Sex23[[#All],[Total Spending After Applying Truncation at the Member Level]], Age_Sex23[[#All],[Advanced Network ID]], $B258, Age_Sex23[[#All],[Insurance Category Code]],5),2)</f>
        <v>0</v>
      </c>
      <c r="W258" s="416" t="str">
        <f>IF(R258=ROUND(SUMIFS(AN_TME23[[#All],[Member Months]], AN_TME23[[#All],[Insurance Category Code]],5, AN_TME23[[#All],[Advanced Network/Insurance Carrier Org ID]],Q258),2), "TRUE", ROUND(R258-SUMIFS(AN_TME23[[#All],[Member Months]], AN_TME23[[#All],[Insurance Category Code]],5, AN_TME23[[#All],[Advanced Network/Insurance Carrier Org ID]],Q258),2))</f>
        <v>TRUE</v>
      </c>
      <c r="X258" s="280" t="str">
        <f>IF(S258=ROUND(SUMIFS(AN_TME23[[#All],[Total Claims Excluded because of Truncation]], AN_TME23[[#All],[Insurance Category Code]],5, AN_TME23[[#All],[Advanced Network/Insurance Carrier Org ID]],Q258),2), "TRUE", ROUND(S258-SUMIFS(AN_TME23[[#All],[Total Claims Excluded because of Truncation]], AN_TME23[[#All],[Insurance Category Code]],5, AN_TME23[[#All],[Advanced Network/Insurance Carrier Org ID]],Q258),2))</f>
        <v>TRUE</v>
      </c>
      <c r="Y258" s="281" t="str">
        <f>IF(T258=ROUND(SUMIFS(AN_TME23[[#All],[Count of Members with Claims Truncated]], AN_TME23[[#All],[Insurance Category Code]],5, AN_TME23[[#All],[Advanced Network/Insurance Carrier Org ID]],Q258),2), "TRUE", ROUND(T258-SUMIFS(AN_TME23[[#All],[Count of Members with Claims Truncated]], AN_TME23[[#All],[Insurance Category Code]],5, AN_TME23[[#All],[Advanced Network/Insurance Carrier Org ID]],Q258),2))</f>
        <v>TRUE</v>
      </c>
      <c r="Z258" s="282" t="str">
        <f>IF(U258=ROUND(SUMIFS(AN_TME23[[#All],[TOTAL Non-Truncated Unadjusted Claims Expenses]], AN_TME23[[#All],[Insurance Category Code]],5, AN_TME23[[#All],[Advanced Network/Insurance Carrier Org ID]],Q258),2), "TRUE", ROUND(U258-SUMIFS(AN_TME23[[#All],[TOTAL Non-Truncated Unadjusted Claims Expenses]], AN_TME23[[#All],[Insurance Category Code]],5, AN_TME23[[#All],[Advanced Network/Insurance Carrier Org ID]],Q258),2))</f>
        <v>TRUE</v>
      </c>
      <c r="AA258" s="295" t="str">
        <f>IF(V258=ROUND(SUMIFS(AN_TME23[[#All],[TOTAL Truncated Unadjusted Claims Expenses (A21 -A19)]], AN_TME23[[#All],[Insurance Category Code]],5, AN_TME23[[#All],[Advanced Network/Insurance Carrier Org ID]],Q258),2), "TRUE", ROUND(V258-SUMIFS(AN_TME23[[#All],[TOTAL Truncated Unadjusted Claims Expenses (A21 -A19)]], AN_TME23[[#All],[Insurance Category Code]],5, AN_TME23[[#All],[Advanced Network/Insurance Carrier Org ID]],Q258),2))</f>
        <v>TRUE</v>
      </c>
      <c r="AB258" s="461" t="str">
        <f t="shared" si="26"/>
        <v>TRUE</v>
      </c>
      <c r="AC258" s="282" t="b">
        <f>ROUND(SUMIFS(AN_TME23[[#All],[TOTAL Non-Truncated Unadjusted Claims Expenses]], AN_TME23[[#All],[Insurance Category Code]],5, AN_TME23[[#All],[Advanced Network/Insurance Carrier Org ID]],Q258),2)&gt;=ROUND(SUMIFS(AN_TME23[[#All],[TOTAL Truncated Unadjusted Claims Expenses (A21 -A19)]], AN_TME23[[#All],[Insurance Category Code]],5, AN_TME23[[#All],[Advanced Network/Insurance Carrier Org ID]],Q258),2)</f>
        <v>1</v>
      </c>
      <c r="AD258" s="295" t="b">
        <f>ROUND(SUMIFS(AN_TME23[[#All],[TOTAL Truncated Unadjusted Claims Expenses (A21 -A19)]], AN_TME23[[#All],[Insurance Category Code]],5, AN_TME23[[#All],[Advanced Network/Insurance Carrier Org ID]],Q258)+SUMIFS(AN_TME23[[#All],[Total Claims Excluded because of Truncation]], AN_TME23[[#All],[Insurance Category Code]],5, AN_TME23[[#All],[Advanced Network/Insurance Carrier Org ID]],Q258),2)=ROUND(SUMIFS(AN_TME23[[#All],[TOTAL Non-Truncated Unadjusted Claims Expenses]], AN_TME23[[#All],[Insurance Category Code]],5, AN_TME23[[#All],[Advanced Network/Insurance Carrier Org ID]],Q258),2)</f>
        <v>1</v>
      </c>
      <c r="AF258" s="323" t="str">
        <f t="shared" si="25"/>
        <v>NA</v>
      </c>
    </row>
    <row r="259" spans="2:32" outlineLevel="1" x14ac:dyDescent="0.25">
      <c r="B259" s="236">
        <v>124</v>
      </c>
      <c r="C259" s="463">
        <f>ROUND(SUMIFS(Age_Sex22[[#All],[Total Member Months by Age/Sex Band]], Age_Sex22[[#All],[Advanced Network ID]], $B259, Age_Sex22[[#All],[Insurance Category Code]],5),2)</f>
        <v>0</v>
      </c>
      <c r="D259" s="268">
        <f>ROUND(SUMIFS(Age_Sex22[[#All],[Total Dollars Excluded from Spending After Applying Truncation at the Member Level]], Age_Sex22[[#All],[Advanced Network ID]], $B259, Age_Sex22[[#All],[Insurance Category Code]],5),2)</f>
        <v>0</v>
      </c>
      <c r="E259" s="229">
        <f>ROUND(SUMIFS(Age_Sex22[[#All],[Count of Members whose Spending was Truncated]], Age_Sex22[[#All],[Advanced Network ID]], $B259, Age_Sex22[[#All],[Insurance Category Code]],5),2)</f>
        <v>0</v>
      </c>
      <c r="F259" s="230">
        <f>ROUND(SUMIFS(Age_Sex22[[#All],[Total Spending before Truncation is Applied]], Age_Sex22[[#All],[Advanced Network ID]], $B259, Age_Sex22[[#All],[Insurance Category Code]],5),2)</f>
        <v>0</v>
      </c>
      <c r="G259" s="232">
        <f>ROUND(SUMIFS(Age_Sex22[[#All],[Total Spending After Applying Truncation at the Member Level]], Age_Sex22[[#All],[Advanced Network ID]], $B259, Age_Sex22[[#All],[Insurance Category Code]],5), 2)</f>
        <v>0</v>
      </c>
      <c r="H259" s="416" t="str">
        <f>IF(C259=ROUND(SUMIFS(AN_TME22[[#All],[Member Months]], AN_TME22[[#All],[Insurance Category Code]],5, AN_TME22[[#All],[Advanced Network/Insurance Carrier Org ID]],B259),2), "TRUE", ROUND(C259-SUMIFS(AN_TME22[[#All],[Member Months]], AN_TME22[[#All],[Insurance Category Code]],5, AN_TME22[[#All],[Advanced Network/Insurance Carrier Org ID]],B259),2))</f>
        <v>TRUE</v>
      </c>
      <c r="I259" s="280" t="str">
        <f>IF(D259=ROUND(SUMIFS(AN_TME22[[#All],[Total Claims Excluded because of Truncation]], AN_TME22[[#All],[Insurance Category Code]],5, AN_TME22[[#All],[Advanced Network/Insurance Carrier Org ID]],B259),2), "TRUE", ROUND(D259-SUMIFS(AN_TME22[[#All],[Total Claims Excluded because of Truncation]], AN_TME22[[#All],[Insurance Category Code]],5, AN_TME22[[#All],[Advanced Network/Insurance Carrier Org ID]],B259), 2))</f>
        <v>TRUE</v>
      </c>
      <c r="J259" s="281" t="str">
        <f>IF(E259=ROUND(SUMIFS(AN_TME22[[#All],[Count of Members with Claims Truncated]], AN_TME22[[#All],[Insurance Category Code]],5, AN_TME22[[#All],[Advanced Network/Insurance Carrier Org ID]],B259),2), "TRUE", ROUND(E259-SUMIFS(AN_TME22[[#All],[Count of Members with Claims Truncated]], AN_TME22[[#All],[Insurance Category Code]],5, AN_TME22[[#All],[Advanced Network/Insurance Carrier Org ID]],B259),2))</f>
        <v>TRUE</v>
      </c>
      <c r="K259" s="282" t="str">
        <f>IF(F259=ROUND(SUMIFS(AN_TME22[[#All],[TOTAL Non-Truncated Unadjusted Claims Expenses]], AN_TME22[[#All],[Insurance Category Code]],5, AN_TME22[[#All],[Advanced Network/Insurance Carrier Org ID]],B259),2), "TRUE", ROUND(F259-SUMIFS(AN_TME22[[#All],[TOTAL Non-Truncated Unadjusted Claims Expenses]], AN_TME22[[#All],[Insurance Category Code]],5, AN_TME22[[#All],[Advanced Network/Insurance Carrier Org ID]],B259), 2))</f>
        <v>TRUE</v>
      </c>
      <c r="L259" s="295" t="str">
        <f>IF(G259=ROUND(SUMIFS(AN_TME22[[#All],[TOTAL Truncated Unadjusted Claims Expenses (A21 -A19)]], AN_TME22[[#All],[Insurance Category Code]],5, AN_TME22[[#All],[Advanced Network/Insurance Carrier Org ID]],B259),2), "TRUE", ROUND(G259-SUMIFS(AN_TME22[[#All],[TOTAL Truncated Unadjusted Claims Expenses (A21 -A19)]], AN_TME22[[#All],[Insurance Category Code]],5, AN_TME22[[#All],[Advanced Network/Insurance Carrier Org ID]],B259),2))</f>
        <v>TRUE</v>
      </c>
      <c r="M259" s="461" t="str">
        <f t="shared" si="23"/>
        <v>TRUE</v>
      </c>
      <c r="N259" s="282" t="b">
        <f>ROUND(SUMIFS(AN_TME22[[#All],[TOTAL Non-Truncated Unadjusted Claims Expenses]], AN_TME22[[#All],[Insurance Category Code]],5, AN_TME22[[#All],[Advanced Network/Insurance Carrier Org ID]],B259),2)&gt;=ROUND(SUMIFS(AN_TME22[[#All],[TOTAL Truncated Unadjusted Claims Expenses (A21 -A19)]], AN_TME22[[#All],[Insurance Category Code]],5, AN_TME22[[#All],[Advanced Network/Insurance Carrier Org ID]],B259),2)</f>
        <v>1</v>
      </c>
      <c r="O259" s="295" t="b">
        <f>ROUND(SUMIFS(AN_TME22[[#All],[TOTAL Truncated Unadjusted Claims Expenses (A21 -A19)]], AN_TME22[[#All],[Insurance Category Code]],5, AN_TME22[[#All],[Advanced Network/Insurance Carrier Org ID]],B259)+SUMIFS(AN_TME22[[#All],[Total Claims Excluded because of Truncation]], AN_TME22[[#All],[Insurance Category Code]],5, AN_TME22[[#All],[Advanced Network/Insurance Carrier Org ID]],B259),2)=ROUND(SUMIFS(AN_TME22[[#All],[TOTAL Non-Truncated Unadjusted Claims Expenses]], AN_TME22[[#All],[Insurance Category Code]],5, AN_TME22[[#All],[Advanced Network/Insurance Carrier Org ID]],B259),2)</f>
        <v>1</v>
      </c>
      <c r="Q259" s="236">
        <v>124</v>
      </c>
      <c r="R259" s="463">
        <f>ROUND(SUMIFS(Age_Sex23[[#All],[Total Member Months by Age/Sex Band]], Age_Sex23[[#All],[Advanced Network ID]], $Q259, Age_Sex23[[#All],[Insurance Category Code]],5),2)</f>
        <v>0</v>
      </c>
      <c r="S259" s="268">
        <f>ROUND(SUMIFS(Age_Sex23[[#All],[Total Dollars Excluded from Spending After Applying Truncation at the Member Level]], Age_Sex23[[#All],[Advanced Network ID]], $B259, Age_Sex23[[#All],[Insurance Category Code]],5),2)</f>
        <v>0</v>
      </c>
      <c r="T259" s="229">
        <f>ROUND(SUMIFS(Age_Sex23[[#All],[Count of Members whose Spending was Truncated]], Age_Sex23[[#All],[Advanced Network ID]], $B259, Age_Sex23[[#All],[Insurance Category Code]],5),2)</f>
        <v>0</v>
      </c>
      <c r="U259" s="230">
        <f>ROUND(SUMIFS(Age_Sex23[[#All],[Total Spending before Truncation is Applied]], Age_Sex23[[#All],[Advanced Network ID]], $B259, Age_Sex23[[#All],[Insurance Category Code]],5), 2)</f>
        <v>0</v>
      </c>
      <c r="V259" s="232">
        <f>ROUND(SUMIFS(Age_Sex23[[#All],[Total Spending After Applying Truncation at the Member Level]], Age_Sex23[[#All],[Advanced Network ID]], $B259, Age_Sex23[[#All],[Insurance Category Code]],5),2)</f>
        <v>0</v>
      </c>
      <c r="W259" s="416" t="str">
        <f>IF(R259=ROUND(SUMIFS(AN_TME23[[#All],[Member Months]], AN_TME23[[#All],[Insurance Category Code]],5, AN_TME23[[#All],[Advanced Network/Insurance Carrier Org ID]],Q259),2), "TRUE", ROUND(R259-SUMIFS(AN_TME23[[#All],[Member Months]], AN_TME23[[#All],[Insurance Category Code]],5, AN_TME23[[#All],[Advanced Network/Insurance Carrier Org ID]],Q259),2))</f>
        <v>TRUE</v>
      </c>
      <c r="X259" s="280" t="str">
        <f>IF(S259=ROUND(SUMIFS(AN_TME23[[#All],[Total Claims Excluded because of Truncation]], AN_TME23[[#All],[Insurance Category Code]],5, AN_TME23[[#All],[Advanced Network/Insurance Carrier Org ID]],Q259),2), "TRUE", ROUND(S259-SUMIFS(AN_TME23[[#All],[Total Claims Excluded because of Truncation]], AN_TME23[[#All],[Insurance Category Code]],5, AN_TME23[[#All],[Advanced Network/Insurance Carrier Org ID]],Q259),2))</f>
        <v>TRUE</v>
      </c>
      <c r="Y259" s="281" t="str">
        <f>IF(T259=ROUND(SUMIFS(AN_TME23[[#All],[Count of Members with Claims Truncated]], AN_TME23[[#All],[Insurance Category Code]],5, AN_TME23[[#All],[Advanced Network/Insurance Carrier Org ID]],Q259),2), "TRUE", ROUND(T259-SUMIFS(AN_TME23[[#All],[Count of Members with Claims Truncated]], AN_TME23[[#All],[Insurance Category Code]],5, AN_TME23[[#All],[Advanced Network/Insurance Carrier Org ID]],Q259),2))</f>
        <v>TRUE</v>
      </c>
      <c r="Z259" s="282" t="str">
        <f>IF(U259=ROUND(SUMIFS(AN_TME23[[#All],[TOTAL Non-Truncated Unadjusted Claims Expenses]], AN_TME23[[#All],[Insurance Category Code]],5, AN_TME23[[#All],[Advanced Network/Insurance Carrier Org ID]],Q259),2), "TRUE", ROUND(U259-SUMIFS(AN_TME23[[#All],[TOTAL Non-Truncated Unadjusted Claims Expenses]], AN_TME23[[#All],[Insurance Category Code]],5, AN_TME23[[#All],[Advanced Network/Insurance Carrier Org ID]],Q259),2))</f>
        <v>TRUE</v>
      </c>
      <c r="AA259" s="295" t="str">
        <f>IF(V259=ROUND(SUMIFS(AN_TME23[[#All],[TOTAL Truncated Unadjusted Claims Expenses (A21 -A19)]], AN_TME23[[#All],[Insurance Category Code]],5, AN_TME23[[#All],[Advanced Network/Insurance Carrier Org ID]],Q259),2), "TRUE", ROUND(V259-SUMIFS(AN_TME23[[#All],[TOTAL Truncated Unadjusted Claims Expenses (A21 -A19)]], AN_TME23[[#All],[Insurance Category Code]],5, AN_TME23[[#All],[Advanced Network/Insurance Carrier Org ID]],Q259),2))</f>
        <v>TRUE</v>
      </c>
      <c r="AB259" s="461" t="str">
        <f t="shared" si="26"/>
        <v>TRUE</v>
      </c>
      <c r="AC259" s="282" t="b">
        <f>ROUND(SUMIFS(AN_TME23[[#All],[TOTAL Non-Truncated Unadjusted Claims Expenses]], AN_TME23[[#All],[Insurance Category Code]],5, AN_TME23[[#All],[Advanced Network/Insurance Carrier Org ID]],Q259),2)&gt;=ROUND(SUMIFS(AN_TME23[[#All],[TOTAL Truncated Unadjusted Claims Expenses (A21 -A19)]], AN_TME23[[#All],[Insurance Category Code]],5, AN_TME23[[#All],[Advanced Network/Insurance Carrier Org ID]],Q259),2)</f>
        <v>1</v>
      </c>
      <c r="AD259" s="295" t="b">
        <f>ROUND(SUMIFS(AN_TME23[[#All],[TOTAL Truncated Unadjusted Claims Expenses (A21 -A19)]], AN_TME23[[#All],[Insurance Category Code]],5, AN_TME23[[#All],[Advanced Network/Insurance Carrier Org ID]],Q259)+SUMIFS(AN_TME23[[#All],[Total Claims Excluded because of Truncation]], AN_TME23[[#All],[Insurance Category Code]],5, AN_TME23[[#All],[Advanced Network/Insurance Carrier Org ID]],Q259),2)=ROUND(SUMIFS(AN_TME23[[#All],[TOTAL Non-Truncated Unadjusted Claims Expenses]], AN_TME23[[#All],[Insurance Category Code]],5, AN_TME23[[#All],[Advanced Network/Insurance Carrier Org ID]],Q259),2)</f>
        <v>1</v>
      </c>
      <c r="AF259" s="323" t="str">
        <f t="shared" si="25"/>
        <v>NA</v>
      </c>
    </row>
    <row r="260" spans="2:32" outlineLevel="1" x14ac:dyDescent="0.25">
      <c r="B260" s="236">
        <v>125</v>
      </c>
      <c r="C260" s="463">
        <f>ROUND(SUMIFS(Age_Sex22[[#All],[Total Member Months by Age/Sex Band]], Age_Sex22[[#All],[Advanced Network ID]], $B260, Age_Sex22[[#All],[Insurance Category Code]],5),2)</f>
        <v>0</v>
      </c>
      <c r="D260" s="268">
        <f>ROUND(SUMIFS(Age_Sex22[[#All],[Total Dollars Excluded from Spending After Applying Truncation at the Member Level]], Age_Sex22[[#All],[Advanced Network ID]], $B260, Age_Sex22[[#All],[Insurance Category Code]],5),2)</f>
        <v>0</v>
      </c>
      <c r="E260" s="229">
        <f>ROUND(SUMIFS(Age_Sex22[[#All],[Count of Members whose Spending was Truncated]], Age_Sex22[[#All],[Advanced Network ID]], $B260, Age_Sex22[[#All],[Insurance Category Code]],5),2)</f>
        <v>0</v>
      </c>
      <c r="F260" s="230">
        <f>ROUND(SUMIFS(Age_Sex22[[#All],[Total Spending before Truncation is Applied]], Age_Sex22[[#All],[Advanced Network ID]], $B260, Age_Sex22[[#All],[Insurance Category Code]],5),2)</f>
        <v>0</v>
      </c>
      <c r="G260" s="232">
        <f>ROUND(SUMIFS(Age_Sex22[[#All],[Total Spending After Applying Truncation at the Member Level]], Age_Sex22[[#All],[Advanced Network ID]], $B260, Age_Sex22[[#All],[Insurance Category Code]],5), 2)</f>
        <v>0</v>
      </c>
      <c r="H260" s="416" t="str">
        <f>IF(C260=ROUND(SUMIFS(AN_TME22[[#All],[Member Months]], AN_TME22[[#All],[Insurance Category Code]],5, AN_TME22[[#All],[Advanced Network/Insurance Carrier Org ID]],B260),2), "TRUE", ROUND(C260-SUMIFS(AN_TME22[[#All],[Member Months]], AN_TME22[[#All],[Insurance Category Code]],5, AN_TME22[[#All],[Advanced Network/Insurance Carrier Org ID]],B260),2))</f>
        <v>TRUE</v>
      </c>
      <c r="I260" s="280" t="str">
        <f>IF(D260=ROUND(SUMIFS(AN_TME22[[#All],[Total Claims Excluded because of Truncation]], AN_TME22[[#All],[Insurance Category Code]],5, AN_TME22[[#All],[Advanced Network/Insurance Carrier Org ID]],B260),2), "TRUE", ROUND(D260-SUMIFS(AN_TME22[[#All],[Total Claims Excluded because of Truncation]], AN_TME22[[#All],[Insurance Category Code]],5, AN_TME22[[#All],[Advanced Network/Insurance Carrier Org ID]],B260), 2))</f>
        <v>TRUE</v>
      </c>
      <c r="J260" s="281" t="str">
        <f>IF(E260=ROUND(SUMIFS(AN_TME22[[#All],[Count of Members with Claims Truncated]], AN_TME22[[#All],[Insurance Category Code]],5, AN_TME22[[#All],[Advanced Network/Insurance Carrier Org ID]],B260),2), "TRUE", ROUND(E260-SUMIFS(AN_TME22[[#All],[Count of Members with Claims Truncated]], AN_TME22[[#All],[Insurance Category Code]],5, AN_TME22[[#All],[Advanced Network/Insurance Carrier Org ID]],B260),2))</f>
        <v>TRUE</v>
      </c>
      <c r="K260" s="282" t="str">
        <f>IF(F260=ROUND(SUMIFS(AN_TME22[[#All],[TOTAL Non-Truncated Unadjusted Claims Expenses]], AN_TME22[[#All],[Insurance Category Code]],5, AN_TME22[[#All],[Advanced Network/Insurance Carrier Org ID]],B260),2), "TRUE", ROUND(F260-SUMIFS(AN_TME22[[#All],[TOTAL Non-Truncated Unadjusted Claims Expenses]], AN_TME22[[#All],[Insurance Category Code]],5, AN_TME22[[#All],[Advanced Network/Insurance Carrier Org ID]],B260), 2))</f>
        <v>TRUE</v>
      </c>
      <c r="L260" s="295" t="str">
        <f>IF(G260=ROUND(SUMIFS(AN_TME22[[#All],[TOTAL Truncated Unadjusted Claims Expenses (A21 -A19)]], AN_TME22[[#All],[Insurance Category Code]],5, AN_TME22[[#All],[Advanced Network/Insurance Carrier Org ID]],B260),2), "TRUE", ROUND(G260-SUMIFS(AN_TME22[[#All],[TOTAL Truncated Unadjusted Claims Expenses (A21 -A19)]], AN_TME22[[#All],[Insurance Category Code]],5, AN_TME22[[#All],[Advanced Network/Insurance Carrier Org ID]],B260),2))</f>
        <v>TRUE</v>
      </c>
      <c r="M260" s="461" t="str">
        <f t="shared" si="23"/>
        <v>TRUE</v>
      </c>
      <c r="N260" s="282" t="b">
        <f>ROUND(SUMIFS(AN_TME22[[#All],[TOTAL Non-Truncated Unadjusted Claims Expenses]], AN_TME22[[#All],[Insurance Category Code]],5, AN_TME22[[#All],[Advanced Network/Insurance Carrier Org ID]],B260),2)&gt;=ROUND(SUMIFS(AN_TME22[[#All],[TOTAL Truncated Unadjusted Claims Expenses (A21 -A19)]], AN_TME22[[#All],[Insurance Category Code]],5, AN_TME22[[#All],[Advanced Network/Insurance Carrier Org ID]],B260),2)</f>
        <v>1</v>
      </c>
      <c r="O260" s="295" t="b">
        <f>ROUND(SUMIFS(AN_TME22[[#All],[TOTAL Truncated Unadjusted Claims Expenses (A21 -A19)]], AN_TME22[[#All],[Insurance Category Code]],5, AN_TME22[[#All],[Advanced Network/Insurance Carrier Org ID]],B260)+SUMIFS(AN_TME22[[#All],[Total Claims Excluded because of Truncation]], AN_TME22[[#All],[Insurance Category Code]],5, AN_TME22[[#All],[Advanced Network/Insurance Carrier Org ID]],B260),2)=ROUND(SUMIFS(AN_TME22[[#All],[TOTAL Non-Truncated Unadjusted Claims Expenses]], AN_TME22[[#All],[Insurance Category Code]],5, AN_TME22[[#All],[Advanced Network/Insurance Carrier Org ID]],B260),2)</f>
        <v>1</v>
      </c>
      <c r="Q260" s="236">
        <v>125</v>
      </c>
      <c r="R260" s="463">
        <f>ROUND(SUMIFS(Age_Sex23[[#All],[Total Member Months by Age/Sex Band]], Age_Sex23[[#All],[Advanced Network ID]], $Q260, Age_Sex23[[#All],[Insurance Category Code]],5),2)</f>
        <v>0</v>
      </c>
      <c r="S260" s="268">
        <f>ROUND(SUMIFS(Age_Sex23[[#All],[Total Dollars Excluded from Spending After Applying Truncation at the Member Level]], Age_Sex23[[#All],[Advanced Network ID]], $B260, Age_Sex23[[#All],[Insurance Category Code]],5),2)</f>
        <v>0</v>
      </c>
      <c r="T260" s="229">
        <f>ROUND(SUMIFS(Age_Sex23[[#All],[Count of Members whose Spending was Truncated]], Age_Sex23[[#All],[Advanced Network ID]], $B260, Age_Sex23[[#All],[Insurance Category Code]],5),2)</f>
        <v>0</v>
      </c>
      <c r="U260" s="230">
        <f>ROUND(SUMIFS(Age_Sex23[[#All],[Total Spending before Truncation is Applied]], Age_Sex23[[#All],[Advanced Network ID]], $B260, Age_Sex23[[#All],[Insurance Category Code]],5), 2)</f>
        <v>0</v>
      </c>
      <c r="V260" s="232">
        <f>ROUND(SUMIFS(Age_Sex23[[#All],[Total Spending After Applying Truncation at the Member Level]], Age_Sex23[[#All],[Advanced Network ID]], $B260, Age_Sex23[[#All],[Insurance Category Code]],5),2)</f>
        <v>0</v>
      </c>
      <c r="W260" s="416" t="str">
        <f>IF(R260=ROUND(SUMIFS(AN_TME23[[#All],[Member Months]], AN_TME23[[#All],[Insurance Category Code]],5, AN_TME23[[#All],[Advanced Network/Insurance Carrier Org ID]],Q260),2), "TRUE", ROUND(R260-SUMIFS(AN_TME23[[#All],[Member Months]], AN_TME23[[#All],[Insurance Category Code]],5, AN_TME23[[#All],[Advanced Network/Insurance Carrier Org ID]],Q260),2))</f>
        <v>TRUE</v>
      </c>
      <c r="X260" s="280" t="str">
        <f>IF(S260=ROUND(SUMIFS(AN_TME23[[#All],[Total Claims Excluded because of Truncation]], AN_TME23[[#All],[Insurance Category Code]],5, AN_TME23[[#All],[Advanced Network/Insurance Carrier Org ID]],Q260),2), "TRUE", ROUND(S260-SUMIFS(AN_TME23[[#All],[Total Claims Excluded because of Truncation]], AN_TME23[[#All],[Insurance Category Code]],5, AN_TME23[[#All],[Advanced Network/Insurance Carrier Org ID]],Q260),2))</f>
        <v>TRUE</v>
      </c>
      <c r="Y260" s="281" t="str">
        <f>IF(T260=ROUND(SUMIFS(AN_TME23[[#All],[Count of Members with Claims Truncated]], AN_TME23[[#All],[Insurance Category Code]],5, AN_TME23[[#All],[Advanced Network/Insurance Carrier Org ID]],Q260),2), "TRUE", ROUND(T260-SUMIFS(AN_TME23[[#All],[Count of Members with Claims Truncated]], AN_TME23[[#All],[Insurance Category Code]],5, AN_TME23[[#All],[Advanced Network/Insurance Carrier Org ID]],Q260),2))</f>
        <v>TRUE</v>
      </c>
      <c r="Z260" s="282" t="str">
        <f>IF(U260=ROUND(SUMIFS(AN_TME23[[#All],[TOTAL Non-Truncated Unadjusted Claims Expenses]], AN_TME23[[#All],[Insurance Category Code]],5, AN_TME23[[#All],[Advanced Network/Insurance Carrier Org ID]],Q260),2), "TRUE", ROUND(U260-SUMIFS(AN_TME23[[#All],[TOTAL Non-Truncated Unadjusted Claims Expenses]], AN_TME23[[#All],[Insurance Category Code]],5, AN_TME23[[#All],[Advanced Network/Insurance Carrier Org ID]],Q260),2))</f>
        <v>TRUE</v>
      </c>
      <c r="AA260" s="295" t="str">
        <f>IF(V260=ROUND(SUMIFS(AN_TME23[[#All],[TOTAL Truncated Unadjusted Claims Expenses (A21 -A19)]], AN_TME23[[#All],[Insurance Category Code]],5, AN_TME23[[#All],[Advanced Network/Insurance Carrier Org ID]],Q260),2), "TRUE", ROUND(V260-SUMIFS(AN_TME23[[#All],[TOTAL Truncated Unadjusted Claims Expenses (A21 -A19)]], AN_TME23[[#All],[Insurance Category Code]],5, AN_TME23[[#All],[Advanced Network/Insurance Carrier Org ID]],Q260),2))</f>
        <v>TRUE</v>
      </c>
      <c r="AB260" s="461" t="str">
        <f t="shared" si="26"/>
        <v>TRUE</v>
      </c>
      <c r="AC260" s="282" t="b">
        <f>ROUND(SUMIFS(AN_TME23[[#All],[TOTAL Non-Truncated Unadjusted Claims Expenses]], AN_TME23[[#All],[Insurance Category Code]],5, AN_TME23[[#All],[Advanced Network/Insurance Carrier Org ID]],Q260),2)&gt;=ROUND(SUMIFS(AN_TME23[[#All],[TOTAL Truncated Unadjusted Claims Expenses (A21 -A19)]], AN_TME23[[#All],[Insurance Category Code]],5, AN_TME23[[#All],[Advanced Network/Insurance Carrier Org ID]],Q260),2)</f>
        <v>1</v>
      </c>
      <c r="AD260" s="295" t="b">
        <f>ROUND(SUMIFS(AN_TME23[[#All],[TOTAL Truncated Unadjusted Claims Expenses (A21 -A19)]], AN_TME23[[#All],[Insurance Category Code]],5, AN_TME23[[#All],[Advanced Network/Insurance Carrier Org ID]],Q260)+SUMIFS(AN_TME23[[#All],[Total Claims Excluded because of Truncation]], AN_TME23[[#All],[Insurance Category Code]],5, AN_TME23[[#All],[Advanced Network/Insurance Carrier Org ID]],Q260),2)=ROUND(SUMIFS(AN_TME23[[#All],[TOTAL Non-Truncated Unadjusted Claims Expenses]], AN_TME23[[#All],[Insurance Category Code]],5, AN_TME23[[#All],[Advanced Network/Insurance Carrier Org ID]],Q260),2)</f>
        <v>1</v>
      </c>
      <c r="AF260" s="323" t="str">
        <f t="shared" si="25"/>
        <v>NA</v>
      </c>
    </row>
    <row r="261" spans="2:32" outlineLevel="1" x14ac:dyDescent="0.25">
      <c r="B261" s="236">
        <v>126</v>
      </c>
      <c r="C261" s="463">
        <f>ROUND(SUMIFS(Age_Sex22[[#All],[Total Member Months by Age/Sex Band]], Age_Sex22[[#All],[Advanced Network ID]], $B261, Age_Sex22[[#All],[Insurance Category Code]],5),2)</f>
        <v>0</v>
      </c>
      <c r="D261" s="268">
        <f>ROUND(SUMIFS(Age_Sex22[[#All],[Total Dollars Excluded from Spending After Applying Truncation at the Member Level]], Age_Sex22[[#All],[Advanced Network ID]], $B261, Age_Sex22[[#All],[Insurance Category Code]],5),2)</f>
        <v>0</v>
      </c>
      <c r="E261" s="229">
        <f>ROUND(SUMIFS(Age_Sex22[[#All],[Count of Members whose Spending was Truncated]], Age_Sex22[[#All],[Advanced Network ID]], $B261, Age_Sex22[[#All],[Insurance Category Code]],5),2)</f>
        <v>0</v>
      </c>
      <c r="F261" s="230">
        <f>ROUND(SUMIFS(Age_Sex22[[#All],[Total Spending before Truncation is Applied]], Age_Sex22[[#All],[Advanced Network ID]], $B261, Age_Sex22[[#All],[Insurance Category Code]],5),2)</f>
        <v>0</v>
      </c>
      <c r="G261" s="232">
        <f>ROUND(SUMIFS(Age_Sex22[[#All],[Total Spending After Applying Truncation at the Member Level]], Age_Sex22[[#All],[Advanced Network ID]], $B261, Age_Sex22[[#All],[Insurance Category Code]],5), 2)</f>
        <v>0</v>
      </c>
      <c r="H261" s="416" t="str">
        <f>IF(C261=ROUND(SUMIFS(AN_TME22[[#All],[Member Months]], AN_TME22[[#All],[Insurance Category Code]],5, AN_TME22[[#All],[Advanced Network/Insurance Carrier Org ID]],B261),2), "TRUE", ROUND(C261-SUMIFS(AN_TME22[[#All],[Member Months]], AN_TME22[[#All],[Insurance Category Code]],5, AN_TME22[[#All],[Advanced Network/Insurance Carrier Org ID]],B261),2))</f>
        <v>TRUE</v>
      </c>
      <c r="I261" s="280" t="str">
        <f>IF(D261=ROUND(SUMIFS(AN_TME22[[#All],[Total Claims Excluded because of Truncation]], AN_TME22[[#All],[Insurance Category Code]],5, AN_TME22[[#All],[Advanced Network/Insurance Carrier Org ID]],B261),2), "TRUE", ROUND(D261-SUMIFS(AN_TME22[[#All],[Total Claims Excluded because of Truncation]], AN_TME22[[#All],[Insurance Category Code]],5, AN_TME22[[#All],[Advanced Network/Insurance Carrier Org ID]],B261), 2))</f>
        <v>TRUE</v>
      </c>
      <c r="J261" s="281" t="str">
        <f>IF(E261=ROUND(SUMIFS(AN_TME22[[#All],[Count of Members with Claims Truncated]], AN_TME22[[#All],[Insurance Category Code]],5, AN_TME22[[#All],[Advanced Network/Insurance Carrier Org ID]],B261),2), "TRUE", ROUND(E261-SUMIFS(AN_TME22[[#All],[Count of Members with Claims Truncated]], AN_TME22[[#All],[Insurance Category Code]],5, AN_TME22[[#All],[Advanced Network/Insurance Carrier Org ID]],B261),2))</f>
        <v>TRUE</v>
      </c>
      <c r="K261" s="282" t="str">
        <f>IF(F261=ROUND(SUMIFS(AN_TME22[[#All],[TOTAL Non-Truncated Unadjusted Claims Expenses]], AN_TME22[[#All],[Insurance Category Code]],5, AN_TME22[[#All],[Advanced Network/Insurance Carrier Org ID]],B261),2), "TRUE", ROUND(F261-SUMIFS(AN_TME22[[#All],[TOTAL Non-Truncated Unadjusted Claims Expenses]], AN_TME22[[#All],[Insurance Category Code]],5, AN_TME22[[#All],[Advanced Network/Insurance Carrier Org ID]],B261), 2))</f>
        <v>TRUE</v>
      </c>
      <c r="L261" s="295" t="str">
        <f>IF(G261=ROUND(SUMIFS(AN_TME22[[#All],[TOTAL Truncated Unadjusted Claims Expenses (A21 -A19)]], AN_TME22[[#All],[Insurance Category Code]],5, AN_TME22[[#All],[Advanced Network/Insurance Carrier Org ID]],B261),2), "TRUE", ROUND(G261-SUMIFS(AN_TME22[[#All],[TOTAL Truncated Unadjusted Claims Expenses (A21 -A19)]], AN_TME22[[#All],[Insurance Category Code]],5, AN_TME22[[#All],[Advanced Network/Insurance Carrier Org ID]],B261),2))</f>
        <v>TRUE</v>
      </c>
      <c r="M261" s="461" t="str">
        <f t="shared" si="23"/>
        <v>TRUE</v>
      </c>
      <c r="N261" s="282" t="b">
        <f>ROUND(SUMIFS(AN_TME22[[#All],[TOTAL Non-Truncated Unadjusted Claims Expenses]], AN_TME22[[#All],[Insurance Category Code]],5, AN_TME22[[#All],[Advanced Network/Insurance Carrier Org ID]],B261),2)&gt;=ROUND(SUMIFS(AN_TME22[[#All],[TOTAL Truncated Unadjusted Claims Expenses (A21 -A19)]], AN_TME22[[#All],[Insurance Category Code]],5, AN_TME22[[#All],[Advanced Network/Insurance Carrier Org ID]],B261),2)</f>
        <v>1</v>
      </c>
      <c r="O261" s="295" t="b">
        <f>ROUND(SUMIFS(AN_TME22[[#All],[TOTAL Truncated Unadjusted Claims Expenses (A21 -A19)]], AN_TME22[[#All],[Insurance Category Code]],5, AN_TME22[[#All],[Advanced Network/Insurance Carrier Org ID]],B261)+SUMIFS(AN_TME22[[#All],[Total Claims Excluded because of Truncation]], AN_TME22[[#All],[Insurance Category Code]],5, AN_TME22[[#All],[Advanced Network/Insurance Carrier Org ID]],B261),2)=ROUND(SUMIFS(AN_TME22[[#All],[TOTAL Non-Truncated Unadjusted Claims Expenses]], AN_TME22[[#All],[Insurance Category Code]],5, AN_TME22[[#All],[Advanced Network/Insurance Carrier Org ID]],B261),2)</f>
        <v>1</v>
      </c>
      <c r="Q261" s="236">
        <v>126</v>
      </c>
      <c r="R261" s="463">
        <f>ROUND(SUMIFS(Age_Sex23[[#All],[Total Member Months by Age/Sex Band]], Age_Sex23[[#All],[Advanced Network ID]], $Q261, Age_Sex23[[#All],[Insurance Category Code]],5),2)</f>
        <v>0</v>
      </c>
      <c r="S261" s="268">
        <f>ROUND(SUMIFS(Age_Sex23[[#All],[Total Dollars Excluded from Spending After Applying Truncation at the Member Level]], Age_Sex23[[#All],[Advanced Network ID]], $B261, Age_Sex23[[#All],[Insurance Category Code]],5),2)</f>
        <v>0</v>
      </c>
      <c r="T261" s="229">
        <f>ROUND(SUMIFS(Age_Sex23[[#All],[Count of Members whose Spending was Truncated]], Age_Sex23[[#All],[Advanced Network ID]], $B261, Age_Sex23[[#All],[Insurance Category Code]],5),2)</f>
        <v>0</v>
      </c>
      <c r="U261" s="230">
        <f>ROUND(SUMIFS(Age_Sex23[[#All],[Total Spending before Truncation is Applied]], Age_Sex23[[#All],[Advanced Network ID]], $B261, Age_Sex23[[#All],[Insurance Category Code]],5), 2)</f>
        <v>0</v>
      </c>
      <c r="V261" s="232">
        <f>ROUND(SUMIFS(Age_Sex23[[#All],[Total Spending After Applying Truncation at the Member Level]], Age_Sex23[[#All],[Advanced Network ID]], $B261, Age_Sex23[[#All],[Insurance Category Code]],5),2)</f>
        <v>0</v>
      </c>
      <c r="W261" s="416" t="str">
        <f>IF(R261=ROUND(SUMIFS(AN_TME23[[#All],[Member Months]], AN_TME23[[#All],[Insurance Category Code]],5, AN_TME23[[#All],[Advanced Network/Insurance Carrier Org ID]],Q261),2), "TRUE", ROUND(R261-SUMIFS(AN_TME23[[#All],[Member Months]], AN_TME23[[#All],[Insurance Category Code]],5, AN_TME23[[#All],[Advanced Network/Insurance Carrier Org ID]],Q261),2))</f>
        <v>TRUE</v>
      </c>
      <c r="X261" s="280" t="str">
        <f>IF(S261=ROUND(SUMIFS(AN_TME23[[#All],[Total Claims Excluded because of Truncation]], AN_TME23[[#All],[Insurance Category Code]],5, AN_TME23[[#All],[Advanced Network/Insurance Carrier Org ID]],Q261),2), "TRUE", ROUND(S261-SUMIFS(AN_TME23[[#All],[Total Claims Excluded because of Truncation]], AN_TME23[[#All],[Insurance Category Code]],5, AN_TME23[[#All],[Advanced Network/Insurance Carrier Org ID]],Q261),2))</f>
        <v>TRUE</v>
      </c>
      <c r="Y261" s="281" t="str">
        <f>IF(T261=ROUND(SUMIFS(AN_TME23[[#All],[Count of Members with Claims Truncated]], AN_TME23[[#All],[Insurance Category Code]],5, AN_TME23[[#All],[Advanced Network/Insurance Carrier Org ID]],Q261),2), "TRUE", ROUND(T261-SUMIFS(AN_TME23[[#All],[Count of Members with Claims Truncated]], AN_TME23[[#All],[Insurance Category Code]],5, AN_TME23[[#All],[Advanced Network/Insurance Carrier Org ID]],Q261),2))</f>
        <v>TRUE</v>
      </c>
      <c r="Z261" s="282" t="str">
        <f>IF(U261=ROUND(SUMIFS(AN_TME23[[#All],[TOTAL Non-Truncated Unadjusted Claims Expenses]], AN_TME23[[#All],[Insurance Category Code]],5, AN_TME23[[#All],[Advanced Network/Insurance Carrier Org ID]],Q261),2), "TRUE", ROUND(U261-SUMIFS(AN_TME23[[#All],[TOTAL Non-Truncated Unadjusted Claims Expenses]], AN_TME23[[#All],[Insurance Category Code]],5, AN_TME23[[#All],[Advanced Network/Insurance Carrier Org ID]],Q261),2))</f>
        <v>TRUE</v>
      </c>
      <c r="AA261" s="295" t="str">
        <f>IF(V261=ROUND(SUMIFS(AN_TME23[[#All],[TOTAL Truncated Unadjusted Claims Expenses (A21 -A19)]], AN_TME23[[#All],[Insurance Category Code]],5, AN_TME23[[#All],[Advanced Network/Insurance Carrier Org ID]],Q261),2), "TRUE", ROUND(V261-SUMIFS(AN_TME23[[#All],[TOTAL Truncated Unadjusted Claims Expenses (A21 -A19)]], AN_TME23[[#All],[Insurance Category Code]],5, AN_TME23[[#All],[Advanced Network/Insurance Carrier Org ID]],Q261),2))</f>
        <v>TRUE</v>
      </c>
      <c r="AB261" s="461" t="str">
        <f t="shared" si="26"/>
        <v>TRUE</v>
      </c>
      <c r="AC261" s="282" t="b">
        <f>ROUND(SUMIFS(AN_TME23[[#All],[TOTAL Non-Truncated Unadjusted Claims Expenses]], AN_TME23[[#All],[Insurance Category Code]],5, AN_TME23[[#All],[Advanced Network/Insurance Carrier Org ID]],Q261),2)&gt;=ROUND(SUMIFS(AN_TME23[[#All],[TOTAL Truncated Unadjusted Claims Expenses (A21 -A19)]], AN_TME23[[#All],[Insurance Category Code]],5, AN_TME23[[#All],[Advanced Network/Insurance Carrier Org ID]],Q261),2)</f>
        <v>1</v>
      </c>
      <c r="AD261" s="295" t="b">
        <f>ROUND(SUMIFS(AN_TME23[[#All],[TOTAL Truncated Unadjusted Claims Expenses (A21 -A19)]], AN_TME23[[#All],[Insurance Category Code]],5, AN_TME23[[#All],[Advanced Network/Insurance Carrier Org ID]],Q261)+SUMIFS(AN_TME23[[#All],[Total Claims Excluded because of Truncation]], AN_TME23[[#All],[Insurance Category Code]],5, AN_TME23[[#All],[Advanced Network/Insurance Carrier Org ID]],Q261),2)=ROUND(SUMIFS(AN_TME23[[#All],[TOTAL Non-Truncated Unadjusted Claims Expenses]], AN_TME23[[#All],[Insurance Category Code]],5, AN_TME23[[#All],[Advanced Network/Insurance Carrier Org ID]],Q261),2)</f>
        <v>1</v>
      </c>
      <c r="AF261" s="323" t="str">
        <f t="shared" si="25"/>
        <v>NA</v>
      </c>
    </row>
    <row r="262" spans="2:32" outlineLevel="1" x14ac:dyDescent="0.25">
      <c r="B262" s="236">
        <v>127</v>
      </c>
      <c r="C262" s="463">
        <f>ROUND(SUMIFS(Age_Sex22[[#All],[Total Member Months by Age/Sex Band]], Age_Sex22[[#All],[Advanced Network ID]], $B262, Age_Sex22[[#All],[Insurance Category Code]],5),2)</f>
        <v>0</v>
      </c>
      <c r="D262" s="268">
        <f>ROUND(SUMIFS(Age_Sex22[[#All],[Total Dollars Excluded from Spending After Applying Truncation at the Member Level]], Age_Sex22[[#All],[Advanced Network ID]], $B262, Age_Sex22[[#All],[Insurance Category Code]],5),2)</f>
        <v>0</v>
      </c>
      <c r="E262" s="229">
        <f>ROUND(SUMIFS(Age_Sex22[[#All],[Count of Members whose Spending was Truncated]], Age_Sex22[[#All],[Advanced Network ID]], $B262, Age_Sex22[[#All],[Insurance Category Code]],5),2)</f>
        <v>0</v>
      </c>
      <c r="F262" s="230">
        <f>ROUND(SUMIFS(Age_Sex22[[#All],[Total Spending before Truncation is Applied]], Age_Sex22[[#All],[Advanced Network ID]], $B262, Age_Sex22[[#All],[Insurance Category Code]],5),2)</f>
        <v>0</v>
      </c>
      <c r="G262" s="232">
        <f>ROUND(SUMIFS(Age_Sex22[[#All],[Total Spending After Applying Truncation at the Member Level]], Age_Sex22[[#All],[Advanced Network ID]], $B262, Age_Sex22[[#All],[Insurance Category Code]],5), 2)</f>
        <v>0</v>
      </c>
      <c r="H262" s="416" t="str">
        <f>IF(C262=ROUND(SUMIFS(AN_TME22[[#All],[Member Months]], AN_TME22[[#All],[Insurance Category Code]],5, AN_TME22[[#All],[Advanced Network/Insurance Carrier Org ID]],B262),2), "TRUE", ROUND(C262-SUMIFS(AN_TME22[[#All],[Member Months]], AN_TME22[[#All],[Insurance Category Code]],5, AN_TME22[[#All],[Advanced Network/Insurance Carrier Org ID]],B262),2))</f>
        <v>TRUE</v>
      </c>
      <c r="I262" s="280" t="str">
        <f>IF(D262=ROUND(SUMIFS(AN_TME22[[#All],[Total Claims Excluded because of Truncation]], AN_TME22[[#All],[Insurance Category Code]],5, AN_TME22[[#All],[Advanced Network/Insurance Carrier Org ID]],B262),2), "TRUE", ROUND(D262-SUMIFS(AN_TME22[[#All],[Total Claims Excluded because of Truncation]], AN_TME22[[#All],[Insurance Category Code]],5, AN_TME22[[#All],[Advanced Network/Insurance Carrier Org ID]],B262), 2))</f>
        <v>TRUE</v>
      </c>
      <c r="J262" s="281" t="str">
        <f>IF(E262=ROUND(SUMIFS(AN_TME22[[#All],[Count of Members with Claims Truncated]], AN_TME22[[#All],[Insurance Category Code]],5, AN_TME22[[#All],[Advanced Network/Insurance Carrier Org ID]],B262),2), "TRUE", ROUND(E262-SUMIFS(AN_TME22[[#All],[Count of Members with Claims Truncated]], AN_TME22[[#All],[Insurance Category Code]],5, AN_TME22[[#All],[Advanced Network/Insurance Carrier Org ID]],B262),2))</f>
        <v>TRUE</v>
      </c>
      <c r="K262" s="282" t="str">
        <f>IF(F262=ROUND(SUMIFS(AN_TME22[[#All],[TOTAL Non-Truncated Unadjusted Claims Expenses]], AN_TME22[[#All],[Insurance Category Code]],5, AN_TME22[[#All],[Advanced Network/Insurance Carrier Org ID]],B262),2), "TRUE", ROUND(F262-SUMIFS(AN_TME22[[#All],[TOTAL Non-Truncated Unadjusted Claims Expenses]], AN_TME22[[#All],[Insurance Category Code]],5, AN_TME22[[#All],[Advanced Network/Insurance Carrier Org ID]],B262), 2))</f>
        <v>TRUE</v>
      </c>
      <c r="L262" s="295" t="str">
        <f>IF(G262=ROUND(SUMIFS(AN_TME22[[#All],[TOTAL Truncated Unadjusted Claims Expenses (A21 -A19)]], AN_TME22[[#All],[Insurance Category Code]],5, AN_TME22[[#All],[Advanced Network/Insurance Carrier Org ID]],B262),2), "TRUE", ROUND(G262-SUMIFS(AN_TME22[[#All],[TOTAL Truncated Unadjusted Claims Expenses (A21 -A19)]], AN_TME22[[#All],[Insurance Category Code]],5, AN_TME22[[#All],[Advanced Network/Insurance Carrier Org ID]],B262),2))</f>
        <v>TRUE</v>
      </c>
      <c r="M262" s="461" t="str">
        <f t="shared" si="23"/>
        <v>TRUE</v>
      </c>
      <c r="N262" s="282" t="b">
        <f>ROUND(SUMIFS(AN_TME22[[#All],[TOTAL Non-Truncated Unadjusted Claims Expenses]], AN_TME22[[#All],[Insurance Category Code]],5, AN_TME22[[#All],[Advanced Network/Insurance Carrier Org ID]],B262),2)&gt;=ROUND(SUMIFS(AN_TME22[[#All],[TOTAL Truncated Unadjusted Claims Expenses (A21 -A19)]], AN_TME22[[#All],[Insurance Category Code]],5, AN_TME22[[#All],[Advanced Network/Insurance Carrier Org ID]],B262),2)</f>
        <v>1</v>
      </c>
      <c r="O262" s="295" t="b">
        <f>ROUND(SUMIFS(AN_TME22[[#All],[TOTAL Truncated Unadjusted Claims Expenses (A21 -A19)]], AN_TME22[[#All],[Insurance Category Code]],5, AN_TME22[[#All],[Advanced Network/Insurance Carrier Org ID]],B262)+SUMIFS(AN_TME22[[#All],[Total Claims Excluded because of Truncation]], AN_TME22[[#All],[Insurance Category Code]],5, AN_TME22[[#All],[Advanced Network/Insurance Carrier Org ID]],B262),2)=ROUND(SUMIFS(AN_TME22[[#All],[TOTAL Non-Truncated Unadjusted Claims Expenses]], AN_TME22[[#All],[Insurance Category Code]],5, AN_TME22[[#All],[Advanced Network/Insurance Carrier Org ID]],B262),2)</f>
        <v>1</v>
      </c>
      <c r="Q262" s="236">
        <v>127</v>
      </c>
      <c r="R262" s="463">
        <f>ROUND(SUMIFS(Age_Sex23[[#All],[Total Member Months by Age/Sex Band]], Age_Sex23[[#All],[Advanced Network ID]], $Q262, Age_Sex23[[#All],[Insurance Category Code]],5),2)</f>
        <v>0</v>
      </c>
      <c r="S262" s="268">
        <f>ROUND(SUMIFS(Age_Sex23[[#All],[Total Dollars Excluded from Spending After Applying Truncation at the Member Level]], Age_Sex23[[#All],[Advanced Network ID]], $B262, Age_Sex23[[#All],[Insurance Category Code]],5),2)</f>
        <v>0</v>
      </c>
      <c r="T262" s="229">
        <f>ROUND(SUMIFS(Age_Sex23[[#All],[Count of Members whose Spending was Truncated]], Age_Sex23[[#All],[Advanced Network ID]], $B262, Age_Sex23[[#All],[Insurance Category Code]],5),2)</f>
        <v>0</v>
      </c>
      <c r="U262" s="230">
        <f>ROUND(SUMIFS(Age_Sex23[[#All],[Total Spending before Truncation is Applied]], Age_Sex23[[#All],[Advanced Network ID]], $B262, Age_Sex23[[#All],[Insurance Category Code]],5), 2)</f>
        <v>0</v>
      </c>
      <c r="V262" s="232">
        <f>ROUND(SUMIFS(Age_Sex23[[#All],[Total Spending After Applying Truncation at the Member Level]], Age_Sex23[[#All],[Advanced Network ID]], $B262, Age_Sex23[[#All],[Insurance Category Code]],5),2)</f>
        <v>0</v>
      </c>
      <c r="W262" s="416" t="str">
        <f>IF(R262=ROUND(SUMIFS(AN_TME23[[#All],[Member Months]], AN_TME23[[#All],[Insurance Category Code]],5, AN_TME23[[#All],[Advanced Network/Insurance Carrier Org ID]],Q262),2), "TRUE", ROUND(R262-SUMIFS(AN_TME23[[#All],[Member Months]], AN_TME23[[#All],[Insurance Category Code]],5, AN_TME23[[#All],[Advanced Network/Insurance Carrier Org ID]],Q262),2))</f>
        <v>TRUE</v>
      </c>
      <c r="X262" s="280" t="str">
        <f>IF(S262=ROUND(SUMIFS(AN_TME23[[#All],[Total Claims Excluded because of Truncation]], AN_TME23[[#All],[Insurance Category Code]],5, AN_TME23[[#All],[Advanced Network/Insurance Carrier Org ID]],Q262),2), "TRUE", ROUND(S262-SUMIFS(AN_TME23[[#All],[Total Claims Excluded because of Truncation]], AN_TME23[[#All],[Insurance Category Code]],5, AN_TME23[[#All],[Advanced Network/Insurance Carrier Org ID]],Q262),2))</f>
        <v>TRUE</v>
      </c>
      <c r="Y262" s="281" t="str">
        <f>IF(T262=ROUND(SUMIFS(AN_TME23[[#All],[Count of Members with Claims Truncated]], AN_TME23[[#All],[Insurance Category Code]],5, AN_TME23[[#All],[Advanced Network/Insurance Carrier Org ID]],Q262),2), "TRUE", ROUND(T262-SUMIFS(AN_TME23[[#All],[Count of Members with Claims Truncated]], AN_TME23[[#All],[Insurance Category Code]],5, AN_TME23[[#All],[Advanced Network/Insurance Carrier Org ID]],Q262),2))</f>
        <v>TRUE</v>
      </c>
      <c r="Z262" s="282" t="str">
        <f>IF(U262=ROUND(SUMIFS(AN_TME23[[#All],[TOTAL Non-Truncated Unadjusted Claims Expenses]], AN_TME23[[#All],[Insurance Category Code]],5, AN_TME23[[#All],[Advanced Network/Insurance Carrier Org ID]],Q262),2), "TRUE", ROUND(U262-SUMIFS(AN_TME23[[#All],[TOTAL Non-Truncated Unadjusted Claims Expenses]], AN_TME23[[#All],[Insurance Category Code]],5, AN_TME23[[#All],[Advanced Network/Insurance Carrier Org ID]],Q262),2))</f>
        <v>TRUE</v>
      </c>
      <c r="AA262" s="295" t="str">
        <f>IF(V262=ROUND(SUMIFS(AN_TME23[[#All],[TOTAL Truncated Unadjusted Claims Expenses (A21 -A19)]], AN_TME23[[#All],[Insurance Category Code]],5, AN_TME23[[#All],[Advanced Network/Insurance Carrier Org ID]],Q262),2), "TRUE", ROUND(V262-SUMIFS(AN_TME23[[#All],[TOTAL Truncated Unadjusted Claims Expenses (A21 -A19)]], AN_TME23[[#All],[Insurance Category Code]],5, AN_TME23[[#All],[Advanced Network/Insurance Carrier Org ID]],Q262),2))</f>
        <v>TRUE</v>
      </c>
      <c r="AB262" s="461" t="str">
        <f t="shared" si="26"/>
        <v>TRUE</v>
      </c>
      <c r="AC262" s="282" t="b">
        <f>ROUND(SUMIFS(AN_TME23[[#All],[TOTAL Non-Truncated Unadjusted Claims Expenses]], AN_TME23[[#All],[Insurance Category Code]],5, AN_TME23[[#All],[Advanced Network/Insurance Carrier Org ID]],Q262),2)&gt;=ROUND(SUMIFS(AN_TME23[[#All],[TOTAL Truncated Unadjusted Claims Expenses (A21 -A19)]], AN_TME23[[#All],[Insurance Category Code]],5, AN_TME23[[#All],[Advanced Network/Insurance Carrier Org ID]],Q262),2)</f>
        <v>1</v>
      </c>
      <c r="AD262" s="295" t="b">
        <f>ROUND(SUMIFS(AN_TME23[[#All],[TOTAL Truncated Unadjusted Claims Expenses (A21 -A19)]], AN_TME23[[#All],[Insurance Category Code]],5, AN_TME23[[#All],[Advanced Network/Insurance Carrier Org ID]],Q262)+SUMIFS(AN_TME23[[#All],[Total Claims Excluded because of Truncation]], AN_TME23[[#All],[Insurance Category Code]],5, AN_TME23[[#All],[Advanced Network/Insurance Carrier Org ID]],Q262),2)=ROUND(SUMIFS(AN_TME23[[#All],[TOTAL Non-Truncated Unadjusted Claims Expenses]], AN_TME23[[#All],[Insurance Category Code]],5, AN_TME23[[#All],[Advanced Network/Insurance Carrier Org ID]],Q262),2)</f>
        <v>1</v>
      </c>
      <c r="AF262" s="323" t="str">
        <f t="shared" si="25"/>
        <v>NA</v>
      </c>
    </row>
    <row r="263" spans="2:32" outlineLevel="1" x14ac:dyDescent="0.25">
      <c r="B263" s="236">
        <v>128</v>
      </c>
      <c r="C263" s="463">
        <f>ROUND(SUMIFS(Age_Sex22[[#All],[Total Member Months by Age/Sex Band]], Age_Sex22[[#All],[Advanced Network ID]], $B263, Age_Sex22[[#All],[Insurance Category Code]],5),2)</f>
        <v>0</v>
      </c>
      <c r="D263" s="268">
        <f>ROUND(SUMIFS(Age_Sex22[[#All],[Total Dollars Excluded from Spending After Applying Truncation at the Member Level]], Age_Sex22[[#All],[Advanced Network ID]], $B263, Age_Sex22[[#All],[Insurance Category Code]],5),2)</f>
        <v>0</v>
      </c>
      <c r="E263" s="229">
        <f>ROUND(SUMIFS(Age_Sex22[[#All],[Count of Members whose Spending was Truncated]], Age_Sex22[[#All],[Advanced Network ID]], $B263, Age_Sex22[[#All],[Insurance Category Code]],5),2)</f>
        <v>0</v>
      </c>
      <c r="F263" s="230">
        <f>ROUND(SUMIFS(Age_Sex22[[#All],[Total Spending before Truncation is Applied]], Age_Sex22[[#All],[Advanced Network ID]], $B263, Age_Sex22[[#All],[Insurance Category Code]],5),2)</f>
        <v>0</v>
      </c>
      <c r="G263" s="232">
        <f>ROUND(SUMIFS(Age_Sex22[[#All],[Total Spending After Applying Truncation at the Member Level]], Age_Sex22[[#All],[Advanced Network ID]], $B263, Age_Sex22[[#All],[Insurance Category Code]],5), 2)</f>
        <v>0</v>
      </c>
      <c r="H263" s="416" t="str">
        <f>IF(C263=ROUND(SUMIFS(AN_TME22[[#All],[Member Months]], AN_TME22[[#All],[Insurance Category Code]],5, AN_TME22[[#All],[Advanced Network/Insurance Carrier Org ID]],B263),2), "TRUE", ROUND(C263-SUMIFS(AN_TME22[[#All],[Member Months]], AN_TME22[[#All],[Insurance Category Code]],5, AN_TME22[[#All],[Advanced Network/Insurance Carrier Org ID]],B263),2))</f>
        <v>TRUE</v>
      </c>
      <c r="I263" s="280" t="str">
        <f>IF(D263=ROUND(SUMIFS(AN_TME22[[#All],[Total Claims Excluded because of Truncation]], AN_TME22[[#All],[Insurance Category Code]],5, AN_TME22[[#All],[Advanced Network/Insurance Carrier Org ID]],B263),2), "TRUE", ROUND(D263-SUMIFS(AN_TME22[[#All],[Total Claims Excluded because of Truncation]], AN_TME22[[#All],[Insurance Category Code]],5, AN_TME22[[#All],[Advanced Network/Insurance Carrier Org ID]],B263), 2))</f>
        <v>TRUE</v>
      </c>
      <c r="J263" s="281" t="str">
        <f>IF(E263=ROUND(SUMIFS(AN_TME22[[#All],[Count of Members with Claims Truncated]], AN_TME22[[#All],[Insurance Category Code]],5, AN_TME22[[#All],[Advanced Network/Insurance Carrier Org ID]],B263),2), "TRUE", ROUND(E263-SUMIFS(AN_TME22[[#All],[Count of Members with Claims Truncated]], AN_TME22[[#All],[Insurance Category Code]],5, AN_TME22[[#All],[Advanced Network/Insurance Carrier Org ID]],B263),2))</f>
        <v>TRUE</v>
      </c>
      <c r="K263" s="282" t="str">
        <f>IF(F263=ROUND(SUMIFS(AN_TME22[[#All],[TOTAL Non-Truncated Unadjusted Claims Expenses]], AN_TME22[[#All],[Insurance Category Code]],5, AN_TME22[[#All],[Advanced Network/Insurance Carrier Org ID]],B263),2), "TRUE", ROUND(F263-SUMIFS(AN_TME22[[#All],[TOTAL Non-Truncated Unadjusted Claims Expenses]], AN_TME22[[#All],[Insurance Category Code]],5, AN_TME22[[#All],[Advanced Network/Insurance Carrier Org ID]],B263), 2))</f>
        <v>TRUE</v>
      </c>
      <c r="L263" s="295" t="str">
        <f>IF(G263=ROUND(SUMIFS(AN_TME22[[#All],[TOTAL Truncated Unadjusted Claims Expenses (A21 -A19)]], AN_TME22[[#All],[Insurance Category Code]],5, AN_TME22[[#All],[Advanced Network/Insurance Carrier Org ID]],B263),2), "TRUE", ROUND(G263-SUMIFS(AN_TME22[[#All],[TOTAL Truncated Unadjusted Claims Expenses (A21 -A19)]], AN_TME22[[#All],[Insurance Category Code]],5, AN_TME22[[#All],[Advanced Network/Insurance Carrier Org ID]],B263),2))</f>
        <v>TRUE</v>
      </c>
      <c r="M263" s="461" t="str">
        <f t="shared" si="23"/>
        <v>TRUE</v>
      </c>
      <c r="N263" s="282" t="b">
        <f>ROUND(SUMIFS(AN_TME22[[#All],[TOTAL Non-Truncated Unadjusted Claims Expenses]], AN_TME22[[#All],[Insurance Category Code]],5, AN_TME22[[#All],[Advanced Network/Insurance Carrier Org ID]],B263),2)&gt;=ROUND(SUMIFS(AN_TME22[[#All],[TOTAL Truncated Unadjusted Claims Expenses (A21 -A19)]], AN_TME22[[#All],[Insurance Category Code]],5, AN_TME22[[#All],[Advanced Network/Insurance Carrier Org ID]],B263),2)</f>
        <v>1</v>
      </c>
      <c r="O263" s="295" t="b">
        <f>ROUND(SUMIFS(AN_TME22[[#All],[TOTAL Truncated Unadjusted Claims Expenses (A21 -A19)]], AN_TME22[[#All],[Insurance Category Code]],5, AN_TME22[[#All],[Advanced Network/Insurance Carrier Org ID]],B263)+SUMIFS(AN_TME22[[#All],[Total Claims Excluded because of Truncation]], AN_TME22[[#All],[Insurance Category Code]],5, AN_TME22[[#All],[Advanced Network/Insurance Carrier Org ID]],B263),2)=ROUND(SUMIFS(AN_TME22[[#All],[TOTAL Non-Truncated Unadjusted Claims Expenses]], AN_TME22[[#All],[Insurance Category Code]],5, AN_TME22[[#All],[Advanced Network/Insurance Carrier Org ID]],B263),2)</f>
        <v>1</v>
      </c>
      <c r="Q263" s="236">
        <v>128</v>
      </c>
      <c r="R263" s="463">
        <f>ROUND(SUMIFS(Age_Sex23[[#All],[Total Member Months by Age/Sex Band]], Age_Sex23[[#All],[Advanced Network ID]], $Q263, Age_Sex23[[#All],[Insurance Category Code]],5),2)</f>
        <v>0</v>
      </c>
      <c r="S263" s="268">
        <f>ROUND(SUMIFS(Age_Sex23[[#All],[Total Dollars Excluded from Spending After Applying Truncation at the Member Level]], Age_Sex23[[#All],[Advanced Network ID]], $B263, Age_Sex23[[#All],[Insurance Category Code]],5),2)</f>
        <v>0</v>
      </c>
      <c r="T263" s="229">
        <f>ROUND(SUMIFS(Age_Sex23[[#All],[Count of Members whose Spending was Truncated]], Age_Sex23[[#All],[Advanced Network ID]], $B263, Age_Sex23[[#All],[Insurance Category Code]],5),2)</f>
        <v>0</v>
      </c>
      <c r="U263" s="230">
        <f>ROUND(SUMIFS(Age_Sex23[[#All],[Total Spending before Truncation is Applied]], Age_Sex23[[#All],[Advanced Network ID]], $B263, Age_Sex23[[#All],[Insurance Category Code]],5), 2)</f>
        <v>0</v>
      </c>
      <c r="V263" s="232">
        <f>ROUND(SUMIFS(Age_Sex23[[#All],[Total Spending After Applying Truncation at the Member Level]], Age_Sex23[[#All],[Advanced Network ID]], $B263, Age_Sex23[[#All],[Insurance Category Code]],5),2)</f>
        <v>0</v>
      </c>
      <c r="W263" s="416" t="str">
        <f>IF(R263=ROUND(SUMIFS(AN_TME23[[#All],[Member Months]], AN_TME23[[#All],[Insurance Category Code]],5, AN_TME23[[#All],[Advanced Network/Insurance Carrier Org ID]],Q263),2), "TRUE", ROUND(R263-SUMIFS(AN_TME23[[#All],[Member Months]], AN_TME23[[#All],[Insurance Category Code]],5, AN_TME23[[#All],[Advanced Network/Insurance Carrier Org ID]],Q263),2))</f>
        <v>TRUE</v>
      </c>
      <c r="X263" s="280" t="str">
        <f>IF(S263=ROUND(SUMIFS(AN_TME23[[#All],[Total Claims Excluded because of Truncation]], AN_TME23[[#All],[Insurance Category Code]],5, AN_TME23[[#All],[Advanced Network/Insurance Carrier Org ID]],Q263),2), "TRUE", ROUND(S263-SUMIFS(AN_TME23[[#All],[Total Claims Excluded because of Truncation]], AN_TME23[[#All],[Insurance Category Code]],5, AN_TME23[[#All],[Advanced Network/Insurance Carrier Org ID]],Q263),2))</f>
        <v>TRUE</v>
      </c>
      <c r="Y263" s="281" t="str">
        <f>IF(T263=ROUND(SUMIFS(AN_TME23[[#All],[Count of Members with Claims Truncated]], AN_TME23[[#All],[Insurance Category Code]],5, AN_TME23[[#All],[Advanced Network/Insurance Carrier Org ID]],Q263),2), "TRUE", ROUND(T263-SUMIFS(AN_TME23[[#All],[Count of Members with Claims Truncated]], AN_TME23[[#All],[Insurance Category Code]],5, AN_TME23[[#All],[Advanced Network/Insurance Carrier Org ID]],Q263),2))</f>
        <v>TRUE</v>
      </c>
      <c r="Z263" s="282" t="str">
        <f>IF(U263=ROUND(SUMIFS(AN_TME23[[#All],[TOTAL Non-Truncated Unadjusted Claims Expenses]], AN_TME23[[#All],[Insurance Category Code]],5, AN_TME23[[#All],[Advanced Network/Insurance Carrier Org ID]],Q263),2), "TRUE", ROUND(U263-SUMIFS(AN_TME23[[#All],[TOTAL Non-Truncated Unadjusted Claims Expenses]], AN_TME23[[#All],[Insurance Category Code]],5, AN_TME23[[#All],[Advanced Network/Insurance Carrier Org ID]],Q263),2))</f>
        <v>TRUE</v>
      </c>
      <c r="AA263" s="295" t="str">
        <f>IF(V263=ROUND(SUMIFS(AN_TME23[[#All],[TOTAL Truncated Unadjusted Claims Expenses (A21 -A19)]], AN_TME23[[#All],[Insurance Category Code]],5, AN_TME23[[#All],[Advanced Network/Insurance Carrier Org ID]],Q263),2), "TRUE", ROUND(V263-SUMIFS(AN_TME23[[#All],[TOTAL Truncated Unadjusted Claims Expenses (A21 -A19)]], AN_TME23[[#All],[Insurance Category Code]],5, AN_TME23[[#All],[Advanced Network/Insurance Carrier Org ID]],Q263),2))</f>
        <v>TRUE</v>
      </c>
      <c r="AB263" s="461" t="str">
        <f t="shared" si="26"/>
        <v>TRUE</v>
      </c>
      <c r="AC263" s="282" t="b">
        <f>ROUND(SUMIFS(AN_TME23[[#All],[TOTAL Non-Truncated Unadjusted Claims Expenses]], AN_TME23[[#All],[Insurance Category Code]],5, AN_TME23[[#All],[Advanced Network/Insurance Carrier Org ID]],Q263),2)&gt;=ROUND(SUMIFS(AN_TME23[[#All],[TOTAL Truncated Unadjusted Claims Expenses (A21 -A19)]], AN_TME23[[#All],[Insurance Category Code]],5, AN_TME23[[#All],[Advanced Network/Insurance Carrier Org ID]],Q263),2)</f>
        <v>1</v>
      </c>
      <c r="AD263" s="295" t="b">
        <f>ROUND(SUMIFS(AN_TME23[[#All],[TOTAL Truncated Unadjusted Claims Expenses (A21 -A19)]], AN_TME23[[#All],[Insurance Category Code]],5, AN_TME23[[#All],[Advanced Network/Insurance Carrier Org ID]],Q263)+SUMIFS(AN_TME23[[#All],[Total Claims Excluded because of Truncation]], AN_TME23[[#All],[Insurance Category Code]],5, AN_TME23[[#All],[Advanced Network/Insurance Carrier Org ID]],Q263),2)=ROUND(SUMIFS(AN_TME23[[#All],[TOTAL Non-Truncated Unadjusted Claims Expenses]], AN_TME23[[#All],[Insurance Category Code]],5, AN_TME23[[#All],[Advanced Network/Insurance Carrier Org ID]],Q263),2)</f>
        <v>1</v>
      </c>
      <c r="AF263" s="323" t="str">
        <f t="shared" si="25"/>
        <v>NA</v>
      </c>
    </row>
    <row r="264" spans="2:32" outlineLevel="1" x14ac:dyDescent="0.25">
      <c r="B264" s="236">
        <v>129</v>
      </c>
      <c r="C264" s="463">
        <f>ROUND(SUMIFS(Age_Sex22[[#All],[Total Member Months by Age/Sex Band]], Age_Sex22[[#All],[Advanced Network ID]], $B264, Age_Sex22[[#All],[Insurance Category Code]],5),2)</f>
        <v>0</v>
      </c>
      <c r="D264" s="268">
        <f>ROUND(SUMIFS(Age_Sex22[[#All],[Total Dollars Excluded from Spending After Applying Truncation at the Member Level]], Age_Sex22[[#All],[Advanced Network ID]], $B264, Age_Sex22[[#All],[Insurance Category Code]],5),2)</f>
        <v>0</v>
      </c>
      <c r="E264" s="229">
        <f>ROUND(SUMIFS(Age_Sex22[[#All],[Count of Members whose Spending was Truncated]], Age_Sex22[[#All],[Advanced Network ID]], $B264, Age_Sex22[[#All],[Insurance Category Code]],5),2)</f>
        <v>0</v>
      </c>
      <c r="F264" s="230">
        <f>ROUND(SUMIFS(Age_Sex22[[#All],[Total Spending before Truncation is Applied]], Age_Sex22[[#All],[Advanced Network ID]], $B264, Age_Sex22[[#All],[Insurance Category Code]],5),2)</f>
        <v>0</v>
      </c>
      <c r="G264" s="232">
        <f>ROUND(SUMIFS(Age_Sex22[[#All],[Total Spending After Applying Truncation at the Member Level]], Age_Sex22[[#All],[Advanced Network ID]], $B264, Age_Sex22[[#All],[Insurance Category Code]],5), 2)</f>
        <v>0</v>
      </c>
      <c r="H264" s="416" t="str">
        <f>IF(C264=ROUND(SUMIFS(AN_TME22[[#All],[Member Months]], AN_TME22[[#All],[Insurance Category Code]],5, AN_TME22[[#All],[Advanced Network/Insurance Carrier Org ID]],B264),2), "TRUE", ROUND(C264-SUMIFS(AN_TME22[[#All],[Member Months]], AN_TME22[[#All],[Insurance Category Code]],5, AN_TME22[[#All],[Advanced Network/Insurance Carrier Org ID]],B264),2))</f>
        <v>TRUE</v>
      </c>
      <c r="I264" s="280" t="str">
        <f>IF(D264=ROUND(SUMIFS(AN_TME22[[#All],[Total Claims Excluded because of Truncation]], AN_TME22[[#All],[Insurance Category Code]],5, AN_TME22[[#All],[Advanced Network/Insurance Carrier Org ID]],B264),2), "TRUE", ROUND(D264-SUMIFS(AN_TME22[[#All],[Total Claims Excluded because of Truncation]], AN_TME22[[#All],[Insurance Category Code]],5, AN_TME22[[#All],[Advanced Network/Insurance Carrier Org ID]],B264), 2))</f>
        <v>TRUE</v>
      </c>
      <c r="J264" s="281" t="str">
        <f>IF(E264=ROUND(SUMIFS(AN_TME22[[#All],[Count of Members with Claims Truncated]], AN_TME22[[#All],[Insurance Category Code]],5, AN_TME22[[#All],[Advanced Network/Insurance Carrier Org ID]],B264),2), "TRUE", ROUND(E264-SUMIFS(AN_TME22[[#All],[Count of Members with Claims Truncated]], AN_TME22[[#All],[Insurance Category Code]],5, AN_TME22[[#All],[Advanced Network/Insurance Carrier Org ID]],B264),2))</f>
        <v>TRUE</v>
      </c>
      <c r="K264" s="282" t="str">
        <f>IF(F264=ROUND(SUMIFS(AN_TME22[[#All],[TOTAL Non-Truncated Unadjusted Claims Expenses]], AN_TME22[[#All],[Insurance Category Code]],5, AN_TME22[[#All],[Advanced Network/Insurance Carrier Org ID]],B264),2), "TRUE", ROUND(F264-SUMIFS(AN_TME22[[#All],[TOTAL Non-Truncated Unadjusted Claims Expenses]], AN_TME22[[#All],[Insurance Category Code]],5, AN_TME22[[#All],[Advanced Network/Insurance Carrier Org ID]],B264), 2))</f>
        <v>TRUE</v>
      </c>
      <c r="L264" s="295" t="str">
        <f>IF(G264=ROUND(SUMIFS(AN_TME22[[#All],[TOTAL Truncated Unadjusted Claims Expenses (A21 -A19)]], AN_TME22[[#All],[Insurance Category Code]],5, AN_TME22[[#All],[Advanced Network/Insurance Carrier Org ID]],B264),2), "TRUE", ROUND(G264-SUMIFS(AN_TME22[[#All],[TOTAL Truncated Unadjusted Claims Expenses (A21 -A19)]], AN_TME22[[#All],[Insurance Category Code]],5, AN_TME22[[#All],[Advanced Network/Insurance Carrier Org ID]],B264),2))</f>
        <v>TRUE</v>
      </c>
      <c r="M264" s="461" t="str">
        <f t="shared" si="23"/>
        <v>TRUE</v>
      </c>
      <c r="N264" s="282" t="b">
        <f>ROUND(SUMIFS(AN_TME22[[#All],[TOTAL Non-Truncated Unadjusted Claims Expenses]], AN_TME22[[#All],[Insurance Category Code]],5, AN_TME22[[#All],[Advanced Network/Insurance Carrier Org ID]],B264),2)&gt;=ROUND(SUMIFS(AN_TME22[[#All],[TOTAL Truncated Unadjusted Claims Expenses (A21 -A19)]], AN_TME22[[#All],[Insurance Category Code]],5, AN_TME22[[#All],[Advanced Network/Insurance Carrier Org ID]],B264),2)</f>
        <v>1</v>
      </c>
      <c r="O264" s="295" t="b">
        <f>ROUND(SUMIFS(AN_TME22[[#All],[TOTAL Truncated Unadjusted Claims Expenses (A21 -A19)]], AN_TME22[[#All],[Insurance Category Code]],5, AN_TME22[[#All],[Advanced Network/Insurance Carrier Org ID]],B264)+SUMIFS(AN_TME22[[#All],[Total Claims Excluded because of Truncation]], AN_TME22[[#All],[Insurance Category Code]],5, AN_TME22[[#All],[Advanced Network/Insurance Carrier Org ID]],B264),2)=ROUND(SUMIFS(AN_TME22[[#All],[TOTAL Non-Truncated Unadjusted Claims Expenses]], AN_TME22[[#All],[Insurance Category Code]],5, AN_TME22[[#All],[Advanced Network/Insurance Carrier Org ID]],B264),2)</f>
        <v>1</v>
      </c>
      <c r="Q264" s="236">
        <v>129</v>
      </c>
      <c r="R264" s="463">
        <f>ROUND(SUMIFS(Age_Sex23[[#All],[Total Member Months by Age/Sex Band]], Age_Sex23[[#All],[Advanced Network ID]], $Q264, Age_Sex23[[#All],[Insurance Category Code]],5),2)</f>
        <v>0</v>
      </c>
      <c r="S264" s="268">
        <f>ROUND(SUMIFS(Age_Sex23[[#All],[Total Dollars Excluded from Spending After Applying Truncation at the Member Level]], Age_Sex23[[#All],[Advanced Network ID]], $B264, Age_Sex23[[#All],[Insurance Category Code]],5),2)</f>
        <v>0</v>
      </c>
      <c r="T264" s="229">
        <f>ROUND(SUMIFS(Age_Sex23[[#All],[Count of Members whose Spending was Truncated]], Age_Sex23[[#All],[Advanced Network ID]], $B264, Age_Sex23[[#All],[Insurance Category Code]],5),2)</f>
        <v>0</v>
      </c>
      <c r="U264" s="230">
        <f>ROUND(SUMIFS(Age_Sex23[[#All],[Total Spending before Truncation is Applied]], Age_Sex23[[#All],[Advanced Network ID]], $B264, Age_Sex23[[#All],[Insurance Category Code]],5), 2)</f>
        <v>0</v>
      </c>
      <c r="V264" s="232">
        <f>ROUND(SUMIFS(Age_Sex23[[#All],[Total Spending After Applying Truncation at the Member Level]], Age_Sex23[[#All],[Advanced Network ID]], $B264, Age_Sex23[[#All],[Insurance Category Code]],5),2)</f>
        <v>0</v>
      </c>
      <c r="W264" s="416" t="str">
        <f>IF(R264=ROUND(SUMIFS(AN_TME23[[#All],[Member Months]], AN_TME23[[#All],[Insurance Category Code]],5, AN_TME23[[#All],[Advanced Network/Insurance Carrier Org ID]],Q264),2), "TRUE", ROUND(R264-SUMIFS(AN_TME23[[#All],[Member Months]], AN_TME23[[#All],[Insurance Category Code]],5, AN_TME23[[#All],[Advanced Network/Insurance Carrier Org ID]],Q264),2))</f>
        <v>TRUE</v>
      </c>
      <c r="X264" s="280" t="str">
        <f>IF(S264=ROUND(SUMIFS(AN_TME23[[#All],[Total Claims Excluded because of Truncation]], AN_TME23[[#All],[Insurance Category Code]],5, AN_TME23[[#All],[Advanced Network/Insurance Carrier Org ID]],Q264),2), "TRUE", ROUND(S264-SUMIFS(AN_TME23[[#All],[Total Claims Excluded because of Truncation]], AN_TME23[[#All],[Insurance Category Code]],5, AN_TME23[[#All],[Advanced Network/Insurance Carrier Org ID]],Q264),2))</f>
        <v>TRUE</v>
      </c>
      <c r="Y264" s="281" t="str">
        <f>IF(T264=ROUND(SUMIFS(AN_TME23[[#All],[Count of Members with Claims Truncated]], AN_TME23[[#All],[Insurance Category Code]],5, AN_TME23[[#All],[Advanced Network/Insurance Carrier Org ID]],Q264),2), "TRUE", ROUND(T264-SUMIFS(AN_TME23[[#All],[Count of Members with Claims Truncated]], AN_TME23[[#All],[Insurance Category Code]],5, AN_TME23[[#All],[Advanced Network/Insurance Carrier Org ID]],Q264),2))</f>
        <v>TRUE</v>
      </c>
      <c r="Z264" s="282" t="str">
        <f>IF(U264=ROUND(SUMIFS(AN_TME23[[#All],[TOTAL Non-Truncated Unadjusted Claims Expenses]], AN_TME23[[#All],[Insurance Category Code]],5, AN_TME23[[#All],[Advanced Network/Insurance Carrier Org ID]],Q264),2), "TRUE", ROUND(U264-SUMIFS(AN_TME23[[#All],[TOTAL Non-Truncated Unadjusted Claims Expenses]], AN_TME23[[#All],[Insurance Category Code]],5, AN_TME23[[#All],[Advanced Network/Insurance Carrier Org ID]],Q264),2))</f>
        <v>TRUE</v>
      </c>
      <c r="AA264" s="295" t="str">
        <f>IF(V264=ROUND(SUMIFS(AN_TME23[[#All],[TOTAL Truncated Unadjusted Claims Expenses (A21 -A19)]], AN_TME23[[#All],[Insurance Category Code]],5, AN_TME23[[#All],[Advanced Network/Insurance Carrier Org ID]],Q264),2), "TRUE", ROUND(V264-SUMIFS(AN_TME23[[#All],[TOTAL Truncated Unadjusted Claims Expenses (A21 -A19)]], AN_TME23[[#All],[Insurance Category Code]],5, AN_TME23[[#All],[Advanced Network/Insurance Carrier Org ID]],Q264),2))</f>
        <v>TRUE</v>
      </c>
      <c r="AB264" s="461" t="str">
        <f t="shared" si="26"/>
        <v>TRUE</v>
      </c>
      <c r="AC264" s="282" t="b">
        <f>ROUND(SUMIFS(AN_TME23[[#All],[TOTAL Non-Truncated Unadjusted Claims Expenses]], AN_TME23[[#All],[Insurance Category Code]],5, AN_TME23[[#All],[Advanced Network/Insurance Carrier Org ID]],Q264),2)&gt;=ROUND(SUMIFS(AN_TME23[[#All],[TOTAL Truncated Unadjusted Claims Expenses (A21 -A19)]], AN_TME23[[#All],[Insurance Category Code]],5, AN_TME23[[#All],[Advanced Network/Insurance Carrier Org ID]],Q264),2)</f>
        <v>1</v>
      </c>
      <c r="AD264" s="295" t="b">
        <f>ROUND(SUMIFS(AN_TME23[[#All],[TOTAL Truncated Unadjusted Claims Expenses (A21 -A19)]], AN_TME23[[#All],[Insurance Category Code]],5, AN_TME23[[#All],[Advanced Network/Insurance Carrier Org ID]],Q264)+SUMIFS(AN_TME23[[#All],[Total Claims Excluded because of Truncation]], AN_TME23[[#All],[Insurance Category Code]],5, AN_TME23[[#All],[Advanced Network/Insurance Carrier Org ID]],Q264),2)=ROUND(SUMIFS(AN_TME23[[#All],[TOTAL Non-Truncated Unadjusted Claims Expenses]], AN_TME23[[#All],[Insurance Category Code]],5, AN_TME23[[#All],[Advanced Network/Insurance Carrier Org ID]],Q264),2)</f>
        <v>1</v>
      </c>
      <c r="AF264" s="323" t="str">
        <f t="shared" si="25"/>
        <v>NA</v>
      </c>
    </row>
    <row r="265" spans="2:32" outlineLevel="1" x14ac:dyDescent="0.25">
      <c r="B265" s="236">
        <v>130</v>
      </c>
      <c r="C265" s="463">
        <f>ROUND(SUMIFS(Age_Sex22[[#All],[Total Member Months by Age/Sex Band]], Age_Sex22[[#All],[Advanced Network ID]], $B265, Age_Sex22[[#All],[Insurance Category Code]],5),2)</f>
        <v>0</v>
      </c>
      <c r="D265" s="268">
        <f>ROUND(SUMIFS(Age_Sex22[[#All],[Total Dollars Excluded from Spending After Applying Truncation at the Member Level]], Age_Sex22[[#All],[Advanced Network ID]], $B265, Age_Sex22[[#All],[Insurance Category Code]],5),2)</f>
        <v>0</v>
      </c>
      <c r="E265" s="229">
        <f>ROUND(SUMIFS(Age_Sex22[[#All],[Count of Members whose Spending was Truncated]], Age_Sex22[[#All],[Advanced Network ID]], $B265, Age_Sex22[[#All],[Insurance Category Code]],5),2)</f>
        <v>0</v>
      </c>
      <c r="F265" s="230">
        <f>ROUND(SUMIFS(Age_Sex22[[#All],[Total Spending before Truncation is Applied]], Age_Sex22[[#All],[Advanced Network ID]], $B265, Age_Sex22[[#All],[Insurance Category Code]],5),2)</f>
        <v>0</v>
      </c>
      <c r="G265" s="232">
        <f>ROUND(SUMIFS(Age_Sex22[[#All],[Total Spending After Applying Truncation at the Member Level]], Age_Sex22[[#All],[Advanced Network ID]], $B265, Age_Sex22[[#All],[Insurance Category Code]],5), 2)</f>
        <v>0</v>
      </c>
      <c r="H265" s="416" t="str">
        <f>IF(C265=ROUND(SUMIFS(AN_TME22[[#All],[Member Months]], AN_TME22[[#All],[Insurance Category Code]],5, AN_TME22[[#All],[Advanced Network/Insurance Carrier Org ID]],B265),2), "TRUE", ROUND(C265-SUMIFS(AN_TME22[[#All],[Member Months]], AN_TME22[[#All],[Insurance Category Code]],5, AN_TME22[[#All],[Advanced Network/Insurance Carrier Org ID]],B265),2))</f>
        <v>TRUE</v>
      </c>
      <c r="I265" s="280" t="str">
        <f>IF(D265=ROUND(SUMIFS(AN_TME22[[#All],[Total Claims Excluded because of Truncation]], AN_TME22[[#All],[Insurance Category Code]],5, AN_TME22[[#All],[Advanced Network/Insurance Carrier Org ID]],B265),2), "TRUE", ROUND(D265-SUMIFS(AN_TME22[[#All],[Total Claims Excluded because of Truncation]], AN_TME22[[#All],[Insurance Category Code]],5, AN_TME22[[#All],[Advanced Network/Insurance Carrier Org ID]],B265), 2))</f>
        <v>TRUE</v>
      </c>
      <c r="J265" s="281" t="str">
        <f>IF(E265=ROUND(SUMIFS(AN_TME22[[#All],[Count of Members with Claims Truncated]], AN_TME22[[#All],[Insurance Category Code]],5, AN_TME22[[#All],[Advanced Network/Insurance Carrier Org ID]],B265),2), "TRUE", ROUND(E265-SUMIFS(AN_TME22[[#All],[Count of Members with Claims Truncated]], AN_TME22[[#All],[Insurance Category Code]],5, AN_TME22[[#All],[Advanced Network/Insurance Carrier Org ID]],B265),2))</f>
        <v>TRUE</v>
      </c>
      <c r="K265" s="282" t="str">
        <f>IF(F265=ROUND(SUMIFS(AN_TME22[[#All],[TOTAL Non-Truncated Unadjusted Claims Expenses]], AN_TME22[[#All],[Insurance Category Code]],5, AN_TME22[[#All],[Advanced Network/Insurance Carrier Org ID]],B265),2), "TRUE", ROUND(F265-SUMIFS(AN_TME22[[#All],[TOTAL Non-Truncated Unadjusted Claims Expenses]], AN_TME22[[#All],[Insurance Category Code]],5, AN_TME22[[#All],[Advanced Network/Insurance Carrier Org ID]],B265), 2))</f>
        <v>TRUE</v>
      </c>
      <c r="L265" s="295" t="str">
        <f>IF(G265=ROUND(SUMIFS(AN_TME22[[#All],[TOTAL Truncated Unadjusted Claims Expenses (A21 -A19)]], AN_TME22[[#All],[Insurance Category Code]],5, AN_TME22[[#All],[Advanced Network/Insurance Carrier Org ID]],B265),2), "TRUE", ROUND(G265-SUMIFS(AN_TME22[[#All],[TOTAL Truncated Unadjusted Claims Expenses (A21 -A19)]], AN_TME22[[#All],[Insurance Category Code]],5, AN_TME22[[#All],[Advanced Network/Insurance Carrier Org ID]],B265),2))</f>
        <v>TRUE</v>
      </c>
      <c r="M265" s="461" t="str">
        <f t="shared" si="23"/>
        <v>TRUE</v>
      </c>
      <c r="N265" s="282" t="b">
        <f>ROUND(SUMIFS(AN_TME22[[#All],[TOTAL Non-Truncated Unadjusted Claims Expenses]], AN_TME22[[#All],[Insurance Category Code]],5, AN_TME22[[#All],[Advanced Network/Insurance Carrier Org ID]],B265),2)&gt;=ROUND(SUMIFS(AN_TME22[[#All],[TOTAL Truncated Unadjusted Claims Expenses (A21 -A19)]], AN_TME22[[#All],[Insurance Category Code]],5, AN_TME22[[#All],[Advanced Network/Insurance Carrier Org ID]],B265),2)</f>
        <v>1</v>
      </c>
      <c r="O265" s="295" t="b">
        <f>ROUND(SUMIFS(AN_TME22[[#All],[TOTAL Truncated Unadjusted Claims Expenses (A21 -A19)]], AN_TME22[[#All],[Insurance Category Code]],5, AN_TME22[[#All],[Advanced Network/Insurance Carrier Org ID]],B265)+SUMIFS(AN_TME22[[#All],[Total Claims Excluded because of Truncation]], AN_TME22[[#All],[Insurance Category Code]],5, AN_TME22[[#All],[Advanced Network/Insurance Carrier Org ID]],B265),2)=ROUND(SUMIFS(AN_TME22[[#All],[TOTAL Non-Truncated Unadjusted Claims Expenses]], AN_TME22[[#All],[Insurance Category Code]],5, AN_TME22[[#All],[Advanced Network/Insurance Carrier Org ID]],B265),2)</f>
        <v>1</v>
      </c>
      <c r="Q265" s="236">
        <v>130</v>
      </c>
      <c r="R265" s="463">
        <f>ROUND(SUMIFS(Age_Sex23[[#All],[Total Member Months by Age/Sex Band]], Age_Sex23[[#All],[Advanced Network ID]], $Q265, Age_Sex23[[#All],[Insurance Category Code]],5),2)</f>
        <v>0</v>
      </c>
      <c r="S265" s="268">
        <f>ROUND(SUMIFS(Age_Sex23[[#All],[Total Dollars Excluded from Spending After Applying Truncation at the Member Level]], Age_Sex23[[#All],[Advanced Network ID]], $B265, Age_Sex23[[#All],[Insurance Category Code]],5),2)</f>
        <v>0</v>
      </c>
      <c r="T265" s="229">
        <f>ROUND(SUMIFS(Age_Sex23[[#All],[Count of Members whose Spending was Truncated]], Age_Sex23[[#All],[Advanced Network ID]], $B265, Age_Sex23[[#All],[Insurance Category Code]],5),2)</f>
        <v>0</v>
      </c>
      <c r="U265" s="230">
        <f>ROUND(SUMIFS(Age_Sex23[[#All],[Total Spending before Truncation is Applied]], Age_Sex23[[#All],[Advanced Network ID]], $B265, Age_Sex23[[#All],[Insurance Category Code]],5), 2)</f>
        <v>0</v>
      </c>
      <c r="V265" s="232">
        <f>ROUND(SUMIFS(Age_Sex23[[#All],[Total Spending After Applying Truncation at the Member Level]], Age_Sex23[[#All],[Advanced Network ID]], $B265, Age_Sex23[[#All],[Insurance Category Code]],5),2)</f>
        <v>0</v>
      </c>
      <c r="W265" s="416" t="str">
        <f>IF(R265=ROUND(SUMIFS(AN_TME23[[#All],[Member Months]], AN_TME23[[#All],[Insurance Category Code]],5, AN_TME23[[#All],[Advanced Network/Insurance Carrier Org ID]],Q265),2), "TRUE", ROUND(R265-SUMIFS(AN_TME23[[#All],[Member Months]], AN_TME23[[#All],[Insurance Category Code]],5, AN_TME23[[#All],[Advanced Network/Insurance Carrier Org ID]],Q265),2))</f>
        <v>TRUE</v>
      </c>
      <c r="X265" s="280" t="str">
        <f>IF(S265=ROUND(SUMIFS(AN_TME23[[#All],[Total Claims Excluded because of Truncation]], AN_TME23[[#All],[Insurance Category Code]],5, AN_TME23[[#All],[Advanced Network/Insurance Carrier Org ID]],Q265),2), "TRUE", ROUND(S265-SUMIFS(AN_TME23[[#All],[Total Claims Excluded because of Truncation]], AN_TME23[[#All],[Insurance Category Code]],5, AN_TME23[[#All],[Advanced Network/Insurance Carrier Org ID]],Q265),2))</f>
        <v>TRUE</v>
      </c>
      <c r="Y265" s="281" t="str">
        <f>IF(T265=ROUND(SUMIFS(AN_TME23[[#All],[Count of Members with Claims Truncated]], AN_TME23[[#All],[Insurance Category Code]],5, AN_TME23[[#All],[Advanced Network/Insurance Carrier Org ID]],Q265),2), "TRUE", ROUND(T265-SUMIFS(AN_TME23[[#All],[Count of Members with Claims Truncated]], AN_TME23[[#All],[Insurance Category Code]],5, AN_TME23[[#All],[Advanced Network/Insurance Carrier Org ID]],Q265),2))</f>
        <v>TRUE</v>
      </c>
      <c r="Z265" s="282" t="str">
        <f>IF(U265=ROUND(SUMIFS(AN_TME23[[#All],[TOTAL Non-Truncated Unadjusted Claims Expenses]], AN_TME23[[#All],[Insurance Category Code]],5, AN_TME23[[#All],[Advanced Network/Insurance Carrier Org ID]],Q265),2), "TRUE", ROUND(U265-SUMIFS(AN_TME23[[#All],[TOTAL Non-Truncated Unadjusted Claims Expenses]], AN_TME23[[#All],[Insurance Category Code]],5, AN_TME23[[#All],[Advanced Network/Insurance Carrier Org ID]],Q265),2))</f>
        <v>TRUE</v>
      </c>
      <c r="AA265" s="295" t="str">
        <f>IF(V265=ROUND(SUMIFS(AN_TME23[[#All],[TOTAL Truncated Unadjusted Claims Expenses (A21 -A19)]], AN_TME23[[#All],[Insurance Category Code]],5, AN_TME23[[#All],[Advanced Network/Insurance Carrier Org ID]],Q265),2), "TRUE", ROUND(V265-SUMIFS(AN_TME23[[#All],[TOTAL Truncated Unadjusted Claims Expenses (A21 -A19)]], AN_TME23[[#All],[Insurance Category Code]],5, AN_TME23[[#All],[Advanced Network/Insurance Carrier Org ID]],Q265),2))</f>
        <v>TRUE</v>
      </c>
      <c r="AB265" s="461" t="str">
        <f t="shared" si="26"/>
        <v>TRUE</v>
      </c>
      <c r="AC265" s="282" t="b">
        <f>ROUND(SUMIFS(AN_TME23[[#All],[TOTAL Non-Truncated Unadjusted Claims Expenses]], AN_TME23[[#All],[Insurance Category Code]],5, AN_TME23[[#All],[Advanced Network/Insurance Carrier Org ID]],Q265),2)&gt;=ROUND(SUMIFS(AN_TME23[[#All],[TOTAL Truncated Unadjusted Claims Expenses (A21 -A19)]], AN_TME23[[#All],[Insurance Category Code]],5, AN_TME23[[#All],[Advanced Network/Insurance Carrier Org ID]],Q265),2)</f>
        <v>1</v>
      </c>
      <c r="AD265" s="295" t="b">
        <f>ROUND(SUMIFS(AN_TME23[[#All],[TOTAL Truncated Unadjusted Claims Expenses (A21 -A19)]], AN_TME23[[#All],[Insurance Category Code]],5, AN_TME23[[#All],[Advanced Network/Insurance Carrier Org ID]],Q265)+SUMIFS(AN_TME23[[#All],[Total Claims Excluded because of Truncation]], AN_TME23[[#All],[Insurance Category Code]],5, AN_TME23[[#All],[Advanced Network/Insurance Carrier Org ID]],Q265),2)=ROUND(SUMIFS(AN_TME23[[#All],[TOTAL Non-Truncated Unadjusted Claims Expenses]], AN_TME23[[#All],[Insurance Category Code]],5, AN_TME23[[#All],[Advanced Network/Insurance Carrier Org ID]],Q265),2)</f>
        <v>1</v>
      </c>
      <c r="AF265" s="323" t="str">
        <f t="shared" si="25"/>
        <v>NA</v>
      </c>
    </row>
    <row r="266" spans="2:32" outlineLevel="1" x14ac:dyDescent="0.25">
      <c r="B266" s="236">
        <v>131</v>
      </c>
      <c r="C266" s="463">
        <f>ROUND(SUMIFS(Age_Sex22[[#All],[Total Member Months by Age/Sex Band]], Age_Sex22[[#All],[Advanced Network ID]], $B266, Age_Sex22[[#All],[Insurance Category Code]],5),2)</f>
        <v>0</v>
      </c>
      <c r="D266" s="268">
        <f>ROUND(SUMIFS(Age_Sex22[[#All],[Total Dollars Excluded from Spending After Applying Truncation at the Member Level]], Age_Sex22[[#All],[Advanced Network ID]], $B266, Age_Sex22[[#All],[Insurance Category Code]],5),2)</f>
        <v>0</v>
      </c>
      <c r="E266" s="229">
        <f>ROUND(SUMIFS(Age_Sex22[[#All],[Count of Members whose Spending was Truncated]], Age_Sex22[[#All],[Advanced Network ID]], $B266, Age_Sex22[[#All],[Insurance Category Code]],5),2)</f>
        <v>0</v>
      </c>
      <c r="F266" s="230">
        <f>ROUND(SUMIFS(Age_Sex22[[#All],[Total Spending before Truncation is Applied]], Age_Sex22[[#All],[Advanced Network ID]], $B266, Age_Sex22[[#All],[Insurance Category Code]],5),2)</f>
        <v>0</v>
      </c>
      <c r="G266" s="232">
        <f>ROUND(SUMIFS(Age_Sex22[[#All],[Total Spending After Applying Truncation at the Member Level]], Age_Sex22[[#All],[Advanced Network ID]], $B266, Age_Sex22[[#All],[Insurance Category Code]],5), 2)</f>
        <v>0</v>
      </c>
      <c r="H266" s="416" t="str">
        <f>IF(C266=ROUND(SUMIFS(AN_TME22[[#All],[Member Months]], AN_TME22[[#All],[Insurance Category Code]],5, AN_TME22[[#All],[Advanced Network/Insurance Carrier Org ID]],B266),2), "TRUE", ROUND(C266-SUMIFS(AN_TME22[[#All],[Member Months]], AN_TME22[[#All],[Insurance Category Code]],5, AN_TME22[[#All],[Advanced Network/Insurance Carrier Org ID]],B266),2))</f>
        <v>TRUE</v>
      </c>
      <c r="I266" s="280" t="str">
        <f>IF(D266=ROUND(SUMIFS(AN_TME22[[#All],[Total Claims Excluded because of Truncation]], AN_TME22[[#All],[Insurance Category Code]],5, AN_TME22[[#All],[Advanced Network/Insurance Carrier Org ID]],B266),2), "TRUE", ROUND(D266-SUMIFS(AN_TME22[[#All],[Total Claims Excluded because of Truncation]], AN_TME22[[#All],[Insurance Category Code]],5, AN_TME22[[#All],[Advanced Network/Insurance Carrier Org ID]],B266), 2))</f>
        <v>TRUE</v>
      </c>
      <c r="J266" s="281" t="str">
        <f>IF(E266=ROUND(SUMIFS(AN_TME22[[#All],[Count of Members with Claims Truncated]], AN_TME22[[#All],[Insurance Category Code]],5, AN_TME22[[#All],[Advanced Network/Insurance Carrier Org ID]],B266),2), "TRUE", ROUND(E266-SUMIFS(AN_TME22[[#All],[Count of Members with Claims Truncated]], AN_TME22[[#All],[Insurance Category Code]],5, AN_TME22[[#All],[Advanced Network/Insurance Carrier Org ID]],B266),2))</f>
        <v>TRUE</v>
      </c>
      <c r="K266" s="282" t="str">
        <f>IF(F266=ROUND(SUMIFS(AN_TME22[[#All],[TOTAL Non-Truncated Unadjusted Claims Expenses]], AN_TME22[[#All],[Insurance Category Code]],5, AN_TME22[[#All],[Advanced Network/Insurance Carrier Org ID]],B266),2), "TRUE", ROUND(F266-SUMIFS(AN_TME22[[#All],[TOTAL Non-Truncated Unadjusted Claims Expenses]], AN_TME22[[#All],[Insurance Category Code]],5, AN_TME22[[#All],[Advanced Network/Insurance Carrier Org ID]],B266), 2))</f>
        <v>TRUE</v>
      </c>
      <c r="L266" s="295" t="str">
        <f>IF(G266=ROUND(SUMIFS(AN_TME22[[#All],[TOTAL Truncated Unadjusted Claims Expenses (A21 -A19)]], AN_TME22[[#All],[Insurance Category Code]],5, AN_TME22[[#All],[Advanced Network/Insurance Carrier Org ID]],B266),2), "TRUE", ROUND(G266-SUMIFS(AN_TME22[[#All],[TOTAL Truncated Unadjusted Claims Expenses (A21 -A19)]], AN_TME22[[#All],[Insurance Category Code]],5, AN_TME22[[#All],[Advanced Network/Insurance Carrier Org ID]],B266),2))</f>
        <v>TRUE</v>
      </c>
      <c r="M266" s="461" t="str">
        <f t="shared" si="23"/>
        <v>TRUE</v>
      </c>
      <c r="N266" s="282" t="b">
        <f>ROUND(SUMIFS(AN_TME22[[#All],[TOTAL Non-Truncated Unadjusted Claims Expenses]], AN_TME22[[#All],[Insurance Category Code]],5, AN_TME22[[#All],[Advanced Network/Insurance Carrier Org ID]],B266),2)&gt;=ROUND(SUMIFS(AN_TME22[[#All],[TOTAL Truncated Unadjusted Claims Expenses (A21 -A19)]], AN_TME22[[#All],[Insurance Category Code]],5, AN_TME22[[#All],[Advanced Network/Insurance Carrier Org ID]],B266),2)</f>
        <v>1</v>
      </c>
      <c r="O266" s="295" t="b">
        <f>ROUND(SUMIFS(AN_TME22[[#All],[TOTAL Truncated Unadjusted Claims Expenses (A21 -A19)]], AN_TME22[[#All],[Insurance Category Code]],5, AN_TME22[[#All],[Advanced Network/Insurance Carrier Org ID]],B266)+SUMIFS(AN_TME22[[#All],[Total Claims Excluded because of Truncation]], AN_TME22[[#All],[Insurance Category Code]],5, AN_TME22[[#All],[Advanced Network/Insurance Carrier Org ID]],B266),2)=ROUND(SUMIFS(AN_TME22[[#All],[TOTAL Non-Truncated Unadjusted Claims Expenses]], AN_TME22[[#All],[Insurance Category Code]],5, AN_TME22[[#All],[Advanced Network/Insurance Carrier Org ID]],B266),2)</f>
        <v>1</v>
      </c>
      <c r="Q266" s="236">
        <v>131</v>
      </c>
      <c r="R266" s="463">
        <f>ROUND(SUMIFS(Age_Sex23[[#All],[Total Member Months by Age/Sex Band]], Age_Sex23[[#All],[Advanced Network ID]], $Q266, Age_Sex23[[#All],[Insurance Category Code]],5),2)</f>
        <v>0</v>
      </c>
      <c r="S266" s="268">
        <f>ROUND(SUMIFS(Age_Sex23[[#All],[Total Dollars Excluded from Spending After Applying Truncation at the Member Level]], Age_Sex23[[#All],[Advanced Network ID]], $B266, Age_Sex23[[#All],[Insurance Category Code]],5),2)</f>
        <v>0</v>
      </c>
      <c r="T266" s="229">
        <f>ROUND(SUMIFS(Age_Sex23[[#All],[Count of Members whose Spending was Truncated]], Age_Sex23[[#All],[Advanced Network ID]], $B266, Age_Sex23[[#All],[Insurance Category Code]],5),2)</f>
        <v>0</v>
      </c>
      <c r="U266" s="230">
        <f>ROUND(SUMIFS(Age_Sex23[[#All],[Total Spending before Truncation is Applied]], Age_Sex23[[#All],[Advanced Network ID]], $B266, Age_Sex23[[#All],[Insurance Category Code]],5), 2)</f>
        <v>0</v>
      </c>
      <c r="V266" s="232">
        <f>ROUND(SUMIFS(Age_Sex23[[#All],[Total Spending After Applying Truncation at the Member Level]], Age_Sex23[[#All],[Advanced Network ID]], $B266, Age_Sex23[[#All],[Insurance Category Code]],5),2)</f>
        <v>0</v>
      </c>
      <c r="W266" s="416" t="str">
        <f>IF(R266=ROUND(SUMIFS(AN_TME23[[#All],[Member Months]], AN_TME23[[#All],[Insurance Category Code]],5, AN_TME23[[#All],[Advanced Network/Insurance Carrier Org ID]],Q266),2), "TRUE", ROUND(R266-SUMIFS(AN_TME23[[#All],[Member Months]], AN_TME23[[#All],[Insurance Category Code]],5, AN_TME23[[#All],[Advanced Network/Insurance Carrier Org ID]],Q266),2))</f>
        <v>TRUE</v>
      </c>
      <c r="X266" s="280" t="str">
        <f>IF(S266=ROUND(SUMIFS(AN_TME23[[#All],[Total Claims Excluded because of Truncation]], AN_TME23[[#All],[Insurance Category Code]],5, AN_TME23[[#All],[Advanced Network/Insurance Carrier Org ID]],Q266),2), "TRUE", ROUND(S266-SUMIFS(AN_TME23[[#All],[Total Claims Excluded because of Truncation]], AN_TME23[[#All],[Insurance Category Code]],5, AN_TME23[[#All],[Advanced Network/Insurance Carrier Org ID]],Q266),2))</f>
        <v>TRUE</v>
      </c>
      <c r="Y266" s="281" t="str">
        <f>IF(T266=ROUND(SUMIFS(AN_TME23[[#All],[Count of Members with Claims Truncated]], AN_TME23[[#All],[Insurance Category Code]],5, AN_TME23[[#All],[Advanced Network/Insurance Carrier Org ID]],Q266),2), "TRUE", ROUND(T266-SUMIFS(AN_TME23[[#All],[Count of Members with Claims Truncated]], AN_TME23[[#All],[Insurance Category Code]],5, AN_TME23[[#All],[Advanced Network/Insurance Carrier Org ID]],Q266),2))</f>
        <v>TRUE</v>
      </c>
      <c r="Z266" s="282" t="str">
        <f>IF(U266=ROUND(SUMIFS(AN_TME23[[#All],[TOTAL Non-Truncated Unadjusted Claims Expenses]], AN_TME23[[#All],[Insurance Category Code]],5, AN_TME23[[#All],[Advanced Network/Insurance Carrier Org ID]],Q266),2), "TRUE", ROUND(U266-SUMIFS(AN_TME23[[#All],[TOTAL Non-Truncated Unadjusted Claims Expenses]], AN_TME23[[#All],[Insurance Category Code]],5, AN_TME23[[#All],[Advanced Network/Insurance Carrier Org ID]],Q266),2))</f>
        <v>TRUE</v>
      </c>
      <c r="AA266" s="295" t="str">
        <f>IF(V266=ROUND(SUMIFS(AN_TME23[[#All],[TOTAL Truncated Unadjusted Claims Expenses (A21 -A19)]], AN_TME23[[#All],[Insurance Category Code]],5, AN_TME23[[#All],[Advanced Network/Insurance Carrier Org ID]],Q266),2), "TRUE", ROUND(V266-SUMIFS(AN_TME23[[#All],[TOTAL Truncated Unadjusted Claims Expenses (A21 -A19)]], AN_TME23[[#All],[Insurance Category Code]],5, AN_TME23[[#All],[Advanced Network/Insurance Carrier Org ID]],Q266),2))</f>
        <v>TRUE</v>
      </c>
      <c r="AB266" s="461" t="str">
        <f t="shared" si="26"/>
        <v>TRUE</v>
      </c>
      <c r="AC266" s="282" t="b">
        <f>ROUND(SUMIFS(AN_TME23[[#All],[TOTAL Non-Truncated Unadjusted Claims Expenses]], AN_TME23[[#All],[Insurance Category Code]],5, AN_TME23[[#All],[Advanced Network/Insurance Carrier Org ID]],Q266),2)&gt;=ROUND(SUMIFS(AN_TME23[[#All],[TOTAL Truncated Unadjusted Claims Expenses (A21 -A19)]], AN_TME23[[#All],[Insurance Category Code]],5, AN_TME23[[#All],[Advanced Network/Insurance Carrier Org ID]],Q266),2)</f>
        <v>1</v>
      </c>
      <c r="AD266" s="295" t="b">
        <f>ROUND(SUMIFS(AN_TME23[[#All],[TOTAL Truncated Unadjusted Claims Expenses (A21 -A19)]], AN_TME23[[#All],[Insurance Category Code]],5, AN_TME23[[#All],[Advanced Network/Insurance Carrier Org ID]],Q266)+SUMIFS(AN_TME23[[#All],[Total Claims Excluded because of Truncation]], AN_TME23[[#All],[Insurance Category Code]],5, AN_TME23[[#All],[Advanced Network/Insurance Carrier Org ID]],Q266),2)=ROUND(SUMIFS(AN_TME23[[#All],[TOTAL Non-Truncated Unadjusted Claims Expenses]], AN_TME23[[#All],[Insurance Category Code]],5, AN_TME23[[#All],[Advanced Network/Insurance Carrier Org ID]],Q266),2)</f>
        <v>1</v>
      </c>
      <c r="AF266" s="323" t="str">
        <f t="shared" si="25"/>
        <v>NA</v>
      </c>
    </row>
    <row r="267" spans="2:32" ht="15.75" outlineLevel="1" thickBot="1" x14ac:dyDescent="0.3">
      <c r="B267" s="237">
        <v>999</v>
      </c>
      <c r="C267" s="463">
        <f>ROUND(SUMIFS(Age_Sex22[[#All],[Total Member Months by Age/Sex Band]], Age_Sex22[[#All],[Advanced Network ID]], $B267, Age_Sex22[[#All],[Insurance Category Code]],5),2)</f>
        <v>0</v>
      </c>
      <c r="D267" s="268">
        <f>ROUND(SUMIFS(Age_Sex22[[#All],[Total Dollars Excluded from Spending After Applying Truncation at the Member Level]], Age_Sex22[[#All],[Advanced Network ID]], $B267, Age_Sex22[[#All],[Insurance Category Code]],5),2)</f>
        <v>0</v>
      </c>
      <c r="E267" s="229">
        <f>ROUND(SUMIFS(Age_Sex22[[#All],[Count of Members whose Spending was Truncated]], Age_Sex22[[#All],[Advanced Network ID]], $B267, Age_Sex22[[#All],[Insurance Category Code]],5),2)</f>
        <v>0</v>
      </c>
      <c r="F267" s="230">
        <f>ROUND(SUMIFS(Age_Sex22[[#All],[Total Spending before Truncation is Applied]], Age_Sex22[[#All],[Advanced Network ID]], $B267, Age_Sex22[[#All],[Insurance Category Code]],5),2)</f>
        <v>0</v>
      </c>
      <c r="G267" s="232">
        <f>ROUND(SUMIFS(Age_Sex22[[#All],[Total Spending After Applying Truncation at the Member Level]], Age_Sex22[[#All],[Advanced Network ID]], $B267, Age_Sex22[[#All],[Insurance Category Code]],5), 2)</f>
        <v>0</v>
      </c>
      <c r="H267" s="416" t="str">
        <f>IF(C267=ROUND(SUMIFS(AN_TME22[[#All],[Member Months]], AN_TME22[[#All],[Insurance Category Code]],5, AN_TME22[[#All],[Advanced Network/Insurance Carrier Org ID]],B267),2), "TRUE", ROUND(C267-SUMIFS(AN_TME22[[#All],[Member Months]], AN_TME22[[#All],[Insurance Category Code]],5, AN_TME22[[#All],[Advanced Network/Insurance Carrier Org ID]],B267),2))</f>
        <v>TRUE</v>
      </c>
      <c r="I267" s="280" t="str">
        <f>IF(D267=ROUND(SUMIFS(AN_TME22[[#All],[Total Claims Excluded because of Truncation]], AN_TME22[[#All],[Insurance Category Code]],5, AN_TME22[[#All],[Advanced Network/Insurance Carrier Org ID]],B267),2), "TRUE", ROUND(D267-SUMIFS(AN_TME22[[#All],[Total Claims Excluded because of Truncation]], AN_TME22[[#All],[Insurance Category Code]],5, AN_TME22[[#All],[Advanced Network/Insurance Carrier Org ID]],B267), 2))</f>
        <v>TRUE</v>
      </c>
      <c r="J267" s="281" t="str">
        <f>IF(E267=ROUND(SUMIFS(AN_TME22[[#All],[Count of Members with Claims Truncated]], AN_TME22[[#All],[Insurance Category Code]],5, AN_TME22[[#All],[Advanced Network/Insurance Carrier Org ID]],B267),2), "TRUE", ROUND(E267-SUMIFS(AN_TME22[[#All],[Count of Members with Claims Truncated]], AN_TME22[[#All],[Insurance Category Code]],5, AN_TME22[[#All],[Advanced Network/Insurance Carrier Org ID]],B267),2))</f>
        <v>TRUE</v>
      </c>
      <c r="K267" s="282" t="str">
        <f>IF(F267=ROUND(SUMIFS(AN_TME22[[#All],[TOTAL Non-Truncated Unadjusted Claims Expenses]], AN_TME22[[#All],[Insurance Category Code]],5, AN_TME22[[#All],[Advanced Network/Insurance Carrier Org ID]],B267),2), "TRUE", ROUND(F267-SUMIFS(AN_TME22[[#All],[TOTAL Non-Truncated Unadjusted Claims Expenses]], AN_TME22[[#All],[Insurance Category Code]],5, AN_TME22[[#All],[Advanced Network/Insurance Carrier Org ID]],B267), 2))</f>
        <v>TRUE</v>
      </c>
      <c r="L267" s="295" t="str">
        <f>IF(G267=ROUND(SUMIFS(AN_TME22[[#All],[TOTAL Truncated Unadjusted Claims Expenses (A21 -A19)]], AN_TME22[[#All],[Insurance Category Code]],5, AN_TME22[[#All],[Advanced Network/Insurance Carrier Org ID]],B267),2), "TRUE", ROUND(G267-SUMIFS(AN_TME22[[#All],[TOTAL Truncated Unadjusted Claims Expenses (A21 -A19)]], AN_TME22[[#All],[Insurance Category Code]],5, AN_TME22[[#All],[Advanced Network/Insurance Carrier Org ID]],B267),2))</f>
        <v>TRUE</v>
      </c>
      <c r="M267" s="462" t="str">
        <f t="shared" si="23"/>
        <v>TRUE</v>
      </c>
      <c r="N267" s="282" t="b">
        <f>ROUND(SUMIFS(AN_TME22[[#All],[TOTAL Non-Truncated Unadjusted Claims Expenses]], AN_TME22[[#All],[Insurance Category Code]],5, AN_TME22[[#All],[Advanced Network/Insurance Carrier Org ID]],B267),2)&gt;=ROUND(SUMIFS(AN_TME22[[#All],[TOTAL Truncated Unadjusted Claims Expenses (A21 -A19)]], AN_TME22[[#All],[Insurance Category Code]],5, AN_TME22[[#All],[Advanced Network/Insurance Carrier Org ID]],B267),2)</f>
        <v>1</v>
      </c>
      <c r="O267" s="295" t="b">
        <f>ROUND(SUMIFS(AN_TME22[[#All],[TOTAL Truncated Unadjusted Claims Expenses (A21 -A19)]], AN_TME22[[#All],[Insurance Category Code]],5, AN_TME22[[#All],[Advanced Network/Insurance Carrier Org ID]],B267)+SUMIFS(AN_TME22[[#All],[Total Claims Excluded because of Truncation]], AN_TME22[[#All],[Insurance Category Code]],5, AN_TME22[[#All],[Advanced Network/Insurance Carrier Org ID]],B267),2)=ROUND(SUMIFS(AN_TME22[[#All],[TOTAL Non-Truncated Unadjusted Claims Expenses]], AN_TME22[[#All],[Insurance Category Code]],5, AN_TME22[[#All],[Advanced Network/Insurance Carrier Org ID]],B267),2)</f>
        <v>1</v>
      </c>
      <c r="Q267" s="237">
        <v>999</v>
      </c>
      <c r="R267" s="463">
        <f>ROUND(SUMIFS(Age_Sex23[[#All],[Total Member Months by Age/Sex Band]], Age_Sex23[[#All],[Advanced Network ID]], $Q267, Age_Sex23[[#All],[Insurance Category Code]],5),2)</f>
        <v>0</v>
      </c>
      <c r="S267" s="268">
        <f>ROUND(SUMIFS(Age_Sex23[[#All],[Total Dollars Excluded from Spending After Applying Truncation at the Member Level]], Age_Sex23[[#All],[Advanced Network ID]], $B267, Age_Sex23[[#All],[Insurance Category Code]],5),2)</f>
        <v>0</v>
      </c>
      <c r="T267" s="229">
        <f>ROUND(SUMIFS(Age_Sex23[[#All],[Count of Members whose Spending was Truncated]], Age_Sex23[[#All],[Advanced Network ID]], $B267, Age_Sex23[[#All],[Insurance Category Code]],5),2)</f>
        <v>0</v>
      </c>
      <c r="U267" s="230">
        <f>ROUND(SUMIFS(Age_Sex23[[#All],[Total Spending before Truncation is Applied]], Age_Sex23[[#All],[Advanced Network ID]], $B267, Age_Sex23[[#All],[Insurance Category Code]],5), 2)</f>
        <v>0</v>
      </c>
      <c r="V267" s="232">
        <f>ROUND(SUMIFS(Age_Sex23[[#All],[Total Spending After Applying Truncation at the Member Level]], Age_Sex23[[#All],[Advanced Network ID]], $B267, Age_Sex23[[#All],[Insurance Category Code]],5),2)</f>
        <v>0</v>
      </c>
      <c r="W267" s="416" t="str">
        <f>IF(R267=ROUND(SUMIFS(AN_TME23[[#All],[Member Months]], AN_TME23[[#All],[Insurance Category Code]],5, AN_TME23[[#All],[Advanced Network/Insurance Carrier Org ID]],Q267),2), "TRUE", ROUND(R267-SUMIFS(AN_TME23[[#All],[Member Months]], AN_TME23[[#All],[Insurance Category Code]],5, AN_TME23[[#All],[Advanced Network/Insurance Carrier Org ID]],Q267),2))</f>
        <v>TRUE</v>
      </c>
      <c r="X267" s="280" t="str">
        <f>IF(S267=ROUND(SUMIFS(AN_TME23[[#All],[Total Claims Excluded because of Truncation]], AN_TME23[[#All],[Insurance Category Code]],5, AN_TME23[[#All],[Advanced Network/Insurance Carrier Org ID]],Q267),2), "TRUE", ROUND(S267-SUMIFS(AN_TME23[[#All],[Total Claims Excluded because of Truncation]], AN_TME23[[#All],[Insurance Category Code]],5, AN_TME23[[#All],[Advanced Network/Insurance Carrier Org ID]],Q267),2))</f>
        <v>TRUE</v>
      </c>
      <c r="Y267" s="281" t="str">
        <f>IF(T267=ROUND(SUMIFS(AN_TME23[[#All],[Count of Members with Claims Truncated]], AN_TME23[[#All],[Insurance Category Code]],5, AN_TME23[[#All],[Advanced Network/Insurance Carrier Org ID]],Q267),2), "TRUE", ROUND(T267-SUMIFS(AN_TME23[[#All],[Count of Members with Claims Truncated]], AN_TME23[[#All],[Insurance Category Code]],5, AN_TME23[[#All],[Advanced Network/Insurance Carrier Org ID]],Q267),2))</f>
        <v>TRUE</v>
      </c>
      <c r="Z267" s="282" t="str">
        <f>IF(U267=ROUND(SUMIFS(AN_TME23[[#All],[TOTAL Non-Truncated Unadjusted Claims Expenses]], AN_TME23[[#All],[Insurance Category Code]],5, AN_TME23[[#All],[Advanced Network/Insurance Carrier Org ID]],Q267),2), "TRUE", ROUND(U267-SUMIFS(AN_TME23[[#All],[TOTAL Non-Truncated Unadjusted Claims Expenses]], AN_TME23[[#All],[Insurance Category Code]],5, AN_TME23[[#All],[Advanced Network/Insurance Carrier Org ID]],Q267),2))</f>
        <v>TRUE</v>
      </c>
      <c r="AA267" s="295" t="str">
        <f>IF(V267=ROUND(SUMIFS(AN_TME23[[#All],[TOTAL Truncated Unadjusted Claims Expenses (A21 -A19)]], AN_TME23[[#All],[Insurance Category Code]],5, AN_TME23[[#All],[Advanced Network/Insurance Carrier Org ID]],Q267),2), "TRUE", ROUND(V267-SUMIFS(AN_TME23[[#All],[TOTAL Truncated Unadjusted Claims Expenses (A21 -A19)]], AN_TME23[[#All],[Insurance Category Code]],5, AN_TME23[[#All],[Advanced Network/Insurance Carrier Org ID]],Q267),2))</f>
        <v>TRUE</v>
      </c>
      <c r="AB267" s="462" t="str">
        <f t="shared" si="26"/>
        <v>TRUE</v>
      </c>
      <c r="AC267" s="282" t="b">
        <f>ROUND(SUMIFS(AN_TME23[[#All],[TOTAL Non-Truncated Unadjusted Claims Expenses]], AN_TME23[[#All],[Insurance Category Code]],5, AN_TME23[[#All],[Advanced Network/Insurance Carrier Org ID]],Q267),2)&gt;=ROUND(SUMIFS(AN_TME23[[#All],[TOTAL Truncated Unadjusted Claims Expenses (A21 -A19)]], AN_TME23[[#All],[Insurance Category Code]],5, AN_TME23[[#All],[Advanced Network/Insurance Carrier Org ID]],Q267),2)</f>
        <v>1</v>
      </c>
      <c r="AD267" s="295" t="b">
        <f>ROUND(SUMIFS(AN_TME23[[#All],[TOTAL Truncated Unadjusted Claims Expenses (A21 -A19)]], AN_TME23[[#All],[Insurance Category Code]],5, AN_TME23[[#All],[Advanced Network/Insurance Carrier Org ID]],Q267)+SUMIFS(AN_TME23[[#All],[Total Claims Excluded because of Truncation]], AN_TME23[[#All],[Insurance Category Code]],5, AN_TME23[[#All],[Advanced Network/Insurance Carrier Org ID]],Q267),2)=ROUND(SUMIFS(AN_TME23[[#All],[TOTAL Non-Truncated Unadjusted Claims Expenses]], AN_TME23[[#All],[Insurance Category Code]],5, AN_TME23[[#All],[Advanced Network/Insurance Carrier Org ID]],Q267),2)</f>
        <v>1</v>
      </c>
      <c r="AF267" s="324" t="str">
        <f t="shared" si="25"/>
        <v>NA</v>
      </c>
    </row>
    <row r="268" spans="2:32" outlineLevel="1" x14ac:dyDescent="0.25">
      <c r="B268" s="31"/>
      <c r="C268" s="31"/>
      <c r="D268" s="14"/>
      <c r="E268" s="117"/>
    </row>
    <row r="269" spans="2:32" outlineLevel="1" x14ac:dyDescent="0.25">
      <c r="B269" s="363" t="s">
        <v>366</v>
      </c>
      <c r="C269" s="14"/>
      <c r="D269" s="117"/>
      <c r="L269" s="231"/>
      <c r="M269" s="231"/>
      <c r="N269" s="231"/>
      <c r="O269" s="231"/>
      <c r="Q269" s="363" t="s">
        <v>366</v>
      </c>
    </row>
    <row r="270" spans="2:32" ht="19.5" outlineLevel="1" thickBot="1" x14ac:dyDescent="0.35">
      <c r="B270" s="279"/>
      <c r="C270" s="231"/>
      <c r="D270" s="14"/>
      <c r="E270" s="117"/>
      <c r="Q270" s="279"/>
      <c r="R270" s="231"/>
      <c r="S270" s="14"/>
      <c r="T270" s="117"/>
    </row>
    <row r="271" spans="2:32" ht="24" outlineLevel="1" thickBot="1" x14ac:dyDescent="0.4">
      <c r="B271" s="307" t="s">
        <v>389</v>
      </c>
      <c r="C271" s="617" t="s">
        <v>375</v>
      </c>
      <c r="D271" s="618"/>
      <c r="E271" s="618"/>
      <c r="F271" s="618"/>
      <c r="G271" s="619"/>
      <c r="H271" s="620" t="s">
        <v>376</v>
      </c>
      <c r="I271" s="621"/>
      <c r="J271" s="621"/>
      <c r="K271" s="621"/>
      <c r="L271" s="622"/>
      <c r="M271" s="614" t="s">
        <v>374</v>
      </c>
      <c r="N271" s="615"/>
      <c r="O271" s="616"/>
      <c r="Q271" s="307"/>
      <c r="R271" s="617" t="s">
        <v>441</v>
      </c>
      <c r="S271" s="618"/>
      <c r="T271" s="618"/>
      <c r="U271" s="618"/>
      <c r="V271" s="619"/>
      <c r="W271" s="620" t="s">
        <v>442</v>
      </c>
      <c r="X271" s="621"/>
      <c r="Y271" s="621"/>
      <c r="Z271" s="621"/>
      <c r="AA271" s="622"/>
      <c r="AB271" s="614" t="s">
        <v>374</v>
      </c>
      <c r="AC271" s="615"/>
      <c r="AD271" s="616"/>
    </row>
    <row r="272" spans="2:32" ht="97.5" customHeight="1" outlineLevel="1" thickBot="1" x14ac:dyDescent="0.3">
      <c r="B272" s="297" t="s">
        <v>235</v>
      </c>
      <c r="C272" s="294" t="s">
        <v>151</v>
      </c>
      <c r="D272" s="365" t="s">
        <v>236</v>
      </c>
      <c r="E272" s="365" t="s">
        <v>377</v>
      </c>
      <c r="F272" s="365" t="s">
        <v>153</v>
      </c>
      <c r="G272" s="366" t="s">
        <v>157</v>
      </c>
      <c r="H272" s="367" t="s">
        <v>211</v>
      </c>
      <c r="I272" s="368" t="s">
        <v>378</v>
      </c>
      <c r="J272" s="368" t="s">
        <v>379</v>
      </c>
      <c r="K272" s="368" t="s">
        <v>380</v>
      </c>
      <c r="L272" s="369" t="s">
        <v>381</v>
      </c>
      <c r="M272" s="370" t="s">
        <v>382</v>
      </c>
      <c r="N272" s="371" t="s">
        <v>383</v>
      </c>
      <c r="O272" s="372" t="s">
        <v>384</v>
      </c>
      <c r="Q272" s="373" t="s">
        <v>235</v>
      </c>
      <c r="R272" s="294" t="s">
        <v>151</v>
      </c>
      <c r="S272" s="365" t="s">
        <v>236</v>
      </c>
      <c r="T272" s="365" t="s">
        <v>377</v>
      </c>
      <c r="U272" s="365" t="s">
        <v>153</v>
      </c>
      <c r="V272" s="366" t="s">
        <v>157</v>
      </c>
      <c r="W272" s="367" t="s">
        <v>211</v>
      </c>
      <c r="X272" s="368" t="s">
        <v>378</v>
      </c>
      <c r="Y272" s="368" t="s">
        <v>379</v>
      </c>
      <c r="Z272" s="368" t="s">
        <v>380</v>
      </c>
      <c r="AA272" s="369" t="s">
        <v>381</v>
      </c>
      <c r="AB272" s="370" t="s">
        <v>382</v>
      </c>
      <c r="AC272" s="371" t="s">
        <v>383</v>
      </c>
      <c r="AD272" s="372" t="s">
        <v>384</v>
      </c>
      <c r="AF272" s="321" t="s">
        <v>458</v>
      </c>
    </row>
    <row r="273" spans="2:32" outlineLevel="1" x14ac:dyDescent="0.25">
      <c r="B273" s="236">
        <v>100</v>
      </c>
      <c r="C273" s="463">
        <f>ROUND(SUMIFS(Age_Sex22[[#All],[Total Member Months by Age/Sex Band]], Age_Sex22[[#All],[Advanced Network ID]], $B273, Age_Sex22[[#All],[Insurance Category Code]],6),2)</f>
        <v>0</v>
      </c>
      <c r="D273" s="268">
        <f>ROUND(SUMIFS(Age_Sex22[[#All],[Total Dollars Excluded from Spending After Applying Truncation at the Member Level]], Age_Sex22[[#All],[Advanced Network ID]], $B273, Age_Sex22[[#All],[Insurance Category Code]],6),2)</f>
        <v>0</v>
      </c>
      <c r="E273" s="229">
        <f>ROUND(SUMIFS(Age_Sex22[[#All],[Count of Members whose Spending was Truncated]], Age_Sex22[[#All],[Advanced Network ID]], $B273, Age_Sex22[[#All],[Insurance Category Code]],6),2)</f>
        <v>0</v>
      </c>
      <c r="F273" s="230">
        <f>ROUND(SUMIFS(Age_Sex22[[#All],[Total Spending before Truncation is Applied]], Age_Sex22[[#All],[Advanced Network ID]], $B273, Age_Sex22[[#All],[Insurance Category Code]],6),2)</f>
        <v>0</v>
      </c>
      <c r="G273" s="232">
        <f>ROUND(SUMIFS(Age_Sex22[[#All],[Total Spending After Applying Truncation at the Member Level]], Age_Sex22[[#All],[Advanced Network ID]], $B273, Age_Sex22[[#All],[Insurance Category Code]],6),2)</f>
        <v>0</v>
      </c>
      <c r="H273" s="416" t="str">
        <f>IF(C273=ROUND(SUMIFS(AN_TME22[[#All],[Member Months]], AN_TME22[[#All],[Insurance Category Code]],6, AN_TME22[[#All],[Advanced Network/Insurance Carrier Org ID]],B273),2), "TRUE", ROUND(C273-SUMIFS(AN_TME22[[#All],[Member Months]], AN_TME22[[#All],[Insurance Category Code]],6, AN_TME22[[#All],[Advanced Network/Insurance Carrier Org ID]],B273),2))</f>
        <v>TRUE</v>
      </c>
      <c r="I273" s="280" t="str">
        <f>IF(D273=ROUND(SUMIFS(AN_TME22[[#All],[Total Claims Excluded because of Truncation]], AN_TME22[[#All],[Insurance Category Code]],6, AN_TME22[[#All],[Advanced Network/Insurance Carrier Org ID]],B273),2), "TRUE", ROUND(D273-SUMIFS(AN_TME22[[#All],[Total Claims Excluded because of Truncation]], AN_TME22[[#All],[Insurance Category Code]],6, AN_TME22[[#All],[Advanced Network/Insurance Carrier Org ID]],B273),2))</f>
        <v>TRUE</v>
      </c>
      <c r="J273" s="281" t="str">
        <f>IF(E273=ROUND(SUMIFS(AN_TME22[[#All],[Count of Members with Claims Truncated]], AN_TME22[[#All],[Insurance Category Code]],6, AN_TME22[[#All],[Advanced Network/Insurance Carrier Org ID]],B273),2), "TRUE", ROUND(E273-SUMIFS(AN_TME22[[#All],[Count of Members with Claims Truncated]], AN_TME22[[#All],[Insurance Category Code]],6, AN_TME22[[#All],[Advanced Network/Insurance Carrier Org ID]],B273),2))</f>
        <v>TRUE</v>
      </c>
      <c r="K273" s="282" t="str">
        <f>IF(F273=ROUND(SUMIFS(AN_TME22[[#All],[TOTAL Non-Truncated Unadjusted Claims Expenses]], AN_TME22[[#All],[Insurance Category Code]],6, AN_TME22[[#All],[Advanced Network/Insurance Carrier Org ID]],B273),2),"TRUE", ROUND(F273-SUMIFS(AN_TME22[[#All],[TOTAL Non-Truncated Unadjusted Claims Expenses]], AN_TME22[[#All],[Insurance Category Code]],6, AN_TME22[[#All],[Advanced Network/Insurance Carrier Org ID]],B273),2))</f>
        <v>TRUE</v>
      </c>
      <c r="L273" s="295" t="str">
        <f>IF(G273=ROUND(SUMIFS(AN_TME22[[#All],[TOTAL Truncated Unadjusted Claims Expenses (A21 -A19)]], AN_TME22[[#All],[Insurance Category Code]],6, AN_TME22[[#All],[Advanced Network/Insurance Carrier Org ID]],B273),2), "TRUE", ROUND(G273-SUMIFS(AN_TME22[[#All],[TOTAL Truncated Unadjusted Claims Expenses (A21 -A19)]], AN_TME22[[#All],[Insurance Category Code]],6, AN_TME22[[#All],[Advanced Network/Insurance Carrier Org ID]],B273),2))</f>
        <v>TRUE</v>
      </c>
      <c r="M273" s="461" t="str">
        <f t="shared" ref="M273:M305" si="27">IF(E273=0, "TRUE",IF((C273/12)&gt;E273,"TRUE",(C273/12)-E273))</f>
        <v>TRUE</v>
      </c>
      <c r="N273" s="282" t="b">
        <f>ROUND(SUMIFS(AN_TME22[[#All],[TOTAL Non-Truncated Unadjusted Claims Expenses]], AN_TME22[[#All],[Insurance Category Code]],6, AN_TME22[[#All],[Advanced Network/Insurance Carrier Org ID]],B273),2)&gt;=ROUND(SUMIFS(AN_TME22[[#All],[TOTAL Truncated Unadjusted Claims Expenses (A21 -A19)]], AN_TME22[[#All],[Insurance Category Code]],6, AN_TME22[[#All],[Advanced Network/Insurance Carrier Org ID]],B273),2)</f>
        <v>1</v>
      </c>
      <c r="O273" s="295" t="b">
        <f>ROUND(SUMIFS(AN_TME22[[#All],[TOTAL Truncated Unadjusted Claims Expenses (A21 -A19)]], AN_TME22[[#All],[Insurance Category Code]],6, AN_TME22[[#All],[Advanced Network/Insurance Carrier Org ID]],B273)+SUMIFS(AN_TME22[[#All],[Total Claims Excluded because of Truncation]], AN_TME22[[#All],[Insurance Category Code]],6, AN_TME22[[#All],[Advanced Network/Insurance Carrier Org ID]],B273),2)=ROUND(SUMIFS(AN_TME22[[#All],[TOTAL Non-Truncated Unadjusted Claims Expenses]], AN_TME22[[#All],[Insurance Category Code]],6, AN_TME22[[#All],[Advanced Network/Insurance Carrier Org ID]],B273),2)</f>
        <v>1</v>
      </c>
      <c r="Q273" s="236">
        <v>100</v>
      </c>
      <c r="R273" s="463">
        <f>ROUND(SUMIFS(Age_Sex23[[#All],[Total Member Months by Age/Sex Band]], Age_Sex23[[#All],[Advanced Network ID]], $Q273, Age_Sex23[[#All],[Insurance Category Code]],6),2)</f>
        <v>0</v>
      </c>
      <c r="S273" s="268">
        <f>ROUND(SUMIFS(Age_Sex23[[#All],[Total Dollars Excluded from Spending After Applying Truncation at the Member Level]], Age_Sex23[[#All],[Advanced Network ID]], $B273, Age_Sex23[[#All],[Insurance Category Code]],6),2)</f>
        <v>0</v>
      </c>
      <c r="T273" s="229">
        <f>ROUND(SUMIFS(Age_Sex23[[#All],[Count of Members whose Spending was Truncated]], Age_Sex23[[#All],[Advanced Network ID]], $B273, Age_Sex23[[#All],[Insurance Category Code]],6),2)</f>
        <v>0</v>
      </c>
      <c r="U273" s="230">
        <f>ROUND(SUMIFS(Age_Sex23[[#All],[Total Spending before Truncation is Applied]], Age_Sex23[[#All],[Advanced Network ID]], $B273, Age_Sex23[[#All],[Insurance Category Code]],6),2)</f>
        <v>0</v>
      </c>
      <c r="V273" s="232">
        <f>ROUND(SUMIFS(Age_Sex23[[#All],[Total Spending After Applying Truncation at the Member Level]], Age_Sex23[[#All],[Advanced Network ID]], $B273, Age_Sex23[[#All],[Insurance Category Code]],6),2)</f>
        <v>0</v>
      </c>
      <c r="W273" s="416" t="str">
        <f>IF(R273=ROUND(SUMIFS(AN_TME23[[#All],[Member Months]], AN_TME23[[#All],[Insurance Category Code]],6, AN_TME23[[#All],[Advanced Network/Insurance Carrier Org ID]],Q273),2), "TRUE", ROUND(R273-SUMIFS(AN_TME23[[#All],[Member Months]], AN_TME23[[#All],[Insurance Category Code]],6, AN_TME23[[#All],[Advanced Network/Insurance Carrier Org ID]],Q273),2))</f>
        <v>TRUE</v>
      </c>
      <c r="X273" s="280" t="str">
        <f>IF(S273=ROUND(SUMIFS(AN_TME23[[#All],[Total Claims Excluded because of Truncation]], AN_TME23[[#All],[Insurance Category Code]],6, AN_TME23[[#All],[Advanced Network/Insurance Carrier Org ID]],Q273),2), "TRUE", ROUND(S273-SUMIFS(AN_TME23[[#All],[Total Claims Excluded because of Truncation]], AN_TME23[[#All],[Insurance Category Code]],6, AN_TME23[[#All],[Advanced Network/Insurance Carrier Org ID]],Q273),2))</f>
        <v>TRUE</v>
      </c>
      <c r="Y273" s="281" t="str">
        <f>IF(T273=ROUND(SUMIFS(AN_TME23[[#All],[Count of Members with Claims Truncated]], AN_TME23[[#All],[Insurance Category Code]],6, AN_TME23[[#All],[Advanced Network/Insurance Carrier Org ID]],Q273),2), "TRUE", ROUND(T273-SUMIFS(AN_TME23[[#All],[Count of Members with Claims Truncated]], AN_TME23[[#All],[Insurance Category Code]],6, AN_TME23[[#All],[Advanced Network/Insurance Carrier Org ID]],Q273),2))</f>
        <v>TRUE</v>
      </c>
      <c r="Z273" s="282" t="str">
        <f>IF(U273=ROUND(SUMIFS(AN_TME23[[#All],[TOTAL Non-Truncated Unadjusted Claims Expenses]], AN_TME23[[#All],[Insurance Category Code]],6, AN_TME23[[#All],[Advanced Network/Insurance Carrier Org ID]],Q273),2), "TRUE", ROUND(U273-SUMIFS(AN_TME23[[#All],[TOTAL Non-Truncated Unadjusted Claims Expenses]], AN_TME23[[#All],[Insurance Category Code]],6, AN_TME23[[#All],[Advanced Network/Insurance Carrier Org ID]],Q273),2))</f>
        <v>TRUE</v>
      </c>
      <c r="AA273" s="295" t="str">
        <f>IF(V273=ROUND(SUMIFS(AN_TME23[[#All],[TOTAL Truncated Unadjusted Claims Expenses (A21 -A19)]], AN_TME23[[#All],[Insurance Category Code]],6, AN_TME23[[#All],[Advanced Network/Insurance Carrier Org ID]],Q273),2), "TRUE", ROUND(V273-SUMIFS(AN_TME23[[#All],[TOTAL Truncated Unadjusted Claims Expenses (A21 -A19)]], AN_TME23[[#All],[Insurance Category Code]],6, AN_TME23[[#All],[Advanced Network/Insurance Carrier Org ID]],Q273),2))</f>
        <v>TRUE</v>
      </c>
      <c r="AB273" s="461" t="str">
        <f t="shared" ref="AB273" si="28">IF(T273=0, "TRUE",IF((R273/12)&gt;T273,"TRUE",(R273/12)-T273))</f>
        <v>TRUE</v>
      </c>
      <c r="AC273" s="282" t="b">
        <f>ROUND(SUMIFS(AN_TME23[[#All],[TOTAL Non-Truncated Unadjusted Claims Expenses]], AN_TME23[[#All],[Insurance Category Code]],6, AN_TME23[[#All],[Advanced Network/Insurance Carrier Org ID]],Q273),2)&gt;=ROUND(SUMIFS(AN_TME23[[#All],[TOTAL Truncated Unadjusted Claims Expenses (A21 -A19)]], AN_TME23[[#All],[Insurance Category Code]],6, AN_TME23[[#All],[Advanced Network/Insurance Carrier Org ID]],Q273),2)</f>
        <v>1</v>
      </c>
      <c r="AD273" s="295" t="b">
        <f>ROUND(SUMIFS(AN_TME23[[#All],[TOTAL Truncated Unadjusted Claims Expenses (A21 -A19)]], AN_TME23[[#All],[Insurance Category Code]],6, AN_TME23[[#All],[Advanced Network/Insurance Carrier Org ID]],Q273)+SUMIFS(AN_TME23[[#All],[Total Claims Excluded because of Truncation]], AN_TME23[[#All],[Insurance Category Code]],6, AN_TME23[[#All],[Advanced Network/Insurance Carrier Org ID]],Q273),2)=ROUND(SUMIFS(AN_TME23[[#All],[TOTAL Non-Truncated Unadjusted Claims Expenses]], AN_TME23[[#All],[Insurance Category Code]],6, AN_TME23[[#All],[Advanced Network/Insurance Carrier Org ID]],Q273),2)</f>
        <v>1</v>
      </c>
      <c r="AF273" s="322" t="str">
        <f t="shared" ref="AF273:AF305" si="29">IFERROR(R273/C273-1, "NA")</f>
        <v>NA</v>
      </c>
    </row>
    <row r="274" spans="2:32" outlineLevel="1" x14ac:dyDescent="0.25">
      <c r="B274" s="236">
        <v>101</v>
      </c>
      <c r="C274" s="463">
        <f>ROUND(SUMIFS(Age_Sex22[[#All],[Total Member Months by Age/Sex Band]], Age_Sex22[[#All],[Advanced Network ID]], $B274, Age_Sex22[[#All],[Insurance Category Code]],6),2)</f>
        <v>0</v>
      </c>
      <c r="D274" s="268">
        <f>ROUND(SUMIFS(Age_Sex22[[#All],[Total Dollars Excluded from Spending After Applying Truncation at the Member Level]], Age_Sex22[[#All],[Advanced Network ID]], $B274, Age_Sex22[[#All],[Insurance Category Code]],6),2)</f>
        <v>0</v>
      </c>
      <c r="E274" s="229">
        <f>ROUND(SUMIFS(Age_Sex22[[#All],[Count of Members whose Spending was Truncated]], Age_Sex22[[#All],[Advanced Network ID]], $B274, Age_Sex22[[#All],[Insurance Category Code]],6),2)</f>
        <v>0</v>
      </c>
      <c r="F274" s="230">
        <f>ROUND(SUMIFS(Age_Sex22[[#All],[Total Spending before Truncation is Applied]], Age_Sex22[[#All],[Advanced Network ID]], $B274, Age_Sex22[[#All],[Insurance Category Code]],6),2)</f>
        <v>0</v>
      </c>
      <c r="G274" s="232">
        <f>ROUND(SUMIFS(Age_Sex22[[#All],[Total Spending After Applying Truncation at the Member Level]], Age_Sex22[[#All],[Advanced Network ID]], $B274, Age_Sex22[[#All],[Insurance Category Code]],6),2)</f>
        <v>0</v>
      </c>
      <c r="H274" s="416" t="str">
        <f>IF(C274=ROUND(SUMIFS(AN_TME22[[#All],[Member Months]], AN_TME22[[#All],[Insurance Category Code]],6, AN_TME22[[#All],[Advanced Network/Insurance Carrier Org ID]],B274),2), "TRUE", ROUND(C274-SUMIFS(AN_TME22[[#All],[Member Months]], AN_TME22[[#All],[Insurance Category Code]],6, AN_TME22[[#All],[Advanced Network/Insurance Carrier Org ID]],B274),2))</f>
        <v>TRUE</v>
      </c>
      <c r="I274" s="280" t="str">
        <f>IF(D274=ROUND(SUMIFS(AN_TME22[[#All],[Total Claims Excluded because of Truncation]], AN_TME22[[#All],[Insurance Category Code]],6, AN_TME22[[#All],[Advanced Network/Insurance Carrier Org ID]],B274),2), "TRUE", ROUND(D274-SUMIFS(AN_TME22[[#All],[Total Claims Excluded because of Truncation]], AN_TME22[[#All],[Insurance Category Code]],6, AN_TME22[[#All],[Advanced Network/Insurance Carrier Org ID]],B274),2))</f>
        <v>TRUE</v>
      </c>
      <c r="J274" s="281" t="str">
        <f>IF(E274=ROUND(SUMIFS(AN_TME22[[#All],[Count of Members with Claims Truncated]], AN_TME22[[#All],[Insurance Category Code]],6, AN_TME22[[#All],[Advanced Network/Insurance Carrier Org ID]],B274),2), "TRUE", ROUND(E274-SUMIFS(AN_TME22[[#All],[Count of Members with Claims Truncated]], AN_TME22[[#All],[Insurance Category Code]],6, AN_TME22[[#All],[Advanced Network/Insurance Carrier Org ID]],B274),2))</f>
        <v>TRUE</v>
      </c>
      <c r="K274" s="282" t="str">
        <f>IF(F274=ROUND(SUMIFS(AN_TME22[[#All],[TOTAL Non-Truncated Unadjusted Claims Expenses]], AN_TME22[[#All],[Insurance Category Code]],6, AN_TME22[[#All],[Advanced Network/Insurance Carrier Org ID]],B274),2),"TRUE", ROUND(F274-SUMIFS(AN_TME22[[#All],[TOTAL Non-Truncated Unadjusted Claims Expenses]], AN_TME22[[#All],[Insurance Category Code]],6, AN_TME22[[#All],[Advanced Network/Insurance Carrier Org ID]],B274),2))</f>
        <v>TRUE</v>
      </c>
      <c r="L274" s="295" t="str">
        <f>IF(G274=ROUND(SUMIFS(AN_TME22[[#All],[TOTAL Truncated Unadjusted Claims Expenses (A21 -A19)]], AN_TME22[[#All],[Insurance Category Code]],6, AN_TME22[[#All],[Advanced Network/Insurance Carrier Org ID]],B274),2), "TRUE", ROUND(G274-SUMIFS(AN_TME22[[#All],[TOTAL Truncated Unadjusted Claims Expenses (A21 -A19)]], AN_TME22[[#All],[Insurance Category Code]],6, AN_TME22[[#All],[Advanced Network/Insurance Carrier Org ID]],B274),2))</f>
        <v>TRUE</v>
      </c>
      <c r="M274" s="461" t="str">
        <f t="shared" si="27"/>
        <v>TRUE</v>
      </c>
      <c r="N274" s="282" t="b">
        <f>ROUND(SUMIFS(AN_TME22[[#All],[TOTAL Non-Truncated Unadjusted Claims Expenses]], AN_TME22[[#All],[Insurance Category Code]],6, AN_TME22[[#All],[Advanced Network/Insurance Carrier Org ID]],B274),2)&gt;=ROUND(SUMIFS(AN_TME22[[#All],[TOTAL Truncated Unadjusted Claims Expenses (A21 -A19)]], AN_TME22[[#All],[Insurance Category Code]],6, AN_TME22[[#All],[Advanced Network/Insurance Carrier Org ID]],B274),2)</f>
        <v>1</v>
      </c>
      <c r="O274" s="295" t="b">
        <f>ROUND(SUMIFS(AN_TME22[[#All],[TOTAL Truncated Unadjusted Claims Expenses (A21 -A19)]], AN_TME22[[#All],[Insurance Category Code]],6, AN_TME22[[#All],[Advanced Network/Insurance Carrier Org ID]],B274)+SUMIFS(AN_TME22[[#All],[Total Claims Excluded because of Truncation]], AN_TME22[[#All],[Insurance Category Code]],6, AN_TME22[[#All],[Advanced Network/Insurance Carrier Org ID]],B274),2)=ROUND(SUMIFS(AN_TME22[[#All],[TOTAL Non-Truncated Unadjusted Claims Expenses]], AN_TME22[[#All],[Insurance Category Code]],6, AN_TME22[[#All],[Advanced Network/Insurance Carrier Org ID]],B274),2)</f>
        <v>1</v>
      </c>
      <c r="Q274" s="236">
        <v>101</v>
      </c>
      <c r="R274" s="463">
        <f>ROUND(SUMIFS(Age_Sex23[[#All],[Total Member Months by Age/Sex Band]], Age_Sex23[[#All],[Advanced Network ID]], $Q274, Age_Sex23[[#All],[Insurance Category Code]],6),2)</f>
        <v>0</v>
      </c>
      <c r="S274" s="268">
        <f>ROUND(SUMIFS(Age_Sex23[[#All],[Total Dollars Excluded from Spending After Applying Truncation at the Member Level]], Age_Sex23[[#All],[Advanced Network ID]], $B274, Age_Sex23[[#All],[Insurance Category Code]],6),2)</f>
        <v>0</v>
      </c>
      <c r="T274" s="229">
        <f>ROUND(SUMIFS(Age_Sex23[[#All],[Count of Members whose Spending was Truncated]], Age_Sex23[[#All],[Advanced Network ID]], $B274, Age_Sex23[[#All],[Insurance Category Code]],6),2)</f>
        <v>0</v>
      </c>
      <c r="U274" s="230">
        <f>ROUND(SUMIFS(Age_Sex23[[#All],[Total Spending before Truncation is Applied]], Age_Sex23[[#All],[Advanced Network ID]], $B274, Age_Sex23[[#All],[Insurance Category Code]],6),2)</f>
        <v>0</v>
      </c>
      <c r="V274" s="232">
        <f>ROUND(SUMIFS(Age_Sex23[[#All],[Total Spending After Applying Truncation at the Member Level]], Age_Sex23[[#All],[Advanced Network ID]], $B274, Age_Sex23[[#All],[Insurance Category Code]],6),2)</f>
        <v>0</v>
      </c>
      <c r="W274" s="416" t="str">
        <f>IF(R274=ROUND(SUMIFS(AN_TME23[[#All],[Member Months]], AN_TME23[[#All],[Insurance Category Code]],6, AN_TME23[[#All],[Advanced Network/Insurance Carrier Org ID]],Q274),2), "TRUE", ROUND(R274-SUMIFS(AN_TME23[[#All],[Member Months]], AN_TME23[[#All],[Insurance Category Code]],6, AN_TME23[[#All],[Advanced Network/Insurance Carrier Org ID]],Q274),2))</f>
        <v>TRUE</v>
      </c>
      <c r="X274" s="280" t="str">
        <f>IF(S274=ROUND(SUMIFS(AN_TME23[[#All],[Total Claims Excluded because of Truncation]], AN_TME23[[#All],[Insurance Category Code]],6, AN_TME23[[#All],[Advanced Network/Insurance Carrier Org ID]],Q274),2), "TRUE", ROUND(S274-SUMIFS(AN_TME23[[#All],[Total Claims Excluded because of Truncation]], AN_TME23[[#All],[Insurance Category Code]],6, AN_TME23[[#All],[Advanced Network/Insurance Carrier Org ID]],Q274),2))</f>
        <v>TRUE</v>
      </c>
      <c r="Y274" s="281" t="str">
        <f>IF(T274=ROUND(SUMIFS(AN_TME23[[#All],[Count of Members with Claims Truncated]], AN_TME23[[#All],[Insurance Category Code]],6, AN_TME23[[#All],[Advanced Network/Insurance Carrier Org ID]],Q274),2), "TRUE", ROUND(T274-SUMIFS(AN_TME23[[#All],[Count of Members with Claims Truncated]], AN_TME23[[#All],[Insurance Category Code]],6, AN_TME23[[#All],[Advanced Network/Insurance Carrier Org ID]],Q274),2))</f>
        <v>TRUE</v>
      </c>
      <c r="Z274" s="282" t="str">
        <f>IF(U274=ROUND(SUMIFS(AN_TME23[[#All],[TOTAL Non-Truncated Unadjusted Claims Expenses]], AN_TME23[[#All],[Insurance Category Code]],6, AN_TME23[[#All],[Advanced Network/Insurance Carrier Org ID]],Q274),2), "TRUE", ROUND(U274-SUMIFS(AN_TME23[[#All],[TOTAL Non-Truncated Unadjusted Claims Expenses]], AN_TME23[[#All],[Insurance Category Code]],6, AN_TME23[[#All],[Advanced Network/Insurance Carrier Org ID]],Q274),2))</f>
        <v>TRUE</v>
      </c>
      <c r="AA274" s="295" t="str">
        <f>IF(V274=ROUND(SUMIFS(AN_TME23[[#All],[TOTAL Truncated Unadjusted Claims Expenses (A21 -A19)]], AN_TME23[[#All],[Insurance Category Code]],6, AN_TME23[[#All],[Advanced Network/Insurance Carrier Org ID]],Q274),2), "TRUE", ROUND(V274-SUMIFS(AN_TME23[[#All],[TOTAL Truncated Unadjusted Claims Expenses (A21 -A19)]], AN_TME23[[#All],[Insurance Category Code]],6, AN_TME23[[#All],[Advanced Network/Insurance Carrier Org ID]],Q274),2))</f>
        <v>TRUE</v>
      </c>
      <c r="AB274" s="461" t="str">
        <f t="shared" ref="AB274:AB305" si="30">IF(T274=0, "TRUE",IF((R274/12)&gt;T274,"TRUE",(R274/12)-T274))</f>
        <v>TRUE</v>
      </c>
      <c r="AC274" s="282" t="b">
        <f>ROUND(SUMIFS(AN_TME23[[#All],[TOTAL Non-Truncated Unadjusted Claims Expenses]], AN_TME23[[#All],[Insurance Category Code]],6, AN_TME23[[#All],[Advanced Network/Insurance Carrier Org ID]],Q274),2)&gt;=ROUND(SUMIFS(AN_TME23[[#All],[TOTAL Truncated Unadjusted Claims Expenses (A21 -A19)]], AN_TME23[[#All],[Insurance Category Code]],6, AN_TME23[[#All],[Advanced Network/Insurance Carrier Org ID]],Q274),2)</f>
        <v>1</v>
      </c>
      <c r="AD274" s="295" t="b">
        <f>ROUND(SUMIFS(AN_TME23[[#All],[TOTAL Truncated Unadjusted Claims Expenses (A21 -A19)]], AN_TME23[[#All],[Insurance Category Code]],6, AN_TME23[[#All],[Advanced Network/Insurance Carrier Org ID]],Q274)+SUMIFS(AN_TME23[[#All],[Total Claims Excluded because of Truncation]], AN_TME23[[#All],[Insurance Category Code]],6, AN_TME23[[#All],[Advanced Network/Insurance Carrier Org ID]],Q274),2)=ROUND(SUMIFS(AN_TME23[[#All],[TOTAL Non-Truncated Unadjusted Claims Expenses]], AN_TME23[[#All],[Insurance Category Code]],6, AN_TME23[[#All],[Advanced Network/Insurance Carrier Org ID]],Q274),2)</f>
        <v>1</v>
      </c>
      <c r="AF274" s="323" t="str">
        <f t="shared" si="29"/>
        <v>NA</v>
      </c>
    </row>
    <row r="275" spans="2:32" outlineLevel="1" x14ac:dyDescent="0.25">
      <c r="B275" s="236">
        <v>102</v>
      </c>
      <c r="C275" s="463">
        <f>ROUND(SUMIFS(Age_Sex22[[#All],[Total Member Months by Age/Sex Band]], Age_Sex22[[#All],[Advanced Network ID]], $B275, Age_Sex22[[#All],[Insurance Category Code]],6),2)</f>
        <v>0</v>
      </c>
      <c r="D275" s="268">
        <f>ROUND(SUMIFS(Age_Sex22[[#All],[Total Dollars Excluded from Spending After Applying Truncation at the Member Level]], Age_Sex22[[#All],[Advanced Network ID]], $B275, Age_Sex22[[#All],[Insurance Category Code]],6),2)</f>
        <v>0</v>
      </c>
      <c r="E275" s="229">
        <f>ROUND(SUMIFS(Age_Sex22[[#All],[Count of Members whose Spending was Truncated]], Age_Sex22[[#All],[Advanced Network ID]], $B275, Age_Sex22[[#All],[Insurance Category Code]],6),2)</f>
        <v>0</v>
      </c>
      <c r="F275" s="230">
        <f>ROUND(SUMIFS(Age_Sex22[[#All],[Total Spending before Truncation is Applied]], Age_Sex22[[#All],[Advanced Network ID]], $B275, Age_Sex22[[#All],[Insurance Category Code]],6),2)</f>
        <v>0</v>
      </c>
      <c r="G275" s="232">
        <f>ROUND(SUMIFS(Age_Sex22[[#All],[Total Spending After Applying Truncation at the Member Level]], Age_Sex22[[#All],[Advanced Network ID]], $B275, Age_Sex22[[#All],[Insurance Category Code]],6),2)</f>
        <v>0</v>
      </c>
      <c r="H275" s="416" t="str">
        <f>IF(C275=ROUND(SUMIFS(AN_TME22[[#All],[Member Months]], AN_TME22[[#All],[Insurance Category Code]],6, AN_TME22[[#All],[Advanced Network/Insurance Carrier Org ID]],B275),2), "TRUE", ROUND(C275-SUMIFS(AN_TME22[[#All],[Member Months]], AN_TME22[[#All],[Insurance Category Code]],6, AN_TME22[[#All],[Advanced Network/Insurance Carrier Org ID]],B275),2))</f>
        <v>TRUE</v>
      </c>
      <c r="I275" s="280" t="str">
        <f>IF(D275=ROUND(SUMIFS(AN_TME22[[#All],[Total Claims Excluded because of Truncation]], AN_TME22[[#All],[Insurance Category Code]],6, AN_TME22[[#All],[Advanced Network/Insurance Carrier Org ID]],B275),2), "TRUE", ROUND(D275-SUMIFS(AN_TME22[[#All],[Total Claims Excluded because of Truncation]], AN_TME22[[#All],[Insurance Category Code]],6, AN_TME22[[#All],[Advanced Network/Insurance Carrier Org ID]],B275),2))</f>
        <v>TRUE</v>
      </c>
      <c r="J275" s="281" t="str">
        <f>IF(E275=ROUND(SUMIFS(AN_TME22[[#All],[Count of Members with Claims Truncated]], AN_TME22[[#All],[Insurance Category Code]],6, AN_TME22[[#All],[Advanced Network/Insurance Carrier Org ID]],B275),2), "TRUE", ROUND(E275-SUMIFS(AN_TME22[[#All],[Count of Members with Claims Truncated]], AN_TME22[[#All],[Insurance Category Code]],6, AN_TME22[[#All],[Advanced Network/Insurance Carrier Org ID]],B275),2))</f>
        <v>TRUE</v>
      </c>
      <c r="K275" s="282" t="str">
        <f>IF(F275=ROUND(SUMIFS(AN_TME22[[#All],[TOTAL Non-Truncated Unadjusted Claims Expenses]], AN_TME22[[#All],[Insurance Category Code]],6, AN_TME22[[#All],[Advanced Network/Insurance Carrier Org ID]],B275),2),"TRUE", ROUND(F275-SUMIFS(AN_TME22[[#All],[TOTAL Non-Truncated Unadjusted Claims Expenses]], AN_TME22[[#All],[Insurance Category Code]],6, AN_TME22[[#All],[Advanced Network/Insurance Carrier Org ID]],B275),2))</f>
        <v>TRUE</v>
      </c>
      <c r="L275" s="295" t="str">
        <f>IF(G275=ROUND(SUMIFS(AN_TME22[[#All],[TOTAL Truncated Unadjusted Claims Expenses (A21 -A19)]], AN_TME22[[#All],[Insurance Category Code]],6, AN_TME22[[#All],[Advanced Network/Insurance Carrier Org ID]],B275),2), "TRUE", ROUND(G275-SUMIFS(AN_TME22[[#All],[TOTAL Truncated Unadjusted Claims Expenses (A21 -A19)]], AN_TME22[[#All],[Insurance Category Code]],6, AN_TME22[[#All],[Advanced Network/Insurance Carrier Org ID]],B275),2))</f>
        <v>TRUE</v>
      </c>
      <c r="M275" s="461" t="str">
        <f t="shared" si="27"/>
        <v>TRUE</v>
      </c>
      <c r="N275" s="282" t="b">
        <f>ROUND(SUMIFS(AN_TME22[[#All],[TOTAL Non-Truncated Unadjusted Claims Expenses]], AN_TME22[[#All],[Insurance Category Code]],6, AN_TME22[[#All],[Advanced Network/Insurance Carrier Org ID]],B275),2)&gt;=ROUND(SUMIFS(AN_TME22[[#All],[TOTAL Truncated Unadjusted Claims Expenses (A21 -A19)]], AN_TME22[[#All],[Insurance Category Code]],6, AN_TME22[[#All],[Advanced Network/Insurance Carrier Org ID]],B275),2)</f>
        <v>1</v>
      </c>
      <c r="O275" s="295" t="b">
        <f>ROUND(SUMIFS(AN_TME22[[#All],[TOTAL Truncated Unadjusted Claims Expenses (A21 -A19)]], AN_TME22[[#All],[Insurance Category Code]],6, AN_TME22[[#All],[Advanced Network/Insurance Carrier Org ID]],B275)+SUMIFS(AN_TME22[[#All],[Total Claims Excluded because of Truncation]], AN_TME22[[#All],[Insurance Category Code]],6, AN_TME22[[#All],[Advanced Network/Insurance Carrier Org ID]],B275),2)=ROUND(SUMIFS(AN_TME22[[#All],[TOTAL Non-Truncated Unadjusted Claims Expenses]], AN_TME22[[#All],[Insurance Category Code]],6, AN_TME22[[#All],[Advanced Network/Insurance Carrier Org ID]],B275),2)</f>
        <v>1</v>
      </c>
      <c r="Q275" s="236">
        <v>102</v>
      </c>
      <c r="R275" s="463">
        <f>ROUND(SUMIFS(Age_Sex23[[#All],[Total Member Months by Age/Sex Band]], Age_Sex23[[#All],[Advanced Network ID]], $Q275, Age_Sex23[[#All],[Insurance Category Code]],6),2)</f>
        <v>0</v>
      </c>
      <c r="S275" s="268">
        <f>ROUND(SUMIFS(Age_Sex23[[#All],[Total Dollars Excluded from Spending After Applying Truncation at the Member Level]], Age_Sex23[[#All],[Advanced Network ID]], $B275, Age_Sex23[[#All],[Insurance Category Code]],6),2)</f>
        <v>0</v>
      </c>
      <c r="T275" s="229">
        <f>ROUND(SUMIFS(Age_Sex23[[#All],[Count of Members whose Spending was Truncated]], Age_Sex23[[#All],[Advanced Network ID]], $B275, Age_Sex23[[#All],[Insurance Category Code]],6),2)</f>
        <v>0</v>
      </c>
      <c r="U275" s="230">
        <f>ROUND(SUMIFS(Age_Sex23[[#All],[Total Spending before Truncation is Applied]], Age_Sex23[[#All],[Advanced Network ID]], $B275, Age_Sex23[[#All],[Insurance Category Code]],6),2)</f>
        <v>0</v>
      </c>
      <c r="V275" s="232">
        <f>ROUND(SUMIFS(Age_Sex23[[#All],[Total Spending After Applying Truncation at the Member Level]], Age_Sex23[[#All],[Advanced Network ID]], $B275, Age_Sex23[[#All],[Insurance Category Code]],6),2)</f>
        <v>0</v>
      </c>
      <c r="W275" s="416" t="str">
        <f>IF(R275=ROUND(SUMIFS(AN_TME23[[#All],[Member Months]], AN_TME23[[#All],[Insurance Category Code]],6, AN_TME23[[#All],[Advanced Network/Insurance Carrier Org ID]],Q275),2), "TRUE", ROUND(R275-SUMIFS(AN_TME23[[#All],[Member Months]], AN_TME23[[#All],[Insurance Category Code]],6, AN_TME23[[#All],[Advanced Network/Insurance Carrier Org ID]],Q275),2))</f>
        <v>TRUE</v>
      </c>
      <c r="X275" s="280" t="str">
        <f>IF(S275=ROUND(SUMIFS(AN_TME23[[#All],[Total Claims Excluded because of Truncation]], AN_TME23[[#All],[Insurance Category Code]],6, AN_TME23[[#All],[Advanced Network/Insurance Carrier Org ID]],Q275),2), "TRUE", ROUND(S275-SUMIFS(AN_TME23[[#All],[Total Claims Excluded because of Truncation]], AN_TME23[[#All],[Insurance Category Code]],6, AN_TME23[[#All],[Advanced Network/Insurance Carrier Org ID]],Q275),2))</f>
        <v>TRUE</v>
      </c>
      <c r="Y275" s="281" t="str">
        <f>IF(T275=ROUND(SUMIFS(AN_TME23[[#All],[Count of Members with Claims Truncated]], AN_TME23[[#All],[Insurance Category Code]],6, AN_TME23[[#All],[Advanced Network/Insurance Carrier Org ID]],Q275),2), "TRUE", ROUND(T275-SUMIFS(AN_TME23[[#All],[Count of Members with Claims Truncated]], AN_TME23[[#All],[Insurance Category Code]],6, AN_TME23[[#All],[Advanced Network/Insurance Carrier Org ID]],Q275),2))</f>
        <v>TRUE</v>
      </c>
      <c r="Z275" s="282" t="str">
        <f>IF(U275=ROUND(SUMIFS(AN_TME23[[#All],[TOTAL Non-Truncated Unadjusted Claims Expenses]], AN_TME23[[#All],[Insurance Category Code]],6, AN_TME23[[#All],[Advanced Network/Insurance Carrier Org ID]],Q275),2), "TRUE", ROUND(U275-SUMIFS(AN_TME23[[#All],[TOTAL Non-Truncated Unadjusted Claims Expenses]], AN_TME23[[#All],[Insurance Category Code]],6, AN_TME23[[#All],[Advanced Network/Insurance Carrier Org ID]],Q275),2))</f>
        <v>TRUE</v>
      </c>
      <c r="AA275" s="295" t="str">
        <f>IF(V275=ROUND(SUMIFS(AN_TME23[[#All],[TOTAL Truncated Unadjusted Claims Expenses (A21 -A19)]], AN_TME23[[#All],[Insurance Category Code]],6, AN_TME23[[#All],[Advanced Network/Insurance Carrier Org ID]],Q275),2), "TRUE", ROUND(V275-SUMIFS(AN_TME23[[#All],[TOTAL Truncated Unadjusted Claims Expenses (A21 -A19)]], AN_TME23[[#All],[Insurance Category Code]],6, AN_TME23[[#All],[Advanced Network/Insurance Carrier Org ID]],Q275),2))</f>
        <v>TRUE</v>
      </c>
      <c r="AB275" s="461" t="str">
        <f t="shared" si="30"/>
        <v>TRUE</v>
      </c>
      <c r="AC275" s="282" t="b">
        <f>ROUND(SUMIFS(AN_TME23[[#All],[TOTAL Non-Truncated Unadjusted Claims Expenses]], AN_TME23[[#All],[Insurance Category Code]],6, AN_TME23[[#All],[Advanced Network/Insurance Carrier Org ID]],Q275),2)&gt;=ROUND(SUMIFS(AN_TME23[[#All],[TOTAL Truncated Unadjusted Claims Expenses (A21 -A19)]], AN_TME23[[#All],[Insurance Category Code]],6, AN_TME23[[#All],[Advanced Network/Insurance Carrier Org ID]],Q275),2)</f>
        <v>1</v>
      </c>
      <c r="AD275" s="295" t="b">
        <f>ROUND(SUMIFS(AN_TME23[[#All],[TOTAL Truncated Unadjusted Claims Expenses (A21 -A19)]], AN_TME23[[#All],[Insurance Category Code]],6, AN_TME23[[#All],[Advanced Network/Insurance Carrier Org ID]],Q275)+SUMIFS(AN_TME23[[#All],[Total Claims Excluded because of Truncation]], AN_TME23[[#All],[Insurance Category Code]],6, AN_TME23[[#All],[Advanced Network/Insurance Carrier Org ID]],Q275),2)=ROUND(SUMIFS(AN_TME23[[#All],[TOTAL Non-Truncated Unadjusted Claims Expenses]], AN_TME23[[#All],[Insurance Category Code]],6, AN_TME23[[#All],[Advanced Network/Insurance Carrier Org ID]],Q275),2)</f>
        <v>1</v>
      </c>
      <c r="AF275" s="323" t="str">
        <f t="shared" si="29"/>
        <v>NA</v>
      </c>
    </row>
    <row r="276" spans="2:32" outlineLevel="1" x14ac:dyDescent="0.25">
      <c r="B276" s="236">
        <v>103</v>
      </c>
      <c r="C276" s="463">
        <f>ROUND(SUMIFS(Age_Sex22[[#All],[Total Member Months by Age/Sex Band]], Age_Sex22[[#All],[Advanced Network ID]], $B276, Age_Sex22[[#All],[Insurance Category Code]],6),2)</f>
        <v>0</v>
      </c>
      <c r="D276" s="268">
        <f>ROUND(SUMIFS(Age_Sex22[[#All],[Total Dollars Excluded from Spending After Applying Truncation at the Member Level]], Age_Sex22[[#All],[Advanced Network ID]], $B276, Age_Sex22[[#All],[Insurance Category Code]],6),2)</f>
        <v>0</v>
      </c>
      <c r="E276" s="229">
        <f>ROUND(SUMIFS(Age_Sex22[[#All],[Count of Members whose Spending was Truncated]], Age_Sex22[[#All],[Advanced Network ID]], $B276, Age_Sex22[[#All],[Insurance Category Code]],6),2)</f>
        <v>0</v>
      </c>
      <c r="F276" s="230">
        <f>ROUND(SUMIFS(Age_Sex22[[#All],[Total Spending before Truncation is Applied]], Age_Sex22[[#All],[Advanced Network ID]], $B276, Age_Sex22[[#All],[Insurance Category Code]],6),2)</f>
        <v>0</v>
      </c>
      <c r="G276" s="232">
        <f>ROUND(SUMIFS(Age_Sex22[[#All],[Total Spending After Applying Truncation at the Member Level]], Age_Sex22[[#All],[Advanced Network ID]], $B276, Age_Sex22[[#All],[Insurance Category Code]],6),2)</f>
        <v>0</v>
      </c>
      <c r="H276" s="416" t="str">
        <f>IF(C276=ROUND(SUMIFS(AN_TME22[[#All],[Member Months]], AN_TME22[[#All],[Insurance Category Code]],6, AN_TME22[[#All],[Advanced Network/Insurance Carrier Org ID]],B276),2), "TRUE", ROUND(C276-SUMIFS(AN_TME22[[#All],[Member Months]], AN_TME22[[#All],[Insurance Category Code]],6, AN_TME22[[#All],[Advanced Network/Insurance Carrier Org ID]],B276),2))</f>
        <v>TRUE</v>
      </c>
      <c r="I276" s="280" t="str">
        <f>IF(D276=ROUND(SUMIFS(AN_TME22[[#All],[Total Claims Excluded because of Truncation]], AN_TME22[[#All],[Insurance Category Code]],6, AN_TME22[[#All],[Advanced Network/Insurance Carrier Org ID]],B276),2), "TRUE", ROUND(D276-SUMIFS(AN_TME22[[#All],[Total Claims Excluded because of Truncation]], AN_TME22[[#All],[Insurance Category Code]],6, AN_TME22[[#All],[Advanced Network/Insurance Carrier Org ID]],B276),2))</f>
        <v>TRUE</v>
      </c>
      <c r="J276" s="281" t="str">
        <f>IF(E276=ROUND(SUMIFS(AN_TME22[[#All],[Count of Members with Claims Truncated]], AN_TME22[[#All],[Insurance Category Code]],6, AN_TME22[[#All],[Advanced Network/Insurance Carrier Org ID]],B276),2), "TRUE", ROUND(E276-SUMIFS(AN_TME22[[#All],[Count of Members with Claims Truncated]], AN_TME22[[#All],[Insurance Category Code]],6, AN_TME22[[#All],[Advanced Network/Insurance Carrier Org ID]],B276),2))</f>
        <v>TRUE</v>
      </c>
      <c r="K276" s="282" t="str">
        <f>IF(F276=ROUND(SUMIFS(AN_TME22[[#All],[TOTAL Non-Truncated Unadjusted Claims Expenses]], AN_TME22[[#All],[Insurance Category Code]],6, AN_TME22[[#All],[Advanced Network/Insurance Carrier Org ID]],B276),2),"TRUE", ROUND(F276-SUMIFS(AN_TME22[[#All],[TOTAL Non-Truncated Unadjusted Claims Expenses]], AN_TME22[[#All],[Insurance Category Code]],6, AN_TME22[[#All],[Advanced Network/Insurance Carrier Org ID]],B276),2))</f>
        <v>TRUE</v>
      </c>
      <c r="L276" s="295" t="str">
        <f>IF(G276=ROUND(SUMIFS(AN_TME22[[#All],[TOTAL Truncated Unadjusted Claims Expenses (A21 -A19)]], AN_TME22[[#All],[Insurance Category Code]],6, AN_TME22[[#All],[Advanced Network/Insurance Carrier Org ID]],B276),2), "TRUE", ROUND(G276-SUMIFS(AN_TME22[[#All],[TOTAL Truncated Unadjusted Claims Expenses (A21 -A19)]], AN_TME22[[#All],[Insurance Category Code]],6, AN_TME22[[#All],[Advanced Network/Insurance Carrier Org ID]],B276),2))</f>
        <v>TRUE</v>
      </c>
      <c r="M276" s="461" t="str">
        <f t="shared" si="27"/>
        <v>TRUE</v>
      </c>
      <c r="N276" s="282" t="b">
        <f>ROUND(SUMIFS(AN_TME22[[#All],[TOTAL Non-Truncated Unadjusted Claims Expenses]], AN_TME22[[#All],[Insurance Category Code]],6, AN_TME22[[#All],[Advanced Network/Insurance Carrier Org ID]],B276),2)&gt;=ROUND(SUMIFS(AN_TME22[[#All],[TOTAL Truncated Unadjusted Claims Expenses (A21 -A19)]], AN_TME22[[#All],[Insurance Category Code]],6, AN_TME22[[#All],[Advanced Network/Insurance Carrier Org ID]],B276),2)</f>
        <v>1</v>
      </c>
      <c r="O276" s="295" t="b">
        <f>ROUND(SUMIFS(AN_TME22[[#All],[TOTAL Truncated Unadjusted Claims Expenses (A21 -A19)]], AN_TME22[[#All],[Insurance Category Code]],6, AN_TME22[[#All],[Advanced Network/Insurance Carrier Org ID]],B276)+SUMIFS(AN_TME22[[#All],[Total Claims Excluded because of Truncation]], AN_TME22[[#All],[Insurance Category Code]],6, AN_TME22[[#All],[Advanced Network/Insurance Carrier Org ID]],B276),2)=ROUND(SUMIFS(AN_TME22[[#All],[TOTAL Non-Truncated Unadjusted Claims Expenses]], AN_TME22[[#All],[Insurance Category Code]],6, AN_TME22[[#All],[Advanced Network/Insurance Carrier Org ID]],B276),2)</f>
        <v>1</v>
      </c>
      <c r="Q276" s="236">
        <v>103</v>
      </c>
      <c r="R276" s="463">
        <f>ROUND(SUMIFS(Age_Sex23[[#All],[Total Member Months by Age/Sex Band]], Age_Sex23[[#All],[Advanced Network ID]], $Q276, Age_Sex23[[#All],[Insurance Category Code]],6),2)</f>
        <v>0</v>
      </c>
      <c r="S276" s="268">
        <f>ROUND(SUMIFS(Age_Sex23[[#All],[Total Dollars Excluded from Spending After Applying Truncation at the Member Level]], Age_Sex23[[#All],[Advanced Network ID]], $B276, Age_Sex23[[#All],[Insurance Category Code]],6),2)</f>
        <v>0</v>
      </c>
      <c r="T276" s="229">
        <f>ROUND(SUMIFS(Age_Sex23[[#All],[Count of Members whose Spending was Truncated]], Age_Sex23[[#All],[Advanced Network ID]], $B276, Age_Sex23[[#All],[Insurance Category Code]],6),2)</f>
        <v>0</v>
      </c>
      <c r="U276" s="230">
        <f>ROUND(SUMIFS(Age_Sex23[[#All],[Total Spending before Truncation is Applied]], Age_Sex23[[#All],[Advanced Network ID]], $B276, Age_Sex23[[#All],[Insurance Category Code]],6),2)</f>
        <v>0</v>
      </c>
      <c r="V276" s="232">
        <f>ROUND(SUMIFS(Age_Sex23[[#All],[Total Spending After Applying Truncation at the Member Level]], Age_Sex23[[#All],[Advanced Network ID]], $B276, Age_Sex23[[#All],[Insurance Category Code]],6),2)</f>
        <v>0</v>
      </c>
      <c r="W276" s="416" t="str">
        <f>IF(R276=ROUND(SUMIFS(AN_TME23[[#All],[Member Months]], AN_TME23[[#All],[Insurance Category Code]],6, AN_TME23[[#All],[Advanced Network/Insurance Carrier Org ID]],Q276),2), "TRUE", ROUND(R276-SUMIFS(AN_TME23[[#All],[Member Months]], AN_TME23[[#All],[Insurance Category Code]],6, AN_TME23[[#All],[Advanced Network/Insurance Carrier Org ID]],Q276),2))</f>
        <v>TRUE</v>
      </c>
      <c r="X276" s="280" t="str">
        <f>IF(S276=ROUND(SUMIFS(AN_TME23[[#All],[Total Claims Excluded because of Truncation]], AN_TME23[[#All],[Insurance Category Code]],6, AN_TME23[[#All],[Advanced Network/Insurance Carrier Org ID]],Q276),2), "TRUE", ROUND(S276-SUMIFS(AN_TME23[[#All],[Total Claims Excluded because of Truncation]], AN_TME23[[#All],[Insurance Category Code]],6, AN_TME23[[#All],[Advanced Network/Insurance Carrier Org ID]],Q276),2))</f>
        <v>TRUE</v>
      </c>
      <c r="Y276" s="281" t="str">
        <f>IF(T276=ROUND(SUMIFS(AN_TME23[[#All],[Count of Members with Claims Truncated]], AN_TME23[[#All],[Insurance Category Code]],6, AN_TME23[[#All],[Advanced Network/Insurance Carrier Org ID]],Q276),2), "TRUE", ROUND(T276-SUMIFS(AN_TME23[[#All],[Count of Members with Claims Truncated]], AN_TME23[[#All],[Insurance Category Code]],6, AN_TME23[[#All],[Advanced Network/Insurance Carrier Org ID]],Q276),2))</f>
        <v>TRUE</v>
      </c>
      <c r="Z276" s="282" t="str">
        <f>IF(U276=ROUND(SUMIFS(AN_TME23[[#All],[TOTAL Non-Truncated Unadjusted Claims Expenses]], AN_TME23[[#All],[Insurance Category Code]],6, AN_TME23[[#All],[Advanced Network/Insurance Carrier Org ID]],Q276),2), "TRUE", ROUND(U276-SUMIFS(AN_TME23[[#All],[TOTAL Non-Truncated Unadjusted Claims Expenses]], AN_TME23[[#All],[Insurance Category Code]],6, AN_TME23[[#All],[Advanced Network/Insurance Carrier Org ID]],Q276),2))</f>
        <v>TRUE</v>
      </c>
      <c r="AA276" s="295" t="str">
        <f>IF(V276=ROUND(SUMIFS(AN_TME23[[#All],[TOTAL Truncated Unadjusted Claims Expenses (A21 -A19)]], AN_TME23[[#All],[Insurance Category Code]],6, AN_TME23[[#All],[Advanced Network/Insurance Carrier Org ID]],Q276),2), "TRUE", ROUND(V276-SUMIFS(AN_TME23[[#All],[TOTAL Truncated Unadjusted Claims Expenses (A21 -A19)]], AN_TME23[[#All],[Insurance Category Code]],6, AN_TME23[[#All],[Advanced Network/Insurance Carrier Org ID]],Q276),2))</f>
        <v>TRUE</v>
      </c>
      <c r="AB276" s="461" t="str">
        <f t="shared" si="30"/>
        <v>TRUE</v>
      </c>
      <c r="AC276" s="282" t="b">
        <f>ROUND(SUMIFS(AN_TME23[[#All],[TOTAL Non-Truncated Unadjusted Claims Expenses]], AN_TME23[[#All],[Insurance Category Code]],6, AN_TME23[[#All],[Advanced Network/Insurance Carrier Org ID]],Q276),2)&gt;=ROUND(SUMIFS(AN_TME23[[#All],[TOTAL Truncated Unadjusted Claims Expenses (A21 -A19)]], AN_TME23[[#All],[Insurance Category Code]],6, AN_TME23[[#All],[Advanced Network/Insurance Carrier Org ID]],Q276),2)</f>
        <v>1</v>
      </c>
      <c r="AD276" s="295" t="b">
        <f>ROUND(SUMIFS(AN_TME23[[#All],[TOTAL Truncated Unadjusted Claims Expenses (A21 -A19)]], AN_TME23[[#All],[Insurance Category Code]],6, AN_TME23[[#All],[Advanced Network/Insurance Carrier Org ID]],Q276)+SUMIFS(AN_TME23[[#All],[Total Claims Excluded because of Truncation]], AN_TME23[[#All],[Insurance Category Code]],6, AN_TME23[[#All],[Advanced Network/Insurance Carrier Org ID]],Q276),2)=ROUND(SUMIFS(AN_TME23[[#All],[TOTAL Non-Truncated Unadjusted Claims Expenses]], AN_TME23[[#All],[Insurance Category Code]],6, AN_TME23[[#All],[Advanced Network/Insurance Carrier Org ID]],Q276),2)</f>
        <v>1</v>
      </c>
      <c r="AF276" s="323" t="str">
        <f t="shared" si="29"/>
        <v>NA</v>
      </c>
    </row>
    <row r="277" spans="2:32" outlineLevel="1" x14ac:dyDescent="0.25">
      <c r="B277" s="236">
        <v>104</v>
      </c>
      <c r="C277" s="463">
        <f>ROUND(SUMIFS(Age_Sex22[[#All],[Total Member Months by Age/Sex Band]], Age_Sex22[[#All],[Advanced Network ID]], $B277, Age_Sex22[[#All],[Insurance Category Code]],6),2)</f>
        <v>0</v>
      </c>
      <c r="D277" s="268">
        <f>ROUND(SUMIFS(Age_Sex22[[#All],[Total Dollars Excluded from Spending After Applying Truncation at the Member Level]], Age_Sex22[[#All],[Advanced Network ID]], $B277, Age_Sex22[[#All],[Insurance Category Code]],6),2)</f>
        <v>0</v>
      </c>
      <c r="E277" s="229">
        <f>ROUND(SUMIFS(Age_Sex22[[#All],[Count of Members whose Spending was Truncated]], Age_Sex22[[#All],[Advanced Network ID]], $B277, Age_Sex22[[#All],[Insurance Category Code]],6),2)</f>
        <v>0</v>
      </c>
      <c r="F277" s="230">
        <f>ROUND(SUMIFS(Age_Sex22[[#All],[Total Spending before Truncation is Applied]], Age_Sex22[[#All],[Advanced Network ID]], $B277, Age_Sex22[[#All],[Insurance Category Code]],6),2)</f>
        <v>0</v>
      </c>
      <c r="G277" s="232">
        <f>ROUND(SUMIFS(Age_Sex22[[#All],[Total Spending After Applying Truncation at the Member Level]], Age_Sex22[[#All],[Advanced Network ID]], $B277, Age_Sex22[[#All],[Insurance Category Code]],6),2)</f>
        <v>0</v>
      </c>
      <c r="H277" s="416" t="str">
        <f>IF(C277=ROUND(SUMIFS(AN_TME22[[#All],[Member Months]], AN_TME22[[#All],[Insurance Category Code]],6, AN_TME22[[#All],[Advanced Network/Insurance Carrier Org ID]],B277),2), "TRUE", ROUND(C277-SUMIFS(AN_TME22[[#All],[Member Months]], AN_TME22[[#All],[Insurance Category Code]],6, AN_TME22[[#All],[Advanced Network/Insurance Carrier Org ID]],B277),2))</f>
        <v>TRUE</v>
      </c>
      <c r="I277" s="280" t="str">
        <f>IF(D277=ROUND(SUMIFS(AN_TME22[[#All],[Total Claims Excluded because of Truncation]], AN_TME22[[#All],[Insurance Category Code]],6, AN_TME22[[#All],[Advanced Network/Insurance Carrier Org ID]],B277),2), "TRUE", ROUND(D277-SUMIFS(AN_TME22[[#All],[Total Claims Excluded because of Truncation]], AN_TME22[[#All],[Insurance Category Code]],6, AN_TME22[[#All],[Advanced Network/Insurance Carrier Org ID]],B277),2))</f>
        <v>TRUE</v>
      </c>
      <c r="J277" s="281" t="str">
        <f>IF(E277=ROUND(SUMIFS(AN_TME22[[#All],[Count of Members with Claims Truncated]], AN_TME22[[#All],[Insurance Category Code]],6, AN_TME22[[#All],[Advanced Network/Insurance Carrier Org ID]],B277),2), "TRUE", ROUND(E277-SUMIFS(AN_TME22[[#All],[Count of Members with Claims Truncated]], AN_TME22[[#All],[Insurance Category Code]],6, AN_TME22[[#All],[Advanced Network/Insurance Carrier Org ID]],B277),2))</f>
        <v>TRUE</v>
      </c>
      <c r="K277" s="282" t="str">
        <f>IF(F277=ROUND(SUMIFS(AN_TME22[[#All],[TOTAL Non-Truncated Unadjusted Claims Expenses]], AN_TME22[[#All],[Insurance Category Code]],6, AN_TME22[[#All],[Advanced Network/Insurance Carrier Org ID]],B277),2),"TRUE", ROUND(F277-SUMIFS(AN_TME22[[#All],[TOTAL Non-Truncated Unadjusted Claims Expenses]], AN_TME22[[#All],[Insurance Category Code]],6, AN_TME22[[#All],[Advanced Network/Insurance Carrier Org ID]],B277),2))</f>
        <v>TRUE</v>
      </c>
      <c r="L277" s="295" t="str">
        <f>IF(G277=ROUND(SUMIFS(AN_TME22[[#All],[TOTAL Truncated Unadjusted Claims Expenses (A21 -A19)]], AN_TME22[[#All],[Insurance Category Code]],6, AN_TME22[[#All],[Advanced Network/Insurance Carrier Org ID]],B277),2), "TRUE", ROUND(G277-SUMIFS(AN_TME22[[#All],[TOTAL Truncated Unadjusted Claims Expenses (A21 -A19)]], AN_TME22[[#All],[Insurance Category Code]],6, AN_TME22[[#All],[Advanced Network/Insurance Carrier Org ID]],B277),2))</f>
        <v>TRUE</v>
      </c>
      <c r="M277" s="461" t="str">
        <f t="shared" si="27"/>
        <v>TRUE</v>
      </c>
      <c r="N277" s="282" t="b">
        <f>ROUND(SUMIFS(AN_TME22[[#All],[TOTAL Non-Truncated Unadjusted Claims Expenses]], AN_TME22[[#All],[Insurance Category Code]],6, AN_TME22[[#All],[Advanced Network/Insurance Carrier Org ID]],B277),2)&gt;=ROUND(SUMIFS(AN_TME22[[#All],[TOTAL Truncated Unadjusted Claims Expenses (A21 -A19)]], AN_TME22[[#All],[Insurance Category Code]],6, AN_TME22[[#All],[Advanced Network/Insurance Carrier Org ID]],B277),2)</f>
        <v>1</v>
      </c>
      <c r="O277" s="295" t="b">
        <f>ROUND(SUMIFS(AN_TME22[[#All],[TOTAL Truncated Unadjusted Claims Expenses (A21 -A19)]], AN_TME22[[#All],[Insurance Category Code]],6, AN_TME22[[#All],[Advanced Network/Insurance Carrier Org ID]],B277)+SUMIFS(AN_TME22[[#All],[Total Claims Excluded because of Truncation]], AN_TME22[[#All],[Insurance Category Code]],6, AN_TME22[[#All],[Advanced Network/Insurance Carrier Org ID]],B277),2)=ROUND(SUMIFS(AN_TME22[[#All],[TOTAL Non-Truncated Unadjusted Claims Expenses]], AN_TME22[[#All],[Insurance Category Code]],6, AN_TME22[[#All],[Advanced Network/Insurance Carrier Org ID]],B277),2)</f>
        <v>1</v>
      </c>
      <c r="Q277" s="236">
        <v>104</v>
      </c>
      <c r="R277" s="463">
        <f>ROUND(SUMIFS(Age_Sex23[[#All],[Total Member Months by Age/Sex Band]], Age_Sex23[[#All],[Advanced Network ID]], $Q277, Age_Sex23[[#All],[Insurance Category Code]],6),2)</f>
        <v>0</v>
      </c>
      <c r="S277" s="268">
        <f>ROUND(SUMIFS(Age_Sex23[[#All],[Total Dollars Excluded from Spending After Applying Truncation at the Member Level]], Age_Sex23[[#All],[Advanced Network ID]], $B277, Age_Sex23[[#All],[Insurance Category Code]],6),2)</f>
        <v>0</v>
      </c>
      <c r="T277" s="229">
        <f>ROUND(SUMIFS(Age_Sex23[[#All],[Count of Members whose Spending was Truncated]], Age_Sex23[[#All],[Advanced Network ID]], $B277, Age_Sex23[[#All],[Insurance Category Code]],6),2)</f>
        <v>0</v>
      </c>
      <c r="U277" s="230">
        <f>ROUND(SUMIFS(Age_Sex23[[#All],[Total Spending before Truncation is Applied]], Age_Sex23[[#All],[Advanced Network ID]], $B277, Age_Sex23[[#All],[Insurance Category Code]],6),2)</f>
        <v>0</v>
      </c>
      <c r="V277" s="232">
        <f>ROUND(SUMIFS(Age_Sex23[[#All],[Total Spending After Applying Truncation at the Member Level]], Age_Sex23[[#All],[Advanced Network ID]], $B277, Age_Sex23[[#All],[Insurance Category Code]],6),2)</f>
        <v>0</v>
      </c>
      <c r="W277" s="416" t="str">
        <f>IF(R277=ROUND(SUMIFS(AN_TME23[[#All],[Member Months]], AN_TME23[[#All],[Insurance Category Code]],6, AN_TME23[[#All],[Advanced Network/Insurance Carrier Org ID]],Q277),2), "TRUE", ROUND(R277-SUMIFS(AN_TME23[[#All],[Member Months]], AN_TME23[[#All],[Insurance Category Code]],6, AN_TME23[[#All],[Advanced Network/Insurance Carrier Org ID]],Q277),2))</f>
        <v>TRUE</v>
      </c>
      <c r="X277" s="280" t="str">
        <f>IF(S277=ROUND(SUMIFS(AN_TME23[[#All],[Total Claims Excluded because of Truncation]], AN_TME23[[#All],[Insurance Category Code]],6, AN_TME23[[#All],[Advanced Network/Insurance Carrier Org ID]],Q277),2), "TRUE", ROUND(S277-SUMIFS(AN_TME23[[#All],[Total Claims Excluded because of Truncation]], AN_TME23[[#All],[Insurance Category Code]],6, AN_TME23[[#All],[Advanced Network/Insurance Carrier Org ID]],Q277),2))</f>
        <v>TRUE</v>
      </c>
      <c r="Y277" s="281" t="str">
        <f>IF(T277=ROUND(SUMIFS(AN_TME23[[#All],[Count of Members with Claims Truncated]], AN_TME23[[#All],[Insurance Category Code]],6, AN_TME23[[#All],[Advanced Network/Insurance Carrier Org ID]],Q277),2), "TRUE", ROUND(T277-SUMIFS(AN_TME23[[#All],[Count of Members with Claims Truncated]], AN_TME23[[#All],[Insurance Category Code]],6, AN_TME23[[#All],[Advanced Network/Insurance Carrier Org ID]],Q277),2))</f>
        <v>TRUE</v>
      </c>
      <c r="Z277" s="282" t="str">
        <f>IF(U277=ROUND(SUMIFS(AN_TME23[[#All],[TOTAL Non-Truncated Unadjusted Claims Expenses]], AN_TME23[[#All],[Insurance Category Code]],6, AN_TME23[[#All],[Advanced Network/Insurance Carrier Org ID]],Q277),2), "TRUE", ROUND(U277-SUMIFS(AN_TME23[[#All],[TOTAL Non-Truncated Unadjusted Claims Expenses]], AN_TME23[[#All],[Insurance Category Code]],6, AN_TME23[[#All],[Advanced Network/Insurance Carrier Org ID]],Q277),2))</f>
        <v>TRUE</v>
      </c>
      <c r="AA277" s="295" t="str">
        <f>IF(V277=ROUND(SUMIFS(AN_TME23[[#All],[TOTAL Truncated Unadjusted Claims Expenses (A21 -A19)]], AN_TME23[[#All],[Insurance Category Code]],6, AN_TME23[[#All],[Advanced Network/Insurance Carrier Org ID]],Q277),2), "TRUE", ROUND(V277-SUMIFS(AN_TME23[[#All],[TOTAL Truncated Unadjusted Claims Expenses (A21 -A19)]], AN_TME23[[#All],[Insurance Category Code]],6, AN_TME23[[#All],[Advanced Network/Insurance Carrier Org ID]],Q277),2))</f>
        <v>TRUE</v>
      </c>
      <c r="AB277" s="461" t="str">
        <f t="shared" si="30"/>
        <v>TRUE</v>
      </c>
      <c r="AC277" s="282" t="b">
        <f>ROUND(SUMIFS(AN_TME23[[#All],[TOTAL Non-Truncated Unadjusted Claims Expenses]], AN_TME23[[#All],[Insurance Category Code]],6, AN_TME23[[#All],[Advanced Network/Insurance Carrier Org ID]],Q277),2)&gt;=ROUND(SUMIFS(AN_TME23[[#All],[TOTAL Truncated Unadjusted Claims Expenses (A21 -A19)]], AN_TME23[[#All],[Insurance Category Code]],6, AN_TME23[[#All],[Advanced Network/Insurance Carrier Org ID]],Q277),2)</f>
        <v>1</v>
      </c>
      <c r="AD277" s="295" t="b">
        <f>ROUND(SUMIFS(AN_TME23[[#All],[TOTAL Truncated Unadjusted Claims Expenses (A21 -A19)]], AN_TME23[[#All],[Insurance Category Code]],6, AN_TME23[[#All],[Advanced Network/Insurance Carrier Org ID]],Q277)+SUMIFS(AN_TME23[[#All],[Total Claims Excluded because of Truncation]], AN_TME23[[#All],[Insurance Category Code]],6, AN_TME23[[#All],[Advanced Network/Insurance Carrier Org ID]],Q277),2)=ROUND(SUMIFS(AN_TME23[[#All],[TOTAL Non-Truncated Unadjusted Claims Expenses]], AN_TME23[[#All],[Insurance Category Code]],6, AN_TME23[[#All],[Advanced Network/Insurance Carrier Org ID]],Q277),2)</f>
        <v>1</v>
      </c>
      <c r="AF277" s="323" t="str">
        <f t="shared" si="29"/>
        <v>NA</v>
      </c>
    </row>
    <row r="278" spans="2:32" outlineLevel="1" x14ac:dyDescent="0.25">
      <c r="B278" s="236">
        <v>105</v>
      </c>
      <c r="C278" s="463">
        <f>ROUND(SUMIFS(Age_Sex22[[#All],[Total Member Months by Age/Sex Band]], Age_Sex22[[#All],[Advanced Network ID]], $B278, Age_Sex22[[#All],[Insurance Category Code]],6),2)</f>
        <v>0</v>
      </c>
      <c r="D278" s="268">
        <f>ROUND(SUMIFS(Age_Sex22[[#All],[Total Dollars Excluded from Spending After Applying Truncation at the Member Level]], Age_Sex22[[#All],[Advanced Network ID]], $B278, Age_Sex22[[#All],[Insurance Category Code]],6),2)</f>
        <v>0</v>
      </c>
      <c r="E278" s="229">
        <f>ROUND(SUMIFS(Age_Sex22[[#All],[Count of Members whose Spending was Truncated]], Age_Sex22[[#All],[Advanced Network ID]], $B278, Age_Sex22[[#All],[Insurance Category Code]],6),2)</f>
        <v>0</v>
      </c>
      <c r="F278" s="230">
        <f>ROUND(SUMIFS(Age_Sex22[[#All],[Total Spending before Truncation is Applied]], Age_Sex22[[#All],[Advanced Network ID]], $B278, Age_Sex22[[#All],[Insurance Category Code]],6),2)</f>
        <v>0</v>
      </c>
      <c r="G278" s="232">
        <f>ROUND(SUMIFS(Age_Sex22[[#All],[Total Spending After Applying Truncation at the Member Level]], Age_Sex22[[#All],[Advanced Network ID]], $B278, Age_Sex22[[#All],[Insurance Category Code]],6),2)</f>
        <v>0</v>
      </c>
      <c r="H278" s="416" t="str">
        <f>IF(C278=ROUND(SUMIFS(AN_TME22[[#All],[Member Months]], AN_TME22[[#All],[Insurance Category Code]],6, AN_TME22[[#All],[Advanced Network/Insurance Carrier Org ID]],B278),2), "TRUE", ROUND(C278-SUMIFS(AN_TME22[[#All],[Member Months]], AN_TME22[[#All],[Insurance Category Code]],6, AN_TME22[[#All],[Advanced Network/Insurance Carrier Org ID]],B278),2))</f>
        <v>TRUE</v>
      </c>
      <c r="I278" s="280" t="str">
        <f>IF(D278=ROUND(SUMIFS(AN_TME22[[#All],[Total Claims Excluded because of Truncation]], AN_TME22[[#All],[Insurance Category Code]],6, AN_TME22[[#All],[Advanced Network/Insurance Carrier Org ID]],B278),2), "TRUE", ROUND(D278-SUMIFS(AN_TME22[[#All],[Total Claims Excluded because of Truncation]], AN_TME22[[#All],[Insurance Category Code]],6, AN_TME22[[#All],[Advanced Network/Insurance Carrier Org ID]],B278),2))</f>
        <v>TRUE</v>
      </c>
      <c r="J278" s="281" t="str">
        <f>IF(E278=ROUND(SUMIFS(AN_TME22[[#All],[Count of Members with Claims Truncated]], AN_TME22[[#All],[Insurance Category Code]],6, AN_TME22[[#All],[Advanced Network/Insurance Carrier Org ID]],B278),2), "TRUE", ROUND(E278-SUMIFS(AN_TME22[[#All],[Count of Members with Claims Truncated]], AN_TME22[[#All],[Insurance Category Code]],6, AN_TME22[[#All],[Advanced Network/Insurance Carrier Org ID]],B278),2))</f>
        <v>TRUE</v>
      </c>
      <c r="K278" s="282" t="str">
        <f>IF(F278=ROUND(SUMIFS(AN_TME22[[#All],[TOTAL Non-Truncated Unadjusted Claims Expenses]], AN_TME22[[#All],[Insurance Category Code]],6, AN_TME22[[#All],[Advanced Network/Insurance Carrier Org ID]],B278),2),"TRUE", ROUND(F278-SUMIFS(AN_TME22[[#All],[TOTAL Non-Truncated Unadjusted Claims Expenses]], AN_TME22[[#All],[Insurance Category Code]],6, AN_TME22[[#All],[Advanced Network/Insurance Carrier Org ID]],B278),2))</f>
        <v>TRUE</v>
      </c>
      <c r="L278" s="295" t="str">
        <f>IF(G278=ROUND(SUMIFS(AN_TME22[[#All],[TOTAL Truncated Unadjusted Claims Expenses (A21 -A19)]], AN_TME22[[#All],[Insurance Category Code]],6, AN_TME22[[#All],[Advanced Network/Insurance Carrier Org ID]],B278),2), "TRUE", ROUND(G278-SUMIFS(AN_TME22[[#All],[TOTAL Truncated Unadjusted Claims Expenses (A21 -A19)]], AN_TME22[[#All],[Insurance Category Code]],6, AN_TME22[[#All],[Advanced Network/Insurance Carrier Org ID]],B278),2))</f>
        <v>TRUE</v>
      </c>
      <c r="M278" s="461" t="str">
        <f t="shared" si="27"/>
        <v>TRUE</v>
      </c>
      <c r="N278" s="282" t="b">
        <f>ROUND(SUMIFS(AN_TME22[[#All],[TOTAL Non-Truncated Unadjusted Claims Expenses]], AN_TME22[[#All],[Insurance Category Code]],6, AN_TME22[[#All],[Advanced Network/Insurance Carrier Org ID]],B278),2)&gt;=ROUND(SUMIFS(AN_TME22[[#All],[TOTAL Truncated Unadjusted Claims Expenses (A21 -A19)]], AN_TME22[[#All],[Insurance Category Code]],6, AN_TME22[[#All],[Advanced Network/Insurance Carrier Org ID]],B278),2)</f>
        <v>1</v>
      </c>
      <c r="O278" s="295" t="b">
        <f>ROUND(SUMIFS(AN_TME22[[#All],[TOTAL Truncated Unadjusted Claims Expenses (A21 -A19)]], AN_TME22[[#All],[Insurance Category Code]],6, AN_TME22[[#All],[Advanced Network/Insurance Carrier Org ID]],B278)+SUMIFS(AN_TME22[[#All],[Total Claims Excluded because of Truncation]], AN_TME22[[#All],[Insurance Category Code]],6, AN_TME22[[#All],[Advanced Network/Insurance Carrier Org ID]],B278),2)=ROUND(SUMIFS(AN_TME22[[#All],[TOTAL Non-Truncated Unadjusted Claims Expenses]], AN_TME22[[#All],[Insurance Category Code]],6, AN_TME22[[#All],[Advanced Network/Insurance Carrier Org ID]],B278),2)</f>
        <v>1</v>
      </c>
      <c r="Q278" s="236">
        <v>105</v>
      </c>
      <c r="R278" s="463">
        <f>ROUND(SUMIFS(Age_Sex23[[#All],[Total Member Months by Age/Sex Band]], Age_Sex23[[#All],[Advanced Network ID]], $Q278, Age_Sex23[[#All],[Insurance Category Code]],6),2)</f>
        <v>0</v>
      </c>
      <c r="S278" s="268">
        <f>ROUND(SUMIFS(Age_Sex23[[#All],[Total Dollars Excluded from Spending After Applying Truncation at the Member Level]], Age_Sex23[[#All],[Advanced Network ID]], $B278, Age_Sex23[[#All],[Insurance Category Code]],6),2)</f>
        <v>0</v>
      </c>
      <c r="T278" s="229">
        <f>ROUND(SUMIFS(Age_Sex23[[#All],[Count of Members whose Spending was Truncated]], Age_Sex23[[#All],[Advanced Network ID]], $B278, Age_Sex23[[#All],[Insurance Category Code]],6),2)</f>
        <v>0</v>
      </c>
      <c r="U278" s="230">
        <f>ROUND(SUMIFS(Age_Sex23[[#All],[Total Spending before Truncation is Applied]], Age_Sex23[[#All],[Advanced Network ID]], $B278, Age_Sex23[[#All],[Insurance Category Code]],6),2)</f>
        <v>0</v>
      </c>
      <c r="V278" s="232">
        <f>ROUND(SUMIFS(Age_Sex23[[#All],[Total Spending After Applying Truncation at the Member Level]], Age_Sex23[[#All],[Advanced Network ID]], $B278, Age_Sex23[[#All],[Insurance Category Code]],6),2)</f>
        <v>0</v>
      </c>
      <c r="W278" s="416" t="str">
        <f>IF(R278=ROUND(SUMIFS(AN_TME23[[#All],[Member Months]], AN_TME23[[#All],[Insurance Category Code]],6, AN_TME23[[#All],[Advanced Network/Insurance Carrier Org ID]],Q278),2), "TRUE", ROUND(R278-SUMIFS(AN_TME23[[#All],[Member Months]], AN_TME23[[#All],[Insurance Category Code]],6, AN_TME23[[#All],[Advanced Network/Insurance Carrier Org ID]],Q278),2))</f>
        <v>TRUE</v>
      </c>
      <c r="X278" s="280" t="str">
        <f>IF(S278=ROUND(SUMIFS(AN_TME23[[#All],[Total Claims Excluded because of Truncation]], AN_TME23[[#All],[Insurance Category Code]],6, AN_TME23[[#All],[Advanced Network/Insurance Carrier Org ID]],Q278),2), "TRUE", ROUND(S278-SUMIFS(AN_TME23[[#All],[Total Claims Excluded because of Truncation]], AN_TME23[[#All],[Insurance Category Code]],6, AN_TME23[[#All],[Advanced Network/Insurance Carrier Org ID]],Q278),2))</f>
        <v>TRUE</v>
      </c>
      <c r="Y278" s="281" t="str">
        <f>IF(T278=ROUND(SUMIFS(AN_TME23[[#All],[Count of Members with Claims Truncated]], AN_TME23[[#All],[Insurance Category Code]],6, AN_TME23[[#All],[Advanced Network/Insurance Carrier Org ID]],Q278),2), "TRUE", ROUND(T278-SUMIFS(AN_TME23[[#All],[Count of Members with Claims Truncated]], AN_TME23[[#All],[Insurance Category Code]],6, AN_TME23[[#All],[Advanced Network/Insurance Carrier Org ID]],Q278),2))</f>
        <v>TRUE</v>
      </c>
      <c r="Z278" s="282" t="str">
        <f>IF(U278=ROUND(SUMIFS(AN_TME23[[#All],[TOTAL Non-Truncated Unadjusted Claims Expenses]], AN_TME23[[#All],[Insurance Category Code]],6, AN_TME23[[#All],[Advanced Network/Insurance Carrier Org ID]],Q278),2), "TRUE", ROUND(U278-SUMIFS(AN_TME23[[#All],[TOTAL Non-Truncated Unadjusted Claims Expenses]], AN_TME23[[#All],[Insurance Category Code]],6, AN_TME23[[#All],[Advanced Network/Insurance Carrier Org ID]],Q278),2))</f>
        <v>TRUE</v>
      </c>
      <c r="AA278" s="295" t="str">
        <f>IF(V278=ROUND(SUMIFS(AN_TME23[[#All],[TOTAL Truncated Unadjusted Claims Expenses (A21 -A19)]], AN_TME23[[#All],[Insurance Category Code]],6, AN_TME23[[#All],[Advanced Network/Insurance Carrier Org ID]],Q278),2), "TRUE", ROUND(V278-SUMIFS(AN_TME23[[#All],[TOTAL Truncated Unadjusted Claims Expenses (A21 -A19)]], AN_TME23[[#All],[Insurance Category Code]],6, AN_TME23[[#All],[Advanced Network/Insurance Carrier Org ID]],Q278),2))</f>
        <v>TRUE</v>
      </c>
      <c r="AB278" s="461" t="str">
        <f t="shared" si="30"/>
        <v>TRUE</v>
      </c>
      <c r="AC278" s="282" t="b">
        <f>ROUND(SUMIFS(AN_TME23[[#All],[TOTAL Non-Truncated Unadjusted Claims Expenses]], AN_TME23[[#All],[Insurance Category Code]],6, AN_TME23[[#All],[Advanced Network/Insurance Carrier Org ID]],Q278),2)&gt;=ROUND(SUMIFS(AN_TME23[[#All],[TOTAL Truncated Unadjusted Claims Expenses (A21 -A19)]], AN_TME23[[#All],[Insurance Category Code]],6, AN_TME23[[#All],[Advanced Network/Insurance Carrier Org ID]],Q278),2)</f>
        <v>1</v>
      </c>
      <c r="AD278" s="295" t="b">
        <f>ROUND(SUMIFS(AN_TME23[[#All],[TOTAL Truncated Unadjusted Claims Expenses (A21 -A19)]], AN_TME23[[#All],[Insurance Category Code]],6, AN_TME23[[#All],[Advanced Network/Insurance Carrier Org ID]],Q278)+SUMIFS(AN_TME23[[#All],[Total Claims Excluded because of Truncation]], AN_TME23[[#All],[Insurance Category Code]],6, AN_TME23[[#All],[Advanced Network/Insurance Carrier Org ID]],Q278),2)=ROUND(SUMIFS(AN_TME23[[#All],[TOTAL Non-Truncated Unadjusted Claims Expenses]], AN_TME23[[#All],[Insurance Category Code]],6, AN_TME23[[#All],[Advanced Network/Insurance Carrier Org ID]],Q278),2)</f>
        <v>1</v>
      </c>
      <c r="AF278" s="323" t="str">
        <f t="shared" si="29"/>
        <v>NA</v>
      </c>
    </row>
    <row r="279" spans="2:32" outlineLevel="1" x14ac:dyDescent="0.25">
      <c r="B279" s="236">
        <v>106</v>
      </c>
      <c r="C279" s="463">
        <f>ROUND(SUMIFS(Age_Sex22[[#All],[Total Member Months by Age/Sex Band]], Age_Sex22[[#All],[Advanced Network ID]], $B279, Age_Sex22[[#All],[Insurance Category Code]],6),2)</f>
        <v>0</v>
      </c>
      <c r="D279" s="268">
        <f>ROUND(SUMIFS(Age_Sex22[[#All],[Total Dollars Excluded from Spending After Applying Truncation at the Member Level]], Age_Sex22[[#All],[Advanced Network ID]], $B279, Age_Sex22[[#All],[Insurance Category Code]],6),2)</f>
        <v>0</v>
      </c>
      <c r="E279" s="229">
        <f>ROUND(SUMIFS(Age_Sex22[[#All],[Count of Members whose Spending was Truncated]], Age_Sex22[[#All],[Advanced Network ID]], $B279, Age_Sex22[[#All],[Insurance Category Code]],6),2)</f>
        <v>0</v>
      </c>
      <c r="F279" s="230">
        <f>ROUND(SUMIFS(Age_Sex22[[#All],[Total Spending before Truncation is Applied]], Age_Sex22[[#All],[Advanced Network ID]], $B279, Age_Sex22[[#All],[Insurance Category Code]],6),2)</f>
        <v>0</v>
      </c>
      <c r="G279" s="232">
        <f>ROUND(SUMIFS(Age_Sex22[[#All],[Total Spending After Applying Truncation at the Member Level]], Age_Sex22[[#All],[Advanced Network ID]], $B279, Age_Sex22[[#All],[Insurance Category Code]],6),2)</f>
        <v>0</v>
      </c>
      <c r="H279" s="416" t="str">
        <f>IF(C279=ROUND(SUMIFS(AN_TME22[[#All],[Member Months]], AN_TME22[[#All],[Insurance Category Code]],6, AN_TME22[[#All],[Advanced Network/Insurance Carrier Org ID]],B279),2), "TRUE", ROUND(C279-SUMIFS(AN_TME22[[#All],[Member Months]], AN_TME22[[#All],[Insurance Category Code]],6, AN_TME22[[#All],[Advanced Network/Insurance Carrier Org ID]],B279),2))</f>
        <v>TRUE</v>
      </c>
      <c r="I279" s="280" t="str">
        <f>IF(D279=ROUND(SUMIFS(AN_TME22[[#All],[Total Claims Excluded because of Truncation]], AN_TME22[[#All],[Insurance Category Code]],6, AN_TME22[[#All],[Advanced Network/Insurance Carrier Org ID]],B279),2), "TRUE", ROUND(D279-SUMIFS(AN_TME22[[#All],[Total Claims Excluded because of Truncation]], AN_TME22[[#All],[Insurance Category Code]],6, AN_TME22[[#All],[Advanced Network/Insurance Carrier Org ID]],B279),2))</f>
        <v>TRUE</v>
      </c>
      <c r="J279" s="281" t="str">
        <f>IF(E279=ROUND(SUMIFS(AN_TME22[[#All],[Count of Members with Claims Truncated]], AN_TME22[[#All],[Insurance Category Code]],6, AN_TME22[[#All],[Advanced Network/Insurance Carrier Org ID]],B279),2), "TRUE", ROUND(E279-SUMIFS(AN_TME22[[#All],[Count of Members with Claims Truncated]], AN_TME22[[#All],[Insurance Category Code]],6, AN_TME22[[#All],[Advanced Network/Insurance Carrier Org ID]],B279),2))</f>
        <v>TRUE</v>
      </c>
      <c r="K279" s="282" t="str">
        <f>IF(F279=ROUND(SUMIFS(AN_TME22[[#All],[TOTAL Non-Truncated Unadjusted Claims Expenses]], AN_TME22[[#All],[Insurance Category Code]],6, AN_TME22[[#All],[Advanced Network/Insurance Carrier Org ID]],B279),2),"TRUE", ROUND(F279-SUMIFS(AN_TME22[[#All],[TOTAL Non-Truncated Unadjusted Claims Expenses]], AN_TME22[[#All],[Insurance Category Code]],6, AN_TME22[[#All],[Advanced Network/Insurance Carrier Org ID]],B279),2))</f>
        <v>TRUE</v>
      </c>
      <c r="L279" s="295" t="str">
        <f>IF(G279=ROUND(SUMIFS(AN_TME22[[#All],[TOTAL Truncated Unadjusted Claims Expenses (A21 -A19)]], AN_TME22[[#All],[Insurance Category Code]],6, AN_TME22[[#All],[Advanced Network/Insurance Carrier Org ID]],B279),2), "TRUE", ROUND(G279-SUMIFS(AN_TME22[[#All],[TOTAL Truncated Unadjusted Claims Expenses (A21 -A19)]], AN_TME22[[#All],[Insurance Category Code]],6, AN_TME22[[#All],[Advanced Network/Insurance Carrier Org ID]],B279),2))</f>
        <v>TRUE</v>
      </c>
      <c r="M279" s="461" t="str">
        <f t="shared" si="27"/>
        <v>TRUE</v>
      </c>
      <c r="N279" s="282" t="b">
        <f>ROUND(SUMIFS(AN_TME22[[#All],[TOTAL Non-Truncated Unadjusted Claims Expenses]], AN_TME22[[#All],[Insurance Category Code]],6, AN_TME22[[#All],[Advanced Network/Insurance Carrier Org ID]],B279),2)&gt;=ROUND(SUMIFS(AN_TME22[[#All],[TOTAL Truncated Unadjusted Claims Expenses (A21 -A19)]], AN_TME22[[#All],[Insurance Category Code]],6, AN_TME22[[#All],[Advanced Network/Insurance Carrier Org ID]],B279),2)</f>
        <v>1</v>
      </c>
      <c r="O279" s="295" t="b">
        <f>ROUND(SUMIFS(AN_TME22[[#All],[TOTAL Truncated Unadjusted Claims Expenses (A21 -A19)]], AN_TME22[[#All],[Insurance Category Code]],6, AN_TME22[[#All],[Advanced Network/Insurance Carrier Org ID]],B279)+SUMIFS(AN_TME22[[#All],[Total Claims Excluded because of Truncation]], AN_TME22[[#All],[Insurance Category Code]],6, AN_TME22[[#All],[Advanced Network/Insurance Carrier Org ID]],B279),2)=ROUND(SUMIFS(AN_TME22[[#All],[TOTAL Non-Truncated Unadjusted Claims Expenses]], AN_TME22[[#All],[Insurance Category Code]],6, AN_TME22[[#All],[Advanced Network/Insurance Carrier Org ID]],B279),2)</f>
        <v>1</v>
      </c>
      <c r="Q279" s="236">
        <v>106</v>
      </c>
      <c r="R279" s="463">
        <f>ROUND(SUMIFS(Age_Sex23[[#All],[Total Member Months by Age/Sex Band]], Age_Sex23[[#All],[Advanced Network ID]], $Q279, Age_Sex23[[#All],[Insurance Category Code]],6),2)</f>
        <v>0</v>
      </c>
      <c r="S279" s="268">
        <f>ROUND(SUMIFS(Age_Sex23[[#All],[Total Dollars Excluded from Spending After Applying Truncation at the Member Level]], Age_Sex23[[#All],[Advanced Network ID]], $B279, Age_Sex23[[#All],[Insurance Category Code]],6),2)</f>
        <v>0</v>
      </c>
      <c r="T279" s="229">
        <f>ROUND(SUMIFS(Age_Sex23[[#All],[Count of Members whose Spending was Truncated]], Age_Sex23[[#All],[Advanced Network ID]], $B279, Age_Sex23[[#All],[Insurance Category Code]],6),2)</f>
        <v>0</v>
      </c>
      <c r="U279" s="230">
        <f>ROUND(SUMIFS(Age_Sex23[[#All],[Total Spending before Truncation is Applied]], Age_Sex23[[#All],[Advanced Network ID]], $B279, Age_Sex23[[#All],[Insurance Category Code]],6),2)</f>
        <v>0</v>
      </c>
      <c r="V279" s="232">
        <f>ROUND(SUMIFS(Age_Sex23[[#All],[Total Spending After Applying Truncation at the Member Level]], Age_Sex23[[#All],[Advanced Network ID]], $B279, Age_Sex23[[#All],[Insurance Category Code]],6),2)</f>
        <v>0</v>
      </c>
      <c r="W279" s="416" t="str">
        <f>IF(R279=ROUND(SUMIFS(AN_TME23[[#All],[Member Months]], AN_TME23[[#All],[Insurance Category Code]],6, AN_TME23[[#All],[Advanced Network/Insurance Carrier Org ID]],Q279),2), "TRUE", ROUND(R279-SUMIFS(AN_TME23[[#All],[Member Months]], AN_TME23[[#All],[Insurance Category Code]],6, AN_TME23[[#All],[Advanced Network/Insurance Carrier Org ID]],Q279),2))</f>
        <v>TRUE</v>
      </c>
      <c r="X279" s="280" t="str">
        <f>IF(S279=ROUND(SUMIFS(AN_TME23[[#All],[Total Claims Excluded because of Truncation]], AN_TME23[[#All],[Insurance Category Code]],6, AN_TME23[[#All],[Advanced Network/Insurance Carrier Org ID]],Q279),2), "TRUE", ROUND(S279-SUMIFS(AN_TME23[[#All],[Total Claims Excluded because of Truncation]], AN_TME23[[#All],[Insurance Category Code]],6, AN_TME23[[#All],[Advanced Network/Insurance Carrier Org ID]],Q279),2))</f>
        <v>TRUE</v>
      </c>
      <c r="Y279" s="281" t="str">
        <f>IF(T279=ROUND(SUMIFS(AN_TME23[[#All],[Count of Members with Claims Truncated]], AN_TME23[[#All],[Insurance Category Code]],6, AN_TME23[[#All],[Advanced Network/Insurance Carrier Org ID]],Q279),2), "TRUE", ROUND(T279-SUMIFS(AN_TME23[[#All],[Count of Members with Claims Truncated]], AN_TME23[[#All],[Insurance Category Code]],6, AN_TME23[[#All],[Advanced Network/Insurance Carrier Org ID]],Q279),2))</f>
        <v>TRUE</v>
      </c>
      <c r="Z279" s="282" t="str">
        <f>IF(U279=ROUND(SUMIFS(AN_TME23[[#All],[TOTAL Non-Truncated Unadjusted Claims Expenses]], AN_TME23[[#All],[Insurance Category Code]],6, AN_TME23[[#All],[Advanced Network/Insurance Carrier Org ID]],Q279),2), "TRUE", ROUND(U279-SUMIFS(AN_TME23[[#All],[TOTAL Non-Truncated Unadjusted Claims Expenses]], AN_TME23[[#All],[Insurance Category Code]],6, AN_TME23[[#All],[Advanced Network/Insurance Carrier Org ID]],Q279),2))</f>
        <v>TRUE</v>
      </c>
      <c r="AA279" s="295" t="str">
        <f>IF(V279=ROUND(SUMIFS(AN_TME23[[#All],[TOTAL Truncated Unadjusted Claims Expenses (A21 -A19)]], AN_TME23[[#All],[Insurance Category Code]],6, AN_TME23[[#All],[Advanced Network/Insurance Carrier Org ID]],Q279),2), "TRUE", ROUND(V279-SUMIFS(AN_TME23[[#All],[TOTAL Truncated Unadjusted Claims Expenses (A21 -A19)]], AN_TME23[[#All],[Insurance Category Code]],6, AN_TME23[[#All],[Advanced Network/Insurance Carrier Org ID]],Q279),2))</f>
        <v>TRUE</v>
      </c>
      <c r="AB279" s="461" t="str">
        <f t="shared" si="30"/>
        <v>TRUE</v>
      </c>
      <c r="AC279" s="282" t="b">
        <f>ROUND(SUMIFS(AN_TME23[[#All],[TOTAL Non-Truncated Unadjusted Claims Expenses]], AN_TME23[[#All],[Insurance Category Code]],6, AN_TME23[[#All],[Advanced Network/Insurance Carrier Org ID]],Q279),2)&gt;=ROUND(SUMIFS(AN_TME23[[#All],[TOTAL Truncated Unadjusted Claims Expenses (A21 -A19)]], AN_TME23[[#All],[Insurance Category Code]],6, AN_TME23[[#All],[Advanced Network/Insurance Carrier Org ID]],Q279),2)</f>
        <v>1</v>
      </c>
      <c r="AD279" s="295" t="b">
        <f>ROUND(SUMIFS(AN_TME23[[#All],[TOTAL Truncated Unadjusted Claims Expenses (A21 -A19)]], AN_TME23[[#All],[Insurance Category Code]],6, AN_TME23[[#All],[Advanced Network/Insurance Carrier Org ID]],Q279)+SUMIFS(AN_TME23[[#All],[Total Claims Excluded because of Truncation]], AN_TME23[[#All],[Insurance Category Code]],6, AN_TME23[[#All],[Advanced Network/Insurance Carrier Org ID]],Q279),2)=ROUND(SUMIFS(AN_TME23[[#All],[TOTAL Non-Truncated Unadjusted Claims Expenses]], AN_TME23[[#All],[Insurance Category Code]],6, AN_TME23[[#All],[Advanced Network/Insurance Carrier Org ID]],Q279),2)</f>
        <v>1</v>
      </c>
      <c r="AF279" s="323" t="str">
        <f t="shared" si="29"/>
        <v>NA</v>
      </c>
    </row>
    <row r="280" spans="2:32" outlineLevel="1" x14ac:dyDescent="0.25">
      <c r="B280" s="236">
        <v>107</v>
      </c>
      <c r="C280" s="463">
        <f>ROUND(SUMIFS(Age_Sex22[[#All],[Total Member Months by Age/Sex Band]], Age_Sex22[[#All],[Advanced Network ID]], $B280, Age_Sex22[[#All],[Insurance Category Code]],6),2)</f>
        <v>0</v>
      </c>
      <c r="D280" s="268">
        <f>ROUND(SUMIFS(Age_Sex22[[#All],[Total Dollars Excluded from Spending After Applying Truncation at the Member Level]], Age_Sex22[[#All],[Advanced Network ID]], $B280, Age_Sex22[[#All],[Insurance Category Code]],6),2)</f>
        <v>0</v>
      </c>
      <c r="E280" s="229">
        <f>ROUND(SUMIFS(Age_Sex22[[#All],[Count of Members whose Spending was Truncated]], Age_Sex22[[#All],[Advanced Network ID]], $B280, Age_Sex22[[#All],[Insurance Category Code]],6),2)</f>
        <v>0</v>
      </c>
      <c r="F280" s="230">
        <f>ROUND(SUMIFS(Age_Sex22[[#All],[Total Spending before Truncation is Applied]], Age_Sex22[[#All],[Advanced Network ID]], $B280, Age_Sex22[[#All],[Insurance Category Code]],6),2)</f>
        <v>0</v>
      </c>
      <c r="G280" s="232">
        <f>ROUND(SUMIFS(Age_Sex22[[#All],[Total Spending After Applying Truncation at the Member Level]], Age_Sex22[[#All],[Advanced Network ID]], $B280, Age_Sex22[[#All],[Insurance Category Code]],6),2)</f>
        <v>0</v>
      </c>
      <c r="H280" s="416" t="str">
        <f>IF(C280=ROUND(SUMIFS(AN_TME22[[#All],[Member Months]], AN_TME22[[#All],[Insurance Category Code]],6, AN_TME22[[#All],[Advanced Network/Insurance Carrier Org ID]],B280),2), "TRUE", ROUND(C280-SUMIFS(AN_TME22[[#All],[Member Months]], AN_TME22[[#All],[Insurance Category Code]],6, AN_TME22[[#All],[Advanced Network/Insurance Carrier Org ID]],B280),2))</f>
        <v>TRUE</v>
      </c>
      <c r="I280" s="280" t="str">
        <f>IF(D280=ROUND(SUMIFS(AN_TME22[[#All],[Total Claims Excluded because of Truncation]], AN_TME22[[#All],[Insurance Category Code]],6, AN_TME22[[#All],[Advanced Network/Insurance Carrier Org ID]],B280),2), "TRUE", ROUND(D280-SUMIFS(AN_TME22[[#All],[Total Claims Excluded because of Truncation]], AN_TME22[[#All],[Insurance Category Code]],6, AN_TME22[[#All],[Advanced Network/Insurance Carrier Org ID]],B280),2))</f>
        <v>TRUE</v>
      </c>
      <c r="J280" s="281" t="str">
        <f>IF(E280=ROUND(SUMIFS(AN_TME22[[#All],[Count of Members with Claims Truncated]], AN_TME22[[#All],[Insurance Category Code]],6, AN_TME22[[#All],[Advanced Network/Insurance Carrier Org ID]],B280),2), "TRUE", ROUND(E280-SUMIFS(AN_TME22[[#All],[Count of Members with Claims Truncated]], AN_TME22[[#All],[Insurance Category Code]],6, AN_TME22[[#All],[Advanced Network/Insurance Carrier Org ID]],B280),2))</f>
        <v>TRUE</v>
      </c>
      <c r="K280" s="282" t="str">
        <f>IF(F280=ROUND(SUMIFS(AN_TME22[[#All],[TOTAL Non-Truncated Unadjusted Claims Expenses]], AN_TME22[[#All],[Insurance Category Code]],6, AN_TME22[[#All],[Advanced Network/Insurance Carrier Org ID]],B280),2),"TRUE", ROUND(F280-SUMIFS(AN_TME22[[#All],[TOTAL Non-Truncated Unadjusted Claims Expenses]], AN_TME22[[#All],[Insurance Category Code]],6, AN_TME22[[#All],[Advanced Network/Insurance Carrier Org ID]],B280),2))</f>
        <v>TRUE</v>
      </c>
      <c r="L280" s="295" t="str">
        <f>IF(G280=ROUND(SUMIFS(AN_TME22[[#All],[TOTAL Truncated Unadjusted Claims Expenses (A21 -A19)]], AN_TME22[[#All],[Insurance Category Code]],6, AN_TME22[[#All],[Advanced Network/Insurance Carrier Org ID]],B280),2), "TRUE", ROUND(G280-SUMIFS(AN_TME22[[#All],[TOTAL Truncated Unadjusted Claims Expenses (A21 -A19)]], AN_TME22[[#All],[Insurance Category Code]],6, AN_TME22[[#All],[Advanced Network/Insurance Carrier Org ID]],B280),2))</f>
        <v>TRUE</v>
      </c>
      <c r="M280" s="461" t="str">
        <f t="shared" si="27"/>
        <v>TRUE</v>
      </c>
      <c r="N280" s="282" t="b">
        <f>ROUND(SUMIFS(AN_TME22[[#All],[TOTAL Non-Truncated Unadjusted Claims Expenses]], AN_TME22[[#All],[Insurance Category Code]],6, AN_TME22[[#All],[Advanced Network/Insurance Carrier Org ID]],B280),2)&gt;=ROUND(SUMIFS(AN_TME22[[#All],[TOTAL Truncated Unadjusted Claims Expenses (A21 -A19)]], AN_TME22[[#All],[Insurance Category Code]],6, AN_TME22[[#All],[Advanced Network/Insurance Carrier Org ID]],B280),2)</f>
        <v>1</v>
      </c>
      <c r="O280" s="295" t="b">
        <f>ROUND(SUMIFS(AN_TME22[[#All],[TOTAL Truncated Unadjusted Claims Expenses (A21 -A19)]], AN_TME22[[#All],[Insurance Category Code]],6, AN_TME22[[#All],[Advanced Network/Insurance Carrier Org ID]],B280)+SUMIFS(AN_TME22[[#All],[Total Claims Excluded because of Truncation]], AN_TME22[[#All],[Insurance Category Code]],6, AN_TME22[[#All],[Advanced Network/Insurance Carrier Org ID]],B280),2)=ROUND(SUMIFS(AN_TME22[[#All],[TOTAL Non-Truncated Unadjusted Claims Expenses]], AN_TME22[[#All],[Insurance Category Code]],6, AN_TME22[[#All],[Advanced Network/Insurance Carrier Org ID]],B280),2)</f>
        <v>1</v>
      </c>
      <c r="Q280" s="236">
        <v>107</v>
      </c>
      <c r="R280" s="463">
        <f>ROUND(SUMIFS(Age_Sex23[[#All],[Total Member Months by Age/Sex Band]], Age_Sex23[[#All],[Advanced Network ID]], $Q280, Age_Sex23[[#All],[Insurance Category Code]],6),2)</f>
        <v>0</v>
      </c>
      <c r="S280" s="268">
        <f>ROUND(SUMIFS(Age_Sex23[[#All],[Total Dollars Excluded from Spending After Applying Truncation at the Member Level]], Age_Sex23[[#All],[Advanced Network ID]], $B280, Age_Sex23[[#All],[Insurance Category Code]],6),2)</f>
        <v>0</v>
      </c>
      <c r="T280" s="229">
        <f>ROUND(SUMIFS(Age_Sex23[[#All],[Count of Members whose Spending was Truncated]], Age_Sex23[[#All],[Advanced Network ID]], $B280, Age_Sex23[[#All],[Insurance Category Code]],6),2)</f>
        <v>0</v>
      </c>
      <c r="U280" s="230">
        <f>ROUND(SUMIFS(Age_Sex23[[#All],[Total Spending before Truncation is Applied]], Age_Sex23[[#All],[Advanced Network ID]], $B280, Age_Sex23[[#All],[Insurance Category Code]],6),2)</f>
        <v>0</v>
      </c>
      <c r="V280" s="232">
        <f>ROUND(SUMIFS(Age_Sex23[[#All],[Total Spending After Applying Truncation at the Member Level]], Age_Sex23[[#All],[Advanced Network ID]], $B280, Age_Sex23[[#All],[Insurance Category Code]],6),2)</f>
        <v>0</v>
      </c>
      <c r="W280" s="416" t="str">
        <f>IF(R280=ROUND(SUMIFS(AN_TME23[[#All],[Member Months]], AN_TME23[[#All],[Insurance Category Code]],6, AN_TME23[[#All],[Advanced Network/Insurance Carrier Org ID]],Q280),2), "TRUE", ROUND(R280-SUMIFS(AN_TME23[[#All],[Member Months]], AN_TME23[[#All],[Insurance Category Code]],6, AN_TME23[[#All],[Advanced Network/Insurance Carrier Org ID]],Q280),2))</f>
        <v>TRUE</v>
      </c>
      <c r="X280" s="280" t="str">
        <f>IF(S280=ROUND(SUMIFS(AN_TME23[[#All],[Total Claims Excluded because of Truncation]], AN_TME23[[#All],[Insurance Category Code]],6, AN_TME23[[#All],[Advanced Network/Insurance Carrier Org ID]],Q280),2), "TRUE", ROUND(S280-SUMIFS(AN_TME23[[#All],[Total Claims Excluded because of Truncation]], AN_TME23[[#All],[Insurance Category Code]],6, AN_TME23[[#All],[Advanced Network/Insurance Carrier Org ID]],Q280),2))</f>
        <v>TRUE</v>
      </c>
      <c r="Y280" s="281" t="str">
        <f>IF(T280=ROUND(SUMIFS(AN_TME23[[#All],[Count of Members with Claims Truncated]], AN_TME23[[#All],[Insurance Category Code]],6, AN_TME23[[#All],[Advanced Network/Insurance Carrier Org ID]],Q280),2), "TRUE", ROUND(T280-SUMIFS(AN_TME23[[#All],[Count of Members with Claims Truncated]], AN_TME23[[#All],[Insurance Category Code]],6, AN_TME23[[#All],[Advanced Network/Insurance Carrier Org ID]],Q280),2))</f>
        <v>TRUE</v>
      </c>
      <c r="Z280" s="282" t="str">
        <f>IF(U280=ROUND(SUMIFS(AN_TME23[[#All],[TOTAL Non-Truncated Unadjusted Claims Expenses]], AN_TME23[[#All],[Insurance Category Code]],6, AN_TME23[[#All],[Advanced Network/Insurance Carrier Org ID]],Q280),2), "TRUE", ROUND(U280-SUMIFS(AN_TME23[[#All],[TOTAL Non-Truncated Unadjusted Claims Expenses]], AN_TME23[[#All],[Insurance Category Code]],6, AN_TME23[[#All],[Advanced Network/Insurance Carrier Org ID]],Q280),2))</f>
        <v>TRUE</v>
      </c>
      <c r="AA280" s="295" t="str">
        <f>IF(V280=ROUND(SUMIFS(AN_TME23[[#All],[TOTAL Truncated Unadjusted Claims Expenses (A21 -A19)]], AN_TME23[[#All],[Insurance Category Code]],6, AN_TME23[[#All],[Advanced Network/Insurance Carrier Org ID]],Q280),2), "TRUE", ROUND(V280-SUMIFS(AN_TME23[[#All],[TOTAL Truncated Unadjusted Claims Expenses (A21 -A19)]], AN_TME23[[#All],[Insurance Category Code]],6, AN_TME23[[#All],[Advanced Network/Insurance Carrier Org ID]],Q280),2))</f>
        <v>TRUE</v>
      </c>
      <c r="AB280" s="461" t="str">
        <f t="shared" si="30"/>
        <v>TRUE</v>
      </c>
      <c r="AC280" s="282" t="b">
        <f>ROUND(SUMIFS(AN_TME23[[#All],[TOTAL Non-Truncated Unadjusted Claims Expenses]], AN_TME23[[#All],[Insurance Category Code]],6, AN_TME23[[#All],[Advanced Network/Insurance Carrier Org ID]],Q280),2)&gt;=ROUND(SUMIFS(AN_TME23[[#All],[TOTAL Truncated Unadjusted Claims Expenses (A21 -A19)]], AN_TME23[[#All],[Insurance Category Code]],6, AN_TME23[[#All],[Advanced Network/Insurance Carrier Org ID]],Q280),2)</f>
        <v>1</v>
      </c>
      <c r="AD280" s="295" t="b">
        <f>ROUND(SUMIFS(AN_TME23[[#All],[TOTAL Truncated Unadjusted Claims Expenses (A21 -A19)]], AN_TME23[[#All],[Insurance Category Code]],6, AN_TME23[[#All],[Advanced Network/Insurance Carrier Org ID]],Q280)+SUMIFS(AN_TME23[[#All],[Total Claims Excluded because of Truncation]], AN_TME23[[#All],[Insurance Category Code]],6, AN_TME23[[#All],[Advanced Network/Insurance Carrier Org ID]],Q280),2)=ROUND(SUMIFS(AN_TME23[[#All],[TOTAL Non-Truncated Unadjusted Claims Expenses]], AN_TME23[[#All],[Insurance Category Code]],6, AN_TME23[[#All],[Advanced Network/Insurance Carrier Org ID]],Q280),2)</f>
        <v>1</v>
      </c>
      <c r="AF280" s="323" t="str">
        <f t="shared" si="29"/>
        <v>NA</v>
      </c>
    </row>
    <row r="281" spans="2:32" outlineLevel="1" x14ac:dyDescent="0.25">
      <c r="B281" s="236">
        <v>108</v>
      </c>
      <c r="C281" s="463">
        <f>ROUND(SUMIFS(Age_Sex22[[#All],[Total Member Months by Age/Sex Band]], Age_Sex22[[#All],[Advanced Network ID]], $B281, Age_Sex22[[#All],[Insurance Category Code]],6),2)</f>
        <v>0</v>
      </c>
      <c r="D281" s="268">
        <f>ROUND(SUMIFS(Age_Sex22[[#All],[Total Dollars Excluded from Spending After Applying Truncation at the Member Level]], Age_Sex22[[#All],[Advanced Network ID]], $B281, Age_Sex22[[#All],[Insurance Category Code]],6),2)</f>
        <v>0</v>
      </c>
      <c r="E281" s="229">
        <f>ROUND(SUMIFS(Age_Sex22[[#All],[Count of Members whose Spending was Truncated]], Age_Sex22[[#All],[Advanced Network ID]], $B281, Age_Sex22[[#All],[Insurance Category Code]],6),2)</f>
        <v>0</v>
      </c>
      <c r="F281" s="230">
        <f>ROUND(SUMIFS(Age_Sex22[[#All],[Total Spending before Truncation is Applied]], Age_Sex22[[#All],[Advanced Network ID]], $B281, Age_Sex22[[#All],[Insurance Category Code]],6),2)</f>
        <v>0</v>
      </c>
      <c r="G281" s="232">
        <f>ROUND(SUMIFS(Age_Sex22[[#All],[Total Spending After Applying Truncation at the Member Level]], Age_Sex22[[#All],[Advanced Network ID]], $B281, Age_Sex22[[#All],[Insurance Category Code]],6),2)</f>
        <v>0</v>
      </c>
      <c r="H281" s="416" t="str">
        <f>IF(C281=ROUND(SUMIFS(AN_TME22[[#All],[Member Months]], AN_TME22[[#All],[Insurance Category Code]],6, AN_TME22[[#All],[Advanced Network/Insurance Carrier Org ID]],B281),2), "TRUE", ROUND(C281-SUMIFS(AN_TME22[[#All],[Member Months]], AN_TME22[[#All],[Insurance Category Code]],6, AN_TME22[[#All],[Advanced Network/Insurance Carrier Org ID]],B281),2))</f>
        <v>TRUE</v>
      </c>
      <c r="I281" s="280" t="str">
        <f>IF(D281=ROUND(SUMIFS(AN_TME22[[#All],[Total Claims Excluded because of Truncation]], AN_TME22[[#All],[Insurance Category Code]],6, AN_TME22[[#All],[Advanced Network/Insurance Carrier Org ID]],B281),2), "TRUE", ROUND(D281-SUMIFS(AN_TME22[[#All],[Total Claims Excluded because of Truncation]], AN_TME22[[#All],[Insurance Category Code]],6, AN_TME22[[#All],[Advanced Network/Insurance Carrier Org ID]],B281),2))</f>
        <v>TRUE</v>
      </c>
      <c r="J281" s="281" t="str">
        <f>IF(E281=ROUND(SUMIFS(AN_TME22[[#All],[Count of Members with Claims Truncated]], AN_TME22[[#All],[Insurance Category Code]],6, AN_TME22[[#All],[Advanced Network/Insurance Carrier Org ID]],B281),2), "TRUE", ROUND(E281-SUMIFS(AN_TME22[[#All],[Count of Members with Claims Truncated]], AN_TME22[[#All],[Insurance Category Code]],6, AN_TME22[[#All],[Advanced Network/Insurance Carrier Org ID]],B281),2))</f>
        <v>TRUE</v>
      </c>
      <c r="K281" s="282" t="str">
        <f>IF(F281=ROUND(SUMIFS(AN_TME22[[#All],[TOTAL Non-Truncated Unadjusted Claims Expenses]], AN_TME22[[#All],[Insurance Category Code]],6, AN_TME22[[#All],[Advanced Network/Insurance Carrier Org ID]],B281),2),"TRUE", ROUND(F281-SUMIFS(AN_TME22[[#All],[TOTAL Non-Truncated Unadjusted Claims Expenses]], AN_TME22[[#All],[Insurance Category Code]],6, AN_TME22[[#All],[Advanced Network/Insurance Carrier Org ID]],B281),2))</f>
        <v>TRUE</v>
      </c>
      <c r="L281" s="295" t="str">
        <f>IF(G281=ROUND(SUMIFS(AN_TME22[[#All],[TOTAL Truncated Unadjusted Claims Expenses (A21 -A19)]], AN_TME22[[#All],[Insurance Category Code]],6, AN_TME22[[#All],[Advanced Network/Insurance Carrier Org ID]],B281),2), "TRUE", ROUND(G281-SUMIFS(AN_TME22[[#All],[TOTAL Truncated Unadjusted Claims Expenses (A21 -A19)]], AN_TME22[[#All],[Insurance Category Code]],6, AN_TME22[[#All],[Advanced Network/Insurance Carrier Org ID]],B281),2))</f>
        <v>TRUE</v>
      </c>
      <c r="M281" s="461" t="str">
        <f t="shared" si="27"/>
        <v>TRUE</v>
      </c>
      <c r="N281" s="282" t="b">
        <f>ROUND(SUMIFS(AN_TME22[[#All],[TOTAL Non-Truncated Unadjusted Claims Expenses]], AN_TME22[[#All],[Insurance Category Code]],6, AN_TME22[[#All],[Advanced Network/Insurance Carrier Org ID]],B281),2)&gt;=ROUND(SUMIFS(AN_TME22[[#All],[TOTAL Truncated Unadjusted Claims Expenses (A21 -A19)]], AN_TME22[[#All],[Insurance Category Code]],6, AN_TME22[[#All],[Advanced Network/Insurance Carrier Org ID]],B281),2)</f>
        <v>1</v>
      </c>
      <c r="O281" s="295" t="b">
        <f>ROUND(SUMIFS(AN_TME22[[#All],[TOTAL Truncated Unadjusted Claims Expenses (A21 -A19)]], AN_TME22[[#All],[Insurance Category Code]],6, AN_TME22[[#All],[Advanced Network/Insurance Carrier Org ID]],B281)+SUMIFS(AN_TME22[[#All],[Total Claims Excluded because of Truncation]], AN_TME22[[#All],[Insurance Category Code]],6, AN_TME22[[#All],[Advanced Network/Insurance Carrier Org ID]],B281),2)=ROUND(SUMIFS(AN_TME22[[#All],[TOTAL Non-Truncated Unadjusted Claims Expenses]], AN_TME22[[#All],[Insurance Category Code]],6, AN_TME22[[#All],[Advanced Network/Insurance Carrier Org ID]],B281),2)</f>
        <v>1</v>
      </c>
      <c r="Q281" s="236">
        <v>108</v>
      </c>
      <c r="R281" s="463">
        <f>ROUND(SUMIFS(Age_Sex23[[#All],[Total Member Months by Age/Sex Band]], Age_Sex23[[#All],[Advanced Network ID]], $Q281, Age_Sex23[[#All],[Insurance Category Code]],6),2)</f>
        <v>0</v>
      </c>
      <c r="S281" s="268">
        <f>ROUND(SUMIFS(Age_Sex23[[#All],[Total Dollars Excluded from Spending After Applying Truncation at the Member Level]], Age_Sex23[[#All],[Advanced Network ID]], $B281, Age_Sex23[[#All],[Insurance Category Code]],6),2)</f>
        <v>0</v>
      </c>
      <c r="T281" s="229">
        <f>ROUND(SUMIFS(Age_Sex23[[#All],[Count of Members whose Spending was Truncated]], Age_Sex23[[#All],[Advanced Network ID]], $B281, Age_Sex23[[#All],[Insurance Category Code]],6),2)</f>
        <v>0</v>
      </c>
      <c r="U281" s="230">
        <f>ROUND(SUMIFS(Age_Sex23[[#All],[Total Spending before Truncation is Applied]], Age_Sex23[[#All],[Advanced Network ID]], $B281, Age_Sex23[[#All],[Insurance Category Code]],6),2)</f>
        <v>0</v>
      </c>
      <c r="V281" s="232">
        <f>ROUND(SUMIFS(Age_Sex23[[#All],[Total Spending After Applying Truncation at the Member Level]], Age_Sex23[[#All],[Advanced Network ID]], $B281, Age_Sex23[[#All],[Insurance Category Code]],6),2)</f>
        <v>0</v>
      </c>
      <c r="W281" s="416" t="str">
        <f>IF(R281=ROUND(SUMIFS(AN_TME23[[#All],[Member Months]], AN_TME23[[#All],[Insurance Category Code]],6, AN_TME23[[#All],[Advanced Network/Insurance Carrier Org ID]],Q281),2), "TRUE", ROUND(R281-SUMIFS(AN_TME23[[#All],[Member Months]], AN_TME23[[#All],[Insurance Category Code]],6, AN_TME23[[#All],[Advanced Network/Insurance Carrier Org ID]],Q281),2))</f>
        <v>TRUE</v>
      </c>
      <c r="X281" s="280" t="str">
        <f>IF(S281=ROUND(SUMIFS(AN_TME23[[#All],[Total Claims Excluded because of Truncation]], AN_TME23[[#All],[Insurance Category Code]],6, AN_TME23[[#All],[Advanced Network/Insurance Carrier Org ID]],Q281),2), "TRUE", ROUND(S281-SUMIFS(AN_TME23[[#All],[Total Claims Excluded because of Truncation]], AN_TME23[[#All],[Insurance Category Code]],6, AN_TME23[[#All],[Advanced Network/Insurance Carrier Org ID]],Q281),2))</f>
        <v>TRUE</v>
      </c>
      <c r="Y281" s="281" t="str">
        <f>IF(T281=ROUND(SUMIFS(AN_TME23[[#All],[Count of Members with Claims Truncated]], AN_TME23[[#All],[Insurance Category Code]],6, AN_TME23[[#All],[Advanced Network/Insurance Carrier Org ID]],Q281),2), "TRUE", ROUND(T281-SUMIFS(AN_TME23[[#All],[Count of Members with Claims Truncated]], AN_TME23[[#All],[Insurance Category Code]],6, AN_TME23[[#All],[Advanced Network/Insurance Carrier Org ID]],Q281),2))</f>
        <v>TRUE</v>
      </c>
      <c r="Z281" s="282" t="str">
        <f>IF(U281=ROUND(SUMIFS(AN_TME23[[#All],[TOTAL Non-Truncated Unadjusted Claims Expenses]], AN_TME23[[#All],[Insurance Category Code]],6, AN_TME23[[#All],[Advanced Network/Insurance Carrier Org ID]],Q281),2), "TRUE", ROUND(U281-SUMIFS(AN_TME23[[#All],[TOTAL Non-Truncated Unadjusted Claims Expenses]], AN_TME23[[#All],[Insurance Category Code]],6, AN_TME23[[#All],[Advanced Network/Insurance Carrier Org ID]],Q281),2))</f>
        <v>TRUE</v>
      </c>
      <c r="AA281" s="295" t="str">
        <f>IF(V281=ROUND(SUMIFS(AN_TME23[[#All],[TOTAL Truncated Unadjusted Claims Expenses (A21 -A19)]], AN_TME23[[#All],[Insurance Category Code]],6, AN_TME23[[#All],[Advanced Network/Insurance Carrier Org ID]],Q281),2), "TRUE", ROUND(V281-SUMIFS(AN_TME23[[#All],[TOTAL Truncated Unadjusted Claims Expenses (A21 -A19)]], AN_TME23[[#All],[Insurance Category Code]],6, AN_TME23[[#All],[Advanced Network/Insurance Carrier Org ID]],Q281),2))</f>
        <v>TRUE</v>
      </c>
      <c r="AB281" s="461" t="str">
        <f t="shared" si="30"/>
        <v>TRUE</v>
      </c>
      <c r="AC281" s="282" t="b">
        <f>ROUND(SUMIFS(AN_TME23[[#All],[TOTAL Non-Truncated Unadjusted Claims Expenses]], AN_TME23[[#All],[Insurance Category Code]],6, AN_TME23[[#All],[Advanced Network/Insurance Carrier Org ID]],Q281),2)&gt;=ROUND(SUMIFS(AN_TME23[[#All],[TOTAL Truncated Unadjusted Claims Expenses (A21 -A19)]], AN_TME23[[#All],[Insurance Category Code]],6, AN_TME23[[#All],[Advanced Network/Insurance Carrier Org ID]],Q281),2)</f>
        <v>1</v>
      </c>
      <c r="AD281" s="295" t="b">
        <f>ROUND(SUMIFS(AN_TME23[[#All],[TOTAL Truncated Unadjusted Claims Expenses (A21 -A19)]], AN_TME23[[#All],[Insurance Category Code]],6, AN_TME23[[#All],[Advanced Network/Insurance Carrier Org ID]],Q281)+SUMIFS(AN_TME23[[#All],[Total Claims Excluded because of Truncation]], AN_TME23[[#All],[Insurance Category Code]],6, AN_TME23[[#All],[Advanced Network/Insurance Carrier Org ID]],Q281),2)=ROUND(SUMIFS(AN_TME23[[#All],[TOTAL Non-Truncated Unadjusted Claims Expenses]], AN_TME23[[#All],[Insurance Category Code]],6, AN_TME23[[#All],[Advanced Network/Insurance Carrier Org ID]],Q281),2)</f>
        <v>1</v>
      </c>
      <c r="AF281" s="323" t="str">
        <f t="shared" si="29"/>
        <v>NA</v>
      </c>
    </row>
    <row r="282" spans="2:32" outlineLevel="1" x14ac:dyDescent="0.25">
      <c r="B282" s="236">
        <v>109</v>
      </c>
      <c r="C282" s="463">
        <f>ROUND(SUMIFS(Age_Sex22[[#All],[Total Member Months by Age/Sex Band]], Age_Sex22[[#All],[Advanced Network ID]], $B282, Age_Sex22[[#All],[Insurance Category Code]],6),2)</f>
        <v>0</v>
      </c>
      <c r="D282" s="268">
        <f>ROUND(SUMIFS(Age_Sex22[[#All],[Total Dollars Excluded from Spending After Applying Truncation at the Member Level]], Age_Sex22[[#All],[Advanced Network ID]], $B282, Age_Sex22[[#All],[Insurance Category Code]],6),2)</f>
        <v>0</v>
      </c>
      <c r="E282" s="229">
        <f>ROUND(SUMIFS(Age_Sex22[[#All],[Count of Members whose Spending was Truncated]], Age_Sex22[[#All],[Advanced Network ID]], $B282, Age_Sex22[[#All],[Insurance Category Code]],6),2)</f>
        <v>0</v>
      </c>
      <c r="F282" s="230">
        <f>ROUND(SUMIFS(Age_Sex22[[#All],[Total Spending before Truncation is Applied]], Age_Sex22[[#All],[Advanced Network ID]], $B282, Age_Sex22[[#All],[Insurance Category Code]],6),2)</f>
        <v>0</v>
      </c>
      <c r="G282" s="232">
        <f>ROUND(SUMIFS(Age_Sex22[[#All],[Total Spending After Applying Truncation at the Member Level]], Age_Sex22[[#All],[Advanced Network ID]], $B282, Age_Sex22[[#All],[Insurance Category Code]],6),2)</f>
        <v>0</v>
      </c>
      <c r="H282" s="416" t="str">
        <f>IF(C282=ROUND(SUMIFS(AN_TME22[[#All],[Member Months]], AN_TME22[[#All],[Insurance Category Code]],6, AN_TME22[[#All],[Advanced Network/Insurance Carrier Org ID]],B282),2), "TRUE", ROUND(C282-SUMIFS(AN_TME22[[#All],[Member Months]], AN_TME22[[#All],[Insurance Category Code]],6, AN_TME22[[#All],[Advanced Network/Insurance Carrier Org ID]],B282),2))</f>
        <v>TRUE</v>
      </c>
      <c r="I282" s="280" t="str">
        <f>IF(D282=ROUND(SUMIFS(AN_TME22[[#All],[Total Claims Excluded because of Truncation]], AN_TME22[[#All],[Insurance Category Code]],6, AN_TME22[[#All],[Advanced Network/Insurance Carrier Org ID]],B282),2), "TRUE", ROUND(D282-SUMIFS(AN_TME22[[#All],[Total Claims Excluded because of Truncation]], AN_TME22[[#All],[Insurance Category Code]],6, AN_TME22[[#All],[Advanced Network/Insurance Carrier Org ID]],B282),2))</f>
        <v>TRUE</v>
      </c>
      <c r="J282" s="281" t="str">
        <f>IF(E282=ROUND(SUMIFS(AN_TME22[[#All],[Count of Members with Claims Truncated]], AN_TME22[[#All],[Insurance Category Code]],6, AN_TME22[[#All],[Advanced Network/Insurance Carrier Org ID]],B282),2), "TRUE", ROUND(E282-SUMIFS(AN_TME22[[#All],[Count of Members with Claims Truncated]], AN_TME22[[#All],[Insurance Category Code]],6, AN_TME22[[#All],[Advanced Network/Insurance Carrier Org ID]],B282),2))</f>
        <v>TRUE</v>
      </c>
      <c r="K282" s="282" t="str">
        <f>IF(F282=ROUND(SUMIFS(AN_TME22[[#All],[TOTAL Non-Truncated Unadjusted Claims Expenses]], AN_TME22[[#All],[Insurance Category Code]],6, AN_TME22[[#All],[Advanced Network/Insurance Carrier Org ID]],B282),2),"TRUE", ROUND(F282-SUMIFS(AN_TME22[[#All],[TOTAL Non-Truncated Unadjusted Claims Expenses]], AN_TME22[[#All],[Insurance Category Code]],6, AN_TME22[[#All],[Advanced Network/Insurance Carrier Org ID]],B282),2))</f>
        <v>TRUE</v>
      </c>
      <c r="L282" s="295" t="str">
        <f>IF(G282=ROUND(SUMIFS(AN_TME22[[#All],[TOTAL Truncated Unadjusted Claims Expenses (A21 -A19)]], AN_TME22[[#All],[Insurance Category Code]],6, AN_TME22[[#All],[Advanced Network/Insurance Carrier Org ID]],B282),2), "TRUE", ROUND(G282-SUMIFS(AN_TME22[[#All],[TOTAL Truncated Unadjusted Claims Expenses (A21 -A19)]], AN_TME22[[#All],[Insurance Category Code]],6, AN_TME22[[#All],[Advanced Network/Insurance Carrier Org ID]],B282),2))</f>
        <v>TRUE</v>
      </c>
      <c r="M282" s="461" t="str">
        <f t="shared" si="27"/>
        <v>TRUE</v>
      </c>
      <c r="N282" s="282" t="b">
        <f>ROUND(SUMIFS(AN_TME22[[#All],[TOTAL Non-Truncated Unadjusted Claims Expenses]], AN_TME22[[#All],[Insurance Category Code]],6, AN_TME22[[#All],[Advanced Network/Insurance Carrier Org ID]],B282),2)&gt;=ROUND(SUMIFS(AN_TME22[[#All],[TOTAL Truncated Unadjusted Claims Expenses (A21 -A19)]], AN_TME22[[#All],[Insurance Category Code]],6, AN_TME22[[#All],[Advanced Network/Insurance Carrier Org ID]],B282),2)</f>
        <v>1</v>
      </c>
      <c r="O282" s="295" t="b">
        <f>ROUND(SUMIFS(AN_TME22[[#All],[TOTAL Truncated Unadjusted Claims Expenses (A21 -A19)]], AN_TME22[[#All],[Insurance Category Code]],6, AN_TME22[[#All],[Advanced Network/Insurance Carrier Org ID]],B282)+SUMIFS(AN_TME22[[#All],[Total Claims Excluded because of Truncation]], AN_TME22[[#All],[Insurance Category Code]],6, AN_TME22[[#All],[Advanced Network/Insurance Carrier Org ID]],B282),2)=ROUND(SUMIFS(AN_TME22[[#All],[TOTAL Non-Truncated Unadjusted Claims Expenses]], AN_TME22[[#All],[Insurance Category Code]],6, AN_TME22[[#All],[Advanced Network/Insurance Carrier Org ID]],B282),2)</f>
        <v>1</v>
      </c>
      <c r="Q282" s="236">
        <v>109</v>
      </c>
      <c r="R282" s="463">
        <f>ROUND(SUMIFS(Age_Sex23[[#All],[Total Member Months by Age/Sex Band]], Age_Sex23[[#All],[Advanced Network ID]], $Q282, Age_Sex23[[#All],[Insurance Category Code]],6),2)</f>
        <v>0</v>
      </c>
      <c r="S282" s="268">
        <f>ROUND(SUMIFS(Age_Sex23[[#All],[Total Dollars Excluded from Spending After Applying Truncation at the Member Level]], Age_Sex23[[#All],[Advanced Network ID]], $B282, Age_Sex23[[#All],[Insurance Category Code]],6),2)</f>
        <v>0</v>
      </c>
      <c r="T282" s="229">
        <f>ROUND(SUMIFS(Age_Sex23[[#All],[Count of Members whose Spending was Truncated]], Age_Sex23[[#All],[Advanced Network ID]], $B282, Age_Sex23[[#All],[Insurance Category Code]],6),2)</f>
        <v>0</v>
      </c>
      <c r="U282" s="230">
        <f>ROUND(SUMIFS(Age_Sex23[[#All],[Total Spending before Truncation is Applied]], Age_Sex23[[#All],[Advanced Network ID]], $B282, Age_Sex23[[#All],[Insurance Category Code]],6),2)</f>
        <v>0</v>
      </c>
      <c r="V282" s="232">
        <f>ROUND(SUMIFS(Age_Sex23[[#All],[Total Spending After Applying Truncation at the Member Level]], Age_Sex23[[#All],[Advanced Network ID]], $B282, Age_Sex23[[#All],[Insurance Category Code]],6),2)</f>
        <v>0</v>
      </c>
      <c r="W282" s="416" t="str">
        <f>IF(R282=ROUND(SUMIFS(AN_TME23[[#All],[Member Months]], AN_TME23[[#All],[Insurance Category Code]],6, AN_TME23[[#All],[Advanced Network/Insurance Carrier Org ID]],Q282),2), "TRUE", ROUND(R282-SUMIFS(AN_TME23[[#All],[Member Months]], AN_TME23[[#All],[Insurance Category Code]],6, AN_TME23[[#All],[Advanced Network/Insurance Carrier Org ID]],Q282),2))</f>
        <v>TRUE</v>
      </c>
      <c r="X282" s="280" t="str">
        <f>IF(S282=ROUND(SUMIFS(AN_TME23[[#All],[Total Claims Excluded because of Truncation]], AN_TME23[[#All],[Insurance Category Code]],6, AN_TME23[[#All],[Advanced Network/Insurance Carrier Org ID]],Q282),2), "TRUE", ROUND(S282-SUMIFS(AN_TME23[[#All],[Total Claims Excluded because of Truncation]], AN_TME23[[#All],[Insurance Category Code]],6, AN_TME23[[#All],[Advanced Network/Insurance Carrier Org ID]],Q282),2))</f>
        <v>TRUE</v>
      </c>
      <c r="Y282" s="281" t="str">
        <f>IF(T282=ROUND(SUMIFS(AN_TME23[[#All],[Count of Members with Claims Truncated]], AN_TME23[[#All],[Insurance Category Code]],6, AN_TME23[[#All],[Advanced Network/Insurance Carrier Org ID]],Q282),2), "TRUE", ROUND(T282-SUMIFS(AN_TME23[[#All],[Count of Members with Claims Truncated]], AN_TME23[[#All],[Insurance Category Code]],6, AN_TME23[[#All],[Advanced Network/Insurance Carrier Org ID]],Q282),2))</f>
        <v>TRUE</v>
      </c>
      <c r="Z282" s="282" t="str">
        <f>IF(U282=ROUND(SUMIFS(AN_TME23[[#All],[TOTAL Non-Truncated Unadjusted Claims Expenses]], AN_TME23[[#All],[Insurance Category Code]],6, AN_TME23[[#All],[Advanced Network/Insurance Carrier Org ID]],Q282),2), "TRUE", ROUND(U282-SUMIFS(AN_TME23[[#All],[TOTAL Non-Truncated Unadjusted Claims Expenses]], AN_TME23[[#All],[Insurance Category Code]],6, AN_TME23[[#All],[Advanced Network/Insurance Carrier Org ID]],Q282),2))</f>
        <v>TRUE</v>
      </c>
      <c r="AA282" s="295" t="str">
        <f>IF(V282=ROUND(SUMIFS(AN_TME23[[#All],[TOTAL Truncated Unadjusted Claims Expenses (A21 -A19)]], AN_TME23[[#All],[Insurance Category Code]],6, AN_TME23[[#All],[Advanced Network/Insurance Carrier Org ID]],Q282),2), "TRUE", ROUND(V282-SUMIFS(AN_TME23[[#All],[TOTAL Truncated Unadjusted Claims Expenses (A21 -A19)]], AN_TME23[[#All],[Insurance Category Code]],6, AN_TME23[[#All],[Advanced Network/Insurance Carrier Org ID]],Q282),2))</f>
        <v>TRUE</v>
      </c>
      <c r="AB282" s="461" t="str">
        <f t="shared" si="30"/>
        <v>TRUE</v>
      </c>
      <c r="AC282" s="282" t="b">
        <f>ROUND(SUMIFS(AN_TME23[[#All],[TOTAL Non-Truncated Unadjusted Claims Expenses]], AN_TME23[[#All],[Insurance Category Code]],6, AN_TME23[[#All],[Advanced Network/Insurance Carrier Org ID]],Q282),2)&gt;=ROUND(SUMIFS(AN_TME23[[#All],[TOTAL Truncated Unadjusted Claims Expenses (A21 -A19)]], AN_TME23[[#All],[Insurance Category Code]],6, AN_TME23[[#All],[Advanced Network/Insurance Carrier Org ID]],Q282),2)</f>
        <v>1</v>
      </c>
      <c r="AD282" s="295" t="b">
        <f>ROUND(SUMIFS(AN_TME23[[#All],[TOTAL Truncated Unadjusted Claims Expenses (A21 -A19)]], AN_TME23[[#All],[Insurance Category Code]],6, AN_TME23[[#All],[Advanced Network/Insurance Carrier Org ID]],Q282)+SUMIFS(AN_TME23[[#All],[Total Claims Excluded because of Truncation]], AN_TME23[[#All],[Insurance Category Code]],6, AN_TME23[[#All],[Advanced Network/Insurance Carrier Org ID]],Q282),2)=ROUND(SUMIFS(AN_TME23[[#All],[TOTAL Non-Truncated Unadjusted Claims Expenses]], AN_TME23[[#All],[Insurance Category Code]],6, AN_TME23[[#All],[Advanced Network/Insurance Carrier Org ID]],Q282),2)</f>
        <v>1</v>
      </c>
      <c r="AF282" s="323" t="str">
        <f t="shared" si="29"/>
        <v>NA</v>
      </c>
    </row>
    <row r="283" spans="2:32" outlineLevel="1" x14ac:dyDescent="0.25">
      <c r="B283" s="236">
        <v>110</v>
      </c>
      <c r="C283" s="463">
        <f>ROUND(SUMIFS(Age_Sex22[[#All],[Total Member Months by Age/Sex Band]], Age_Sex22[[#All],[Advanced Network ID]], $B283, Age_Sex22[[#All],[Insurance Category Code]],6),2)</f>
        <v>0</v>
      </c>
      <c r="D283" s="268">
        <f>ROUND(SUMIFS(Age_Sex22[[#All],[Total Dollars Excluded from Spending After Applying Truncation at the Member Level]], Age_Sex22[[#All],[Advanced Network ID]], $B283, Age_Sex22[[#All],[Insurance Category Code]],6),2)</f>
        <v>0</v>
      </c>
      <c r="E283" s="229">
        <f>ROUND(SUMIFS(Age_Sex22[[#All],[Count of Members whose Spending was Truncated]], Age_Sex22[[#All],[Advanced Network ID]], $B283, Age_Sex22[[#All],[Insurance Category Code]],6),2)</f>
        <v>0</v>
      </c>
      <c r="F283" s="230">
        <f>ROUND(SUMIFS(Age_Sex22[[#All],[Total Spending before Truncation is Applied]], Age_Sex22[[#All],[Advanced Network ID]], $B283, Age_Sex22[[#All],[Insurance Category Code]],6),2)</f>
        <v>0</v>
      </c>
      <c r="G283" s="232">
        <f>ROUND(SUMIFS(Age_Sex22[[#All],[Total Spending After Applying Truncation at the Member Level]], Age_Sex22[[#All],[Advanced Network ID]], $B283, Age_Sex22[[#All],[Insurance Category Code]],6),2)</f>
        <v>0</v>
      </c>
      <c r="H283" s="416" t="str">
        <f>IF(C283=ROUND(SUMIFS(AN_TME22[[#All],[Member Months]], AN_TME22[[#All],[Insurance Category Code]],6, AN_TME22[[#All],[Advanced Network/Insurance Carrier Org ID]],B283),2), "TRUE", ROUND(C283-SUMIFS(AN_TME22[[#All],[Member Months]], AN_TME22[[#All],[Insurance Category Code]],6, AN_TME22[[#All],[Advanced Network/Insurance Carrier Org ID]],B283),2))</f>
        <v>TRUE</v>
      </c>
      <c r="I283" s="280" t="str">
        <f>IF(D283=ROUND(SUMIFS(AN_TME22[[#All],[Total Claims Excluded because of Truncation]], AN_TME22[[#All],[Insurance Category Code]],6, AN_TME22[[#All],[Advanced Network/Insurance Carrier Org ID]],B283),2), "TRUE", ROUND(D283-SUMIFS(AN_TME22[[#All],[Total Claims Excluded because of Truncation]], AN_TME22[[#All],[Insurance Category Code]],6, AN_TME22[[#All],[Advanced Network/Insurance Carrier Org ID]],B283),2))</f>
        <v>TRUE</v>
      </c>
      <c r="J283" s="281" t="str">
        <f>IF(E283=ROUND(SUMIFS(AN_TME22[[#All],[Count of Members with Claims Truncated]], AN_TME22[[#All],[Insurance Category Code]],6, AN_TME22[[#All],[Advanced Network/Insurance Carrier Org ID]],B283),2), "TRUE", ROUND(E283-SUMIFS(AN_TME22[[#All],[Count of Members with Claims Truncated]], AN_TME22[[#All],[Insurance Category Code]],6, AN_TME22[[#All],[Advanced Network/Insurance Carrier Org ID]],B283),2))</f>
        <v>TRUE</v>
      </c>
      <c r="K283" s="282" t="str">
        <f>IF(F283=ROUND(SUMIFS(AN_TME22[[#All],[TOTAL Non-Truncated Unadjusted Claims Expenses]], AN_TME22[[#All],[Insurance Category Code]],6, AN_TME22[[#All],[Advanced Network/Insurance Carrier Org ID]],B283),2),"TRUE", ROUND(F283-SUMIFS(AN_TME22[[#All],[TOTAL Non-Truncated Unadjusted Claims Expenses]], AN_TME22[[#All],[Insurance Category Code]],6, AN_TME22[[#All],[Advanced Network/Insurance Carrier Org ID]],B283),2))</f>
        <v>TRUE</v>
      </c>
      <c r="L283" s="295" t="str">
        <f>IF(G283=ROUND(SUMIFS(AN_TME22[[#All],[TOTAL Truncated Unadjusted Claims Expenses (A21 -A19)]], AN_TME22[[#All],[Insurance Category Code]],6, AN_TME22[[#All],[Advanced Network/Insurance Carrier Org ID]],B283),2), "TRUE", ROUND(G283-SUMIFS(AN_TME22[[#All],[TOTAL Truncated Unadjusted Claims Expenses (A21 -A19)]], AN_TME22[[#All],[Insurance Category Code]],6, AN_TME22[[#All],[Advanced Network/Insurance Carrier Org ID]],B283),2))</f>
        <v>TRUE</v>
      </c>
      <c r="M283" s="461" t="str">
        <f t="shared" si="27"/>
        <v>TRUE</v>
      </c>
      <c r="N283" s="282" t="b">
        <f>ROUND(SUMIFS(AN_TME22[[#All],[TOTAL Non-Truncated Unadjusted Claims Expenses]], AN_TME22[[#All],[Insurance Category Code]],6, AN_TME22[[#All],[Advanced Network/Insurance Carrier Org ID]],B283),2)&gt;=ROUND(SUMIFS(AN_TME22[[#All],[TOTAL Truncated Unadjusted Claims Expenses (A21 -A19)]], AN_TME22[[#All],[Insurance Category Code]],6, AN_TME22[[#All],[Advanced Network/Insurance Carrier Org ID]],B283),2)</f>
        <v>1</v>
      </c>
      <c r="O283" s="295" t="b">
        <f>ROUND(SUMIFS(AN_TME22[[#All],[TOTAL Truncated Unadjusted Claims Expenses (A21 -A19)]], AN_TME22[[#All],[Insurance Category Code]],6, AN_TME22[[#All],[Advanced Network/Insurance Carrier Org ID]],B283)+SUMIFS(AN_TME22[[#All],[Total Claims Excluded because of Truncation]], AN_TME22[[#All],[Insurance Category Code]],6, AN_TME22[[#All],[Advanced Network/Insurance Carrier Org ID]],B283),2)=ROUND(SUMIFS(AN_TME22[[#All],[TOTAL Non-Truncated Unadjusted Claims Expenses]], AN_TME22[[#All],[Insurance Category Code]],6, AN_TME22[[#All],[Advanced Network/Insurance Carrier Org ID]],B283),2)</f>
        <v>1</v>
      </c>
      <c r="Q283" s="236">
        <v>110</v>
      </c>
      <c r="R283" s="463">
        <f>ROUND(SUMIFS(Age_Sex23[[#All],[Total Member Months by Age/Sex Band]], Age_Sex23[[#All],[Advanced Network ID]], $Q283, Age_Sex23[[#All],[Insurance Category Code]],6),2)</f>
        <v>0</v>
      </c>
      <c r="S283" s="268">
        <f>ROUND(SUMIFS(Age_Sex23[[#All],[Total Dollars Excluded from Spending After Applying Truncation at the Member Level]], Age_Sex23[[#All],[Advanced Network ID]], $B283, Age_Sex23[[#All],[Insurance Category Code]],6),2)</f>
        <v>0</v>
      </c>
      <c r="T283" s="229">
        <f>ROUND(SUMIFS(Age_Sex23[[#All],[Count of Members whose Spending was Truncated]], Age_Sex23[[#All],[Advanced Network ID]], $B283, Age_Sex23[[#All],[Insurance Category Code]],6),2)</f>
        <v>0</v>
      </c>
      <c r="U283" s="230">
        <f>ROUND(SUMIFS(Age_Sex23[[#All],[Total Spending before Truncation is Applied]], Age_Sex23[[#All],[Advanced Network ID]], $B283, Age_Sex23[[#All],[Insurance Category Code]],6),2)</f>
        <v>0</v>
      </c>
      <c r="V283" s="232">
        <f>ROUND(SUMIFS(Age_Sex23[[#All],[Total Spending After Applying Truncation at the Member Level]], Age_Sex23[[#All],[Advanced Network ID]], $B283, Age_Sex23[[#All],[Insurance Category Code]],6),2)</f>
        <v>0</v>
      </c>
      <c r="W283" s="416" t="str">
        <f>IF(R283=ROUND(SUMIFS(AN_TME23[[#All],[Member Months]], AN_TME23[[#All],[Insurance Category Code]],6, AN_TME23[[#All],[Advanced Network/Insurance Carrier Org ID]],Q283),2), "TRUE", ROUND(R283-SUMIFS(AN_TME23[[#All],[Member Months]], AN_TME23[[#All],[Insurance Category Code]],6, AN_TME23[[#All],[Advanced Network/Insurance Carrier Org ID]],Q283),2))</f>
        <v>TRUE</v>
      </c>
      <c r="X283" s="280" t="str">
        <f>IF(S283=ROUND(SUMIFS(AN_TME23[[#All],[Total Claims Excluded because of Truncation]], AN_TME23[[#All],[Insurance Category Code]],6, AN_TME23[[#All],[Advanced Network/Insurance Carrier Org ID]],Q283),2), "TRUE", ROUND(S283-SUMIFS(AN_TME23[[#All],[Total Claims Excluded because of Truncation]], AN_TME23[[#All],[Insurance Category Code]],6, AN_TME23[[#All],[Advanced Network/Insurance Carrier Org ID]],Q283),2))</f>
        <v>TRUE</v>
      </c>
      <c r="Y283" s="281" t="str">
        <f>IF(T283=ROUND(SUMIFS(AN_TME23[[#All],[Count of Members with Claims Truncated]], AN_TME23[[#All],[Insurance Category Code]],6, AN_TME23[[#All],[Advanced Network/Insurance Carrier Org ID]],Q283),2), "TRUE", ROUND(T283-SUMIFS(AN_TME23[[#All],[Count of Members with Claims Truncated]], AN_TME23[[#All],[Insurance Category Code]],6, AN_TME23[[#All],[Advanced Network/Insurance Carrier Org ID]],Q283),2))</f>
        <v>TRUE</v>
      </c>
      <c r="Z283" s="282" t="str">
        <f>IF(U283=ROUND(SUMIFS(AN_TME23[[#All],[TOTAL Non-Truncated Unadjusted Claims Expenses]], AN_TME23[[#All],[Insurance Category Code]],6, AN_TME23[[#All],[Advanced Network/Insurance Carrier Org ID]],Q283),2), "TRUE", ROUND(U283-SUMIFS(AN_TME23[[#All],[TOTAL Non-Truncated Unadjusted Claims Expenses]], AN_TME23[[#All],[Insurance Category Code]],6, AN_TME23[[#All],[Advanced Network/Insurance Carrier Org ID]],Q283),2))</f>
        <v>TRUE</v>
      </c>
      <c r="AA283" s="295" t="str">
        <f>IF(V283=ROUND(SUMIFS(AN_TME23[[#All],[TOTAL Truncated Unadjusted Claims Expenses (A21 -A19)]], AN_TME23[[#All],[Insurance Category Code]],6, AN_TME23[[#All],[Advanced Network/Insurance Carrier Org ID]],Q283),2), "TRUE", ROUND(V283-SUMIFS(AN_TME23[[#All],[TOTAL Truncated Unadjusted Claims Expenses (A21 -A19)]], AN_TME23[[#All],[Insurance Category Code]],6, AN_TME23[[#All],[Advanced Network/Insurance Carrier Org ID]],Q283),2))</f>
        <v>TRUE</v>
      </c>
      <c r="AB283" s="461" t="str">
        <f t="shared" si="30"/>
        <v>TRUE</v>
      </c>
      <c r="AC283" s="282" t="b">
        <f>ROUND(SUMIFS(AN_TME23[[#All],[TOTAL Non-Truncated Unadjusted Claims Expenses]], AN_TME23[[#All],[Insurance Category Code]],6, AN_TME23[[#All],[Advanced Network/Insurance Carrier Org ID]],Q283),2)&gt;=ROUND(SUMIFS(AN_TME23[[#All],[TOTAL Truncated Unadjusted Claims Expenses (A21 -A19)]], AN_TME23[[#All],[Insurance Category Code]],6, AN_TME23[[#All],[Advanced Network/Insurance Carrier Org ID]],Q283),2)</f>
        <v>1</v>
      </c>
      <c r="AD283" s="295" t="b">
        <f>ROUND(SUMIFS(AN_TME23[[#All],[TOTAL Truncated Unadjusted Claims Expenses (A21 -A19)]], AN_TME23[[#All],[Insurance Category Code]],6, AN_TME23[[#All],[Advanced Network/Insurance Carrier Org ID]],Q283)+SUMIFS(AN_TME23[[#All],[Total Claims Excluded because of Truncation]], AN_TME23[[#All],[Insurance Category Code]],6, AN_TME23[[#All],[Advanced Network/Insurance Carrier Org ID]],Q283),2)=ROUND(SUMIFS(AN_TME23[[#All],[TOTAL Non-Truncated Unadjusted Claims Expenses]], AN_TME23[[#All],[Insurance Category Code]],6, AN_TME23[[#All],[Advanced Network/Insurance Carrier Org ID]],Q283),2)</f>
        <v>1</v>
      </c>
      <c r="AF283" s="323" t="str">
        <f t="shared" si="29"/>
        <v>NA</v>
      </c>
    </row>
    <row r="284" spans="2:32" outlineLevel="1" x14ac:dyDescent="0.25">
      <c r="B284" s="236">
        <v>111</v>
      </c>
      <c r="C284" s="463">
        <f>ROUND(SUMIFS(Age_Sex22[[#All],[Total Member Months by Age/Sex Band]], Age_Sex22[[#All],[Advanced Network ID]], $B284, Age_Sex22[[#All],[Insurance Category Code]],6),2)</f>
        <v>0</v>
      </c>
      <c r="D284" s="268">
        <f>ROUND(SUMIFS(Age_Sex22[[#All],[Total Dollars Excluded from Spending After Applying Truncation at the Member Level]], Age_Sex22[[#All],[Advanced Network ID]], $B284, Age_Sex22[[#All],[Insurance Category Code]],6),2)</f>
        <v>0</v>
      </c>
      <c r="E284" s="229">
        <f>ROUND(SUMIFS(Age_Sex22[[#All],[Count of Members whose Spending was Truncated]], Age_Sex22[[#All],[Advanced Network ID]], $B284, Age_Sex22[[#All],[Insurance Category Code]],6),2)</f>
        <v>0</v>
      </c>
      <c r="F284" s="230">
        <f>ROUND(SUMIFS(Age_Sex22[[#All],[Total Spending before Truncation is Applied]], Age_Sex22[[#All],[Advanced Network ID]], $B284, Age_Sex22[[#All],[Insurance Category Code]],6),2)</f>
        <v>0</v>
      </c>
      <c r="G284" s="232">
        <f>ROUND(SUMIFS(Age_Sex22[[#All],[Total Spending After Applying Truncation at the Member Level]], Age_Sex22[[#All],[Advanced Network ID]], $B284, Age_Sex22[[#All],[Insurance Category Code]],6),2)</f>
        <v>0</v>
      </c>
      <c r="H284" s="416" t="str">
        <f>IF(C284=ROUND(SUMIFS(AN_TME22[[#All],[Member Months]], AN_TME22[[#All],[Insurance Category Code]],6, AN_TME22[[#All],[Advanced Network/Insurance Carrier Org ID]],B284),2), "TRUE", ROUND(C284-SUMIFS(AN_TME22[[#All],[Member Months]], AN_TME22[[#All],[Insurance Category Code]],6, AN_TME22[[#All],[Advanced Network/Insurance Carrier Org ID]],B284),2))</f>
        <v>TRUE</v>
      </c>
      <c r="I284" s="280" t="str">
        <f>IF(D284=ROUND(SUMIFS(AN_TME22[[#All],[Total Claims Excluded because of Truncation]], AN_TME22[[#All],[Insurance Category Code]],6, AN_TME22[[#All],[Advanced Network/Insurance Carrier Org ID]],B284),2), "TRUE", ROUND(D284-SUMIFS(AN_TME22[[#All],[Total Claims Excluded because of Truncation]], AN_TME22[[#All],[Insurance Category Code]],6, AN_TME22[[#All],[Advanced Network/Insurance Carrier Org ID]],B284),2))</f>
        <v>TRUE</v>
      </c>
      <c r="J284" s="281" t="str">
        <f>IF(E284=ROUND(SUMIFS(AN_TME22[[#All],[Count of Members with Claims Truncated]], AN_TME22[[#All],[Insurance Category Code]],6, AN_TME22[[#All],[Advanced Network/Insurance Carrier Org ID]],B284),2), "TRUE", ROUND(E284-SUMIFS(AN_TME22[[#All],[Count of Members with Claims Truncated]], AN_TME22[[#All],[Insurance Category Code]],6, AN_TME22[[#All],[Advanced Network/Insurance Carrier Org ID]],B284),2))</f>
        <v>TRUE</v>
      </c>
      <c r="K284" s="282" t="str">
        <f>IF(F284=ROUND(SUMIFS(AN_TME22[[#All],[TOTAL Non-Truncated Unadjusted Claims Expenses]], AN_TME22[[#All],[Insurance Category Code]],6, AN_TME22[[#All],[Advanced Network/Insurance Carrier Org ID]],B284),2),"TRUE", ROUND(F284-SUMIFS(AN_TME22[[#All],[TOTAL Non-Truncated Unadjusted Claims Expenses]], AN_TME22[[#All],[Insurance Category Code]],6, AN_TME22[[#All],[Advanced Network/Insurance Carrier Org ID]],B284),2))</f>
        <v>TRUE</v>
      </c>
      <c r="L284" s="295" t="str">
        <f>IF(G284=ROUND(SUMIFS(AN_TME22[[#All],[TOTAL Truncated Unadjusted Claims Expenses (A21 -A19)]], AN_TME22[[#All],[Insurance Category Code]],6, AN_TME22[[#All],[Advanced Network/Insurance Carrier Org ID]],B284),2), "TRUE", ROUND(G284-SUMIFS(AN_TME22[[#All],[TOTAL Truncated Unadjusted Claims Expenses (A21 -A19)]], AN_TME22[[#All],[Insurance Category Code]],6, AN_TME22[[#All],[Advanced Network/Insurance Carrier Org ID]],B284),2))</f>
        <v>TRUE</v>
      </c>
      <c r="M284" s="461" t="str">
        <f t="shared" si="27"/>
        <v>TRUE</v>
      </c>
      <c r="N284" s="282" t="b">
        <f>ROUND(SUMIFS(AN_TME22[[#All],[TOTAL Non-Truncated Unadjusted Claims Expenses]], AN_TME22[[#All],[Insurance Category Code]],6, AN_TME22[[#All],[Advanced Network/Insurance Carrier Org ID]],B284),2)&gt;=ROUND(SUMIFS(AN_TME22[[#All],[TOTAL Truncated Unadjusted Claims Expenses (A21 -A19)]], AN_TME22[[#All],[Insurance Category Code]],6, AN_TME22[[#All],[Advanced Network/Insurance Carrier Org ID]],B284),2)</f>
        <v>1</v>
      </c>
      <c r="O284" s="295" t="b">
        <f>ROUND(SUMIFS(AN_TME22[[#All],[TOTAL Truncated Unadjusted Claims Expenses (A21 -A19)]], AN_TME22[[#All],[Insurance Category Code]],6, AN_TME22[[#All],[Advanced Network/Insurance Carrier Org ID]],B284)+SUMIFS(AN_TME22[[#All],[Total Claims Excluded because of Truncation]], AN_TME22[[#All],[Insurance Category Code]],6, AN_TME22[[#All],[Advanced Network/Insurance Carrier Org ID]],B284),2)=ROUND(SUMIFS(AN_TME22[[#All],[TOTAL Non-Truncated Unadjusted Claims Expenses]], AN_TME22[[#All],[Insurance Category Code]],6, AN_TME22[[#All],[Advanced Network/Insurance Carrier Org ID]],B284),2)</f>
        <v>1</v>
      </c>
      <c r="Q284" s="236">
        <v>111</v>
      </c>
      <c r="R284" s="463">
        <f>ROUND(SUMIFS(Age_Sex23[[#All],[Total Member Months by Age/Sex Band]], Age_Sex23[[#All],[Advanced Network ID]], $Q284, Age_Sex23[[#All],[Insurance Category Code]],6),2)</f>
        <v>0</v>
      </c>
      <c r="S284" s="268">
        <f>ROUND(SUMIFS(Age_Sex23[[#All],[Total Dollars Excluded from Spending After Applying Truncation at the Member Level]], Age_Sex23[[#All],[Advanced Network ID]], $B284, Age_Sex23[[#All],[Insurance Category Code]],6),2)</f>
        <v>0</v>
      </c>
      <c r="T284" s="229">
        <f>ROUND(SUMIFS(Age_Sex23[[#All],[Count of Members whose Spending was Truncated]], Age_Sex23[[#All],[Advanced Network ID]], $B284, Age_Sex23[[#All],[Insurance Category Code]],6),2)</f>
        <v>0</v>
      </c>
      <c r="U284" s="230">
        <f>ROUND(SUMIFS(Age_Sex23[[#All],[Total Spending before Truncation is Applied]], Age_Sex23[[#All],[Advanced Network ID]], $B284, Age_Sex23[[#All],[Insurance Category Code]],6),2)</f>
        <v>0</v>
      </c>
      <c r="V284" s="232">
        <f>ROUND(SUMIFS(Age_Sex23[[#All],[Total Spending After Applying Truncation at the Member Level]], Age_Sex23[[#All],[Advanced Network ID]], $B284, Age_Sex23[[#All],[Insurance Category Code]],6),2)</f>
        <v>0</v>
      </c>
      <c r="W284" s="416" t="str">
        <f>IF(R284=ROUND(SUMIFS(AN_TME23[[#All],[Member Months]], AN_TME23[[#All],[Insurance Category Code]],6, AN_TME23[[#All],[Advanced Network/Insurance Carrier Org ID]],Q284),2), "TRUE", ROUND(R284-SUMIFS(AN_TME23[[#All],[Member Months]], AN_TME23[[#All],[Insurance Category Code]],6, AN_TME23[[#All],[Advanced Network/Insurance Carrier Org ID]],Q284),2))</f>
        <v>TRUE</v>
      </c>
      <c r="X284" s="280" t="str">
        <f>IF(S284=ROUND(SUMIFS(AN_TME23[[#All],[Total Claims Excluded because of Truncation]], AN_TME23[[#All],[Insurance Category Code]],6, AN_TME23[[#All],[Advanced Network/Insurance Carrier Org ID]],Q284),2), "TRUE", ROUND(S284-SUMIFS(AN_TME23[[#All],[Total Claims Excluded because of Truncation]], AN_TME23[[#All],[Insurance Category Code]],6, AN_TME23[[#All],[Advanced Network/Insurance Carrier Org ID]],Q284),2))</f>
        <v>TRUE</v>
      </c>
      <c r="Y284" s="281" t="str">
        <f>IF(T284=ROUND(SUMIFS(AN_TME23[[#All],[Count of Members with Claims Truncated]], AN_TME23[[#All],[Insurance Category Code]],6, AN_TME23[[#All],[Advanced Network/Insurance Carrier Org ID]],Q284),2), "TRUE", ROUND(T284-SUMIFS(AN_TME23[[#All],[Count of Members with Claims Truncated]], AN_TME23[[#All],[Insurance Category Code]],6, AN_TME23[[#All],[Advanced Network/Insurance Carrier Org ID]],Q284),2))</f>
        <v>TRUE</v>
      </c>
      <c r="Z284" s="282" t="str">
        <f>IF(U284=ROUND(SUMIFS(AN_TME23[[#All],[TOTAL Non-Truncated Unadjusted Claims Expenses]], AN_TME23[[#All],[Insurance Category Code]],6, AN_TME23[[#All],[Advanced Network/Insurance Carrier Org ID]],Q284),2), "TRUE", ROUND(U284-SUMIFS(AN_TME23[[#All],[TOTAL Non-Truncated Unadjusted Claims Expenses]], AN_TME23[[#All],[Insurance Category Code]],6, AN_TME23[[#All],[Advanced Network/Insurance Carrier Org ID]],Q284),2))</f>
        <v>TRUE</v>
      </c>
      <c r="AA284" s="295" t="str">
        <f>IF(V284=ROUND(SUMIFS(AN_TME23[[#All],[TOTAL Truncated Unadjusted Claims Expenses (A21 -A19)]], AN_TME23[[#All],[Insurance Category Code]],6, AN_TME23[[#All],[Advanced Network/Insurance Carrier Org ID]],Q284),2), "TRUE", ROUND(V284-SUMIFS(AN_TME23[[#All],[TOTAL Truncated Unadjusted Claims Expenses (A21 -A19)]], AN_TME23[[#All],[Insurance Category Code]],6, AN_TME23[[#All],[Advanced Network/Insurance Carrier Org ID]],Q284),2))</f>
        <v>TRUE</v>
      </c>
      <c r="AB284" s="461" t="str">
        <f t="shared" si="30"/>
        <v>TRUE</v>
      </c>
      <c r="AC284" s="282" t="b">
        <f>ROUND(SUMIFS(AN_TME23[[#All],[TOTAL Non-Truncated Unadjusted Claims Expenses]], AN_TME23[[#All],[Insurance Category Code]],6, AN_TME23[[#All],[Advanced Network/Insurance Carrier Org ID]],Q284),2)&gt;=ROUND(SUMIFS(AN_TME23[[#All],[TOTAL Truncated Unadjusted Claims Expenses (A21 -A19)]], AN_TME23[[#All],[Insurance Category Code]],6, AN_TME23[[#All],[Advanced Network/Insurance Carrier Org ID]],Q284),2)</f>
        <v>1</v>
      </c>
      <c r="AD284" s="295" t="b">
        <f>ROUND(SUMIFS(AN_TME23[[#All],[TOTAL Truncated Unadjusted Claims Expenses (A21 -A19)]], AN_TME23[[#All],[Insurance Category Code]],6, AN_TME23[[#All],[Advanced Network/Insurance Carrier Org ID]],Q284)+SUMIFS(AN_TME23[[#All],[Total Claims Excluded because of Truncation]], AN_TME23[[#All],[Insurance Category Code]],6, AN_TME23[[#All],[Advanced Network/Insurance Carrier Org ID]],Q284),2)=ROUND(SUMIFS(AN_TME23[[#All],[TOTAL Non-Truncated Unadjusted Claims Expenses]], AN_TME23[[#All],[Insurance Category Code]],6, AN_TME23[[#All],[Advanced Network/Insurance Carrier Org ID]],Q284),2)</f>
        <v>1</v>
      </c>
      <c r="AF284" s="323" t="str">
        <f t="shared" si="29"/>
        <v>NA</v>
      </c>
    </row>
    <row r="285" spans="2:32" outlineLevel="1" x14ac:dyDescent="0.25">
      <c r="B285" s="236">
        <v>112</v>
      </c>
      <c r="C285" s="463">
        <f>ROUND(SUMIFS(Age_Sex22[[#All],[Total Member Months by Age/Sex Band]], Age_Sex22[[#All],[Advanced Network ID]], $B285, Age_Sex22[[#All],[Insurance Category Code]],6),2)</f>
        <v>0</v>
      </c>
      <c r="D285" s="268">
        <f>ROUND(SUMIFS(Age_Sex22[[#All],[Total Dollars Excluded from Spending After Applying Truncation at the Member Level]], Age_Sex22[[#All],[Advanced Network ID]], $B285, Age_Sex22[[#All],[Insurance Category Code]],6),2)</f>
        <v>0</v>
      </c>
      <c r="E285" s="229">
        <f>ROUND(SUMIFS(Age_Sex22[[#All],[Count of Members whose Spending was Truncated]], Age_Sex22[[#All],[Advanced Network ID]], $B285, Age_Sex22[[#All],[Insurance Category Code]],6),2)</f>
        <v>0</v>
      </c>
      <c r="F285" s="230">
        <f>ROUND(SUMIFS(Age_Sex22[[#All],[Total Spending before Truncation is Applied]], Age_Sex22[[#All],[Advanced Network ID]], $B285, Age_Sex22[[#All],[Insurance Category Code]],6),2)</f>
        <v>0</v>
      </c>
      <c r="G285" s="232">
        <f>ROUND(SUMIFS(Age_Sex22[[#All],[Total Spending After Applying Truncation at the Member Level]], Age_Sex22[[#All],[Advanced Network ID]], $B285, Age_Sex22[[#All],[Insurance Category Code]],6),2)</f>
        <v>0</v>
      </c>
      <c r="H285" s="416" t="str">
        <f>IF(C285=ROUND(SUMIFS(AN_TME22[[#All],[Member Months]], AN_TME22[[#All],[Insurance Category Code]],6, AN_TME22[[#All],[Advanced Network/Insurance Carrier Org ID]],B285),2), "TRUE", ROUND(C285-SUMIFS(AN_TME22[[#All],[Member Months]], AN_TME22[[#All],[Insurance Category Code]],6, AN_TME22[[#All],[Advanced Network/Insurance Carrier Org ID]],B285),2))</f>
        <v>TRUE</v>
      </c>
      <c r="I285" s="280" t="str">
        <f>IF(D285=ROUND(SUMIFS(AN_TME22[[#All],[Total Claims Excluded because of Truncation]], AN_TME22[[#All],[Insurance Category Code]],6, AN_TME22[[#All],[Advanced Network/Insurance Carrier Org ID]],B285),2), "TRUE", ROUND(D285-SUMIFS(AN_TME22[[#All],[Total Claims Excluded because of Truncation]], AN_TME22[[#All],[Insurance Category Code]],6, AN_TME22[[#All],[Advanced Network/Insurance Carrier Org ID]],B285),2))</f>
        <v>TRUE</v>
      </c>
      <c r="J285" s="281" t="str">
        <f>IF(E285=ROUND(SUMIFS(AN_TME22[[#All],[Count of Members with Claims Truncated]], AN_TME22[[#All],[Insurance Category Code]],6, AN_TME22[[#All],[Advanced Network/Insurance Carrier Org ID]],B285),2), "TRUE", ROUND(E285-SUMIFS(AN_TME22[[#All],[Count of Members with Claims Truncated]], AN_TME22[[#All],[Insurance Category Code]],6, AN_TME22[[#All],[Advanced Network/Insurance Carrier Org ID]],B285),2))</f>
        <v>TRUE</v>
      </c>
      <c r="K285" s="282" t="str">
        <f>IF(F285=ROUND(SUMIFS(AN_TME22[[#All],[TOTAL Non-Truncated Unadjusted Claims Expenses]], AN_TME22[[#All],[Insurance Category Code]],6, AN_TME22[[#All],[Advanced Network/Insurance Carrier Org ID]],B285),2),"TRUE", ROUND(F285-SUMIFS(AN_TME22[[#All],[TOTAL Non-Truncated Unadjusted Claims Expenses]], AN_TME22[[#All],[Insurance Category Code]],6, AN_TME22[[#All],[Advanced Network/Insurance Carrier Org ID]],B285),2))</f>
        <v>TRUE</v>
      </c>
      <c r="L285" s="295" t="str">
        <f>IF(G285=ROUND(SUMIFS(AN_TME22[[#All],[TOTAL Truncated Unadjusted Claims Expenses (A21 -A19)]], AN_TME22[[#All],[Insurance Category Code]],6, AN_TME22[[#All],[Advanced Network/Insurance Carrier Org ID]],B285),2), "TRUE", ROUND(G285-SUMIFS(AN_TME22[[#All],[TOTAL Truncated Unadjusted Claims Expenses (A21 -A19)]], AN_TME22[[#All],[Insurance Category Code]],6, AN_TME22[[#All],[Advanced Network/Insurance Carrier Org ID]],B285),2))</f>
        <v>TRUE</v>
      </c>
      <c r="M285" s="461" t="str">
        <f t="shared" si="27"/>
        <v>TRUE</v>
      </c>
      <c r="N285" s="282" t="b">
        <f>ROUND(SUMIFS(AN_TME22[[#All],[TOTAL Non-Truncated Unadjusted Claims Expenses]], AN_TME22[[#All],[Insurance Category Code]],6, AN_TME22[[#All],[Advanced Network/Insurance Carrier Org ID]],B285),2)&gt;=ROUND(SUMIFS(AN_TME22[[#All],[TOTAL Truncated Unadjusted Claims Expenses (A21 -A19)]], AN_TME22[[#All],[Insurance Category Code]],6, AN_TME22[[#All],[Advanced Network/Insurance Carrier Org ID]],B285),2)</f>
        <v>1</v>
      </c>
      <c r="O285" s="295" t="b">
        <f>ROUND(SUMIFS(AN_TME22[[#All],[TOTAL Truncated Unadjusted Claims Expenses (A21 -A19)]], AN_TME22[[#All],[Insurance Category Code]],6, AN_TME22[[#All],[Advanced Network/Insurance Carrier Org ID]],B285)+SUMIFS(AN_TME22[[#All],[Total Claims Excluded because of Truncation]], AN_TME22[[#All],[Insurance Category Code]],6, AN_TME22[[#All],[Advanced Network/Insurance Carrier Org ID]],B285),2)=ROUND(SUMIFS(AN_TME22[[#All],[TOTAL Non-Truncated Unadjusted Claims Expenses]], AN_TME22[[#All],[Insurance Category Code]],6, AN_TME22[[#All],[Advanced Network/Insurance Carrier Org ID]],B285),2)</f>
        <v>1</v>
      </c>
      <c r="Q285" s="236">
        <v>112</v>
      </c>
      <c r="R285" s="463">
        <f>ROUND(SUMIFS(Age_Sex23[[#All],[Total Member Months by Age/Sex Band]], Age_Sex23[[#All],[Advanced Network ID]], $Q285, Age_Sex23[[#All],[Insurance Category Code]],6),2)</f>
        <v>0</v>
      </c>
      <c r="S285" s="268">
        <f>ROUND(SUMIFS(Age_Sex23[[#All],[Total Dollars Excluded from Spending After Applying Truncation at the Member Level]], Age_Sex23[[#All],[Advanced Network ID]], $B285, Age_Sex23[[#All],[Insurance Category Code]],6),2)</f>
        <v>0</v>
      </c>
      <c r="T285" s="229">
        <f>ROUND(SUMIFS(Age_Sex23[[#All],[Count of Members whose Spending was Truncated]], Age_Sex23[[#All],[Advanced Network ID]], $B285, Age_Sex23[[#All],[Insurance Category Code]],6),2)</f>
        <v>0</v>
      </c>
      <c r="U285" s="230">
        <f>ROUND(SUMIFS(Age_Sex23[[#All],[Total Spending before Truncation is Applied]], Age_Sex23[[#All],[Advanced Network ID]], $B285, Age_Sex23[[#All],[Insurance Category Code]],6),2)</f>
        <v>0</v>
      </c>
      <c r="V285" s="232">
        <f>ROUND(SUMIFS(Age_Sex23[[#All],[Total Spending After Applying Truncation at the Member Level]], Age_Sex23[[#All],[Advanced Network ID]], $B285, Age_Sex23[[#All],[Insurance Category Code]],6),2)</f>
        <v>0</v>
      </c>
      <c r="W285" s="416" t="str">
        <f>IF(R285=ROUND(SUMIFS(AN_TME23[[#All],[Member Months]], AN_TME23[[#All],[Insurance Category Code]],6, AN_TME23[[#All],[Advanced Network/Insurance Carrier Org ID]],Q285),2), "TRUE", ROUND(R285-SUMIFS(AN_TME23[[#All],[Member Months]], AN_TME23[[#All],[Insurance Category Code]],6, AN_TME23[[#All],[Advanced Network/Insurance Carrier Org ID]],Q285),2))</f>
        <v>TRUE</v>
      </c>
      <c r="X285" s="280" t="str">
        <f>IF(S285=ROUND(SUMIFS(AN_TME23[[#All],[Total Claims Excluded because of Truncation]], AN_TME23[[#All],[Insurance Category Code]],6, AN_TME23[[#All],[Advanced Network/Insurance Carrier Org ID]],Q285),2), "TRUE", ROUND(S285-SUMIFS(AN_TME23[[#All],[Total Claims Excluded because of Truncation]], AN_TME23[[#All],[Insurance Category Code]],6, AN_TME23[[#All],[Advanced Network/Insurance Carrier Org ID]],Q285),2))</f>
        <v>TRUE</v>
      </c>
      <c r="Y285" s="281" t="str">
        <f>IF(T285=ROUND(SUMIFS(AN_TME23[[#All],[Count of Members with Claims Truncated]], AN_TME23[[#All],[Insurance Category Code]],6, AN_TME23[[#All],[Advanced Network/Insurance Carrier Org ID]],Q285),2), "TRUE", ROUND(T285-SUMIFS(AN_TME23[[#All],[Count of Members with Claims Truncated]], AN_TME23[[#All],[Insurance Category Code]],6, AN_TME23[[#All],[Advanced Network/Insurance Carrier Org ID]],Q285),2))</f>
        <v>TRUE</v>
      </c>
      <c r="Z285" s="282" t="str">
        <f>IF(U285=ROUND(SUMIFS(AN_TME23[[#All],[TOTAL Non-Truncated Unadjusted Claims Expenses]], AN_TME23[[#All],[Insurance Category Code]],6, AN_TME23[[#All],[Advanced Network/Insurance Carrier Org ID]],Q285),2), "TRUE", ROUND(U285-SUMIFS(AN_TME23[[#All],[TOTAL Non-Truncated Unadjusted Claims Expenses]], AN_TME23[[#All],[Insurance Category Code]],6, AN_TME23[[#All],[Advanced Network/Insurance Carrier Org ID]],Q285),2))</f>
        <v>TRUE</v>
      </c>
      <c r="AA285" s="295" t="str">
        <f>IF(V285=ROUND(SUMIFS(AN_TME23[[#All],[TOTAL Truncated Unadjusted Claims Expenses (A21 -A19)]], AN_TME23[[#All],[Insurance Category Code]],6, AN_TME23[[#All],[Advanced Network/Insurance Carrier Org ID]],Q285),2), "TRUE", ROUND(V285-SUMIFS(AN_TME23[[#All],[TOTAL Truncated Unadjusted Claims Expenses (A21 -A19)]], AN_TME23[[#All],[Insurance Category Code]],6, AN_TME23[[#All],[Advanced Network/Insurance Carrier Org ID]],Q285),2))</f>
        <v>TRUE</v>
      </c>
      <c r="AB285" s="461" t="str">
        <f t="shared" si="30"/>
        <v>TRUE</v>
      </c>
      <c r="AC285" s="282" t="b">
        <f>ROUND(SUMIFS(AN_TME23[[#All],[TOTAL Non-Truncated Unadjusted Claims Expenses]], AN_TME23[[#All],[Insurance Category Code]],6, AN_TME23[[#All],[Advanced Network/Insurance Carrier Org ID]],Q285),2)&gt;=ROUND(SUMIFS(AN_TME23[[#All],[TOTAL Truncated Unadjusted Claims Expenses (A21 -A19)]], AN_TME23[[#All],[Insurance Category Code]],6, AN_TME23[[#All],[Advanced Network/Insurance Carrier Org ID]],Q285),2)</f>
        <v>1</v>
      </c>
      <c r="AD285" s="295" t="b">
        <f>ROUND(SUMIFS(AN_TME23[[#All],[TOTAL Truncated Unadjusted Claims Expenses (A21 -A19)]], AN_TME23[[#All],[Insurance Category Code]],6, AN_TME23[[#All],[Advanced Network/Insurance Carrier Org ID]],Q285)+SUMIFS(AN_TME23[[#All],[Total Claims Excluded because of Truncation]], AN_TME23[[#All],[Insurance Category Code]],6, AN_TME23[[#All],[Advanced Network/Insurance Carrier Org ID]],Q285),2)=ROUND(SUMIFS(AN_TME23[[#All],[TOTAL Non-Truncated Unadjusted Claims Expenses]], AN_TME23[[#All],[Insurance Category Code]],6, AN_TME23[[#All],[Advanced Network/Insurance Carrier Org ID]],Q285),2)</f>
        <v>1</v>
      </c>
      <c r="AF285" s="323" t="str">
        <f t="shared" si="29"/>
        <v>NA</v>
      </c>
    </row>
    <row r="286" spans="2:32" outlineLevel="1" x14ac:dyDescent="0.25">
      <c r="B286" s="236">
        <v>113</v>
      </c>
      <c r="C286" s="463">
        <f>ROUND(SUMIFS(Age_Sex22[[#All],[Total Member Months by Age/Sex Band]], Age_Sex22[[#All],[Advanced Network ID]], $B286, Age_Sex22[[#All],[Insurance Category Code]],6),2)</f>
        <v>0</v>
      </c>
      <c r="D286" s="268">
        <f>ROUND(SUMIFS(Age_Sex22[[#All],[Total Dollars Excluded from Spending After Applying Truncation at the Member Level]], Age_Sex22[[#All],[Advanced Network ID]], $B286, Age_Sex22[[#All],[Insurance Category Code]],6),2)</f>
        <v>0</v>
      </c>
      <c r="E286" s="229">
        <f>ROUND(SUMIFS(Age_Sex22[[#All],[Count of Members whose Spending was Truncated]], Age_Sex22[[#All],[Advanced Network ID]], $B286, Age_Sex22[[#All],[Insurance Category Code]],6),2)</f>
        <v>0</v>
      </c>
      <c r="F286" s="230">
        <f>ROUND(SUMIFS(Age_Sex22[[#All],[Total Spending before Truncation is Applied]], Age_Sex22[[#All],[Advanced Network ID]], $B286, Age_Sex22[[#All],[Insurance Category Code]],6),2)</f>
        <v>0</v>
      </c>
      <c r="G286" s="232">
        <f>ROUND(SUMIFS(Age_Sex22[[#All],[Total Spending After Applying Truncation at the Member Level]], Age_Sex22[[#All],[Advanced Network ID]], $B286, Age_Sex22[[#All],[Insurance Category Code]],6),2)</f>
        <v>0</v>
      </c>
      <c r="H286" s="416" t="str">
        <f>IF(C286=ROUND(SUMIFS(AN_TME22[[#All],[Member Months]], AN_TME22[[#All],[Insurance Category Code]],6, AN_TME22[[#All],[Advanced Network/Insurance Carrier Org ID]],B286),2), "TRUE", ROUND(C286-SUMIFS(AN_TME22[[#All],[Member Months]], AN_TME22[[#All],[Insurance Category Code]],6, AN_TME22[[#All],[Advanced Network/Insurance Carrier Org ID]],B286),2))</f>
        <v>TRUE</v>
      </c>
      <c r="I286" s="280" t="str">
        <f>IF(D286=ROUND(SUMIFS(AN_TME22[[#All],[Total Claims Excluded because of Truncation]], AN_TME22[[#All],[Insurance Category Code]],6, AN_TME22[[#All],[Advanced Network/Insurance Carrier Org ID]],B286),2), "TRUE", ROUND(D286-SUMIFS(AN_TME22[[#All],[Total Claims Excluded because of Truncation]], AN_TME22[[#All],[Insurance Category Code]],6, AN_TME22[[#All],[Advanced Network/Insurance Carrier Org ID]],B286),2))</f>
        <v>TRUE</v>
      </c>
      <c r="J286" s="281" t="str">
        <f>IF(E286=ROUND(SUMIFS(AN_TME22[[#All],[Count of Members with Claims Truncated]], AN_TME22[[#All],[Insurance Category Code]],6, AN_TME22[[#All],[Advanced Network/Insurance Carrier Org ID]],B286),2), "TRUE", ROUND(E286-SUMIFS(AN_TME22[[#All],[Count of Members with Claims Truncated]], AN_TME22[[#All],[Insurance Category Code]],6, AN_TME22[[#All],[Advanced Network/Insurance Carrier Org ID]],B286),2))</f>
        <v>TRUE</v>
      </c>
      <c r="K286" s="282" t="str">
        <f>IF(F286=ROUND(SUMIFS(AN_TME22[[#All],[TOTAL Non-Truncated Unadjusted Claims Expenses]], AN_TME22[[#All],[Insurance Category Code]],6, AN_TME22[[#All],[Advanced Network/Insurance Carrier Org ID]],B286),2),"TRUE", ROUND(F286-SUMIFS(AN_TME22[[#All],[TOTAL Non-Truncated Unadjusted Claims Expenses]], AN_TME22[[#All],[Insurance Category Code]],6, AN_TME22[[#All],[Advanced Network/Insurance Carrier Org ID]],B286),2))</f>
        <v>TRUE</v>
      </c>
      <c r="L286" s="295" t="str">
        <f>IF(G286=ROUND(SUMIFS(AN_TME22[[#All],[TOTAL Truncated Unadjusted Claims Expenses (A21 -A19)]], AN_TME22[[#All],[Insurance Category Code]],6, AN_TME22[[#All],[Advanced Network/Insurance Carrier Org ID]],B286),2), "TRUE", ROUND(G286-SUMIFS(AN_TME22[[#All],[TOTAL Truncated Unadjusted Claims Expenses (A21 -A19)]], AN_TME22[[#All],[Insurance Category Code]],6, AN_TME22[[#All],[Advanced Network/Insurance Carrier Org ID]],B286),2))</f>
        <v>TRUE</v>
      </c>
      <c r="M286" s="461" t="str">
        <f t="shared" si="27"/>
        <v>TRUE</v>
      </c>
      <c r="N286" s="282" t="b">
        <f>ROUND(SUMIFS(AN_TME22[[#All],[TOTAL Non-Truncated Unadjusted Claims Expenses]], AN_TME22[[#All],[Insurance Category Code]],6, AN_TME22[[#All],[Advanced Network/Insurance Carrier Org ID]],B286),2)&gt;=ROUND(SUMIFS(AN_TME22[[#All],[TOTAL Truncated Unadjusted Claims Expenses (A21 -A19)]], AN_TME22[[#All],[Insurance Category Code]],6, AN_TME22[[#All],[Advanced Network/Insurance Carrier Org ID]],B286),2)</f>
        <v>1</v>
      </c>
      <c r="O286" s="295" t="b">
        <f>ROUND(SUMIFS(AN_TME22[[#All],[TOTAL Truncated Unadjusted Claims Expenses (A21 -A19)]], AN_TME22[[#All],[Insurance Category Code]],6, AN_TME22[[#All],[Advanced Network/Insurance Carrier Org ID]],B286)+SUMIFS(AN_TME22[[#All],[Total Claims Excluded because of Truncation]], AN_TME22[[#All],[Insurance Category Code]],6, AN_TME22[[#All],[Advanced Network/Insurance Carrier Org ID]],B286),2)=ROUND(SUMIFS(AN_TME22[[#All],[TOTAL Non-Truncated Unadjusted Claims Expenses]], AN_TME22[[#All],[Insurance Category Code]],6, AN_TME22[[#All],[Advanced Network/Insurance Carrier Org ID]],B286),2)</f>
        <v>1</v>
      </c>
      <c r="Q286" s="236">
        <v>113</v>
      </c>
      <c r="R286" s="463">
        <f>ROUND(SUMIFS(Age_Sex23[[#All],[Total Member Months by Age/Sex Band]], Age_Sex23[[#All],[Advanced Network ID]], $Q286, Age_Sex23[[#All],[Insurance Category Code]],6),2)</f>
        <v>0</v>
      </c>
      <c r="S286" s="268">
        <f>ROUND(SUMIFS(Age_Sex23[[#All],[Total Dollars Excluded from Spending After Applying Truncation at the Member Level]], Age_Sex23[[#All],[Advanced Network ID]], $B286, Age_Sex23[[#All],[Insurance Category Code]],6),2)</f>
        <v>0</v>
      </c>
      <c r="T286" s="229">
        <f>ROUND(SUMIFS(Age_Sex23[[#All],[Count of Members whose Spending was Truncated]], Age_Sex23[[#All],[Advanced Network ID]], $B286, Age_Sex23[[#All],[Insurance Category Code]],6),2)</f>
        <v>0</v>
      </c>
      <c r="U286" s="230">
        <f>ROUND(SUMIFS(Age_Sex23[[#All],[Total Spending before Truncation is Applied]], Age_Sex23[[#All],[Advanced Network ID]], $B286, Age_Sex23[[#All],[Insurance Category Code]],6),2)</f>
        <v>0</v>
      </c>
      <c r="V286" s="232">
        <f>ROUND(SUMIFS(Age_Sex23[[#All],[Total Spending After Applying Truncation at the Member Level]], Age_Sex23[[#All],[Advanced Network ID]], $B286, Age_Sex23[[#All],[Insurance Category Code]],6),2)</f>
        <v>0</v>
      </c>
      <c r="W286" s="416" t="str">
        <f>IF(R286=ROUND(SUMIFS(AN_TME23[[#All],[Member Months]], AN_TME23[[#All],[Insurance Category Code]],6, AN_TME23[[#All],[Advanced Network/Insurance Carrier Org ID]],Q286),2), "TRUE", ROUND(R286-SUMIFS(AN_TME23[[#All],[Member Months]], AN_TME23[[#All],[Insurance Category Code]],6, AN_TME23[[#All],[Advanced Network/Insurance Carrier Org ID]],Q286),2))</f>
        <v>TRUE</v>
      </c>
      <c r="X286" s="280" t="str">
        <f>IF(S286=ROUND(SUMIFS(AN_TME23[[#All],[Total Claims Excluded because of Truncation]], AN_TME23[[#All],[Insurance Category Code]],6, AN_TME23[[#All],[Advanced Network/Insurance Carrier Org ID]],Q286),2), "TRUE", ROUND(S286-SUMIFS(AN_TME23[[#All],[Total Claims Excluded because of Truncation]], AN_TME23[[#All],[Insurance Category Code]],6, AN_TME23[[#All],[Advanced Network/Insurance Carrier Org ID]],Q286),2))</f>
        <v>TRUE</v>
      </c>
      <c r="Y286" s="281" t="str">
        <f>IF(T286=ROUND(SUMIFS(AN_TME23[[#All],[Count of Members with Claims Truncated]], AN_TME23[[#All],[Insurance Category Code]],6, AN_TME23[[#All],[Advanced Network/Insurance Carrier Org ID]],Q286),2), "TRUE", ROUND(T286-SUMIFS(AN_TME23[[#All],[Count of Members with Claims Truncated]], AN_TME23[[#All],[Insurance Category Code]],6, AN_TME23[[#All],[Advanced Network/Insurance Carrier Org ID]],Q286),2))</f>
        <v>TRUE</v>
      </c>
      <c r="Z286" s="282" t="str">
        <f>IF(U286=ROUND(SUMIFS(AN_TME23[[#All],[TOTAL Non-Truncated Unadjusted Claims Expenses]], AN_TME23[[#All],[Insurance Category Code]],6, AN_TME23[[#All],[Advanced Network/Insurance Carrier Org ID]],Q286),2), "TRUE", ROUND(U286-SUMIFS(AN_TME23[[#All],[TOTAL Non-Truncated Unadjusted Claims Expenses]], AN_TME23[[#All],[Insurance Category Code]],6, AN_TME23[[#All],[Advanced Network/Insurance Carrier Org ID]],Q286),2))</f>
        <v>TRUE</v>
      </c>
      <c r="AA286" s="295" t="str">
        <f>IF(V286=ROUND(SUMIFS(AN_TME23[[#All],[TOTAL Truncated Unadjusted Claims Expenses (A21 -A19)]], AN_TME23[[#All],[Insurance Category Code]],6, AN_TME23[[#All],[Advanced Network/Insurance Carrier Org ID]],Q286),2), "TRUE", ROUND(V286-SUMIFS(AN_TME23[[#All],[TOTAL Truncated Unadjusted Claims Expenses (A21 -A19)]], AN_TME23[[#All],[Insurance Category Code]],6, AN_TME23[[#All],[Advanced Network/Insurance Carrier Org ID]],Q286),2))</f>
        <v>TRUE</v>
      </c>
      <c r="AB286" s="461" t="str">
        <f t="shared" si="30"/>
        <v>TRUE</v>
      </c>
      <c r="AC286" s="282" t="b">
        <f>ROUND(SUMIFS(AN_TME23[[#All],[TOTAL Non-Truncated Unadjusted Claims Expenses]], AN_TME23[[#All],[Insurance Category Code]],6, AN_TME23[[#All],[Advanced Network/Insurance Carrier Org ID]],Q286),2)&gt;=ROUND(SUMIFS(AN_TME23[[#All],[TOTAL Truncated Unadjusted Claims Expenses (A21 -A19)]], AN_TME23[[#All],[Insurance Category Code]],6, AN_TME23[[#All],[Advanced Network/Insurance Carrier Org ID]],Q286),2)</f>
        <v>1</v>
      </c>
      <c r="AD286" s="295" t="b">
        <f>ROUND(SUMIFS(AN_TME23[[#All],[TOTAL Truncated Unadjusted Claims Expenses (A21 -A19)]], AN_TME23[[#All],[Insurance Category Code]],6, AN_TME23[[#All],[Advanced Network/Insurance Carrier Org ID]],Q286)+SUMIFS(AN_TME23[[#All],[Total Claims Excluded because of Truncation]], AN_TME23[[#All],[Insurance Category Code]],6, AN_TME23[[#All],[Advanced Network/Insurance Carrier Org ID]],Q286),2)=ROUND(SUMIFS(AN_TME23[[#All],[TOTAL Non-Truncated Unadjusted Claims Expenses]], AN_TME23[[#All],[Insurance Category Code]],6, AN_TME23[[#All],[Advanced Network/Insurance Carrier Org ID]],Q286),2)</f>
        <v>1</v>
      </c>
      <c r="AF286" s="323" t="str">
        <f t="shared" si="29"/>
        <v>NA</v>
      </c>
    </row>
    <row r="287" spans="2:32" outlineLevel="1" x14ac:dyDescent="0.25">
      <c r="B287" s="236">
        <v>114</v>
      </c>
      <c r="C287" s="463">
        <f>ROUND(SUMIFS(Age_Sex22[[#All],[Total Member Months by Age/Sex Band]], Age_Sex22[[#All],[Advanced Network ID]], $B287, Age_Sex22[[#All],[Insurance Category Code]],6),2)</f>
        <v>0</v>
      </c>
      <c r="D287" s="268">
        <f>ROUND(SUMIFS(Age_Sex22[[#All],[Total Dollars Excluded from Spending After Applying Truncation at the Member Level]], Age_Sex22[[#All],[Advanced Network ID]], $B287, Age_Sex22[[#All],[Insurance Category Code]],6),2)</f>
        <v>0</v>
      </c>
      <c r="E287" s="229">
        <f>ROUND(SUMIFS(Age_Sex22[[#All],[Count of Members whose Spending was Truncated]], Age_Sex22[[#All],[Advanced Network ID]], $B287, Age_Sex22[[#All],[Insurance Category Code]],6),2)</f>
        <v>0</v>
      </c>
      <c r="F287" s="230">
        <f>ROUND(SUMIFS(Age_Sex22[[#All],[Total Spending before Truncation is Applied]], Age_Sex22[[#All],[Advanced Network ID]], $B287, Age_Sex22[[#All],[Insurance Category Code]],6),2)</f>
        <v>0</v>
      </c>
      <c r="G287" s="232">
        <f>ROUND(SUMIFS(Age_Sex22[[#All],[Total Spending After Applying Truncation at the Member Level]], Age_Sex22[[#All],[Advanced Network ID]], $B287, Age_Sex22[[#All],[Insurance Category Code]],6),2)</f>
        <v>0</v>
      </c>
      <c r="H287" s="416" t="str">
        <f>IF(C287=ROUND(SUMIFS(AN_TME22[[#All],[Member Months]], AN_TME22[[#All],[Insurance Category Code]],6, AN_TME22[[#All],[Advanced Network/Insurance Carrier Org ID]],B287),2), "TRUE", ROUND(C287-SUMIFS(AN_TME22[[#All],[Member Months]], AN_TME22[[#All],[Insurance Category Code]],6, AN_TME22[[#All],[Advanced Network/Insurance Carrier Org ID]],B287),2))</f>
        <v>TRUE</v>
      </c>
      <c r="I287" s="280" t="str">
        <f>IF(D287=ROUND(SUMIFS(AN_TME22[[#All],[Total Claims Excluded because of Truncation]], AN_TME22[[#All],[Insurance Category Code]],6, AN_TME22[[#All],[Advanced Network/Insurance Carrier Org ID]],B287),2), "TRUE", ROUND(D287-SUMIFS(AN_TME22[[#All],[Total Claims Excluded because of Truncation]], AN_TME22[[#All],[Insurance Category Code]],6, AN_TME22[[#All],[Advanced Network/Insurance Carrier Org ID]],B287),2))</f>
        <v>TRUE</v>
      </c>
      <c r="J287" s="281" t="str">
        <f>IF(E287=ROUND(SUMIFS(AN_TME22[[#All],[Count of Members with Claims Truncated]], AN_TME22[[#All],[Insurance Category Code]],6, AN_TME22[[#All],[Advanced Network/Insurance Carrier Org ID]],B287),2), "TRUE", ROUND(E287-SUMIFS(AN_TME22[[#All],[Count of Members with Claims Truncated]], AN_TME22[[#All],[Insurance Category Code]],6, AN_TME22[[#All],[Advanced Network/Insurance Carrier Org ID]],B287),2))</f>
        <v>TRUE</v>
      </c>
      <c r="K287" s="282" t="str">
        <f>IF(F287=ROUND(SUMIFS(AN_TME22[[#All],[TOTAL Non-Truncated Unadjusted Claims Expenses]], AN_TME22[[#All],[Insurance Category Code]],6, AN_TME22[[#All],[Advanced Network/Insurance Carrier Org ID]],B287),2),"TRUE", ROUND(F287-SUMIFS(AN_TME22[[#All],[TOTAL Non-Truncated Unadjusted Claims Expenses]], AN_TME22[[#All],[Insurance Category Code]],6, AN_TME22[[#All],[Advanced Network/Insurance Carrier Org ID]],B287),2))</f>
        <v>TRUE</v>
      </c>
      <c r="L287" s="295" t="str">
        <f>IF(G287=ROUND(SUMIFS(AN_TME22[[#All],[TOTAL Truncated Unadjusted Claims Expenses (A21 -A19)]], AN_TME22[[#All],[Insurance Category Code]],6, AN_TME22[[#All],[Advanced Network/Insurance Carrier Org ID]],B287),2), "TRUE", ROUND(G287-SUMIFS(AN_TME22[[#All],[TOTAL Truncated Unadjusted Claims Expenses (A21 -A19)]], AN_TME22[[#All],[Insurance Category Code]],6, AN_TME22[[#All],[Advanced Network/Insurance Carrier Org ID]],B287),2))</f>
        <v>TRUE</v>
      </c>
      <c r="M287" s="461" t="str">
        <f t="shared" si="27"/>
        <v>TRUE</v>
      </c>
      <c r="N287" s="282" t="b">
        <f>ROUND(SUMIFS(AN_TME22[[#All],[TOTAL Non-Truncated Unadjusted Claims Expenses]], AN_TME22[[#All],[Insurance Category Code]],6, AN_TME22[[#All],[Advanced Network/Insurance Carrier Org ID]],B287),2)&gt;=ROUND(SUMIFS(AN_TME22[[#All],[TOTAL Truncated Unadjusted Claims Expenses (A21 -A19)]], AN_TME22[[#All],[Insurance Category Code]],6, AN_TME22[[#All],[Advanced Network/Insurance Carrier Org ID]],B287),2)</f>
        <v>1</v>
      </c>
      <c r="O287" s="295" t="b">
        <f>ROUND(SUMIFS(AN_TME22[[#All],[TOTAL Truncated Unadjusted Claims Expenses (A21 -A19)]], AN_TME22[[#All],[Insurance Category Code]],6, AN_TME22[[#All],[Advanced Network/Insurance Carrier Org ID]],B287)+SUMIFS(AN_TME22[[#All],[Total Claims Excluded because of Truncation]], AN_TME22[[#All],[Insurance Category Code]],6, AN_TME22[[#All],[Advanced Network/Insurance Carrier Org ID]],B287),2)=ROUND(SUMIFS(AN_TME22[[#All],[TOTAL Non-Truncated Unadjusted Claims Expenses]], AN_TME22[[#All],[Insurance Category Code]],6, AN_TME22[[#All],[Advanced Network/Insurance Carrier Org ID]],B287),2)</f>
        <v>1</v>
      </c>
      <c r="Q287" s="236">
        <v>114</v>
      </c>
      <c r="R287" s="463">
        <f>ROUND(SUMIFS(Age_Sex23[[#All],[Total Member Months by Age/Sex Band]], Age_Sex23[[#All],[Advanced Network ID]], $Q287, Age_Sex23[[#All],[Insurance Category Code]],6),2)</f>
        <v>0</v>
      </c>
      <c r="S287" s="268">
        <f>ROUND(SUMIFS(Age_Sex23[[#All],[Total Dollars Excluded from Spending After Applying Truncation at the Member Level]], Age_Sex23[[#All],[Advanced Network ID]], $B287, Age_Sex23[[#All],[Insurance Category Code]],6),2)</f>
        <v>0</v>
      </c>
      <c r="T287" s="229">
        <f>ROUND(SUMIFS(Age_Sex23[[#All],[Count of Members whose Spending was Truncated]], Age_Sex23[[#All],[Advanced Network ID]], $B287, Age_Sex23[[#All],[Insurance Category Code]],6),2)</f>
        <v>0</v>
      </c>
      <c r="U287" s="230">
        <f>ROUND(SUMIFS(Age_Sex23[[#All],[Total Spending before Truncation is Applied]], Age_Sex23[[#All],[Advanced Network ID]], $B287, Age_Sex23[[#All],[Insurance Category Code]],6),2)</f>
        <v>0</v>
      </c>
      <c r="V287" s="232">
        <f>ROUND(SUMIFS(Age_Sex23[[#All],[Total Spending After Applying Truncation at the Member Level]], Age_Sex23[[#All],[Advanced Network ID]], $B287, Age_Sex23[[#All],[Insurance Category Code]],6),2)</f>
        <v>0</v>
      </c>
      <c r="W287" s="416" t="str">
        <f>IF(R287=ROUND(SUMIFS(AN_TME23[[#All],[Member Months]], AN_TME23[[#All],[Insurance Category Code]],6, AN_TME23[[#All],[Advanced Network/Insurance Carrier Org ID]],Q287),2), "TRUE", ROUND(R287-SUMIFS(AN_TME23[[#All],[Member Months]], AN_TME23[[#All],[Insurance Category Code]],6, AN_TME23[[#All],[Advanced Network/Insurance Carrier Org ID]],Q287),2))</f>
        <v>TRUE</v>
      </c>
      <c r="X287" s="280" t="str">
        <f>IF(S287=ROUND(SUMIFS(AN_TME23[[#All],[Total Claims Excluded because of Truncation]], AN_TME23[[#All],[Insurance Category Code]],6, AN_TME23[[#All],[Advanced Network/Insurance Carrier Org ID]],Q287),2), "TRUE", ROUND(S287-SUMIFS(AN_TME23[[#All],[Total Claims Excluded because of Truncation]], AN_TME23[[#All],[Insurance Category Code]],6, AN_TME23[[#All],[Advanced Network/Insurance Carrier Org ID]],Q287),2))</f>
        <v>TRUE</v>
      </c>
      <c r="Y287" s="281" t="str">
        <f>IF(T287=ROUND(SUMIFS(AN_TME23[[#All],[Count of Members with Claims Truncated]], AN_TME23[[#All],[Insurance Category Code]],6, AN_TME23[[#All],[Advanced Network/Insurance Carrier Org ID]],Q287),2), "TRUE", ROUND(T287-SUMIFS(AN_TME23[[#All],[Count of Members with Claims Truncated]], AN_TME23[[#All],[Insurance Category Code]],6, AN_TME23[[#All],[Advanced Network/Insurance Carrier Org ID]],Q287),2))</f>
        <v>TRUE</v>
      </c>
      <c r="Z287" s="282" t="str">
        <f>IF(U287=ROUND(SUMIFS(AN_TME23[[#All],[TOTAL Non-Truncated Unadjusted Claims Expenses]], AN_TME23[[#All],[Insurance Category Code]],6, AN_TME23[[#All],[Advanced Network/Insurance Carrier Org ID]],Q287),2), "TRUE", ROUND(U287-SUMIFS(AN_TME23[[#All],[TOTAL Non-Truncated Unadjusted Claims Expenses]], AN_TME23[[#All],[Insurance Category Code]],6, AN_TME23[[#All],[Advanced Network/Insurance Carrier Org ID]],Q287),2))</f>
        <v>TRUE</v>
      </c>
      <c r="AA287" s="295" t="str">
        <f>IF(V287=ROUND(SUMIFS(AN_TME23[[#All],[TOTAL Truncated Unadjusted Claims Expenses (A21 -A19)]], AN_TME23[[#All],[Insurance Category Code]],6, AN_TME23[[#All],[Advanced Network/Insurance Carrier Org ID]],Q287),2), "TRUE", ROUND(V287-SUMIFS(AN_TME23[[#All],[TOTAL Truncated Unadjusted Claims Expenses (A21 -A19)]], AN_TME23[[#All],[Insurance Category Code]],6, AN_TME23[[#All],[Advanced Network/Insurance Carrier Org ID]],Q287),2))</f>
        <v>TRUE</v>
      </c>
      <c r="AB287" s="461" t="str">
        <f t="shared" si="30"/>
        <v>TRUE</v>
      </c>
      <c r="AC287" s="282" t="b">
        <f>ROUND(SUMIFS(AN_TME23[[#All],[TOTAL Non-Truncated Unadjusted Claims Expenses]], AN_TME23[[#All],[Insurance Category Code]],6, AN_TME23[[#All],[Advanced Network/Insurance Carrier Org ID]],Q287),2)&gt;=ROUND(SUMIFS(AN_TME23[[#All],[TOTAL Truncated Unadjusted Claims Expenses (A21 -A19)]], AN_TME23[[#All],[Insurance Category Code]],6, AN_TME23[[#All],[Advanced Network/Insurance Carrier Org ID]],Q287),2)</f>
        <v>1</v>
      </c>
      <c r="AD287" s="295" t="b">
        <f>ROUND(SUMIFS(AN_TME23[[#All],[TOTAL Truncated Unadjusted Claims Expenses (A21 -A19)]], AN_TME23[[#All],[Insurance Category Code]],6, AN_TME23[[#All],[Advanced Network/Insurance Carrier Org ID]],Q287)+SUMIFS(AN_TME23[[#All],[Total Claims Excluded because of Truncation]], AN_TME23[[#All],[Insurance Category Code]],6, AN_TME23[[#All],[Advanced Network/Insurance Carrier Org ID]],Q287),2)=ROUND(SUMIFS(AN_TME23[[#All],[TOTAL Non-Truncated Unadjusted Claims Expenses]], AN_TME23[[#All],[Insurance Category Code]],6, AN_TME23[[#All],[Advanced Network/Insurance Carrier Org ID]],Q287),2)</f>
        <v>1</v>
      </c>
      <c r="AF287" s="323" t="str">
        <f t="shared" si="29"/>
        <v>NA</v>
      </c>
    </row>
    <row r="288" spans="2:32" outlineLevel="1" x14ac:dyDescent="0.25">
      <c r="B288" s="236">
        <v>115</v>
      </c>
      <c r="C288" s="463">
        <f>ROUND(SUMIFS(Age_Sex22[[#All],[Total Member Months by Age/Sex Band]], Age_Sex22[[#All],[Advanced Network ID]], $B288, Age_Sex22[[#All],[Insurance Category Code]],6),2)</f>
        <v>0</v>
      </c>
      <c r="D288" s="268">
        <f>ROUND(SUMIFS(Age_Sex22[[#All],[Total Dollars Excluded from Spending After Applying Truncation at the Member Level]], Age_Sex22[[#All],[Advanced Network ID]], $B288, Age_Sex22[[#All],[Insurance Category Code]],6),2)</f>
        <v>0</v>
      </c>
      <c r="E288" s="229">
        <f>ROUND(SUMIFS(Age_Sex22[[#All],[Count of Members whose Spending was Truncated]], Age_Sex22[[#All],[Advanced Network ID]], $B288, Age_Sex22[[#All],[Insurance Category Code]],6),2)</f>
        <v>0</v>
      </c>
      <c r="F288" s="230">
        <f>ROUND(SUMIFS(Age_Sex22[[#All],[Total Spending before Truncation is Applied]], Age_Sex22[[#All],[Advanced Network ID]], $B288, Age_Sex22[[#All],[Insurance Category Code]],6),2)</f>
        <v>0</v>
      </c>
      <c r="G288" s="232">
        <f>ROUND(SUMIFS(Age_Sex22[[#All],[Total Spending After Applying Truncation at the Member Level]], Age_Sex22[[#All],[Advanced Network ID]], $B288, Age_Sex22[[#All],[Insurance Category Code]],6),2)</f>
        <v>0</v>
      </c>
      <c r="H288" s="416" t="str">
        <f>IF(C288=ROUND(SUMIFS(AN_TME22[[#All],[Member Months]], AN_TME22[[#All],[Insurance Category Code]],6, AN_TME22[[#All],[Advanced Network/Insurance Carrier Org ID]],B288),2), "TRUE", ROUND(C288-SUMIFS(AN_TME22[[#All],[Member Months]], AN_TME22[[#All],[Insurance Category Code]],6, AN_TME22[[#All],[Advanced Network/Insurance Carrier Org ID]],B288),2))</f>
        <v>TRUE</v>
      </c>
      <c r="I288" s="280" t="str">
        <f>IF(D288=ROUND(SUMIFS(AN_TME22[[#All],[Total Claims Excluded because of Truncation]], AN_TME22[[#All],[Insurance Category Code]],6, AN_TME22[[#All],[Advanced Network/Insurance Carrier Org ID]],B288),2), "TRUE", ROUND(D288-SUMIFS(AN_TME22[[#All],[Total Claims Excluded because of Truncation]], AN_TME22[[#All],[Insurance Category Code]],6, AN_TME22[[#All],[Advanced Network/Insurance Carrier Org ID]],B288),2))</f>
        <v>TRUE</v>
      </c>
      <c r="J288" s="281" t="str">
        <f>IF(E288=ROUND(SUMIFS(AN_TME22[[#All],[Count of Members with Claims Truncated]], AN_TME22[[#All],[Insurance Category Code]],6, AN_TME22[[#All],[Advanced Network/Insurance Carrier Org ID]],B288),2), "TRUE", ROUND(E288-SUMIFS(AN_TME22[[#All],[Count of Members with Claims Truncated]], AN_TME22[[#All],[Insurance Category Code]],6, AN_TME22[[#All],[Advanced Network/Insurance Carrier Org ID]],B288),2))</f>
        <v>TRUE</v>
      </c>
      <c r="K288" s="282" t="str">
        <f>IF(F288=ROUND(SUMIFS(AN_TME22[[#All],[TOTAL Non-Truncated Unadjusted Claims Expenses]], AN_TME22[[#All],[Insurance Category Code]],6, AN_TME22[[#All],[Advanced Network/Insurance Carrier Org ID]],B288),2),"TRUE", ROUND(F288-SUMIFS(AN_TME22[[#All],[TOTAL Non-Truncated Unadjusted Claims Expenses]], AN_TME22[[#All],[Insurance Category Code]],6, AN_TME22[[#All],[Advanced Network/Insurance Carrier Org ID]],B288),2))</f>
        <v>TRUE</v>
      </c>
      <c r="L288" s="295" t="str">
        <f>IF(G288=ROUND(SUMIFS(AN_TME22[[#All],[TOTAL Truncated Unadjusted Claims Expenses (A21 -A19)]], AN_TME22[[#All],[Insurance Category Code]],6, AN_TME22[[#All],[Advanced Network/Insurance Carrier Org ID]],B288),2), "TRUE", ROUND(G288-SUMIFS(AN_TME22[[#All],[TOTAL Truncated Unadjusted Claims Expenses (A21 -A19)]], AN_TME22[[#All],[Insurance Category Code]],6, AN_TME22[[#All],[Advanced Network/Insurance Carrier Org ID]],B288),2))</f>
        <v>TRUE</v>
      </c>
      <c r="M288" s="461" t="str">
        <f t="shared" si="27"/>
        <v>TRUE</v>
      </c>
      <c r="N288" s="282" t="b">
        <f>ROUND(SUMIFS(AN_TME22[[#All],[TOTAL Non-Truncated Unadjusted Claims Expenses]], AN_TME22[[#All],[Insurance Category Code]],6, AN_TME22[[#All],[Advanced Network/Insurance Carrier Org ID]],B288),2)&gt;=ROUND(SUMIFS(AN_TME22[[#All],[TOTAL Truncated Unadjusted Claims Expenses (A21 -A19)]], AN_TME22[[#All],[Insurance Category Code]],6, AN_TME22[[#All],[Advanced Network/Insurance Carrier Org ID]],B288),2)</f>
        <v>1</v>
      </c>
      <c r="O288" s="295" t="b">
        <f>ROUND(SUMIFS(AN_TME22[[#All],[TOTAL Truncated Unadjusted Claims Expenses (A21 -A19)]], AN_TME22[[#All],[Insurance Category Code]],6, AN_TME22[[#All],[Advanced Network/Insurance Carrier Org ID]],B288)+SUMIFS(AN_TME22[[#All],[Total Claims Excluded because of Truncation]], AN_TME22[[#All],[Insurance Category Code]],6, AN_TME22[[#All],[Advanced Network/Insurance Carrier Org ID]],B288),2)=ROUND(SUMIFS(AN_TME22[[#All],[TOTAL Non-Truncated Unadjusted Claims Expenses]], AN_TME22[[#All],[Insurance Category Code]],6, AN_TME22[[#All],[Advanced Network/Insurance Carrier Org ID]],B288),2)</f>
        <v>1</v>
      </c>
      <c r="Q288" s="236">
        <v>115</v>
      </c>
      <c r="R288" s="463">
        <f>ROUND(SUMIFS(Age_Sex23[[#All],[Total Member Months by Age/Sex Band]], Age_Sex23[[#All],[Advanced Network ID]], $Q288, Age_Sex23[[#All],[Insurance Category Code]],6),2)</f>
        <v>0</v>
      </c>
      <c r="S288" s="268">
        <f>ROUND(SUMIFS(Age_Sex23[[#All],[Total Dollars Excluded from Spending After Applying Truncation at the Member Level]], Age_Sex23[[#All],[Advanced Network ID]], $B288, Age_Sex23[[#All],[Insurance Category Code]],6),2)</f>
        <v>0</v>
      </c>
      <c r="T288" s="229">
        <f>ROUND(SUMIFS(Age_Sex23[[#All],[Count of Members whose Spending was Truncated]], Age_Sex23[[#All],[Advanced Network ID]], $B288, Age_Sex23[[#All],[Insurance Category Code]],6),2)</f>
        <v>0</v>
      </c>
      <c r="U288" s="230">
        <f>ROUND(SUMIFS(Age_Sex23[[#All],[Total Spending before Truncation is Applied]], Age_Sex23[[#All],[Advanced Network ID]], $B288, Age_Sex23[[#All],[Insurance Category Code]],6),2)</f>
        <v>0</v>
      </c>
      <c r="V288" s="232">
        <f>ROUND(SUMIFS(Age_Sex23[[#All],[Total Spending After Applying Truncation at the Member Level]], Age_Sex23[[#All],[Advanced Network ID]], $B288, Age_Sex23[[#All],[Insurance Category Code]],6),2)</f>
        <v>0</v>
      </c>
      <c r="W288" s="416" t="str">
        <f>IF(R288=ROUND(SUMIFS(AN_TME23[[#All],[Member Months]], AN_TME23[[#All],[Insurance Category Code]],6, AN_TME23[[#All],[Advanced Network/Insurance Carrier Org ID]],Q288),2), "TRUE", ROUND(R288-SUMIFS(AN_TME23[[#All],[Member Months]], AN_TME23[[#All],[Insurance Category Code]],6, AN_TME23[[#All],[Advanced Network/Insurance Carrier Org ID]],Q288),2))</f>
        <v>TRUE</v>
      </c>
      <c r="X288" s="280" t="str">
        <f>IF(S288=ROUND(SUMIFS(AN_TME23[[#All],[Total Claims Excluded because of Truncation]], AN_TME23[[#All],[Insurance Category Code]],6, AN_TME23[[#All],[Advanced Network/Insurance Carrier Org ID]],Q288),2), "TRUE", ROUND(S288-SUMIFS(AN_TME23[[#All],[Total Claims Excluded because of Truncation]], AN_TME23[[#All],[Insurance Category Code]],6, AN_TME23[[#All],[Advanced Network/Insurance Carrier Org ID]],Q288),2))</f>
        <v>TRUE</v>
      </c>
      <c r="Y288" s="281" t="str">
        <f>IF(T288=ROUND(SUMIFS(AN_TME23[[#All],[Count of Members with Claims Truncated]], AN_TME23[[#All],[Insurance Category Code]],6, AN_TME23[[#All],[Advanced Network/Insurance Carrier Org ID]],Q288),2), "TRUE", ROUND(T288-SUMIFS(AN_TME23[[#All],[Count of Members with Claims Truncated]], AN_TME23[[#All],[Insurance Category Code]],6, AN_TME23[[#All],[Advanced Network/Insurance Carrier Org ID]],Q288),2))</f>
        <v>TRUE</v>
      </c>
      <c r="Z288" s="282" t="str">
        <f>IF(U288=ROUND(SUMIFS(AN_TME23[[#All],[TOTAL Non-Truncated Unadjusted Claims Expenses]], AN_TME23[[#All],[Insurance Category Code]],6, AN_TME23[[#All],[Advanced Network/Insurance Carrier Org ID]],Q288),2), "TRUE", ROUND(U288-SUMIFS(AN_TME23[[#All],[TOTAL Non-Truncated Unadjusted Claims Expenses]], AN_TME23[[#All],[Insurance Category Code]],6, AN_TME23[[#All],[Advanced Network/Insurance Carrier Org ID]],Q288),2))</f>
        <v>TRUE</v>
      </c>
      <c r="AA288" s="295" t="str">
        <f>IF(V288=ROUND(SUMIFS(AN_TME23[[#All],[TOTAL Truncated Unadjusted Claims Expenses (A21 -A19)]], AN_TME23[[#All],[Insurance Category Code]],6, AN_TME23[[#All],[Advanced Network/Insurance Carrier Org ID]],Q288),2), "TRUE", ROUND(V288-SUMIFS(AN_TME23[[#All],[TOTAL Truncated Unadjusted Claims Expenses (A21 -A19)]], AN_TME23[[#All],[Insurance Category Code]],6, AN_TME23[[#All],[Advanced Network/Insurance Carrier Org ID]],Q288),2))</f>
        <v>TRUE</v>
      </c>
      <c r="AB288" s="461" t="str">
        <f t="shared" si="30"/>
        <v>TRUE</v>
      </c>
      <c r="AC288" s="282" t="b">
        <f>ROUND(SUMIFS(AN_TME23[[#All],[TOTAL Non-Truncated Unadjusted Claims Expenses]], AN_TME23[[#All],[Insurance Category Code]],6, AN_TME23[[#All],[Advanced Network/Insurance Carrier Org ID]],Q288),2)&gt;=ROUND(SUMIFS(AN_TME23[[#All],[TOTAL Truncated Unadjusted Claims Expenses (A21 -A19)]], AN_TME23[[#All],[Insurance Category Code]],6, AN_TME23[[#All],[Advanced Network/Insurance Carrier Org ID]],Q288),2)</f>
        <v>1</v>
      </c>
      <c r="AD288" s="295" t="b">
        <f>ROUND(SUMIFS(AN_TME23[[#All],[TOTAL Truncated Unadjusted Claims Expenses (A21 -A19)]], AN_TME23[[#All],[Insurance Category Code]],6, AN_TME23[[#All],[Advanced Network/Insurance Carrier Org ID]],Q288)+SUMIFS(AN_TME23[[#All],[Total Claims Excluded because of Truncation]], AN_TME23[[#All],[Insurance Category Code]],6, AN_TME23[[#All],[Advanced Network/Insurance Carrier Org ID]],Q288),2)=ROUND(SUMIFS(AN_TME23[[#All],[TOTAL Non-Truncated Unadjusted Claims Expenses]], AN_TME23[[#All],[Insurance Category Code]],6, AN_TME23[[#All],[Advanced Network/Insurance Carrier Org ID]],Q288),2)</f>
        <v>1</v>
      </c>
      <c r="AF288" s="323" t="str">
        <f t="shared" si="29"/>
        <v>NA</v>
      </c>
    </row>
    <row r="289" spans="2:32" outlineLevel="1" x14ac:dyDescent="0.25">
      <c r="B289" s="236">
        <v>116</v>
      </c>
      <c r="C289" s="463">
        <f>ROUND(SUMIFS(Age_Sex22[[#All],[Total Member Months by Age/Sex Band]], Age_Sex22[[#All],[Advanced Network ID]], $B289, Age_Sex22[[#All],[Insurance Category Code]],6),2)</f>
        <v>0</v>
      </c>
      <c r="D289" s="268">
        <f>ROUND(SUMIFS(Age_Sex22[[#All],[Total Dollars Excluded from Spending After Applying Truncation at the Member Level]], Age_Sex22[[#All],[Advanced Network ID]], $B289, Age_Sex22[[#All],[Insurance Category Code]],6),2)</f>
        <v>0</v>
      </c>
      <c r="E289" s="229">
        <f>ROUND(SUMIFS(Age_Sex22[[#All],[Count of Members whose Spending was Truncated]], Age_Sex22[[#All],[Advanced Network ID]], $B289, Age_Sex22[[#All],[Insurance Category Code]],6),2)</f>
        <v>0</v>
      </c>
      <c r="F289" s="230">
        <f>ROUND(SUMIFS(Age_Sex22[[#All],[Total Spending before Truncation is Applied]], Age_Sex22[[#All],[Advanced Network ID]], $B289, Age_Sex22[[#All],[Insurance Category Code]],6),2)</f>
        <v>0</v>
      </c>
      <c r="G289" s="232">
        <f>ROUND(SUMIFS(Age_Sex22[[#All],[Total Spending After Applying Truncation at the Member Level]], Age_Sex22[[#All],[Advanced Network ID]], $B289, Age_Sex22[[#All],[Insurance Category Code]],6),2)</f>
        <v>0</v>
      </c>
      <c r="H289" s="416" t="str">
        <f>IF(C289=ROUND(SUMIFS(AN_TME22[[#All],[Member Months]], AN_TME22[[#All],[Insurance Category Code]],6, AN_TME22[[#All],[Advanced Network/Insurance Carrier Org ID]],B289),2), "TRUE", ROUND(C289-SUMIFS(AN_TME22[[#All],[Member Months]], AN_TME22[[#All],[Insurance Category Code]],6, AN_TME22[[#All],[Advanced Network/Insurance Carrier Org ID]],B289),2))</f>
        <v>TRUE</v>
      </c>
      <c r="I289" s="280" t="str">
        <f>IF(D289=ROUND(SUMIFS(AN_TME22[[#All],[Total Claims Excluded because of Truncation]], AN_TME22[[#All],[Insurance Category Code]],6, AN_TME22[[#All],[Advanced Network/Insurance Carrier Org ID]],B289),2), "TRUE", ROUND(D289-SUMIFS(AN_TME22[[#All],[Total Claims Excluded because of Truncation]], AN_TME22[[#All],[Insurance Category Code]],6, AN_TME22[[#All],[Advanced Network/Insurance Carrier Org ID]],B289),2))</f>
        <v>TRUE</v>
      </c>
      <c r="J289" s="281" t="str">
        <f>IF(E289=ROUND(SUMIFS(AN_TME22[[#All],[Count of Members with Claims Truncated]], AN_TME22[[#All],[Insurance Category Code]],6, AN_TME22[[#All],[Advanced Network/Insurance Carrier Org ID]],B289),2), "TRUE", ROUND(E289-SUMIFS(AN_TME22[[#All],[Count of Members with Claims Truncated]], AN_TME22[[#All],[Insurance Category Code]],6, AN_TME22[[#All],[Advanced Network/Insurance Carrier Org ID]],B289),2))</f>
        <v>TRUE</v>
      </c>
      <c r="K289" s="282" t="str">
        <f>IF(F289=ROUND(SUMIFS(AN_TME22[[#All],[TOTAL Non-Truncated Unadjusted Claims Expenses]], AN_TME22[[#All],[Insurance Category Code]],6, AN_TME22[[#All],[Advanced Network/Insurance Carrier Org ID]],B289),2),"TRUE", ROUND(F289-SUMIFS(AN_TME22[[#All],[TOTAL Non-Truncated Unadjusted Claims Expenses]], AN_TME22[[#All],[Insurance Category Code]],6, AN_TME22[[#All],[Advanced Network/Insurance Carrier Org ID]],B289),2))</f>
        <v>TRUE</v>
      </c>
      <c r="L289" s="295" t="str">
        <f>IF(G289=ROUND(SUMIFS(AN_TME22[[#All],[TOTAL Truncated Unadjusted Claims Expenses (A21 -A19)]], AN_TME22[[#All],[Insurance Category Code]],6, AN_TME22[[#All],[Advanced Network/Insurance Carrier Org ID]],B289),2), "TRUE", ROUND(G289-SUMIFS(AN_TME22[[#All],[TOTAL Truncated Unadjusted Claims Expenses (A21 -A19)]], AN_TME22[[#All],[Insurance Category Code]],6, AN_TME22[[#All],[Advanced Network/Insurance Carrier Org ID]],B289),2))</f>
        <v>TRUE</v>
      </c>
      <c r="M289" s="461" t="str">
        <f t="shared" si="27"/>
        <v>TRUE</v>
      </c>
      <c r="N289" s="282" t="b">
        <f>ROUND(SUMIFS(AN_TME22[[#All],[TOTAL Non-Truncated Unadjusted Claims Expenses]], AN_TME22[[#All],[Insurance Category Code]],6, AN_TME22[[#All],[Advanced Network/Insurance Carrier Org ID]],B289),2)&gt;=ROUND(SUMIFS(AN_TME22[[#All],[TOTAL Truncated Unadjusted Claims Expenses (A21 -A19)]], AN_TME22[[#All],[Insurance Category Code]],6, AN_TME22[[#All],[Advanced Network/Insurance Carrier Org ID]],B289),2)</f>
        <v>1</v>
      </c>
      <c r="O289" s="295" t="b">
        <f>ROUND(SUMIFS(AN_TME22[[#All],[TOTAL Truncated Unadjusted Claims Expenses (A21 -A19)]], AN_TME22[[#All],[Insurance Category Code]],6, AN_TME22[[#All],[Advanced Network/Insurance Carrier Org ID]],B289)+SUMIFS(AN_TME22[[#All],[Total Claims Excluded because of Truncation]], AN_TME22[[#All],[Insurance Category Code]],6, AN_TME22[[#All],[Advanced Network/Insurance Carrier Org ID]],B289),2)=ROUND(SUMIFS(AN_TME22[[#All],[TOTAL Non-Truncated Unadjusted Claims Expenses]], AN_TME22[[#All],[Insurance Category Code]],6, AN_TME22[[#All],[Advanced Network/Insurance Carrier Org ID]],B289),2)</f>
        <v>1</v>
      </c>
      <c r="Q289" s="236">
        <v>116</v>
      </c>
      <c r="R289" s="463">
        <f>ROUND(SUMIFS(Age_Sex23[[#All],[Total Member Months by Age/Sex Band]], Age_Sex23[[#All],[Advanced Network ID]], $Q289, Age_Sex23[[#All],[Insurance Category Code]],6),2)</f>
        <v>0</v>
      </c>
      <c r="S289" s="268">
        <f>ROUND(SUMIFS(Age_Sex23[[#All],[Total Dollars Excluded from Spending After Applying Truncation at the Member Level]], Age_Sex23[[#All],[Advanced Network ID]], $B289, Age_Sex23[[#All],[Insurance Category Code]],6),2)</f>
        <v>0</v>
      </c>
      <c r="T289" s="229">
        <f>ROUND(SUMIFS(Age_Sex23[[#All],[Count of Members whose Spending was Truncated]], Age_Sex23[[#All],[Advanced Network ID]], $B289, Age_Sex23[[#All],[Insurance Category Code]],6),2)</f>
        <v>0</v>
      </c>
      <c r="U289" s="230">
        <f>ROUND(SUMIFS(Age_Sex23[[#All],[Total Spending before Truncation is Applied]], Age_Sex23[[#All],[Advanced Network ID]], $B289, Age_Sex23[[#All],[Insurance Category Code]],6),2)</f>
        <v>0</v>
      </c>
      <c r="V289" s="232">
        <f>ROUND(SUMIFS(Age_Sex23[[#All],[Total Spending After Applying Truncation at the Member Level]], Age_Sex23[[#All],[Advanced Network ID]], $B289, Age_Sex23[[#All],[Insurance Category Code]],6),2)</f>
        <v>0</v>
      </c>
      <c r="W289" s="416" t="str">
        <f>IF(R289=ROUND(SUMIFS(AN_TME23[[#All],[Member Months]], AN_TME23[[#All],[Insurance Category Code]],6, AN_TME23[[#All],[Advanced Network/Insurance Carrier Org ID]],Q289),2), "TRUE", ROUND(R289-SUMIFS(AN_TME23[[#All],[Member Months]], AN_TME23[[#All],[Insurance Category Code]],6, AN_TME23[[#All],[Advanced Network/Insurance Carrier Org ID]],Q289),2))</f>
        <v>TRUE</v>
      </c>
      <c r="X289" s="280" t="str">
        <f>IF(S289=ROUND(SUMIFS(AN_TME23[[#All],[Total Claims Excluded because of Truncation]], AN_TME23[[#All],[Insurance Category Code]],6, AN_TME23[[#All],[Advanced Network/Insurance Carrier Org ID]],Q289),2), "TRUE", ROUND(S289-SUMIFS(AN_TME23[[#All],[Total Claims Excluded because of Truncation]], AN_TME23[[#All],[Insurance Category Code]],6, AN_TME23[[#All],[Advanced Network/Insurance Carrier Org ID]],Q289),2))</f>
        <v>TRUE</v>
      </c>
      <c r="Y289" s="281" t="str">
        <f>IF(T289=ROUND(SUMIFS(AN_TME23[[#All],[Count of Members with Claims Truncated]], AN_TME23[[#All],[Insurance Category Code]],6, AN_TME23[[#All],[Advanced Network/Insurance Carrier Org ID]],Q289),2), "TRUE", ROUND(T289-SUMIFS(AN_TME23[[#All],[Count of Members with Claims Truncated]], AN_TME23[[#All],[Insurance Category Code]],6, AN_TME23[[#All],[Advanced Network/Insurance Carrier Org ID]],Q289),2))</f>
        <v>TRUE</v>
      </c>
      <c r="Z289" s="282" t="str">
        <f>IF(U289=ROUND(SUMIFS(AN_TME23[[#All],[TOTAL Non-Truncated Unadjusted Claims Expenses]], AN_TME23[[#All],[Insurance Category Code]],6, AN_TME23[[#All],[Advanced Network/Insurance Carrier Org ID]],Q289),2), "TRUE", ROUND(U289-SUMIFS(AN_TME23[[#All],[TOTAL Non-Truncated Unadjusted Claims Expenses]], AN_TME23[[#All],[Insurance Category Code]],6, AN_TME23[[#All],[Advanced Network/Insurance Carrier Org ID]],Q289),2))</f>
        <v>TRUE</v>
      </c>
      <c r="AA289" s="295" t="str">
        <f>IF(V289=ROUND(SUMIFS(AN_TME23[[#All],[TOTAL Truncated Unadjusted Claims Expenses (A21 -A19)]], AN_TME23[[#All],[Insurance Category Code]],6, AN_TME23[[#All],[Advanced Network/Insurance Carrier Org ID]],Q289),2), "TRUE", ROUND(V289-SUMIFS(AN_TME23[[#All],[TOTAL Truncated Unadjusted Claims Expenses (A21 -A19)]], AN_TME23[[#All],[Insurance Category Code]],6, AN_TME23[[#All],[Advanced Network/Insurance Carrier Org ID]],Q289),2))</f>
        <v>TRUE</v>
      </c>
      <c r="AB289" s="461" t="str">
        <f t="shared" si="30"/>
        <v>TRUE</v>
      </c>
      <c r="AC289" s="282" t="b">
        <f>ROUND(SUMIFS(AN_TME23[[#All],[TOTAL Non-Truncated Unadjusted Claims Expenses]], AN_TME23[[#All],[Insurance Category Code]],6, AN_TME23[[#All],[Advanced Network/Insurance Carrier Org ID]],Q289),2)&gt;=ROUND(SUMIFS(AN_TME23[[#All],[TOTAL Truncated Unadjusted Claims Expenses (A21 -A19)]], AN_TME23[[#All],[Insurance Category Code]],6, AN_TME23[[#All],[Advanced Network/Insurance Carrier Org ID]],Q289),2)</f>
        <v>1</v>
      </c>
      <c r="AD289" s="295" t="b">
        <f>ROUND(SUMIFS(AN_TME23[[#All],[TOTAL Truncated Unadjusted Claims Expenses (A21 -A19)]], AN_TME23[[#All],[Insurance Category Code]],6, AN_TME23[[#All],[Advanced Network/Insurance Carrier Org ID]],Q289)+SUMIFS(AN_TME23[[#All],[Total Claims Excluded because of Truncation]], AN_TME23[[#All],[Insurance Category Code]],6, AN_TME23[[#All],[Advanced Network/Insurance Carrier Org ID]],Q289),2)=ROUND(SUMIFS(AN_TME23[[#All],[TOTAL Non-Truncated Unadjusted Claims Expenses]], AN_TME23[[#All],[Insurance Category Code]],6, AN_TME23[[#All],[Advanced Network/Insurance Carrier Org ID]],Q289),2)</f>
        <v>1</v>
      </c>
      <c r="AF289" s="323" t="str">
        <f t="shared" si="29"/>
        <v>NA</v>
      </c>
    </row>
    <row r="290" spans="2:32" outlineLevel="1" x14ac:dyDescent="0.25">
      <c r="B290" s="236">
        <v>117</v>
      </c>
      <c r="C290" s="463">
        <f>ROUND(SUMIFS(Age_Sex22[[#All],[Total Member Months by Age/Sex Band]], Age_Sex22[[#All],[Advanced Network ID]], $B290, Age_Sex22[[#All],[Insurance Category Code]],6),2)</f>
        <v>0</v>
      </c>
      <c r="D290" s="268">
        <f>ROUND(SUMIFS(Age_Sex22[[#All],[Total Dollars Excluded from Spending After Applying Truncation at the Member Level]], Age_Sex22[[#All],[Advanced Network ID]], $B290, Age_Sex22[[#All],[Insurance Category Code]],6),2)</f>
        <v>0</v>
      </c>
      <c r="E290" s="229">
        <f>ROUND(SUMIFS(Age_Sex22[[#All],[Count of Members whose Spending was Truncated]], Age_Sex22[[#All],[Advanced Network ID]], $B290, Age_Sex22[[#All],[Insurance Category Code]],6),2)</f>
        <v>0</v>
      </c>
      <c r="F290" s="230">
        <f>ROUND(SUMIFS(Age_Sex22[[#All],[Total Spending before Truncation is Applied]], Age_Sex22[[#All],[Advanced Network ID]], $B290, Age_Sex22[[#All],[Insurance Category Code]],6),2)</f>
        <v>0</v>
      </c>
      <c r="G290" s="232">
        <f>ROUND(SUMIFS(Age_Sex22[[#All],[Total Spending After Applying Truncation at the Member Level]], Age_Sex22[[#All],[Advanced Network ID]], $B290, Age_Sex22[[#All],[Insurance Category Code]],6),2)</f>
        <v>0</v>
      </c>
      <c r="H290" s="416" t="str">
        <f>IF(C290=ROUND(SUMIFS(AN_TME22[[#All],[Member Months]], AN_TME22[[#All],[Insurance Category Code]],6, AN_TME22[[#All],[Advanced Network/Insurance Carrier Org ID]],B290),2), "TRUE", ROUND(C290-SUMIFS(AN_TME22[[#All],[Member Months]], AN_TME22[[#All],[Insurance Category Code]],6, AN_TME22[[#All],[Advanced Network/Insurance Carrier Org ID]],B290),2))</f>
        <v>TRUE</v>
      </c>
      <c r="I290" s="280" t="str">
        <f>IF(D290=ROUND(SUMIFS(AN_TME22[[#All],[Total Claims Excluded because of Truncation]], AN_TME22[[#All],[Insurance Category Code]],6, AN_TME22[[#All],[Advanced Network/Insurance Carrier Org ID]],B290),2), "TRUE", ROUND(D290-SUMIFS(AN_TME22[[#All],[Total Claims Excluded because of Truncation]], AN_TME22[[#All],[Insurance Category Code]],6, AN_TME22[[#All],[Advanced Network/Insurance Carrier Org ID]],B290),2))</f>
        <v>TRUE</v>
      </c>
      <c r="J290" s="281" t="str">
        <f>IF(E290=ROUND(SUMIFS(AN_TME22[[#All],[Count of Members with Claims Truncated]], AN_TME22[[#All],[Insurance Category Code]],6, AN_TME22[[#All],[Advanced Network/Insurance Carrier Org ID]],B290),2), "TRUE", ROUND(E290-SUMIFS(AN_TME22[[#All],[Count of Members with Claims Truncated]], AN_TME22[[#All],[Insurance Category Code]],6, AN_TME22[[#All],[Advanced Network/Insurance Carrier Org ID]],B290),2))</f>
        <v>TRUE</v>
      </c>
      <c r="K290" s="282" t="str">
        <f>IF(F290=ROUND(SUMIFS(AN_TME22[[#All],[TOTAL Non-Truncated Unadjusted Claims Expenses]], AN_TME22[[#All],[Insurance Category Code]],6, AN_TME22[[#All],[Advanced Network/Insurance Carrier Org ID]],B290),2),"TRUE", ROUND(F290-SUMIFS(AN_TME22[[#All],[TOTAL Non-Truncated Unadjusted Claims Expenses]], AN_TME22[[#All],[Insurance Category Code]],6, AN_TME22[[#All],[Advanced Network/Insurance Carrier Org ID]],B290),2))</f>
        <v>TRUE</v>
      </c>
      <c r="L290" s="295" t="str">
        <f>IF(G290=ROUND(SUMIFS(AN_TME22[[#All],[TOTAL Truncated Unadjusted Claims Expenses (A21 -A19)]], AN_TME22[[#All],[Insurance Category Code]],6, AN_TME22[[#All],[Advanced Network/Insurance Carrier Org ID]],B290),2), "TRUE", ROUND(G290-SUMIFS(AN_TME22[[#All],[TOTAL Truncated Unadjusted Claims Expenses (A21 -A19)]], AN_TME22[[#All],[Insurance Category Code]],6, AN_TME22[[#All],[Advanced Network/Insurance Carrier Org ID]],B290),2))</f>
        <v>TRUE</v>
      </c>
      <c r="M290" s="461" t="str">
        <f t="shared" si="27"/>
        <v>TRUE</v>
      </c>
      <c r="N290" s="282" t="b">
        <f>ROUND(SUMIFS(AN_TME22[[#All],[TOTAL Non-Truncated Unadjusted Claims Expenses]], AN_TME22[[#All],[Insurance Category Code]],6, AN_TME22[[#All],[Advanced Network/Insurance Carrier Org ID]],B290),2)&gt;=ROUND(SUMIFS(AN_TME22[[#All],[TOTAL Truncated Unadjusted Claims Expenses (A21 -A19)]], AN_TME22[[#All],[Insurance Category Code]],6, AN_TME22[[#All],[Advanced Network/Insurance Carrier Org ID]],B290),2)</f>
        <v>1</v>
      </c>
      <c r="O290" s="295" t="b">
        <f>ROUND(SUMIFS(AN_TME22[[#All],[TOTAL Truncated Unadjusted Claims Expenses (A21 -A19)]], AN_TME22[[#All],[Insurance Category Code]],6, AN_TME22[[#All],[Advanced Network/Insurance Carrier Org ID]],B290)+SUMIFS(AN_TME22[[#All],[Total Claims Excluded because of Truncation]], AN_TME22[[#All],[Insurance Category Code]],6, AN_TME22[[#All],[Advanced Network/Insurance Carrier Org ID]],B290),2)=ROUND(SUMIFS(AN_TME22[[#All],[TOTAL Non-Truncated Unadjusted Claims Expenses]], AN_TME22[[#All],[Insurance Category Code]],6, AN_TME22[[#All],[Advanced Network/Insurance Carrier Org ID]],B290),2)</f>
        <v>1</v>
      </c>
      <c r="Q290" s="236">
        <v>117</v>
      </c>
      <c r="R290" s="463">
        <f>ROUND(SUMIFS(Age_Sex23[[#All],[Total Member Months by Age/Sex Band]], Age_Sex23[[#All],[Advanced Network ID]], $Q290, Age_Sex23[[#All],[Insurance Category Code]],6),2)</f>
        <v>0</v>
      </c>
      <c r="S290" s="268">
        <f>ROUND(SUMIFS(Age_Sex23[[#All],[Total Dollars Excluded from Spending After Applying Truncation at the Member Level]], Age_Sex23[[#All],[Advanced Network ID]], $B290, Age_Sex23[[#All],[Insurance Category Code]],6),2)</f>
        <v>0</v>
      </c>
      <c r="T290" s="229">
        <f>ROUND(SUMIFS(Age_Sex23[[#All],[Count of Members whose Spending was Truncated]], Age_Sex23[[#All],[Advanced Network ID]], $B290, Age_Sex23[[#All],[Insurance Category Code]],6),2)</f>
        <v>0</v>
      </c>
      <c r="U290" s="230">
        <f>ROUND(SUMIFS(Age_Sex23[[#All],[Total Spending before Truncation is Applied]], Age_Sex23[[#All],[Advanced Network ID]], $B290, Age_Sex23[[#All],[Insurance Category Code]],6),2)</f>
        <v>0</v>
      </c>
      <c r="V290" s="232">
        <f>ROUND(SUMIFS(Age_Sex23[[#All],[Total Spending After Applying Truncation at the Member Level]], Age_Sex23[[#All],[Advanced Network ID]], $B290, Age_Sex23[[#All],[Insurance Category Code]],6),2)</f>
        <v>0</v>
      </c>
      <c r="W290" s="416" t="str">
        <f>IF(R290=ROUND(SUMIFS(AN_TME23[[#All],[Member Months]], AN_TME23[[#All],[Insurance Category Code]],6, AN_TME23[[#All],[Advanced Network/Insurance Carrier Org ID]],Q290),2), "TRUE", ROUND(R290-SUMIFS(AN_TME23[[#All],[Member Months]], AN_TME23[[#All],[Insurance Category Code]],6, AN_TME23[[#All],[Advanced Network/Insurance Carrier Org ID]],Q290),2))</f>
        <v>TRUE</v>
      </c>
      <c r="X290" s="280" t="str">
        <f>IF(S290=ROUND(SUMIFS(AN_TME23[[#All],[Total Claims Excluded because of Truncation]], AN_TME23[[#All],[Insurance Category Code]],6, AN_TME23[[#All],[Advanced Network/Insurance Carrier Org ID]],Q290),2), "TRUE", ROUND(S290-SUMIFS(AN_TME23[[#All],[Total Claims Excluded because of Truncation]], AN_TME23[[#All],[Insurance Category Code]],6, AN_TME23[[#All],[Advanced Network/Insurance Carrier Org ID]],Q290),2))</f>
        <v>TRUE</v>
      </c>
      <c r="Y290" s="281" t="str">
        <f>IF(T290=ROUND(SUMIFS(AN_TME23[[#All],[Count of Members with Claims Truncated]], AN_TME23[[#All],[Insurance Category Code]],6, AN_TME23[[#All],[Advanced Network/Insurance Carrier Org ID]],Q290),2), "TRUE", ROUND(T290-SUMIFS(AN_TME23[[#All],[Count of Members with Claims Truncated]], AN_TME23[[#All],[Insurance Category Code]],6, AN_TME23[[#All],[Advanced Network/Insurance Carrier Org ID]],Q290),2))</f>
        <v>TRUE</v>
      </c>
      <c r="Z290" s="282" t="str">
        <f>IF(U290=ROUND(SUMIFS(AN_TME23[[#All],[TOTAL Non-Truncated Unadjusted Claims Expenses]], AN_TME23[[#All],[Insurance Category Code]],6, AN_TME23[[#All],[Advanced Network/Insurance Carrier Org ID]],Q290),2), "TRUE", ROUND(U290-SUMIFS(AN_TME23[[#All],[TOTAL Non-Truncated Unadjusted Claims Expenses]], AN_TME23[[#All],[Insurance Category Code]],6, AN_TME23[[#All],[Advanced Network/Insurance Carrier Org ID]],Q290),2))</f>
        <v>TRUE</v>
      </c>
      <c r="AA290" s="295" t="str">
        <f>IF(V290=ROUND(SUMIFS(AN_TME23[[#All],[TOTAL Truncated Unadjusted Claims Expenses (A21 -A19)]], AN_TME23[[#All],[Insurance Category Code]],6, AN_TME23[[#All],[Advanced Network/Insurance Carrier Org ID]],Q290),2), "TRUE", ROUND(V290-SUMIFS(AN_TME23[[#All],[TOTAL Truncated Unadjusted Claims Expenses (A21 -A19)]], AN_TME23[[#All],[Insurance Category Code]],6, AN_TME23[[#All],[Advanced Network/Insurance Carrier Org ID]],Q290),2))</f>
        <v>TRUE</v>
      </c>
      <c r="AB290" s="461" t="str">
        <f t="shared" si="30"/>
        <v>TRUE</v>
      </c>
      <c r="AC290" s="282" t="b">
        <f>ROUND(SUMIFS(AN_TME23[[#All],[TOTAL Non-Truncated Unadjusted Claims Expenses]], AN_TME23[[#All],[Insurance Category Code]],6, AN_TME23[[#All],[Advanced Network/Insurance Carrier Org ID]],Q290),2)&gt;=ROUND(SUMIFS(AN_TME23[[#All],[TOTAL Truncated Unadjusted Claims Expenses (A21 -A19)]], AN_TME23[[#All],[Insurance Category Code]],6, AN_TME23[[#All],[Advanced Network/Insurance Carrier Org ID]],Q290),2)</f>
        <v>1</v>
      </c>
      <c r="AD290" s="295" t="b">
        <f>ROUND(SUMIFS(AN_TME23[[#All],[TOTAL Truncated Unadjusted Claims Expenses (A21 -A19)]], AN_TME23[[#All],[Insurance Category Code]],6, AN_TME23[[#All],[Advanced Network/Insurance Carrier Org ID]],Q290)+SUMIFS(AN_TME23[[#All],[Total Claims Excluded because of Truncation]], AN_TME23[[#All],[Insurance Category Code]],6, AN_TME23[[#All],[Advanced Network/Insurance Carrier Org ID]],Q290),2)=ROUND(SUMIFS(AN_TME23[[#All],[TOTAL Non-Truncated Unadjusted Claims Expenses]], AN_TME23[[#All],[Insurance Category Code]],6, AN_TME23[[#All],[Advanced Network/Insurance Carrier Org ID]],Q290),2)</f>
        <v>1</v>
      </c>
      <c r="AF290" s="323" t="str">
        <f t="shared" si="29"/>
        <v>NA</v>
      </c>
    </row>
    <row r="291" spans="2:32" outlineLevel="1" x14ac:dyDescent="0.25">
      <c r="B291" s="236">
        <v>118</v>
      </c>
      <c r="C291" s="463">
        <f>ROUND(SUMIFS(Age_Sex22[[#All],[Total Member Months by Age/Sex Band]], Age_Sex22[[#All],[Advanced Network ID]], $B291, Age_Sex22[[#All],[Insurance Category Code]],6),2)</f>
        <v>0</v>
      </c>
      <c r="D291" s="268">
        <f>ROUND(SUMIFS(Age_Sex22[[#All],[Total Dollars Excluded from Spending After Applying Truncation at the Member Level]], Age_Sex22[[#All],[Advanced Network ID]], $B291, Age_Sex22[[#All],[Insurance Category Code]],6),2)</f>
        <v>0</v>
      </c>
      <c r="E291" s="229">
        <f>ROUND(SUMIFS(Age_Sex22[[#All],[Count of Members whose Spending was Truncated]], Age_Sex22[[#All],[Advanced Network ID]], $B291, Age_Sex22[[#All],[Insurance Category Code]],6),2)</f>
        <v>0</v>
      </c>
      <c r="F291" s="230">
        <f>ROUND(SUMIFS(Age_Sex22[[#All],[Total Spending before Truncation is Applied]], Age_Sex22[[#All],[Advanced Network ID]], $B291, Age_Sex22[[#All],[Insurance Category Code]],6),2)</f>
        <v>0</v>
      </c>
      <c r="G291" s="232">
        <f>ROUND(SUMIFS(Age_Sex22[[#All],[Total Spending After Applying Truncation at the Member Level]], Age_Sex22[[#All],[Advanced Network ID]], $B291, Age_Sex22[[#All],[Insurance Category Code]],6),2)</f>
        <v>0</v>
      </c>
      <c r="H291" s="416" t="str">
        <f>IF(C291=ROUND(SUMIFS(AN_TME22[[#All],[Member Months]], AN_TME22[[#All],[Insurance Category Code]],6, AN_TME22[[#All],[Advanced Network/Insurance Carrier Org ID]],B291),2), "TRUE", ROUND(C291-SUMIFS(AN_TME22[[#All],[Member Months]], AN_TME22[[#All],[Insurance Category Code]],6, AN_TME22[[#All],[Advanced Network/Insurance Carrier Org ID]],B291),2))</f>
        <v>TRUE</v>
      </c>
      <c r="I291" s="280" t="str">
        <f>IF(D291=ROUND(SUMIFS(AN_TME22[[#All],[Total Claims Excluded because of Truncation]], AN_TME22[[#All],[Insurance Category Code]],6, AN_TME22[[#All],[Advanced Network/Insurance Carrier Org ID]],B291),2), "TRUE", ROUND(D291-SUMIFS(AN_TME22[[#All],[Total Claims Excluded because of Truncation]], AN_TME22[[#All],[Insurance Category Code]],6, AN_TME22[[#All],[Advanced Network/Insurance Carrier Org ID]],B291),2))</f>
        <v>TRUE</v>
      </c>
      <c r="J291" s="281" t="str">
        <f>IF(E291=ROUND(SUMIFS(AN_TME22[[#All],[Count of Members with Claims Truncated]], AN_TME22[[#All],[Insurance Category Code]],6, AN_TME22[[#All],[Advanced Network/Insurance Carrier Org ID]],B291),2), "TRUE", ROUND(E291-SUMIFS(AN_TME22[[#All],[Count of Members with Claims Truncated]], AN_TME22[[#All],[Insurance Category Code]],6, AN_TME22[[#All],[Advanced Network/Insurance Carrier Org ID]],B291),2))</f>
        <v>TRUE</v>
      </c>
      <c r="K291" s="282" t="str">
        <f>IF(F291=ROUND(SUMIFS(AN_TME22[[#All],[TOTAL Non-Truncated Unadjusted Claims Expenses]], AN_TME22[[#All],[Insurance Category Code]],6, AN_TME22[[#All],[Advanced Network/Insurance Carrier Org ID]],B291),2),"TRUE", ROUND(F291-SUMIFS(AN_TME22[[#All],[TOTAL Non-Truncated Unadjusted Claims Expenses]], AN_TME22[[#All],[Insurance Category Code]],6, AN_TME22[[#All],[Advanced Network/Insurance Carrier Org ID]],B291),2))</f>
        <v>TRUE</v>
      </c>
      <c r="L291" s="295" t="str">
        <f>IF(G291=ROUND(SUMIFS(AN_TME22[[#All],[TOTAL Truncated Unadjusted Claims Expenses (A21 -A19)]], AN_TME22[[#All],[Insurance Category Code]],6, AN_TME22[[#All],[Advanced Network/Insurance Carrier Org ID]],B291),2), "TRUE", ROUND(G291-SUMIFS(AN_TME22[[#All],[TOTAL Truncated Unadjusted Claims Expenses (A21 -A19)]], AN_TME22[[#All],[Insurance Category Code]],6, AN_TME22[[#All],[Advanced Network/Insurance Carrier Org ID]],B291),2))</f>
        <v>TRUE</v>
      </c>
      <c r="M291" s="461" t="str">
        <f t="shared" si="27"/>
        <v>TRUE</v>
      </c>
      <c r="N291" s="282" t="b">
        <f>ROUND(SUMIFS(AN_TME22[[#All],[TOTAL Non-Truncated Unadjusted Claims Expenses]], AN_TME22[[#All],[Insurance Category Code]],6, AN_TME22[[#All],[Advanced Network/Insurance Carrier Org ID]],B291),2)&gt;=ROUND(SUMIFS(AN_TME22[[#All],[TOTAL Truncated Unadjusted Claims Expenses (A21 -A19)]], AN_TME22[[#All],[Insurance Category Code]],6, AN_TME22[[#All],[Advanced Network/Insurance Carrier Org ID]],B291),2)</f>
        <v>1</v>
      </c>
      <c r="O291" s="295" t="b">
        <f>ROUND(SUMIFS(AN_TME22[[#All],[TOTAL Truncated Unadjusted Claims Expenses (A21 -A19)]], AN_TME22[[#All],[Insurance Category Code]],6, AN_TME22[[#All],[Advanced Network/Insurance Carrier Org ID]],B291)+SUMIFS(AN_TME22[[#All],[Total Claims Excluded because of Truncation]], AN_TME22[[#All],[Insurance Category Code]],6, AN_TME22[[#All],[Advanced Network/Insurance Carrier Org ID]],B291),2)=ROUND(SUMIFS(AN_TME22[[#All],[TOTAL Non-Truncated Unadjusted Claims Expenses]], AN_TME22[[#All],[Insurance Category Code]],6, AN_TME22[[#All],[Advanced Network/Insurance Carrier Org ID]],B291),2)</f>
        <v>1</v>
      </c>
      <c r="Q291" s="236">
        <v>118</v>
      </c>
      <c r="R291" s="463">
        <f>ROUND(SUMIFS(Age_Sex23[[#All],[Total Member Months by Age/Sex Band]], Age_Sex23[[#All],[Advanced Network ID]], $Q291, Age_Sex23[[#All],[Insurance Category Code]],6),2)</f>
        <v>0</v>
      </c>
      <c r="S291" s="268">
        <f>ROUND(SUMIFS(Age_Sex23[[#All],[Total Dollars Excluded from Spending After Applying Truncation at the Member Level]], Age_Sex23[[#All],[Advanced Network ID]], $B291, Age_Sex23[[#All],[Insurance Category Code]],6),2)</f>
        <v>0</v>
      </c>
      <c r="T291" s="229">
        <f>ROUND(SUMIFS(Age_Sex23[[#All],[Count of Members whose Spending was Truncated]], Age_Sex23[[#All],[Advanced Network ID]], $B291, Age_Sex23[[#All],[Insurance Category Code]],6),2)</f>
        <v>0</v>
      </c>
      <c r="U291" s="230">
        <f>ROUND(SUMIFS(Age_Sex23[[#All],[Total Spending before Truncation is Applied]], Age_Sex23[[#All],[Advanced Network ID]], $B291, Age_Sex23[[#All],[Insurance Category Code]],6),2)</f>
        <v>0</v>
      </c>
      <c r="V291" s="232">
        <f>ROUND(SUMIFS(Age_Sex23[[#All],[Total Spending After Applying Truncation at the Member Level]], Age_Sex23[[#All],[Advanced Network ID]], $B291, Age_Sex23[[#All],[Insurance Category Code]],6),2)</f>
        <v>0</v>
      </c>
      <c r="W291" s="416" t="str">
        <f>IF(R291=ROUND(SUMIFS(AN_TME23[[#All],[Member Months]], AN_TME23[[#All],[Insurance Category Code]],6, AN_TME23[[#All],[Advanced Network/Insurance Carrier Org ID]],Q291),2), "TRUE", ROUND(R291-SUMIFS(AN_TME23[[#All],[Member Months]], AN_TME23[[#All],[Insurance Category Code]],6, AN_TME23[[#All],[Advanced Network/Insurance Carrier Org ID]],Q291),2))</f>
        <v>TRUE</v>
      </c>
      <c r="X291" s="280" t="str">
        <f>IF(S291=ROUND(SUMIFS(AN_TME23[[#All],[Total Claims Excluded because of Truncation]], AN_TME23[[#All],[Insurance Category Code]],6, AN_TME23[[#All],[Advanced Network/Insurance Carrier Org ID]],Q291),2), "TRUE", ROUND(S291-SUMIFS(AN_TME23[[#All],[Total Claims Excluded because of Truncation]], AN_TME23[[#All],[Insurance Category Code]],6, AN_TME23[[#All],[Advanced Network/Insurance Carrier Org ID]],Q291),2))</f>
        <v>TRUE</v>
      </c>
      <c r="Y291" s="281" t="str">
        <f>IF(T291=ROUND(SUMIFS(AN_TME23[[#All],[Count of Members with Claims Truncated]], AN_TME23[[#All],[Insurance Category Code]],6, AN_TME23[[#All],[Advanced Network/Insurance Carrier Org ID]],Q291),2), "TRUE", ROUND(T291-SUMIFS(AN_TME23[[#All],[Count of Members with Claims Truncated]], AN_TME23[[#All],[Insurance Category Code]],6, AN_TME23[[#All],[Advanced Network/Insurance Carrier Org ID]],Q291),2))</f>
        <v>TRUE</v>
      </c>
      <c r="Z291" s="282" t="str">
        <f>IF(U291=ROUND(SUMIFS(AN_TME23[[#All],[TOTAL Non-Truncated Unadjusted Claims Expenses]], AN_TME23[[#All],[Insurance Category Code]],6, AN_TME23[[#All],[Advanced Network/Insurance Carrier Org ID]],Q291),2), "TRUE", ROUND(U291-SUMIFS(AN_TME23[[#All],[TOTAL Non-Truncated Unadjusted Claims Expenses]], AN_TME23[[#All],[Insurance Category Code]],6, AN_TME23[[#All],[Advanced Network/Insurance Carrier Org ID]],Q291),2))</f>
        <v>TRUE</v>
      </c>
      <c r="AA291" s="295" t="str">
        <f>IF(V291=ROUND(SUMIFS(AN_TME23[[#All],[TOTAL Truncated Unadjusted Claims Expenses (A21 -A19)]], AN_TME23[[#All],[Insurance Category Code]],6, AN_TME23[[#All],[Advanced Network/Insurance Carrier Org ID]],Q291),2), "TRUE", ROUND(V291-SUMIFS(AN_TME23[[#All],[TOTAL Truncated Unadjusted Claims Expenses (A21 -A19)]], AN_TME23[[#All],[Insurance Category Code]],6, AN_TME23[[#All],[Advanced Network/Insurance Carrier Org ID]],Q291),2))</f>
        <v>TRUE</v>
      </c>
      <c r="AB291" s="461" t="str">
        <f t="shared" si="30"/>
        <v>TRUE</v>
      </c>
      <c r="AC291" s="282" t="b">
        <f>ROUND(SUMIFS(AN_TME23[[#All],[TOTAL Non-Truncated Unadjusted Claims Expenses]], AN_TME23[[#All],[Insurance Category Code]],6, AN_TME23[[#All],[Advanced Network/Insurance Carrier Org ID]],Q291),2)&gt;=ROUND(SUMIFS(AN_TME23[[#All],[TOTAL Truncated Unadjusted Claims Expenses (A21 -A19)]], AN_TME23[[#All],[Insurance Category Code]],6, AN_TME23[[#All],[Advanced Network/Insurance Carrier Org ID]],Q291),2)</f>
        <v>1</v>
      </c>
      <c r="AD291" s="295" t="b">
        <f>ROUND(SUMIFS(AN_TME23[[#All],[TOTAL Truncated Unadjusted Claims Expenses (A21 -A19)]], AN_TME23[[#All],[Insurance Category Code]],6, AN_TME23[[#All],[Advanced Network/Insurance Carrier Org ID]],Q291)+SUMIFS(AN_TME23[[#All],[Total Claims Excluded because of Truncation]], AN_TME23[[#All],[Insurance Category Code]],6, AN_TME23[[#All],[Advanced Network/Insurance Carrier Org ID]],Q291),2)=ROUND(SUMIFS(AN_TME23[[#All],[TOTAL Non-Truncated Unadjusted Claims Expenses]], AN_TME23[[#All],[Insurance Category Code]],6, AN_TME23[[#All],[Advanced Network/Insurance Carrier Org ID]],Q291),2)</f>
        <v>1</v>
      </c>
      <c r="AF291" s="323" t="str">
        <f t="shared" si="29"/>
        <v>NA</v>
      </c>
    </row>
    <row r="292" spans="2:32" outlineLevel="1" x14ac:dyDescent="0.25">
      <c r="B292" s="236">
        <v>119</v>
      </c>
      <c r="C292" s="463">
        <f>ROUND(SUMIFS(Age_Sex22[[#All],[Total Member Months by Age/Sex Band]], Age_Sex22[[#All],[Advanced Network ID]], $B292, Age_Sex22[[#All],[Insurance Category Code]],6),2)</f>
        <v>0</v>
      </c>
      <c r="D292" s="268">
        <f>ROUND(SUMIFS(Age_Sex22[[#All],[Total Dollars Excluded from Spending After Applying Truncation at the Member Level]], Age_Sex22[[#All],[Advanced Network ID]], $B292, Age_Sex22[[#All],[Insurance Category Code]],6),2)</f>
        <v>0</v>
      </c>
      <c r="E292" s="229">
        <f>ROUND(SUMIFS(Age_Sex22[[#All],[Count of Members whose Spending was Truncated]], Age_Sex22[[#All],[Advanced Network ID]], $B292, Age_Sex22[[#All],[Insurance Category Code]],6),2)</f>
        <v>0</v>
      </c>
      <c r="F292" s="230">
        <f>ROUND(SUMIFS(Age_Sex22[[#All],[Total Spending before Truncation is Applied]], Age_Sex22[[#All],[Advanced Network ID]], $B292, Age_Sex22[[#All],[Insurance Category Code]],6),2)</f>
        <v>0</v>
      </c>
      <c r="G292" s="232">
        <f>ROUND(SUMIFS(Age_Sex22[[#All],[Total Spending After Applying Truncation at the Member Level]], Age_Sex22[[#All],[Advanced Network ID]], $B292, Age_Sex22[[#All],[Insurance Category Code]],6),2)</f>
        <v>0</v>
      </c>
      <c r="H292" s="416" t="str">
        <f>IF(C292=ROUND(SUMIFS(AN_TME22[[#All],[Member Months]], AN_TME22[[#All],[Insurance Category Code]],6, AN_TME22[[#All],[Advanced Network/Insurance Carrier Org ID]],B292),2), "TRUE", ROUND(C292-SUMIFS(AN_TME22[[#All],[Member Months]], AN_TME22[[#All],[Insurance Category Code]],6, AN_TME22[[#All],[Advanced Network/Insurance Carrier Org ID]],B292),2))</f>
        <v>TRUE</v>
      </c>
      <c r="I292" s="280" t="str">
        <f>IF(D292=ROUND(SUMIFS(AN_TME22[[#All],[Total Claims Excluded because of Truncation]], AN_TME22[[#All],[Insurance Category Code]],6, AN_TME22[[#All],[Advanced Network/Insurance Carrier Org ID]],B292),2), "TRUE", ROUND(D292-SUMIFS(AN_TME22[[#All],[Total Claims Excluded because of Truncation]], AN_TME22[[#All],[Insurance Category Code]],6, AN_TME22[[#All],[Advanced Network/Insurance Carrier Org ID]],B292),2))</f>
        <v>TRUE</v>
      </c>
      <c r="J292" s="281" t="str">
        <f>IF(E292=ROUND(SUMIFS(AN_TME22[[#All],[Count of Members with Claims Truncated]], AN_TME22[[#All],[Insurance Category Code]],6, AN_TME22[[#All],[Advanced Network/Insurance Carrier Org ID]],B292),2), "TRUE", ROUND(E292-SUMIFS(AN_TME22[[#All],[Count of Members with Claims Truncated]], AN_TME22[[#All],[Insurance Category Code]],6, AN_TME22[[#All],[Advanced Network/Insurance Carrier Org ID]],B292),2))</f>
        <v>TRUE</v>
      </c>
      <c r="K292" s="282" t="str">
        <f>IF(F292=ROUND(SUMIFS(AN_TME22[[#All],[TOTAL Non-Truncated Unadjusted Claims Expenses]], AN_TME22[[#All],[Insurance Category Code]],6, AN_TME22[[#All],[Advanced Network/Insurance Carrier Org ID]],B292),2),"TRUE", ROUND(F292-SUMIFS(AN_TME22[[#All],[TOTAL Non-Truncated Unadjusted Claims Expenses]], AN_TME22[[#All],[Insurance Category Code]],6, AN_TME22[[#All],[Advanced Network/Insurance Carrier Org ID]],B292),2))</f>
        <v>TRUE</v>
      </c>
      <c r="L292" s="295" t="str">
        <f>IF(G292=ROUND(SUMIFS(AN_TME22[[#All],[TOTAL Truncated Unadjusted Claims Expenses (A21 -A19)]], AN_TME22[[#All],[Insurance Category Code]],6, AN_TME22[[#All],[Advanced Network/Insurance Carrier Org ID]],B292),2), "TRUE", ROUND(G292-SUMIFS(AN_TME22[[#All],[TOTAL Truncated Unadjusted Claims Expenses (A21 -A19)]], AN_TME22[[#All],[Insurance Category Code]],6, AN_TME22[[#All],[Advanced Network/Insurance Carrier Org ID]],B292),2))</f>
        <v>TRUE</v>
      </c>
      <c r="M292" s="461" t="str">
        <f t="shared" si="27"/>
        <v>TRUE</v>
      </c>
      <c r="N292" s="282" t="b">
        <f>ROUND(SUMIFS(AN_TME22[[#All],[TOTAL Non-Truncated Unadjusted Claims Expenses]], AN_TME22[[#All],[Insurance Category Code]],6, AN_TME22[[#All],[Advanced Network/Insurance Carrier Org ID]],B292),2)&gt;=ROUND(SUMIFS(AN_TME22[[#All],[TOTAL Truncated Unadjusted Claims Expenses (A21 -A19)]], AN_TME22[[#All],[Insurance Category Code]],6, AN_TME22[[#All],[Advanced Network/Insurance Carrier Org ID]],B292),2)</f>
        <v>1</v>
      </c>
      <c r="O292" s="295" t="b">
        <f>ROUND(SUMIFS(AN_TME22[[#All],[TOTAL Truncated Unadjusted Claims Expenses (A21 -A19)]], AN_TME22[[#All],[Insurance Category Code]],6, AN_TME22[[#All],[Advanced Network/Insurance Carrier Org ID]],B292)+SUMIFS(AN_TME22[[#All],[Total Claims Excluded because of Truncation]], AN_TME22[[#All],[Insurance Category Code]],6, AN_TME22[[#All],[Advanced Network/Insurance Carrier Org ID]],B292),2)=ROUND(SUMIFS(AN_TME22[[#All],[TOTAL Non-Truncated Unadjusted Claims Expenses]], AN_TME22[[#All],[Insurance Category Code]],6, AN_TME22[[#All],[Advanced Network/Insurance Carrier Org ID]],B292),2)</f>
        <v>1</v>
      </c>
      <c r="Q292" s="236">
        <v>119</v>
      </c>
      <c r="R292" s="463">
        <f>ROUND(SUMIFS(Age_Sex23[[#All],[Total Member Months by Age/Sex Band]], Age_Sex23[[#All],[Advanced Network ID]], $Q292, Age_Sex23[[#All],[Insurance Category Code]],6),2)</f>
        <v>0</v>
      </c>
      <c r="S292" s="268">
        <f>ROUND(SUMIFS(Age_Sex23[[#All],[Total Dollars Excluded from Spending After Applying Truncation at the Member Level]], Age_Sex23[[#All],[Advanced Network ID]], $B292, Age_Sex23[[#All],[Insurance Category Code]],6),2)</f>
        <v>0</v>
      </c>
      <c r="T292" s="229">
        <f>ROUND(SUMIFS(Age_Sex23[[#All],[Count of Members whose Spending was Truncated]], Age_Sex23[[#All],[Advanced Network ID]], $B292, Age_Sex23[[#All],[Insurance Category Code]],6),2)</f>
        <v>0</v>
      </c>
      <c r="U292" s="230">
        <f>ROUND(SUMIFS(Age_Sex23[[#All],[Total Spending before Truncation is Applied]], Age_Sex23[[#All],[Advanced Network ID]], $B292, Age_Sex23[[#All],[Insurance Category Code]],6),2)</f>
        <v>0</v>
      </c>
      <c r="V292" s="232">
        <f>ROUND(SUMIFS(Age_Sex23[[#All],[Total Spending After Applying Truncation at the Member Level]], Age_Sex23[[#All],[Advanced Network ID]], $B292, Age_Sex23[[#All],[Insurance Category Code]],6),2)</f>
        <v>0</v>
      </c>
      <c r="W292" s="416" t="str">
        <f>IF(R292=ROUND(SUMIFS(AN_TME23[[#All],[Member Months]], AN_TME23[[#All],[Insurance Category Code]],6, AN_TME23[[#All],[Advanced Network/Insurance Carrier Org ID]],Q292),2), "TRUE", ROUND(R292-SUMIFS(AN_TME23[[#All],[Member Months]], AN_TME23[[#All],[Insurance Category Code]],6, AN_TME23[[#All],[Advanced Network/Insurance Carrier Org ID]],Q292),2))</f>
        <v>TRUE</v>
      </c>
      <c r="X292" s="280" t="str">
        <f>IF(S292=ROUND(SUMIFS(AN_TME23[[#All],[Total Claims Excluded because of Truncation]], AN_TME23[[#All],[Insurance Category Code]],6, AN_TME23[[#All],[Advanced Network/Insurance Carrier Org ID]],Q292),2), "TRUE", ROUND(S292-SUMIFS(AN_TME23[[#All],[Total Claims Excluded because of Truncation]], AN_TME23[[#All],[Insurance Category Code]],6, AN_TME23[[#All],[Advanced Network/Insurance Carrier Org ID]],Q292),2))</f>
        <v>TRUE</v>
      </c>
      <c r="Y292" s="281" t="str">
        <f>IF(T292=ROUND(SUMIFS(AN_TME23[[#All],[Count of Members with Claims Truncated]], AN_TME23[[#All],[Insurance Category Code]],6, AN_TME23[[#All],[Advanced Network/Insurance Carrier Org ID]],Q292),2), "TRUE", ROUND(T292-SUMIFS(AN_TME23[[#All],[Count of Members with Claims Truncated]], AN_TME23[[#All],[Insurance Category Code]],6, AN_TME23[[#All],[Advanced Network/Insurance Carrier Org ID]],Q292),2))</f>
        <v>TRUE</v>
      </c>
      <c r="Z292" s="282" t="str">
        <f>IF(U292=ROUND(SUMIFS(AN_TME23[[#All],[TOTAL Non-Truncated Unadjusted Claims Expenses]], AN_TME23[[#All],[Insurance Category Code]],6, AN_TME23[[#All],[Advanced Network/Insurance Carrier Org ID]],Q292),2), "TRUE", ROUND(U292-SUMIFS(AN_TME23[[#All],[TOTAL Non-Truncated Unadjusted Claims Expenses]], AN_TME23[[#All],[Insurance Category Code]],6, AN_TME23[[#All],[Advanced Network/Insurance Carrier Org ID]],Q292),2))</f>
        <v>TRUE</v>
      </c>
      <c r="AA292" s="295" t="str">
        <f>IF(V292=ROUND(SUMIFS(AN_TME23[[#All],[TOTAL Truncated Unadjusted Claims Expenses (A21 -A19)]], AN_TME23[[#All],[Insurance Category Code]],6, AN_TME23[[#All],[Advanced Network/Insurance Carrier Org ID]],Q292),2), "TRUE", ROUND(V292-SUMIFS(AN_TME23[[#All],[TOTAL Truncated Unadjusted Claims Expenses (A21 -A19)]], AN_TME23[[#All],[Insurance Category Code]],6, AN_TME23[[#All],[Advanced Network/Insurance Carrier Org ID]],Q292),2))</f>
        <v>TRUE</v>
      </c>
      <c r="AB292" s="461" t="str">
        <f t="shared" si="30"/>
        <v>TRUE</v>
      </c>
      <c r="AC292" s="282" t="b">
        <f>ROUND(SUMIFS(AN_TME23[[#All],[TOTAL Non-Truncated Unadjusted Claims Expenses]], AN_TME23[[#All],[Insurance Category Code]],6, AN_TME23[[#All],[Advanced Network/Insurance Carrier Org ID]],Q292),2)&gt;=ROUND(SUMIFS(AN_TME23[[#All],[TOTAL Truncated Unadjusted Claims Expenses (A21 -A19)]], AN_TME23[[#All],[Insurance Category Code]],6, AN_TME23[[#All],[Advanced Network/Insurance Carrier Org ID]],Q292),2)</f>
        <v>1</v>
      </c>
      <c r="AD292" s="295" t="b">
        <f>ROUND(SUMIFS(AN_TME23[[#All],[TOTAL Truncated Unadjusted Claims Expenses (A21 -A19)]], AN_TME23[[#All],[Insurance Category Code]],6, AN_TME23[[#All],[Advanced Network/Insurance Carrier Org ID]],Q292)+SUMIFS(AN_TME23[[#All],[Total Claims Excluded because of Truncation]], AN_TME23[[#All],[Insurance Category Code]],6, AN_TME23[[#All],[Advanced Network/Insurance Carrier Org ID]],Q292),2)=ROUND(SUMIFS(AN_TME23[[#All],[TOTAL Non-Truncated Unadjusted Claims Expenses]], AN_TME23[[#All],[Insurance Category Code]],6, AN_TME23[[#All],[Advanced Network/Insurance Carrier Org ID]],Q292),2)</f>
        <v>1</v>
      </c>
      <c r="AF292" s="323" t="str">
        <f t="shared" si="29"/>
        <v>NA</v>
      </c>
    </row>
    <row r="293" spans="2:32" outlineLevel="1" x14ac:dyDescent="0.25">
      <c r="B293" s="236">
        <v>120</v>
      </c>
      <c r="C293" s="463">
        <f>ROUND(SUMIFS(Age_Sex22[[#All],[Total Member Months by Age/Sex Band]], Age_Sex22[[#All],[Advanced Network ID]], $B293, Age_Sex22[[#All],[Insurance Category Code]],6),2)</f>
        <v>0</v>
      </c>
      <c r="D293" s="268">
        <f>ROUND(SUMIFS(Age_Sex22[[#All],[Total Dollars Excluded from Spending After Applying Truncation at the Member Level]], Age_Sex22[[#All],[Advanced Network ID]], $B293, Age_Sex22[[#All],[Insurance Category Code]],6),2)</f>
        <v>0</v>
      </c>
      <c r="E293" s="229">
        <f>ROUND(SUMIFS(Age_Sex22[[#All],[Count of Members whose Spending was Truncated]], Age_Sex22[[#All],[Advanced Network ID]], $B293, Age_Sex22[[#All],[Insurance Category Code]],6),2)</f>
        <v>0</v>
      </c>
      <c r="F293" s="230">
        <f>ROUND(SUMIFS(Age_Sex22[[#All],[Total Spending before Truncation is Applied]], Age_Sex22[[#All],[Advanced Network ID]], $B293, Age_Sex22[[#All],[Insurance Category Code]],6),2)</f>
        <v>0</v>
      </c>
      <c r="G293" s="232">
        <f>ROUND(SUMIFS(Age_Sex22[[#All],[Total Spending After Applying Truncation at the Member Level]], Age_Sex22[[#All],[Advanced Network ID]], $B293, Age_Sex22[[#All],[Insurance Category Code]],6),2)</f>
        <v>0</v>
      </c>
      <c r="H293" s="416" t="str">
        <f>IF(C293=ROUND(SUMIFS(AN_TME22[[#All],[Member Months]], AN_TME22[[#All],[Insurance Category Code]],6, AN_TME22[[#All],[Advanced Network/Insurance Carrier Org ID]],B293),2), "TRUE", ROUND(C293-SUMIFS(AN_TME22[[#All],[Member Months]], AN_TME22[[#All],[Insurance Category Code]],6, AN_TME22[[#All],[Advanced Network/Insurance Carrier Org ID]],B293),2))</f>
        <v>TRUE</v>
      </c>
      <c r="I293" s="280" t="str">
        <f>IF(D293=ROUND(SUMIFS(AN_TME22[[#All],[Total Claims Excluded because of Truncation]], AN_TME22[[#All],[Insurance Category Code]],6, AN_TME22[[#All],[Advanced Network/Insurance Carrier Org ID]],B293),2), "TRUE", ROUND(D293-SUMIFS(AN_TME22[[#All],[Total Claims Excluded because of Truncation]], AN_TME22[[#All],[Insurance Category Code]],6, AN_TME22[[#All],[Advanced Network/Insurance Carrier Org ID]],B293),2))</f>
        <v>TRUE</v>
      </c>
      <c r="J293" s="281" t="str">
        <f>IF(E293=ROUND(SUMIFS(AN_TME22[[#All],[Count of Members with Claims Truncated]], AN_TME22[[#All],[Insurance Category Code]],6, AN_TME22[[#All],[Advanced Network/Insurance Carrier Org ID]],B293),2), "TRUE", ROUND(E293-SUMIFS(AN_TME22[[#All],[Count of Members with Claims Truncated]], AN_TME22[[#All],[Insurance Category Code]],6, AN_TME22[[#All],[Advanced Network/Insurance Carrier Org ID]],B293),2))</f>
        <v>TRUE</v>
      </c>
      <c r="K293" s="282" t="str">
        <f>IF(F293=ROUND(SUMIFS(AN_TME22[[#All],[TOTAL Non-Truncated Unadjusted Claims Expenses]], AN_TME22[[#All],[Insurance Category Code]],6, AN_TME22[[#All],[Advanced Network/Insurance Carrier Org ID]],B293),2),"TRUE", ROUND(F293-SUMIFS(AN_TME22[[#All],[TOTAL Non-Truncated Unadjusted Claims Expenses]], AN_TME22[[#All],[Insurance Category Code]],6, AN_TME22[[#All],[Advanced Network/Insurance Carrier Org ID]],B293),2))</f>
        <v>TRUE</v>
      </c>
      <c r="L293" s="295" t="str">
        <f>IF(G293=ROUND(SUMIFS(AN_TME22[[#All],[TOTAL Truncated Unadjusted Claims Expenses (A21 -A19)]], AN_TME22[[#All],[Insurance Category Code]],6, AN_TME22[[#All],[Advanced Network/Insurance Carrier Org ID]],B293),2), "TRUE", ROUND(G293-SUMIFS(AN_TME22[[#All],[TOTAL Truncated Unadjusted Claims Expenses (A21 -A19)]], AN_TME22[[#All],[Insurance Category Code]],6, AN_TME22[[#All],[Advanced Network/Insurance Carrier Org ID]],B293),2))</f>
        <v>TRUE</v>
      </c>
      <c r="M293" s="461" t="str">
        <f t="shared" si="27"/>
        <v>TRUE</v>
      </c>
      <c r="N293" s="282" t="b">
        <f>ROUND(SUMIFS(AN_TME22[[#All],[TOTAL Non-Truncated Unadjusted Claims Expenses]], AN_TME22[[#All],[Insurance Category Code]],6, AN_TME22[[#All],[Advanced Network/Insurance Carrier Org ID]],B293),2)&gt;=ROUND(SUMIFS(AN_TME22[[#All],[TOTAL Truncated Unadjusted Claims Expenses (A21 -A19)]], AN_TME22[[#All],[Insurance Category Code]],6, AN_TME22[[#All],[Advanced Network/Insurance Carrier Org ID]],B293),2)</f>
        <v>1</v>
      </c>
      <c r="O293" s="295" t="b">
        <f>ROUND(SUMIFS(AN_TME22[[#All],[TOTAL Truncated Unadjusted Claims Expenses (A21 -A19)]], AN_TME22[[#All],[Insurance Category Code]],6, AN_TME22[[#All],[Advanced Network/Insurance Carrier Org ID]],B293)+SUMIFS(AN_TME22[[#All],[Total Claims Excluded because of Truncation]], AN_TME22[[#All],[Insurance Category Code]],6, AN_TME22[[#All],[Advanced Network/Insurance Carrier Org ID]],B293),2)=ROUND(SUMIFS(AN_TME22[[#All],[TOTAL Non-Truncated Unadjusted Claims Expenses]], AN_TME22[[#All],[Insurance Category Code]],6, AN_TME22[[#All],[Advanced Network/Insurance Carrier Org ID]],B293),2)</f>
        <v>1</v>
      </c>
      <c r="Q293" s="236">
        <v>120</v>
      </c>
      <c r="R293" s="463">
        <f>ROUND(SUMIFS(Age_Sex23[[#All],[Total Member Months by Age/Sex Band]], Age_Sex23[[#All],[Advanced Network ID]], $Q293, Age_Sex23[[#All],[Insurance Category Code]],6),2)</f>
        <v>0</v>
      </c>
      <c r="S293" s="268">
        <f>ROUND(SUMIFS(Age_Sex23[[#All],[Total Dollars Excluded from Spending After Applying Truncation at the Member Level]], Age_Sex23[[#All],[Advanced Network ID]], $B293, Age_Sex23[[#All],[Insurance Category Code]],6),2)</f>
        <v>0</v>
      </c>
      <c r="T293" s="229">
        <f>ROUND(SUMIFS(Age_Sex23[[#All],[Count of Members whose Spending was Truncated]], Age_Sex23[[#All],[Advanced Network ID]], $B293, Age_Sex23[[#All],[Insurance Category Code]],6),2)</f>
        <v>0</v>
      </c>
      <c r="U293" s="230">
        <f>ROUND(SUMIFS(Age_Sex23[[#All],[Total Spending before Truncation is Applied]], Age_Sex23[[#All],[Advanced Network ID]], $B293, Age_Sex23[[#All],[Insurance Category Code]],6),2)</f>
        <v>0</v>
      </c>
      <c r="V293" s="232">
        <f>ROUND(SUMIFS(Age_Sex23[[#All],[Total Spending After Applying Truncation at the Member Level]], Age_Sex23[[#All],[Advanced Network ID]], $B293, Age_Sex23[[#All],[Insurance Category Code]],6),2)</f>
        <v>0</v>
      </c>
      <c r="W293" s="416" t="str">
        <f>IF(R293=ROUND(SUMIFS(AN_TME23[[#All],[Member Months]], AN_TME23[[#All],[Insurance Category Code]],6, AN_TME23[[#All],[Advanced Network/Insurance Carrier Org ID]],Q293),2), "TRUE", ROUND(R293-SUMIFS(AN_TME23[[#All],[Member Months]], AN_TME23[[#All],[Insurance Category Code]],6, AN_TME23[[#All],[Advanced Network/Insurance Carrier Org ID]],Q293),2))</f>
        <v>TRUE</v>
      </c>
      <c r="X293" s="280" t="str">
        <f>IF(S293=ROUND(SUMIFS(AN_TME23[[#All],[Total Claims Excluded because of Truncation]], AN_TME23[[#All],[Insurance Category Code]],6, AN_TME23[[#All],[Advanced Network/Insurance Carrier Org ID]],Q293),2), "TRUE", ROUND(S293-SUMIFS(AN_TME23[[#All],[Total Claims Excluded because of Truncation]], AN_TME23[[#All],[Insurance Category Code]],6, AN_TME23[[#All],[Advanced Network/Insurance Carrier Org ID]],Q293),2))</f>
        <v>TRUE</v>
      </c>
      <c r="Y293" s="281" t="str">
        <f>IF(T293=ROUND(SUMIFS(AN_TME23[[#All],[Count of Members with Claims Truncated]], AN_TME23[[#All],[Insurance Category Code]],6, AN_TME23[[#All],[Advanced Network/Insurance Carrier Org ID]],Q293),2), "TRUE", ROUND(T293-SUMIFS(AN_TME23[[#All],[Count of Members with Claims Truncated]], AN_TME23[[#All],[Insurance Category Code]],6, AN_TME23[[#All],[Advanced Network/Insurance Carrier Org ID]],Q293),2))</f>
        <v>TRUE</v>
      </c>
      <c r="Z293" s="282" t="str">
        <f>IF(U293=ROUND(SUMIFS(AN_TME23[[#All],[TOTAL Non-Truncated Unadjusted Claims Expenses]], AN_TME23[[#All],[Insurance Category Code]],6, AN_TME23[[#All],[Advanced Network/Insurance Carrier Org ID]],Q293),2), "TRUE", ROUND(U293-SUMIFS(AN_TME23[[#All],[TOTAL Non-Truncated Unadjusted Claims Expenses]], AN_TME23[[#All],[Insurance Category Code]],6, AN_TME23[[#All],[Advanced Network/Insurance Carrier Org ID]],Q293),2))</f>
        <v>TRUE</v>
      </c>
      <c r="AA293" s="295" t="str">
        <f>IF(V293=ROUND(SUMIFS(AN_TME23[[#All],[TOTAL Truncated Unadjusted Claims Expenses (A21 -A19)]], AN_TME23[[#All],[Insurance Category Code]],6, AN_TME23[[#All],[Advanced Network/Insurance Carrier Org ID]],Q293),2), "TRUE", ROUND(V293-SUMIFS(AN_TME23[[#All],[TOTAL Truncated Unadjusted Claims Expenses (A21 -A19)]], AN_TME23[[#All],[Insurance Category Code]],6, AN_TME23[[#All],[Advanced Network/Insurance Carrier Org ID]],Q293),2))</f>
        <v>TRUE</v>
      </c>
      <c r="AB293" s="461" t="str">
        <f t="shared" si="30"/>
        <v>TRUE</v>
      </c>
      <c r="AC293" s="282" t="b">
        <f>ROUND(SUMIFS(AN_TME23[[#All],[TOTAL Non-Truncated Unadjusted Claims Expenses]], AN_TME23[[#All],[Insurance Category Code]],6, AN_TME23[[#All],[Advanced Network/Insurance Carrier Org ID]],Q293),2)&gt;=ROUND(SUMIFS(AN_TME23[[#All],[TOTAL Truncated Unadjusted Claims Expenses (A21 -A19)]], AN_TME23[[#All],[Insurance Category Code]],6, AN_TME23[[#All],[Advanced Network/Insurance Carrier Org ID]],Q293),2)</f>
        <v>1</v>
      </c>
      <c r="AD293" s="295" t="b">
        <f>ROUND(SUMIFS(AN_TME23[[#All],[TOTAL Truncated Unadjusted Claims Expenses (A21 -A19)]], AN_TME23[[#All],[Insurance Category Code]],6, AN_TME23[[#All],[Advanced Network/Insurance Carrier Org ID]],Q293)+SUMIFS(AN_TME23[[#All],[Total Claims Excluded because of Truncation]], AN_TME23[[#All],[Insurance Category Code]],6, AN_TME23[[#All],[Advanced Network/Insurance Carrier Org ID]],Q293),2)=ROUND(SUMIFS(AN_TME23[[#All],[TOTAL Non-Truncated Unadjusted Claims Expenses]], AN_TME23[[#All],[Insurance Category Code]],6, AN_TME23[[#All],[Advanced Network/Insurance Carrier Org ID]],Q293),2)</f>
        <v>1</v>
      </c>
      <c r="AF293" s="323" t="str">
        <f t="shared" si="29"/>
        <v>NA</v>
      </c>
    </row>
    <row r="294" spans="2:32" outlineLevel="1" x14ac:dyDescent="0.25">
      <c r="B294" s="236">
        <v>121</v>
      </c>
      <c r="C294" s="463">
        <f>ROUND(SUMIFS(Age_Sex22[[#All],[Total Member Months by Age/Sex Band]], Age_Sex22[[#All],[Advanced Network ID]], $B294, Age_Sex22[[#All],[Insurance Category Code]],6),2)</f>
        <v>0</v>
      </c>
      <c r="D294" s="268">
        <f>ROUND(SUMIFS(Age_Sex22[[#All],[Total Dollars Excluded from Spending After Applying Truncation at the Member Level]], Age_Sex22[[#All],[Advanced Network ID]], $B294, Age_Sex22[[#All],[Insurance Category Code]],6),2)</f>
        <v>0</v>
      </c>
      <c r="E294" s="229">
        <f>ROUND(SUMIFS(Age_Sex22[[#All],[Count of Members whose Spending was Truncated]], Age_Sex22[[#All],[Advanced Network ID]], $B294, Age_Sex22[[#All],[Insurance Category Code]],6),2)</f>
        <v>0</v>
      </c>
      <c r="F294" s="230">
        <f>ROUND(SUMIFS(Age_Sex22[[#All],[Total Spending before Truncation is Applied]], Age_Sex22[[#All],[Advanced Network ID]], $B294, Age_Sex22[[#All],[Insurance Category Code]],6),2)</f>
        <v>0</v>
      </c>
      <c r="G294" s="232">
        <f>ROUND(SUMIFS(Age_Sex22[[#All],[Total Spending After Applying Truncation at the Member Level]], Age_Sex22[[#All],[Advanced Network ID]], $B294, Age_Sex22[[#All],[Insurance Category Code]],6),2)</f>
        <v>0</v>
      </c>
      <c r="H294" s="416" t="str">
        <f>IF(C294=ROUND(SUMIFS(AN_TME22[[#All],[Member Months]], AN_TME22[[#All],[Insurance Category Code]],6, AN_TME22[[#All],[Advanced Network/Insurance Carrier Org ID]],B294),2), "TRUE", ROUND(C294-SUMIFS(AN_TME22[[#All],[Member Months]], AN_TME22[[#All],[Insurance Category Code]],6, AN_TME22[[#All],[Advanced Network/Insurance Carrier Org ID]],B294),2))</f>
        <v>TRUE</v>
      </c>
      <c r="I294" s="280" t="str">
        <f>IF(D294=ROUND(SUMIFS(AN_TME22[[#All],[Total Claims Excluded because of Truncation]], AN_TME22[[#All],[Insurance Category Code]],6, AN_TME22[[#All],[Advanced Network/Insurance Carrier Org ID]],B294),2), "TRUE", ROUND(D294-SUMIFS(AN_TME22[[#All],[Total Claims Excluded because of Truncation]], AN_TME22[[#All],[Insurance Category Code]],6, AN_TME22[[#All],[Advanced Network/Insurance Carrier Org ID]],B294),2))</f>
        <v>TRUE</v>
      </c>
      <c r="J294" s="281" t="str">
        <f>IF(E294=ROUND(SUMIFS(AN_TME22[[#All],[Count of Members with Claims Truncated]], AN_TME22[[#All],[Insurance Category Code]],6, AN_TME22[[#All],[Advanced Network/Insurance Carrier Org ID]],B294),2), "TRUE", ROUND(E294-SUMIFS(AN_TME22[[#All],[Count of Members with Claims Truncated]], AN_TME22[[#All],[Insurance Category Code]],6, AN_TME22[[#All],[Advanced Network/Insurance Carrier Org ID]],B294),2))</f>
        <v>TRUE</v>
      </c>
      <c r="K294" s="282" t="str">
        <f>IF(F294=ROUND(SUMIFS(AN_TME22[[#All],[TOTAL Non-Truncated Unadjusted Claims Expenses]], AN_TME22[[#All],[Insurance Category Code]],6, AN_TME22[[#All],[Advanced Network/Insurance Carrier Org ID]],B294),2),"TRUE", ROUND(F294-SUMIFS(AN_TME22[[#All],[TOTAL Non-Truncated Unadjusted Claims Expenses]], AN_TME22[[#All],[Insurance Category Code]],6, AN_TME22[[#All],[Advanced Network/Insurance Carrier Org ID]],B294),2))</f>
        <v>TRUE</v>
      </c>
      <c r="L294" s="295" t="str">
        <f>IF(G294=ROUND(SUMIFS(AN_TME22[[#All],[TOTAL Truncated Unadjusted Claims Expenses (A21 -A19)]], AN_TME22[[#All],[Insurance Category Code]],6, AN_TME22[[#All],[Advanced Network/Insurance Carrier Org ID]],B294),2), "TRUE", ROUND(G294-SUMIFS(AN_TME22[[#All],[TOTAL Truncated Unadjusted Claims Expenses (A21 -A19)]], AN_TME22[[#All],[Insurance Category Code]],6, AN_TME22[[#All],[Advanced Network/Insurance Carrier Org ID]],B294),2))</f>
        <v>TRUE</v>
      </c>
      <c r="M294" s="461" t="str">
        <f t="shared" si="27"/>
        <v>TRUE</v>
      </c>
      <c r="N294" s="282" t="b">
        <f>ROUND(SUMIFS(AN_TME22[[#All],[TOTAL Non-Truncated Unadjusted Claims Expenses]], AN_TME22[[#All],[Insurance Category Code]],6, AN_TME22[[#All],[Advanced Network/Insurance Carrier Org ID]],B294),2)&gt;=ROUND(SUMIFS(AN_TME22[[#All],[TOTAL Truncated Unadjusted Claims Expenses (A21 -A19)]], AN_TME22[[#All],[Insurance Category Code]],6, AN_TME22[[#All],[Advanced Network/Insurance Carrier Org ID]],B294),2)</f>
        <v>1</v>
      </c>
      <c r="O294" s="295" t="b">
        <f>ROUND(SUMIFS(AN_TME22[[#All],[TOTAL Truncated Unadjusted Claims Expenses (A21 -A19)]], AN_TME22[[#All],[Insurance Category Code]],6, AN_TME22[[#All],[Advanced Network/Insurance Carrier Org ID]],B294)+SUMIFS(AN_TME22[[#All],[Total Claims Excluded because of Truncation]], AN_TME22[[#All],[Insurance Category Code]],6, AN_TME22[[#All],[Advanced Network/Insurance Carrier Org ID]],B294),2)=ROUND(SUMIFS(AN_TME22[[#All],[TOTAL Non-Truncated Unadjusted Claims Expenses]], AN_TME22[[#All],[Insurance Category Code]],6, AN_TME22[[#All],[Advanced Network/Insurance Carrier Org ID]],B294),2)</f>
        <v>1</v>
      </c>
      <c r="Q294" s="236">
        <v>121</v>
      </c>
      <c r="R294" s="463">
        <f>ROUND(SUMIFS(Age_Sex23[[#All],[Total Member Months by Age/Sex Band]], Age_Sex23[[#All],[Advanced Network ID]], $Q294, Age_Sex23[[#All],[Insurance Category Code]],6),2)</f>
        <v>0</v>
      </c>
      <c r="S294" s="268">
        <f>ROUND(SUMIFS(Age_Sex23[[#All],[Total Dollars Excluded from Spending After Applying Truncation at the Member Level]], Age_Sex23[[#All],[Advanced Network ID]], $B294, Age_Sex23[[#All],[Insurance Category Code]],6),2)</f>
        <v>0</v>
      </c>
      <c r="T294" s="229">
        <f>ROUND(SUMIFS(Age_Sex23[[#All],[Count of Members whose Spending was Truncated]], Age_Sex23[[#All],[Advanced Network ID]], $B294, Age_Sex23[[#All],[Insurance Category Code]],6),2)</f>
        <v>0</v>
      </c>
      <c r="U294" s="230">
        <f>ROUND(SUMIFS(Age_Sex23[[#All],[Total Spending before Truncation is Applied]], Age_Sex23[[#All],[Advanced Network ID]], $B294, Age_Sex23[[#All],[Insurance Category Code]],6),2)</f>
        <v>0</v>
      </c>
      <c r="V294" s="232">
        <f>ROUND(SUMIFS(Age_Sex23[[#All],[Total Spending After Applying Truncation at the Member Level]], Age_Sex23[[#All],[Advanced Network ID]], $B294, Age_Sex23[[#All],[Insurance Category Code]],6),2)</f>
        <v>0</v>
      </c>
      <c r="W294" s="416" t="str">
        <f>IF(R294=ROUND(SUMIFS(AN_TME23[[#All],[Member Months]], AN_TME23[[#All],[Insurance Category Code]],6, AN_TME23[[#All],[Advanced Network/Insurance Carrier Org ID]],Q294),2), "TRUE", ROUND(R294-SUMIFS(AN_TME23[[#All],[Member Months]], AN_TME23[[#All],[Insurance Category Code]],6, AN_TME23[[#All],[Advanced Network/Insurance Carrier Org ID]],Q294),2))</f>
        <v>TRUE</v>
      </c>
      <c r="X294" s="280" t="str">
        <f>IF(S294=ROUND(SUMIFS(AN_TME23[[#All],[Total Claims Excluded because of Truncation]], AN_TME23[[#All],[Insurance Category Code]],6, AN_TME23[[#All],[Advanced Network/Insurance Carrier Org ID]],Q294),2), "TRUE", ROUND(S294-SUMIFS(AN_TME23[[#All],[Total Claims Excluded because of Truncation]], AN_TME23[[#All],[Insurance Category Code]],6, AN_TME23[[#All],[Advanced Network/Insurance Carrier Org ID]],Q294),2))</f>
        <v>TRUE</v>
      </c>
      <c r="Y294" s="281" t="str">
        <f>IF(T294=ROUND(SUMIFS(AN_TME23[[#All],[Count of Members with Claims Truncated]], AN_TME23[[#All],[Insurance Category Code]],6, AN_TME23[[#All],[Advanced Network/Insurance Carrier Org ID]],Q294),2), "TRUE", ROUND(T294-SUMIFS(AN_TME23[[#All],[Count of Members with Claims Truncated]], AN_TME23[[#All],[Insurance Category Code]],6, AN_TME23[[#All],[Advanced Network/Insurance Carrier Org ID]],Q294),2))</f>
        <v>TRUE</v>
      </c>
      <c r="Z294" s="282" t="str">
        <f>IF(U294=ROUND(SUMIFS(AN_TME23[[#All],[TOTAL Non-Truncated Unadjusted Claims Expenses]], AN_TME23[[#All],[Insurance Category Code]],6, AN_TME23[[#All],[Advanced Network/Insurance Carrier Org ID]],Q294),2), "TRUE", ROUND(U294-SUMIFS(AN_TME23[[#All],[TOTAL Non-Truncated Unadjusted Claims Expenses]], AN_TME23[[#All],[Insurance Category Code]],6, AN_TME23[[#All],[Advanced Network/Insurance Carrier Org ID]],Q294),2))</f>
        <v>TRUE</v>
      </c>
      <c r="AA294" s="295" t="str">
        <f>IF(V294=ROUND(SUMIFS(AN_TME23[[#All],[TOTAL Truncated Unadjusted Claims Expenses (A21 -A19)]], AN_TME23[[#All],[Insurance Category Code]],6, AN_TME23[[#All],[Advanced Network/Insurance Carrier Org ID]],Q294),2), "TRUE", ROUND(V294-SUMIFS(AN_TME23[[#All],[TOTAL Truncated Unadjusted Claims Expenses (A21 -A19)]], AN_TME23[[#All],[Insurance Category Code]],6, AN_TME23[[#All],[Advanced Network/Insurance Carrier Org ID]],Q294),2))</f>
        <v>TRUE</v>
      </c>
      <c r="AB294" s="461" t="str">
        <f t="shared" si="30"/>
        <v>TRUE</v>
      </c>
      <c r="AC294" s="282" t="b">
        <f>ROUND(SUMIFS(AN_TME23[[#All],[TOTAL Non-Truncated Unadjusted Claims Expenses]], AN_TME23[[#All],[Insurance Category Code]],6, AN_TME23[[#All],[Advanced Network/Insurance Carrier Org ID]],Q294),2)&gt;=ROUND(SUMIFS(AN_TME23[[#All],[TOTAL Truncated Unadjusted Claims Expenses (A21 -A19)]], AN_TME23[[#All],[Insurance Category Code]],6, AN_TME23[[#All],[Advanced Network/Insurance Carrier Org ID]],Q294),2)</f>
        <v>1</v>
      </c>
      <c r="AD294" s="295" t="b">
        <f>ROUND(SUMIFS(AN_TME23[[#All],[TOTAL Truncated Unadjusted Claims Expenses (A21 -A19)]], AN_TME23[[#All],[Insurance Category Code]],6, AN_TME23[[#All],[Advanced Network/Insurance Carrier Org ID]],Q294)+SUMIFS(AN_TME23[[#All],[Total Claims Excluded because of Truncation]], AN_TME23[[#All],[Insurance Category Code]],6, AN_TME23[[#All],[Advanced Network/Insurance Carrier Org ID]],Q294),2)=ROUND(SUMIFS(AN_TME23[[#All],[TOTAL Non-Truncated Unadjusted Claims Expenses]], AN_TME23[[#All],[Insurance Category Code]],6, AN_TME23[[#All],[Advanced Network/Insurance Carrier Org ID]],Q294),2)</f>
        <v>1</v>
      </c>
      <c r="AF294" s="323" t="str">
        <f t="shared" si="29"/>
        <v>NA</v>
      </c>
    </row>
    <row r="295" spans="2:32" outlineLevel="1" x14ac:dyDescent="0.25">
      <c r="B295" s="236">
        <v>122</v>
      </c>
      <c r="C295" s="463">
        <f>ROUND(SUMIFS(Age_Sex22[[#All],[Total Member Months by Age/Sex Band]], Age_Sex22[[#All],[Advanced Network ID]], $B295, Age_Sex22[[#All],[Insurance Category Code]],6),2)</f>
        <v>0</v>
      </c>
      <c r="D295" s="268">
        <f>ROUND(SUMIFS(Age_Sex22[[#All],[Total Dollars Excluded from Spending After Applying Truncation at the Member Level]], Age_Sex22[[#All],[Advanced Network ID]], $B295, Age_Sex22[[#All],[Insurance Category Code]],6),2)</f>
        <v>0</v>
      </c>
      <c r="E295" s="229">
        <f>ROUND(SUMIFS(Age_Sex22[[#All],[Count of Members whose Spending was Truncated]], Age_Sex22[[#All],[Advanced Network ID]], $B295, Age_Sex22[[#All],[Insurance Category Code]],6),2)</f>
        <v>0</v>
      </c>
      <c r="F295" s="230">
        <f>ROUND(SUMIFS(Age_Sex22[[#All],[Total Spending before Truncation is Applied]], Age_Sex22[[#All],[Advanced Network ID]], $B295, Age_Sex22[[#All],[Insurance Category Code]],6),2)</f>
        <v>0</v>
      </c>
      <c r="G295" s="232">
        <f>ROUND(SUMIFS(Age_Sex22[[#All],[Total Spending After Applying Truncation at the Member Level]], Age_Sex22[[#All],[Advanced Network ID]], $B295, Age_Sex22[[#All],[Insurance Category Code]],6),2)</f>
        <v>0</v>
      </c>
      <c r="H295" s="416" t="str">
        <f>IF(C295=ROUND(SUMIFS(AN_TME22[[#All],[Member Months]], AN_TME22[[#All],[Insurance Category Code]],6, AN_TME22[[#All],[Advanced Network/Insurance Carrier Org ID]],B295),2), "TRUE", ROUND(C295-SUMIFS(AN_TME22[[#All],[Member Months]], AN_TME22[[#All],[Insurance Category Code]],6, AN_TME22[[#All],[Advanced Network/Insurance Carrier Org ID]],B295),2))</f>
        <v>TRUE</v>
      </c>
      <c r="I295" s="280" t="str">
        <f>IF(D295=ROUND(SUMIFS(AN_TME22[[#All],[Total Claims Excluded because of Truncation]], AN_TME22[[#All],[Insurance Category Code]],6, AN_TME22[[#All],[Advanced Network/Insurance Carrier Org ID]],B295),2), "TRUE", ROUND(D295-SUMIFS(AN_TME22[[#All],[Total Claims Excluded because of Truncation]], AN_TME22[[#All],[Insurance Category Code]],6, AN_TME22[[#All],[Advanced Network/Insurance Carrier Org ID]],B295),2))</f>
        <v>TRUE</v>
      </c>
      <c r="J295" s="281" t="str">
        <f>IF(E295=ROUND(SUMIFS(AN_TME22[[#All],[Count of Members with Claims Truncated]], AN_TME22[[#All],[Insurance Category Code]],6, AN_TME22[[#All],[Advanced Network/Insurance Carrier Org ID]],B295),2), "TRUE", ROUND(E295-SUMIFS(AN_TME22[[#All],[Count of Members with Claims Truncated]], AN_TME22[[#All],[Insurance Category Code]],6, AN_TME22[[#All],[Advanced Network/Insurance Carrier Org ID]],B295),2))</f>
        <v>TRUE</v>
      </c>
      <c r="K295" s="282" t="str">
        <f>IF(F295=ROUND(SUMIFS(AN_TME22[[#All],[TOTAL Non-Truncated Unadjusted Claims Expenses]], AN_TME22[[#All],[Insurance Category Code]],6, AN_TME22[[#All],[Advanced Network/Insurance Carrier Org ID]],B295),2),"TRUE", ROUND(F295-SUMIFS(AN_TME22[[#All],[TOTAL Non-Truncated Unadjusted Claims Expenses]], AN_TME22[[#All],[Insurance Category Code]],6, AN_TME22[[#All],[Advanced Network/Insurance Carrier Org ID]],B295),2))</f>
        <v>TRUE</v>
      </c>
      <c r="L295" s="295" t="str">
        <f>IF(G295=ROUND(SUMIFS(AN_TME22[[#All],[TOTAL Truncated Unadjusted Claims Expenses (A21 -A19)]], AN_TME22[[#All],[Insurance Category Code]],6, AN_TME22[[#All],[Advanced Network/Insurance Carrier Org ID]],B295),2), "TRUE", ROUND(G295-SUMIFS(AN_TME22[[#All],[TOTAL Truncated Unadjusted Claims Expenses (A21 -A19)]], AN_TME22[[#All],[Insurance Category Code]],6, AN_TME22[[#All],[Advanced Network/Insurance Carrier Org ID]],B295),2))</f>
        <v>TRUE</v>
      </c>
      <c r="M295" s="461" t="str">
        <f t="shared" si="27"/>
        <v>TRUE</v>
      </c>
      <c r="N295" s="282" t="b">
        <f>ROUND(SUMIFS(AN_TME22[[#All],[TOTAL Non-Truncated Unadjusted Claims Expenses]], AN_TME22[[#All],[Insurance Category Code]],6, AN_TME22[[#All],[Advanced Network/Insurance Carrier Org ID]],B295),2)&gt;=ROUND(SUMIFS(AN_TME22[[#All],[TOTAL Truncated Unadjusted Claims Expenses (A21 -A19)]], AN_TME22[[#All],[Insurance Category Code]],6, AN_TME22[[#All],[Advanced Network/Insurance Carrier Org ID]],B295),2)</f>
        <v>1</v>
      </c>
      <c r="O295" s="295" t="b">
        <f>ROUND(SUMIFS(AN_TME22[[#All],[TOTAL Truncated Unadjusted Claims Expenses (A21 -A19)]], AN_TME22[[#All],[Insurance Category Code]],6, AN_TME22[[#All],[Advanced Network/Insurance Carrier Org ID]],B295)+SUMIFS(AN_TME22[[#All],[Total Claims Excluded because of Truncation]], AN_TME22[[#All],[Insurance Category Code]],6, AN_TME22[[#All],[Advanced Network/Insurance Carrier Org ID]],B295),2)=ROUND(SUMIFS(AN_TME22[[#All],[TOTAL Non-Truncated Unadjusted Claims Expenses]], AN_TME22[[#All],[Insurance Category Code]],6, AN_TME22[[#All],[Advanced Network/Insurance Carrier Org ID]],B295),2)</f>
        <v>1</v>
      </c>
      <c r="Q295" s="236">
        <v>122</v>
      </c>
      <c r="R295" s="463">
        <f>ROUND(SUMIFS(Age_Sex23[[#All],[Total Member Months by Age/Sex Band]], Age_Sex23[[#All],[Advanced Network ID]], $Q295, Age_Sex23[[#All],[Insurance Category Code]],6),2)</f>
        <v>0</v>
      </c>
      <c r="S295" s="268">
        <f>ROUND(SUMIFS(Age_Sex23[[#All],[Total Dollars Excluded from Spending After Applying Truncation at the Member Level]], Age_Sex23[[#All],[Advanced Network ID]], $B295, Age_Sex23[[#All],[Insurance Category Code]],6),2)</f>
        <v>0</v>
      </c>
      <c r="T295" s="229">
        <f>ROUND(SUMIFS(Age_Sex23[[#All],[Count of Members whose Spending was Truncated]], Age_Sex23[[#All],[Advanced Network ID]], $B295, Age_Sex23[[#All],[Insurance Category Code]],6),2)</f>
        <v>0</v>
      </c>
      <c r="U295" s="230">
        <f>ROUND(SUMIFS(Age_Sex23[[#All],[Total Spending before Truncation is Applied]], Age_Sex23[[#All],[Advanced Network ID]], $B295, Age_Sex23[[#All],[Insurance Category Code]],6),2)</f>
        <v>0</v>
      </c>
      <c r="V295" s="232">
        <f>ROUND(SUMIFS(Age_Sex23[[#All],[Total Spending After Applying Truncation at the Member Level]], Age_Sex23[[#All],[Advanced Network ID]], $B295, Age_Sex23[[#All],[Insurance Category Code]],6),2)</f>
        <v>0</v>
      </c>
      <c r="W295" s="416" t="str">
        <f>IF(R295=ROUND(SUMIFS(AN_TME23[[#All],[Member Months]], AN_TME23[[#All],[Insurance Category Code]],6, AN_TME23[[#All],[Advanced Network/Insurance Carrier Org ID]],Q295),2), "TRUE", ROUND(R295-SUMIFS(AN_TME23[[#All],[Member Months]], AN_TME23[[#All],[Insurance Category Code]],6, AN_TME23[[#All],[Advanced Network/Insurance Carrier Org ID]],Q295),2))</f>
        <v>TRUE</v>
      </c>
      <c r="X295" s="280" t="str">
        <f>IF(S295=ROUND(SUMIFS(AN_TME23[[#All],[Total Claims Excluded because of Truncation]], AN_TME23[[#All],[Insurance Category Code]],6, AN_TME23[[#All],[Advanced Network/Insurance Carrier Org ID]],Q295),2), "TRUE", ROUND(S295-SUMIFS(AN_TME23[[#All],[Total Claims Excluded because of Truncation]], AN_TME23[[#All],[Insurance Category Code]],6, AN_TME23[[#All],[Advanced Network/Insurance Carrier Org ID]],Q295),2))</f>
        <v>TRUE</v>
      </c>
      <c r="Y295" s="281" t="str">
        <f>IF(T295=ROUND(SUMIFS(AN_TME23[[#All],[Count of Members with Claims Truncated]], AN_TME23[[#All],[Insurance Category Code]],6, AN_TME23[[#All],[Advanced Network/Insurance Carrier Org ID]],Q295),2), "TRUE", ROUND(T295-SUMIFS(AN_TME23[[#All],[Count of Members with Claims Truncated]], AN_TME23[[#All],[Insurance Category Code]],6, AN_TME23[[#All],[Advanced Network/Insurance Carrier Org ID]],Q295),2))</f>
        <v>TRUE</v>
      </c>
      <c r="Z295" s="282" t="str">
        <f>IF(U295=ROUND(SUMIFS(AN_TME23[[#All],[TOTAL Non-Truncated Unadjusted Claims Expenses]], AN_TME23[[#All],[Insurance Category Code]],6, AN_TME23[[#All],[Advanced Network/Insurance Carrier Org ID]],Q295),2), "TRUE", ROUND(U295-SUMIFS(AN_TME23[[#All],[TOTAL Non-Truncated Unadjusted Claims Expenses]], AN_TME23[[#All],[Insurance Category Code]],6, AN_TME23[[#All],[Advanced Network/Insurance Carrier Org ID]],Q295),2))</f>
        <v>TRUE</v>
      </c>
      <c r="AA295" s="295" t="str">
        <f>IF(V295=ROUND(SUMIFS(AN_TME23[[#All],[TOTAL Truncated Unadjusted Claims Expenses (A21 -A19)]], AN_TME23[[#All],[Insurance Category Code]],6, AN_TME23[[#All],[Advanced Network/Insurance Carrier Org ID]],Q295),2), "TRUE", ROUND(V295-SUMIFS(AN_TME23[[#All],[TOTAL Truncated Unadjusted Claims Expenses (A21 -A19)]], AN_TME23[[#All],[Insurance Category Code]],6, AN_TME23[[#All],[Advanced Network/Insurance Carrier Org ID]],Q295),2))</f>
        <v>TRUE</v>
      </c>
      <c r="AB295" s="461" t="str">
        <f t="shared" si="30"/>
        <v>TRUE</v>
      </c>
      <c r="AC295" s="282" t="b">
        <f>ROUND(SUMIFS(AN_TME23[[#All],[TOTAL Non-Truncated Unadjusted Claims Expenses]], AN_TME23[[#All],[Insurance Category Code]],6, AN_TME23[[#All],[Advanced Network/Insurance Carrier Org ID]],Q295),2)&gt;=ROUND(SUMIFS(AN_TME23[[#All],[TOTAL Truncated Unadjusted Claims Expenses (A21 -A19)]], AN_TME23[[#All],[Insurance Category Code]],6, AN_TME23[[#All],[Advanced Network/Insurance Carrier Org ID]],Q295),2)</f>
        <v>1</v>
      </c>
      <c r="AD295" s="295" t="b">
        <f>ROUND(SUMIFS(AN_TME23[[#All],[TOTAL Truncated Unadjusted Claims Expenses (A21 -A19)]], AN_TME23[[#All],[Insurance Category Code]],6, AN_TME23[[#All],[Advanced Network/Insurance Carrier Org ID]],Q295)+SUMIFS(AN_TME23[[#All],[Total Claims Excluded because of Truncation]], AN_TME23[[#All],[Insurance Category Code]],6, AN_TME23[[#All],[Advanced Network/Insurance Carrier Org ID]],Q295),2)=ROUND(SUMIFS(AN_TME23[[#All],[TOTAL Non-Truncated Unadjusted Claims Expenses]], AN_TME23[[#All],[Insurance Category Code]],6, AN_TME23[[#All],[Advanced Network/Insurance Carrier Org ID]],Q295),2)</f>
        <v>1</v>
      </c>
      <c r="AF295" s="323" t="str">
        <f t="shared" si="29"/>
        <v>NA</v>
      </c>
    </row>
    <row r="296" spans="2:32" outlineLevel="1" x14ac:dyDescent="0.25">
      <c r="B296" s="236">
        <v>123</v>
      </c>
      <c r="C296" s="463">
        <f>ROUND(SUMIFS(Age_Sex22[[#All],[Total Member Months by Age/Sex Band]], Age_Sex22[[#All],[Advanced Network ID]], $B296, Age_Sex22[[#All],[Insurance Category Code]],6),2)</f>
        <v>0</v>
      </c>
      <c r="D296" s="268">
        <f>ROUND(SUMIFS(Age_Sex22[[#All],[Total Dollars Excluded from Spending After Applying Truncation at the Member Level]], Age_Sex22[[#All],[Advanced Network ID]], $B296, Age_Sex22[[#All],[Insurance Category Code]],6),2)</f>
        <v>0</v>
      </c>
      <c r="E296" s="229">
        <f>ROUND(SUMIFS(Age_Sex22[[#All],[Count of Members whose Spending was Truncated]], Age_Sex22[[#All],[Advanced Network ID]], $B296, Age_Sex22[[#All],[Insurance Category Code]],6),2)</f>
        <v>0</v>
      </c>
      <c r="F296" s="230">
        <f>ROUND(SUMIFS(Age_Sex22[[#All],[Total Spending before Truncation is Applied]], Age_Sex22[[#All],[Advanced Network ID]], $B296, Age_Sex22[[#All],[Insurance Category Code]],6),2)</f>
        <v>0</v>
      </c>
      <c r="G296" s="232">
        <f>ROUND(SUMIFS(Age_Sex22[[#All],[Total Spending After Applying Truncation at the Member Level]], Age_Sex22[[#All],[Advanced Network ID]], $B296, Age_Sex22[[#All],[Insurance Category Code]],6),2)</f>
        <v>0</v>
      </c>
      <c r="H296" s="416" t="str">
        <f>IF(C296=ROUND(SUMIFS(AN_TME22[[#All],[Member Months]], AN_TME22[[#All],[Insurance Category Code]],6, AN_TME22[[#All],[Advanced Network/Insurance Carrier Org ID]],B296),2), "TRUE", ROUND(C296-SUMIFS(AN_TME22[[#All],[Member Months]], AN_TME22[[#All],[Insurance Category Code]],6, AN_TME22[[#All],[Advanced Network/Insurance Carrier Org ID]],B296),2))</f>
        <v>TRUE</v>
      </c>
      <c r="I296" s="280" t="str">
        <f>IF(D296=ROUND(SUMIFS(AN_TME22[[#All],[Total Claims Excluded because of Truncation]], AN_TME22[[#All],[Insurance Category Code]],6, AN_TME22[[#All],[Advanced Network/Insurance Carrier Org ID]],B296),2), "TRUE", ROUND(D296-SUMIFS(AN_TME22[[#All],[Total Claims Excluded because of Truncation]], AN_TME22[[#All],[Insurance Category Code]],6, AN_TME22[[#All],[Advanced Network/Insurance Carrier Org ID]],B296),2))</f>
        <v>TRUE</v>
      </c>
      <c r="J296" s="281" t="str">
        <f>IF(E296=ROUND(SUMIFS(AN_TME22[[#All],[Count of Members with Claims Truncated]], AN_TME22[[#All],[Insurance Category Code]],6, AN_TME22[[#All],[Advanced Network/Insurance Carrier Org ID]],B296),2), "TRUE", ROUND(E296-SUMIFS(AN_TME22[[#All],[Count of Members with Claims Truncated]], AN_TME22[[#All],[Insurance Category Code]],6, AN_TME22[[#All],[Advanced Network/Insurance Carrier Org ID]],B296),2))</f>
        <v>TRUE</v>
      </c>
      <c r="K296" s="282" t="str">
        <f>IF(F296=ROUND(SUMIFS(AN_TME22[[#All],[TOTAL Non-Truncated Unadjusted Claims Expenses]], AN_TME22[[#All],[Insurance Category Code]],6, AN_TME22[[#All],[Advanced Network/Insurance Carrier Org ID]],B296),2),"TRUE", ROUND(F296-SUMIFS(AN_TME22[[#All],[TOTAL Non-Truncated Unadjusted Claims Expenses]], AN_TME22[[#All],[Insurance Category Code]],6, AN_TME22[[#All],[Advanced Network/Insurance Carrier Org ID]],B296),2))</f>
        <v>TRUE</v>
      </c>
      <c r="L296" s="295" t="str">
        <f>IF(G296=ROUND(SUMIFS(AN_TME22[[#All],[TOTAL Truncated Unadjusted Claims Expenses (A21 -A19)]], AN_TME22[[#All],[Insurance Category Code]],6, AN_TME22[[#All],[Advanced Network/Insurance Carrier Org ID]],B296),2), "TRUE", ROUND(G296-SUMIFS(AN_TME22[[#All],[TOTAL Truncated Unadjusted Claims Expenses (A21 -A19)]], AN_TME22[[#All],[Insurance Category Code]],6, AN_TME22[[#All],[Advanced Network/Insurance Carrier Org ID]],B296),2))</f>
        <v>TRUE</v>
      </c>
      <c r="M296" s="461" t="str">
        <f t="shared" si="27"/>
        <v>TRUE</v>
      </c>
      <c r="N296" s="282" t="b">
        <f>ROUND(SUMIFS(AN_TME22[[#All],[TOTAL Non-Truncated Unadjusted Claims Expenses]], AN_TME22[[#All],[Insurance Category Code]],6, AN_TME22[[#All],[Advanced Network/Insurance Carrier Org ID]],B296),2)&gt;=ROUND(SUMIFS(AN_TME22[[#All],[TOTAL Truncated Unadjusted Claims Expenses (A21 -A19)]], AN_TME22[[#All],[Insurance Category Code]],6, AN_TME22[[#All],[Advanced Network/Insurance Carrier Org ID]],B296),2)</f>
        <v>1</v>
      </c>
      <c r="O296" s="295" t="b">
        <f>ROUND(SUMIFS(AN_TME22[[#All],[TOTAL Truncated Unadjusted Claims Expenses (A21 -A19)]], AN_TME22[[#All],[Insurance Category Code]],6, AN_TME22[[#All],[Advanced Network/Insurance Carrier Org ID]],B296)+SUMIFS(AN_TME22[[#All],[Total Claims Excluded because of Truncation]], AN_TME22[[#All],[Insurance Category Code]],6, AN_TME22[[#All],[Advanced Network/Insurance Carrier Org ID]],B296),2)=ROUND(SUMIFS(AN_TME22[[#All],[TOTAL Non-Truncated Unadjusted Claims Expenses]], AN_TME22[[#All],[Insurance Category Code]],6, AN_TME22[[#All],[Advanced Network/Insurance Carrier Org ID]],B296),2)</f>
        <v>1</v>
      </c>
      <c r="Q296" s="236">
        <v>123</v>
      </c>
      <c r="R296" s="463">
        <f>ROUND(SUMIFS(Age_Sex23[[#All],[Total Member Months by Age/Sex Band]], Age_Sex23[[#All],[Advanced Network ID]], $Q296, Age_Sex23[[#All],[Insurance Category Code]],6),2)</f>
        <v>0</v>
      </c>
      <c r="S296" s="268">
        <f>ROUND(SUMIFS(Age_Sex23[[#All],[Total Dollars Excluded from Spending After Applying Truncation at the Member Level]], Age_Sex23[[#All],[Advanced Network ID]], $B296, Age_Sex23[[#All],[Insurance Category Code]],6),2)</f>
        <v>0</v>
      </c>
      <c r="T296" s="229">
        <f>ROUND(SUMIFS(Age_Sex23[[#All],[Count of Members whose Spending was Truncated]], Age_Sex23[[#All],[Advanced Network ID]], $B296, Age_Sex23[[#All],[Insurance Category Code]],6),2)</f>
        <v>0</v>
      </c>
      <c r="U296" s="230">
        <f>ROUND(SUMIFS(Age_Sex23[[#All],[Total Spending before Truncation is Applied]], Age_Sex23[[#All],[Advanced Network ID]], $B296, Age_Sex23[[#All],[Insurance Category Code]],6),2)</f>
        <v>0</v>
      </c>
      <c r="V296" s="232">
        <f>ROUND(SUMIFS(Age_Sex23[[#All],[Total Spending After Applying Truncation at the Member Level]], Age_Sex23[[#All],[Advanced Network ID]], $B296, Age_Sex23[[#All],[Insurance Category Code]],6),2)</f>
        <v>0</v>
      </c>
      <c r="W296" s="416" t="str">
        <f>IF(R296=ROUND(SUMIFS(AN_TME23[[#All],[Member Months]], AN_TME23[[#All],[Insurance Category Code]],6, AN_TME23[[#All],[Advanced Network/Insurance Carrier Org ID]],Q296),2), "TRUE", ROUND(R296-SUMIFS(AN_TME23[[#All],[Member Months]], AN_TME23[[#All],[Insurance Category Code]],6, AN_TME23[[#All],[Advanced Network/Insurance Carrier Org ID]],Q296),2))</f>
        <v>TRUE</v>
      </c>
      <c r="X296" s="280" t="str">
        <f>IF(S296=ROUND(SUMIFS(AN_TME23[[#All],[Total Claims Excluded because of Truncation]], AN_TME23[[#All],[Insurance Category Code]],6, AN_TME23[[#All],[Advanced Network/Insurance Carrier Org ID]],Q296),2), "TRUE", ROUND(S296-SUMIFS(AN_TME23[[#All],[Total Claims Excluded because of Truncation]], AN_TME23[[#All],[Insurance Category Code]],6, AN_TME23[[#All],[Advanced Network/Insurance Carrier Org ID]],Q296),2))</f>
        <v>TRUE</v>
      </c>
      <c r="Y296" s="281" t="str">
        <f>IF(T296=ROUND(SUMIFS(AN_TME23[[#All],[Count of Members with Claims Truncated]], AN_TME23[[#All],[Insurance Category Code]],6, AN_TME23[[#All],[Advanced Network/Insurance Carrier Org ID]],Q296),2), "TRUE", ROUND(T296-SUMIFS(AN_TME23[[#All],[Count of Members with Claims Truncated]], AN_TME23[[#All],[Insurance Category Code]],6, AN_TME23[[#All],[Advanced Network/Insurance Carrier Org ID]],Q296),2))</f>
        <v>TRUE</v>
      </c>
      <c r="Z296" s="282" t="str">
        <f>IF(U296=ROUND(SUMIFS(AN_TME23[[#All],[TOTAL Non-Truncated Unadjusted Claims Expenses]], AN_TME23[[#All],[Insurance Category Code]],6, AN_TME23[[#All],[Advanced Network/Insurance Carrier Org ID]],Q296),2), "TRUE", ROUND(U296-SUMIFS(AN_TME23[[#All],[TOTAL Non-Truncated Unadjusted Claims Expenses]], AN_TME23[[#All],[Insurance Category Code]],6, AN_TME23[[#All],[Advanced Network/Insurance Carrier Org ID]],Q296),2))</f>
        <v>TRUE</v>
      </c>
      <c r="AA296" s="295" t="str">
        <f>IF(V296=ROUND(SUMIFS(AN_TME23[[#All],[TOTAL Truncated Unadjusted Claims Expenses (A21 -A19)]], AN_TME23[[#All],[Insurance Category Code]],6, AN_TME23[[#All],[Advanced Network/Insurance Carrier Org ID]],Q296),2), "TRUE", ROUND(V296-SUMIFS(AN_TME23[[#All],[TOTAL Truncated Unadjusted Claims Expenses (A21 -A19)]], AN_TME23[[#All],[Insurance Category Code]],6, AN_TME23[[#All],[Advanced Network/Insurance Carrier Org ID]],Q296),2))</f>
        <v>TRUE</v>
      </c>
      <c r="AB296" s="461" t="str">
        <f t="shared" si="30"/>
        <v>TRUE</v>
      </c>
      <c r="AC296" s="282" t="b">
        <f>ROUND(SUMIFS(AN_TME23[[#All],[TOTAL Non-Truncated Unadjusted Claims Expenses]], AN_TME23[[#All],[Insurance Category Code]],6, AN_TME23[[#All],[Advanced Network/Insurance Carrier Org ID]],Q296),2)&gt;=ROUND(SUMIFS(AN_TME23[[#All],[TOTAL Truncated Unadjusted Claims Expenses (A21 -A19)]], AN_TME23[[#All],[Insurance Category Code]],6, AN_TME23[[#All],[Advanced Network/Insurance Carrier Org ID]],Q296),2)</f>
        <v>1</v>
      </c>
      <c r="AD296" s="295" t="b">
        <f>ROUND(SUMIFS(AN_TME23[[#All],[TOTAL Truncated Unadjusted Claims Expenses (A21 -A19)]], AN_TME23[[#All],[Insurance Category Code]],6, AN_TME23[[#All],[Advanced Network/Insurance Carrier Org ID]],Q296)+SUMIFS(AN_TME23[[#All],[Total Claims Excluded because of Truncation]], AN_TME23[[#All],[Insurance Category Code]],6, AN_TME23[[#All],[Advanced Network/Insurance Carrier Org ID]],Q296),2)=ROUND(SUMIFS(AN_TME23[[#All],[TOTAL Non-Truncated Unadjusted Claims Expenses]], AN_TME23[[#All],[Insurance Category Code]],6, AN_TME23[[#All],[Advanced Network/Insurance Carrier Org ID]],Q296),2)</f>
        <v>1</v>
      </c>
      <c r="AF296" s="323" t="str">
        <f t="shared" si="29"/>
        <v>NA</v>
      </c>
    </row>
    <row r="297" spans="2:32" outlineLevel="1" x14ac:dyDescent="0.25">
      <c r="B297" s="236">
        <v>124</v>
      </c>
      <c r="C297" s="463">
        <f>ROUND(SUMIFS(Age_Sex22[[#All],[Total Member Months by Age/Sex Band]], Age_Sex22[[#All],[Advanced Network ID]], $B297, Age_Sex22[[#All],[Insurance Category Code]],6),2)</f>
        <v>0</v>
      </c>
      <c r="D297" s="268">
        <f>ROUND(SUMIFS(Age_Sex22[[#All],[Total Dollars Excluded from Spending After Applying Truncation at the Member Level]], Age_Sex22[[#All],[Advanced Network ID]], $B297, Age_Sex22[[#All],[Insurance Category Code]],6),2)</f>
        <v>0</v>
      </c>
      <c r="E297" s="229">
        <f>ROUND(SUMIFS(Age_Sex22[[#All],[Count of Members whose Spending was Truncated]], Age_Sex22[[#All],[Advanced Network ID]], $B297, Age_Sex22[[#All],[Insurance Category Code]],6),2)</f>
        <v>0</v>
      </c>
      <c r="F297" s="230">
        <f>ROUND(SUMIFS(Age_Sex22[[#All],[Total Spending before Truncation is Applied]], Age_Sex22[[#All],[Advanced Network ID]], $B297, Age_Sex22[[#All],[Insurance Category Code]],6),2)</f>
        <v>0</v>
      </c>
      <c r="G297" s="232">
        <f>ROUND(SUMIFS(Age_Sex22[[#All],[Total Spending After Applying Truncation at the Member Level]], Age_Sex22[[#All],[Advanced Network ID]], $B297, Age_Sex22[[#All],[Insurance Category Code]],6),2)</f>
        <v>0</v>
      </c>
      <c r="H297" s="416" t="str">
        <f>IF(C297=ROUND(SUMIFS(AN_TME22[[#All],[Member Months]], AN_TME22[[#All],[Insurance Category Code]],6, AN_TME22[[#All],[Advanced Network/Insurance Carrier Org ID]],B297),2), "TRUE", ROUND(C297-SUMIFS(AN_TME22[[#All],[Member Months]], AN_TME22[[#All],[Insurance Category Code]],6, AN_TME22[[#All],[Advanced Network/Insurance Carrier Org ID]],B297),2))</f>
        <v>TRUE</v>
      </c>
      <c r="I297" s="280" t="str">
        <f>IF(D297=ROUND(SUMIFS(AN_TME22[[#All],[Total Claims Excluded because of Truncation]], AN_TME22[[#All],[Insurance Category Code]],6, AN_TME22[[#All],[Advanced Network/Insurance Carrier Org ID]],B297),2), "TRUE", ROUND(D297-SUMIFS(AN_TME22[[#All],[Total Claims Excluded because of Truncation]], AN_TME22[[#All],[Insurance Category Code]],6, AN_TME22[[#All],[Advanced Network/Insurance Carrier Org ID]],B297),2))</f>
        <v>TRUE</v>
      </c>
      <c r="J297" s="281" t="str">
        <f>IF(E297=ROUND(SUMIFS(AN_TME22[[#All],[Count of Members with Claims Truncated]], AN_TME22[[#All],[Insurance Category Code]],6, AN_TME22[[#All],[Advanced Network/Insurance Carrier Org ID]],B297),2), "TRUE", ROUND(E297-SUMIFS(AN_TME22[[#All],[Count of Members with Claims Truncated]], AN_TME22[[#All],[Insurance Category Code]],6, AN_TME22[[#All],[Advanced Network/Insurance Carrier Org ID]],B297),2))</f>
        <v>TRUE</v>
      </c>
      <c r="K297" s="282" t="str">
        <f>IF(F297=ROUND(SUMIFS(AN_TME22[[#All],[TOTAL Non-Truncated Unadjusted Claims Expenses]], AN_TME22[[#All],[Insurance Category Code]],6, AN_TME22[[#All],[Advanced Network/Insurance Carrier Org ID]],B297),2),"TRUE", ROUND(F297-SUMIFS(AN_TME22[[#All],[TOTAL Non-Truncated Unadjusted Claims Expenses]], AN_TME22[[#All],[Insurance Category Code]],6, AN_TME22[[#All],[Advanced Network/Insurance Carrier Org ID]],B297),2))</f>
        <v>TRUE</v>
      </c>
      <c r="L297" s="295" t="str">
        <f>IF(G297=ROUND(SUMIFS(AN_TME22[[#All],[TOTAL Truncated Unadjusted Claims Expenses (A21 -A19)]], AN_TME22[[#All],[Insurance Category Code]],6, AN_TME22[[#All],[Advanced Network/Insurance Carrier Org ID]],B297),2), "TRUE", ROUND(G297-SUMIFS(AN_TME22[[#All],[TOTAL Truncated Unadjusted Claims Expenses (A21 -A19)]], AN_TME22[[#All],[Insurance Category Code]],6, AN_TME22[[#All],[Advanced Network/Insurance Carrier Org ID]],B297),2))</f>
        <v>TRUE</v>
      </c>
      <c r="M297" s="461" t="str">
        <f t="shared" si="27"/>
        <v>TRUE</v>
      </c>
      <c r="N297" s="282" t="b">
        <f>ROUND(SUMIFS(AN_TME22[[#All],[TOTAL Non-Truncated Unadjusted Claims Expenses]], AN_TME22[[#All],[Insurance Category Code]],6, AN_TME22[[#All],[Advanced Network/Insurance Carrier Org ID]],B297),2)&gt;=ROUND(SUMIFS(AN_TME22[[#All],[TOTAL Truncated Unadjusted Claims Expenses (A21 -A19)]], AN_TME22[[#All],[Insurance Category Code]],6, AN_TME22[[#All],[Advanced Network/Insurance Carrier Org ID]],B297),2)</f>
        <v>1</v>
      </c>
      <c r="O297" s="295" t="b">
        <f>ROUND(SUMIFS(AN_TME22[[#All],[TOTAL Truncated Unadjusted Claims Expenses (A21 -A19)]], AN_TME22[[#All],[Insurance Category Code]],6, AN_TME22[[#All],[Advanced Network/Insurance Carrier Org ID]],B297)+SUMIFS(AN_TME22[[#All],[Total Claims Excluded because of Truncation]], AN_TME22[[#All],[Insurance Category Code]],6, AN_TME22[[#All],[Advanced Network/Insurance Carrier Org ID]],B297),2)=ROUND(SUMIFS(AN_TME22[[#All],[TOTAL Non-Truncated Unadjusted Claims Expenses]], AN_TME22[[#All],[Insurance Category Code]],6, AN_TME22[[#All],[Advanced Network/Insurance Carrier Org ID]],B297),2)</f>
        <v>1</v>
      </c>
      <c r="Q297" s="236">
        <v>124</v>
      </c>
      <c r="R297" s="463">
        <f>ROUND(SUMIFS(Age_Sex23[[#All],[Total Member Months by Age/Sex Band]], Age_Sex23[[#All],[Advanced Network ID]], $Q297, Age_Sex23[[#All],[Insurance Category Code]],6),2)</f>
        <v>0</v>
      </c>
      <c r="S297" s="268">
        <f>ROUND(SUMIFS(Age_Sex23[[#All],[Total Dollars Excluded from Spending After Applying Truncation at the Member Level]], Age_Sex23[[#All],[Advanced Network ID]], $B297, Age_Sex23[[#All],[Insurance Category Code]],6),2)</f>
        <v>0</v>
      </c>
      <c r="T297" s="229">
        <f>ROUND(SUMIFS(Age_Sex23[[#All],[Count of Members whose Spending was Truncated]], Age_Sex23[[#All],[Advanced Network ID]], $B297, Age_Sex23[[#All],[Insurance Category Code]],6),2)</f>
        <v>0</v>
      </c>
      <c r="U297" s="230">
        <f>ROUND(SUMIFS(Age_Sex23[[#All],[Total Spending before Truncation is Applied]], Age_Sex23[[#All],[Advanced Network ID]], $B297, Age_Sex23[[#All],[Insurance Category Code]],6),2)</f>
        <v>0</v>
      </c>
      <c r="V297" s="232">
        <f>ROUND(SUMIFS(Age_Sex23[[#All],[Total Spending After Applying Truncation at the Member Level]], Age_Sex23[[#All],[Advanced Network ID]], $B297, Age_Sex23[[#All],[Insurance Category Code]],6),2)</f>
        <v>0</v>
      </c>
      <c r="W297" s="416" t="str">
        <f>IF(R297=ROUND(SUMIFS(AN_TME23[[#All],[Member Months]], AN_TME23[[#All],[Insurance Category Code]],6, AN_TME23[[#All],[Advanced Network/Insurance Carrier Org ID]],Q297),2), "TRUE", ROUND(R297-SUMIFS(AN_TME23[[#All],[Member Months]], AN_TME23[[#All],[Insurance Category Code]],6, AN_TME23[[#All],[Advanced Network/Insurance Carrier Org ID]],Q297),2))</f>
        <v>TRUE</v>
      </c>
      <c r="X297" s="280" t="str">
        <f>IF(S297=ROUND(SUMIFS(AN_TME23[[#All],[Total Claims Excluded because of Truncation]], AN_TME23[[#All],[Insurance Category Code]],6, AN_TME23[[#All],[Advanced Network/Insurance Carrier Org ID]],Q297),2), "TRUE", ROUND(S297-SUMIFS(AN_TME23[[#All],[Total Claims Excluded because of Truncation]], AN_TME23[[#All],[Insurance Category Code]],6, AN_TME23[[#All],[Advanced Network/Insurance Carrier Org ID]],Q297),2))</f>
        <v>TRUE</v>
      </c>
      <c r="Y297" s="281" t="str">
        <f>IF(T297=ROUND(SUMIFS(AN_TME23[[#All],[Count of Members with Claims Truncated]], AN_TME23[[#All],[Insurance Category Code]],6, AN_TME23[[#All],[Advanced Network/Insurance Carrier Org ID]],Q297),2), "TRUE", ROUND(T297-SUMIFS(AN_TME23[[#All],[Count of Members with Claims Truncated]], AN_TME23[[#All],[Insurance Category Code]],6, AN_TME23[[#All],[Advanced Network/Insurance Carrier Org ID]],Q297),2))</f>
        <v>TRUE</v>
      </c>
      <c r="Z297" s="282" t="str">
        <f>IF(U297=ROUND(SUMIFS(AN_TME23[[#All],[TOTAL Non-Truncated Unadjusted Claims Expenses]], AN_TME23[[#All],[Insurance Category Code]],6, AN_TME23[[#All],[Advanced Network/Insurance Carrier Org ID]],Q297),2), "TRUE", ROUND(U297-SUMIFS(AN_TME23[[#All],[TOTAL Non-Truncated Unadjusted Claims Expenses]], AN_TME23[[#All],[Insurance Category Code]],6, AN_TME23[[#All],[Advanced Network/Insurance Carrier Org ID]],Q297),2))</f>
        <v>TRUE</v>
      </c>
      <c r="AA297" s="295" t="str">
        <f>IF(V297=ROUND(SUMIFS(AN_TME23[[#All],[TOTAL Truncated Unadjusted Claims Expenses (A21 -A19)]], AN_TME23[[#All],[Insurance Category Code]],6, AN_TME23[[#All],[Advanced Network/Insurance Carrier Org ID]],Q297),2), "TRUE", ROUND(V297-SUMIFS(AN_TME23[[#All],[TOTAL Truncated Unadjusted Claims Expenses (A21 -A19)]], AN_TME23[[#All],[Insurance Category Code]],6, AN_TME23[[#All],[Advanced Network/Insurance Carrier Org ID]],Q297),2))</f>
        <v>TRUE</v>
      </c>
      <c r="AB297" s="461" t="str">
        <f t="shared" si="30"/>
        <v>TRUE</v>
      </c>
      <c r="AC297" s="282" t="b">
        <f>ROUND(SUMIFS(AN_TME23[[#All],[TOTAL Non-Truncated Unadjusted Claims Expenses]], AN_TME23[[#All],[Insurance Category Code]],6, AN_TME23[[#All],[Advanced Network/Insurance Carrier Org ID]],Q297),2)&gt;=ROUND(SUMIFS(AN_TME23[[#All],[TOTAL Truncated Unadjusted Claims Expenses (A21 -A19)]], AN_TME23[[#All],[Insurance Category Code]],6, AN_TME23[[#All],[Advanced Network/Insurance Carrier Org ID]],Q297),2)</f>
        <v>1</v>
      </c>
      <c r="AD297" s="295" t="b">
        <f>ROUND(SUMIFS(AN_TME23[[#All],[TOTAL Truncated Unadjusted Claims Expenses (A21 -A19)]], AN_TME23[[#All],[Insurance Category Code]],6, AN_TME23[[#All],[Advanced Network/Insurance Carrier Org ID]],Q297)+SUMIFS(AN_TME23[[#All],[Total Claims Excluded because of Truncation]], AN_TME23[[#All],[Insurance Category Code]],6, AN_TME23[[#All],[Advanced Network/Insurance Carrier Org ID]],Q297),2)=ROUND(SUMIFS(AN_TME23[[#All],[TOTAL Non-Truncated Unadjusted Claims Expenses]], AN_TME23[[#All],[Insurance Category Code]],6, AN_TME23[[#All],[Advanced Network/Insurance Carrier Org ID]],Q297),2)</f>
        <v>1</v>
      </c>
      <c r="AF297" s="323" t="str">
        <f t="shared" si="29"/>
        <v>NA</v>
      </c>
    </row>
    <row r="298" spans="2:32" outlineLevel="1" x14ac:dyDescent="0.25">
      <c r="B298" s="236">
        <v>125</v>
      </c>
      <c r="C298" s="463">
        <f>ROUND(SUMIFS(Age_Sex22[[#All],[Total Member Months by Age/Sex Band]], Age_Sex22[[#All],[Advanced Network ID]], $B298, Age_Sex22[[#All],[Insurance Category Code]],6),2)</f>
        <v>0</v>
      </c>
      <c r="D298" s="268">
        <f>ROUND(SUMIFS(Age_Sex22[[#All],[Total Dollars Excluded from Spending After Applying Truncation at the Member Level]], Age_Sex22[[#All],[Advanced Network ID]], $B298, Age_Sex22[[#All],[Insurance Category Code]],6),2)</f>
        <v>0</v>
      </c>
      <c r="E298" s="229">
        <f>ROUND(SUMIFS(Age_Sex22[[#All],[Count of Members whose Spending was Truncated]], Age_Sex22[[#All],[Advanced Network ID]], $B298, Age_Sex22[[#All],[Insurance Category Code]],6),2)</f>
        <v>0</v>
      </c>
      <c r="F298" s="230">
        <f>ROUND(SUMIFS(Age_Sex22[[#All],[Total Spending before Truncation is Applied]], Age_Sex22[[#All],[Advanced Network ID]], $B298, Age_Sex22[[#All],[Insurance Category Code]],6),2)</f>
        <v>0</v>
      </c>
      <c r="G298" s="232">
        <f>ROUND(SUMIFS(Age_Sex22[[#All],[Total Spending After Applying Truncation at the Member Level]], Age_Sex22[[#All],[Advanced Network ID]], $B298, Age_Sex22[[#All],[Insurance Category Code]],6),2)</f>
        <v>0</v>
      </c>
      <c r="H298" s="416" t="str">
        <f>IF(C298=ROUND(SUMIFS(AN_TME22[[#All],[Member Months]], AN_TME22[[#All],[Insurance Category Code]],6, AN_TME22[[#All],[Advanced Network/Insurance Carrier Org ID]],B298),2), "TRUE", ROUND(C298-SUMIFS(AN_TME22[[#All],[Member Months]], AN_TME22[[#All],[Insurance Category Code]],6, AN_TME22[[#All],[Advanced Network/Insurance Carrier Org ID]],B298),2))</f>
        <v>TRUE</v>
      </c>
      <c r="I298" s="280" t="str">
        <f>IF(D298=ROUND(SUMIFS(AN_TME22[[#All],[Total Claims Excluded because of Truncation]], AN_TME22[[#All],[Insurance Category Code]],6, AN_TME22[[#All],[Advanced Network/Insurance Carrier Org ID]],B298),2), "TRUE", ROUND(D298-SUMIFS(AN_TME22[[#All],[Total Claims Excluded because of Truncation]], AN_TME22[[#All],[Insurance Category Code]],6, AN_TME22[[#All],[Advanced Network/Insurance Carrier Org ID]],B298),2))</f>
        <v>TRUE</v>
      </c>
      <c r="J298" s="281" t="str">
        <f>IF(E298=ROUND(SUMIFS(AN_TME22[[#All],[Count of Members with Claims Truncated]], AN_TME22[[#All],[Insurance Category Code]],6, AN_TME22[[#All],[Advanced Network/Insurance Carrier Org ID]],B298),2), "TRUE", ROUND(E298-SUMIFS(AN_TME22[[#All],[Count of Members with Claims Truncated]], AN_TME22[[#All],[Insurance Category Code]],6, AN_TME22[[#All],[Advanced Network/Insurance Carrier Org ID]],B298),2))</f>
        <v>TRUE</v>
      </c>
      <c r="K298" s="282" t="str">
        <f>IF(F298=ROUND(SUMIFS(AN_TME22[[#All],[TOTAL Non-Truncated Unadjusted Claims Expenses]], AN_TME22[[#All],[Insurance Category Code]],6, AN_TME22[[#All],[Advanced Network/Insurance Carrier Org ID]],B298),2),"TRUE", ROUND(F298-SUMIFS(AN_TME22[[#All],[TOTAL Non-Truncated Unadjusted Claims Expenses]], AN_TME22[[#All],[Insurance Category Code]],6, AN_TME22[[#All],[Advanced Network/Insurance Carrier Org ID]],B298),2))</f>
        <v>TRUE</v>
      </c>
      <c r="L298" s="295" t="str">
        <f>IF(G298=ROUND(SUMIFS(AN_TME22[[#All],[TOTAL Truncated Unadjusted Claims Expenses (A21 -A19)]], AN_TME22[[#All],[Insurance Category Code]],6, AN_TME22[[#All],[Advanced Network/Insurance Carrier Org ID]],B298),2), "TRUE", ROUND(G298-SUMIFS(AN_TME22[[#All],[TOTAL Truncated Unadjusted Claims Expenses (A21 -A19)]], AN_TME22[[#All],[Insurance Category Code]],6, AN_TME22[[#All],[Advanced Network/Insurance Carrier Org ID]],B298),2))</f>
        <v>TRUE</v>
      </c>
      <c r="M298" s="461" t="str">
        <f t="shared" si="27"/>
        <v>TRUE</v>
      </c>
      <c r="N298" s="282" t="b">
        <f>ROUND(SUMIFS(AN_TME22[[#All],[TOTAL Non-Truncated Unadjusted Claims Expenses]], AN_TME22[[#All],[Insurance Category Code]],6, AN_TME22[[#All],[Advanced Network/Insurance Carrier Org ID]],B298),2)&gt;=ROUND(SUMIFS(AN_TME22[[#All],[TOTAL Truncated Unadjusted Claims Expenses (A21 -A19)]], AN_TME22[[#All],[Insurance Category Code]],6, AN_TME22[[#All],[Advanced Network/Insurance Carrier Org ID]],B298),2)</f>
        <v>1</v>
      </c>
      <c r="O298" s="295" t="b">
        <f>ROUND(SUMIFS(AN_TME22[[#All],[TOTAL Truncated Unadjusted Claims Expenses (A21 -A19)]], AN_TME22[[#All],[Insurance Category Code]],6, AN_TME22[[#All],[Advanced Network/Insurance Carrier Org ID]],B298)+SUMIFS(AN_TME22[[#All],[Total Claims Excluded because of Truncation]], AN_TME22[[#All],[Insurance Category Code]],6, AN_TME22[[#All],[Advanced Network/Insurance Carrier Org ID]],B298),2)=ROUND(SUMIFS(AN_TME22[[#All],[TOTAL Non-Truncated Unadjusted Claims Expenses]], AN_TME22[[#All],[Insurance Category Code]],6, AN_TME22[[#All],[Advanced Network/Insurance Carrier Org ID]],B298),2)</f>
        <v>1</v>
      </c>
      <c r="Q298" s="236">
        <v>125</v>
      </c>
      <c r="R298" s="463">
        <f>ROUND(SUMIFS(Age_Sex23[[#All],[Total Member Months by Age/Sex Band]], Age_Sex23[[#All],[Advanced Network ID]], $Q298, Age_Sex23[[#All],[Insurance Category Code]],6),2)</f>
        <v>0</v>
      </c>
      <c r="S298" s="268">
        <f>ROUND(SUMIFS(Age_Sex23[[#All],[Total Dollars Excluded from Spending After Applying Truncation at the Member Level]], Age_Sex23[[#All],[Advanced Network ID]], $B298, Age_Sex23[[#All],[Insurance Category Code]],6),2)</f>
        <v>0</v>
      </c>
      <c r="T298" s="229">
        <f>ROUND(SUMIFS(Age_Sex23[[#All],[Count of Members whose Spending was Truncated]], Age_Sex23[[#All],[Advanced Network ID]], $B298, Age_Sex23[[#All],[Insurance Category Code]],6),2)</f>
        <v>0</v>
      </c>
      <c r="U298" s="230">
        <f>ROUND(SUMIFS(Age_Sex23[[#All],[Total Spending before Truncation is Applied]], Age_Sex23[[#All],[Advanced Network ID]], $B298, Age_Sex23[[#All],[Insurance Category Code]],6),2)</f>
        <v>0</v>
      </c>
      <c r="V298" s="232">
        <f>ROUND(SUMIFS(Age_Sex23[[#All],[Total Spending After Applying Truncation at the Member Level]], Age_Sex23[[#All],[Advanced Network ID]], $B298, Age_Sex23[[#All],[Insurance Category Code]],6),2)</f>
        <v>0</v>
      </c>
      <c r="W298" s="416" t="str">
        <f>IF(R298=ROUND(SUMIFS(AN_TME23[[#All],[Member Months]], AN_TME23[[#All],[Insurance Category Code]],6, AN_TME23[[#All],[Advanced Network/Insurance Carrier Org ID]],Q298),2), "TRUE", ROUND(R298-SUMIFS(AN_TME23[[#All],[Member Months]], AN_TME23[[#All],[Insurance Category Code]],6, AN_TME23[[#All],[Advanced Network/Insurance Carrier Org ID]],Q298),2))</f>
        <v>TRUE</v>
      </c>
      <c r="X298" s="280" t="str">
        <f>IF(S298=ROUND(SUMIFS(AN_TME23[[#All],[Total Claims Excluded because of Truncation]], AN_TME23[[#All],[Insurance Category Code]],6, AN_TME23[[#All],[Advanced Network/Insurance Carrier Org ID]],Q298),2), "TRUE", ROUND(S298-SUMIFS(AN_TME23[[#All],[Total Claims Excluded because of Truncation]], AN_TME23[[#All],[Insurance Category Code]],6, AN_TME23[[#All],[Advanced Network/Insurance Carrier Org ID]],Q298),2))</f>
        <v>TRUE</v>
      </c>
      <c r="Y298" s="281" t="str">
        <f>IF(T298=ROUND(SUMIFS(AN_TME23[[#All],[Count of Members with Claims Truncated]], AN_TME23[[#All],[Insurance Category Code]],6, AN_TME23[[#All],[Advanced Network/Insurance Carrier Org ID]],Q298),2), "TRUE", ROUND(T298-SUMIFS(AN_TME23[[#All],[Count of Members with Claims Truncated]], AN_TME23[[#All],[Insurance Category Code]],6, AN_TME23[[#All],[Advanced Network/Insurance Carrier Org ID]],Q298),2))</f>
        <v>TRUE</v>
      </c>
      <c r="Z298" s="282" t="str">
        <f>IF(U298=ROUND(SUMIFS(AN_TME23[[#All],[TOTAL Non-Truncated Unadjusted Claims Expenses]], AN_TME23[[#All],[Insurance Category Code]],6, AN_TME23[[#All],[Advanced Network/Insurance Carrier Org ID]],Q298),2), "TRUE", ROUND(U298-SUMIFS(AN_TME23[[#All],[TOTAL Non-Truncated Unadjusted Claims Expenses]], AN_TME23[[#All],[Insurance Category Code]],6, AN_TME23[[#All],[Advanced Network/Insurance Carrier Org ID]],Q298),2))</f>
        <v>TRUE</v>
      </c>
      <c r="AA298" s="295" t="str">
        <f>IF(V298=ROUND(SUMIFS(AN_TME23[[#All],[TOTAL Truncated Unadjusted Claims Expenses (A21 -A19)]], AN_TME23[[#All],[Insurance Category Code]],6, AN_TME23[[#All],[Advanced Network/Insurance Carrier Org ID]],Q298),2), "TRUE", ROUND(V298-SUMIFS(AN_TME23[[#All],[TOTAL Truncated Unadjusted Claims Expenses (A21 -A19)]], AN_TME23[[#All],[Insurance Category Code]],6, AN_TME23[[#All],[Advanced Network/Insurance Carrier Org ID]],Q298),2))</f>
        <v>TRUE</v>
      </c>
      <c r="AB298" s="461" t="str">
        <f t="shared" si="30"/>
        <v>TRUE</v>
      </c>
      <c r="AC298" s="282" t="b">
        <f>ROUND(SUMIFS(AN_TME23[[#All],[TOTAL Non-Truncated Unadjusted Claims Expenses]], AN_TME23[[#All],[Insurance Category Code]],6, AN_TME23[[#All],[Advanced Network/Insurance Carrier Org ID]],Q298),2)&gt;=ROUND(SUMIFS(AN_TME23[[#All],[TOTAL Truncated Unadjusted Claims Expenses (A21 -A19)]], AN_TME23[[#All],[Insurance Category Code]],6, AN_TME23[[#All],[Advanced Network/Insurance Carrier Org ID]],Q298),2)</f>
        <v>1</v>
      </c>
      <c r="AD298" s="295" t="b">
        <f>ROUND(SUMIFS(AN_TME23[[#All],[TOTAL Truncated Unadjusted Claims Expenses (A21 -A19)]], AN_TME23[[#All],[Insurance Category Code]],6, AN_TME23[[#All],[Advanced Network/Insurance Carrier Org ID]],Q298)+SUMIFS(AN_TME23[[#All],[Total Claims Excluded because of Truncation]], AN_TME23[[#All],[Insurance Category Code]],6, AN_TME23[[#All],[Advanced Network/Insurance Carrier Org ID]],Q298),2)=ROUND(SUMIFS(AN_TME23[[#All],[TOTAL Non-Truncated Unadjusted Claims Expenses]], AN_TME23[[#All],[Insurance Category Code]],6, AN_TME23[[#All],[Advanced Network/Insurance Carrier Org ID]],Q298),2)</f>
        <v>1</v>
      </c>
      <c r="AF298" s="323" t="str">
        <f t="shared" si="29"/>
        <v>NA</v>
      </c>
    </row>
    <row r="299" spans="2:32" outlineLevel="1" x14ac:dyDescent="0.25">
      <c r="B299" s="236">
        <v>126</v>
      </c>
      <c r="C299" s="463">
        <f>ROUND(SUMIFS(Age_Sex22[[#All],[Total Member Months by Age/Sex Band]], Age_Sex22[[#All],[Advanced Network ID]], $B299, Age_Sex22[[#All],[Insurance Category Code]],6),2)</f>
        <v>0</v>
      </c>
      <c r="D299" s="268">
        <f>ROUND(SUMIFS(Age_Sex22[[#All],[Total Dollars Excluded from Spending After Applying Truncation at the Member Level]], Age_Sex22[[#All],[Advanced Network ID]], $B299, Age_Sex22[[#All],[Insurance Category Code]],6),2)</f>
        <v>0</v>
      </c>
      <c r="E299" s="229">
        <f>ROUND(SUMIFS(Age_Sex22[[#All],[Count of Members whose Spending was Truncated]], Age_Sex22[[#All],[Advanced Network ID]], $B299, Age_Sex22[[#All],[Insurance Category Code]],6),2)</f>
        <v>0</v>
      </c>
      <c r="F299" s="230">
        <f>ROUND(SUMIFS(Age_Sex22[[#All],[Total Spending before Truncation is Applied]], Age_Sex22[[#All],[Advanced Network ID]], $B299, Age_Sex22[[#All],[Insurance Category Code]],6),2)</f>
        <v>0</v>
      </c>
      <c r="G299" s="232">
        <f>ROUND(SUMIFS(Age_Sex22[[#All],[Total Spending After Applying Truncation at the Member Level]], Age_Sex22[[#All],[Advanced Network ID]], $B299, Age_Sex22[[#All],[Insurance Category Code]],6),2)</f>
        <v>0</v>
      </c>
      <c r="H299" s="416" t="str">
        <f>IF(C299=ROUND(SUMIFS(AN_TME22[[#All],[Member Months]], AN_TME22[[#All],[Insurance Category Code]],6, AN_TME22[[#All],[Advanced Network/Insurance Carrier Org ID]],B299),2), "TRUE", ROUND(C299-SUMIFS(AN_TME22[[#All],[Member Months]], AN_TME22[[#All],[Insurance Category Code]],6, AN_TME22[[#All],[Advanced Network/Insurance Carrier Org ID]],B299),2))</f>
        <v>TRUE</v>
      </c>
      <c r="I299" s="280" t="str">
        <f>IF(D299=ROUND(SUMIFS(AN_TME22[[#All],[Total Claims Excluded because of Truncation]], AN_TME22[[#All],[Insurance Category Code]],6, AN_TME22[[#All],[Advanced Network/Insurance Carrier Org ID]],B299),2), "TRUE", ROUND(D299-SUMIFS(AN_TME22[[#All],[Total Claims Excluded because of Truncation]], AN_TME22[[#All],[Insurance Category Code]],6, AN_TME22[[#All],[Advanced Network/Insurance Carrier Org ID]],B299),2))</f>
        <v>TRUE</v>
      </c>
      <c r="J299" s="281" t="str">
        <f>IF(E299=ROUND(SUMIFS(AN_TME22[[#All],[Count of Members with Claims Truncated]], AN_TME22[[#All],[Insurance Category Code]],6, AN_TME22[[#All],[Advanced Network/Insurance Carrier Org ID]],B299),2), "TRUE", ROUND(E299-SUMIFS(AN_TME22[[#All],[Count of Members with Claims Truncated]], AN_TME22[[#All],[Insurance Category Code]],6, AN_TME22[[#All],[Advanced Network/Insurance Carrier Org ID]],B299),2))</f>
        <v>TRUE</v>
      </c>
      <c r="K299" s="282" t="str">
        <f>IF(F299=ROUND(SUMIFS(AN_TME22[[#All],[TOTAL Non-Truncated Unadjusted Claims Expenses]], AN_TME22[[#All],[Insurance Category Code]],6, AN_TME22[[#All],[Advanced Network/Insurance Carrier Org ID]],B299),2),"TRUE", ROUND(F299-SUMIFS(AN_TME22[[#All],[TOTAL Non-Truncated Unadjusted Claims Expenses]], AN_TME22[[#All],[Insurance Category Code]],6, AN_TME22[[#All],[Advanced Network/Insurance Carrier Org ID]],B299),2))</f>
        <v>TRUE</v>
      </c>
      <c r="L299" s="295" t="str">
        <f>IF(G299=ROUND(SUMIFS(AN_TME22[[#All],[TOTAL Truncated Unadjusted Claims Expenses (A21 -A19)]], AN_TME22[[#All],[Insurance Category Code]],6, AN_TME22[[#All],[Advanced Network/Insurance Carrier Org ID]],B299),2), "TRUE", ROUND(G299-SUMIFS(AN_TME22[[#All],[TOTAL Truncated Unadjusted Claims Expenses (A21 -A19)]], AN_TME22[[#All],[Insurance Category Code]],6, AN_TME22[[#All],[Advanced Network/Insurance Carrier Org ID]],B299),2))</f>
        <v>TRUE</v>
      </c>
      <c r="M299" s="461" t="str">
        <f t="shared" si="27"/>
        <v>TRUE</v>
      </c>
      <c r="N299" s="282" t="b">
        <f>ROUND(SUMIFS(AN_TME22[[#All],[TOTAL Non-Truncated Unadjusted Claims Expenses]], AN_TME22[[#All],[Insurance Category Code]],6, AN_TME22[[#All],[Advanced Network/Insurance Carrier Org ID]],B299),2)&gt;=ROUND(SUMIFS(AN_TME22[[#All],[TOTAL Truncated Unadjusted Claims Expenses (A21 -A19)]], AN_TME22[[#All],[Insurance Category Code]],6, AN_TME22[[#All],[Advanced Network/Insurance Carrier Org ID]],B299),2)</f>
        <v>1</v>
      </c>
      <c r="O299" s="295" t="b">
        <f>ROUND(SUMIFS(AN_TME22[[#All],[TOTAL Truncated Unadjusted Claims Expenses (A21 -A19)]], AN_TME22[[#All],[Insurance Category Code]],6, AN_TME22[[#All],[Advanced Network/Insurance Carrier Org ID]],B299)+SUMIFS(AN_TME22[[#All],[Total Claims Excluded because of Truncation]], AN_TME22[[#All],[Insurance Category Code]],6, AN_TME22[[#All],[Advanced Network/Insurance Carrier Org ID]],B299),2)=ROUND(SUMIFS(AN_TME22[[#All],[TOTAL Non-Truncated Unadjusted Claims Expenses]], AN_TME22[[#All],[Insurance Category Code]],6, AN_TME22[[#All],[Advanced Network/Insurance Carrier Org ID]],B299),2)</f>
        <v>1</v>
      </c>
      <c r="Q299" s="236">
        <v>126</v>
      </c>
      <c r="R299" s="463">
        <f>ROUND(SUMIFS(Age_Sex23[[#All],[Total Member Months by Age/Sex Band]], Age_Sex23[[#All],[Advanced Network ID]], $Q299, Age_Sex23[[#All],[Insurance Category Code]],6),2)</f>
        <v>0</v>
      </c>
      <c r="S299" s="268">
        <f>ROUND(SUMIFS(Age_Sex23[[#All],[Total Dollars Excluded from Spending After Applying Truncation at the Member Level]], Age_Sex23[[#All],[Advanced Network ID]], $B299, Age_Sex23[[#All],[Insurance Category Code]],6),2)</f>
        <v>0</v>
      </c>
      <c r="T299" s="229">
        <f>ROUND(SUMIFS(Age_Sex23[[#All],[Count of Members whose Spending was Truncated]], Age_Sex23[[#All],[Advanced Network ID]], $B299, Age_Sex23[[#All],[Insurance Category Code]],6),2)</f>
        <v>0</v>
      </c>
      <c r="U299" s="230">
        <f>ROUND(SUMIFS(Age_Sex23[[#All],[Total Spending before Truncation is Applied]], Age_Sex23[[#All],[Advanced Network ID]], $B299, Age_Sex23[[#All],[Insurance Category Code]],6),2)</f>
        <v>0</v>
      </c>
      <c r="V299" s="232">
        <f>ROUND(SUMIFS(Age_Sex23[[#All],[Total Spending After Applying Truncation at the Member Level]], Age_Sex23[[#All],[Advanced Network ID]], $B299, Age_Sex23[[#All],[Insurance Category Code]],6),2)</f>
        <v>0</v>
      </c>
      <c r="W299" s="416" t="str">
        <f>IF(R299=ROUND(SUMIFS(AN_TME23[[#All],[Member Months]], AN_TME23[[#All],[Insurance Category Code]],6, AN_TME23[[#All],[Advanced Network/Insurance Carrier Org ID]],Q299),2), "TRUE", ROUND(R299-SUMIFS(AN_TME23[[#All],[Member Months]], AN_TME23[[#All],[Insurance Category Code]],6, AN_TME23[[#All],[Advanced Network/Insurance Carrier Org ID]],Q299),2))</f>
        <v>TRUE</v>
      </c>
      <c r="X299" s="280" t="str">
        <f>IF(S299=ROUND(SUMIFS(AN_TME23[[#All],[Total Claims Excluded because of Truncation]], AN_TME23[[#All],[Insurance Category Code]],6, AN_TME23[[#All],[Advanced Network/Insurance Carrier Org ID]],Q299),2), "TRUE", ROUND(S299-SUMIFS(AN_TME23[[#All],[Total Claims Excluded because of Truncation]], AN_TME23[[#All],[Insurance Category Code]],6, AN_TME23[[#All],[Advanced Network/Insurance Carrier Org ID]],Q299),2))</f>
        <v>TRUE</v>
      </c>
      <c r="Y299" s="281" t="str">
        <f>IF(T299=ROUND(SUMIFS(AN_TME23[[#All],[Count of Members with Claims Truncated]], AN_TME23[[#All],[Insurance Category Code]],6, AN_TME23[[#All],[Advanced Network/Insurance Carrier Org ID]],Q299),2), "TRUE", ROUND(T299-SUMIFS(AN_TME23[[#All],[Count of Members with Claims Truncated]], AN_TME23[[#All],[Insurance Category Code]],6, AN_TME23[[#All],[Advanced Network/Insurance Carrier Org ID]],Q299),2))</f>
        <v>TRUE</v>
      </c>
      <c r="Z299" s="282" t="str">
        <f>IF(U299=ROUND(SUMIFS(AN_TME23[[#All],[TOTAL Non-Truncated Unadjusted Claims Expenses]], AN_TME23[[#All],[Insurance Category Code]],6, AN_TME23[[#All],[Advanced Network/Insurance Carrier Org ID]],Q299),2), "TRUE", ROUND(U299-SUMIFS(AN_TME23[[#All],[TOTAL Non-Truncated Unadjusted Claims Expenses]], AN_TME23[[#All],[Insurance Category Code]],6, AN_TME23[[#All],[Advanced Network/Insurance Carrier Org ID]],Q299),2))</f>
        <v>TRUE</v>
      </c>
      <c r="AA299" s="295" t="str">
        <f>IF(V299=ROUND(SUMIFS(AN_TME23[[#All],[TOTAL Truncated Unadjusted Claims Expenses (A21 -A19)]], AN_TME23[[#All],[Insurance Category Code]],6, AN_TME23[[#All],[Advanced Network/Insurance Carrier Org ID]],Q299),2), "TRUE", ROUND(V299-SUMIFS(AN_TME23[[#All],[TOTAL Truncated Unadjusted Claims Expenses (A21 -A19)]], AN_TME23[[#All],[Insurance Category Code]],6, AN_TME23[[#All],[Advanced Network/Insurance Carrier Org ID]],Q299),2))</f>
        <v>TRUE</v>
      </c>
      <c r="AB299" s="461" t="str">
        <f t="shared" si="30"/>
        <v>TRUE</v>
      </c>
      <c r="AC299" s="282" t="b">
        <f>ROUND(SUMIFS(AN_TME23[[#All],[TOTAL Non-Truncated Unadjusted Claims Expenses]], AN_TME23[[#All],[Insurance Category Code]],6, AN_TME23[[#All],[Advanced Network/Insurance Carrier Org ID]],Q299),2)&gt;=ROUND(SUMIFS(AN_TME23[[#All],[TOTAL Truncated Unadjusted Claims Expenses (A21 -A19)]], AN_TME23[[#All],[Insurance Category Code]],6, AN_TME23[[#All],[Advanced Network/Insurance Carrier Org ID]],Q299),2)</f>
        <v>1</v>
      </c>
      <c r="AD299" s="295" t="b">
        <f>ROUND(SUMIFS(AN_TME23[[#All],[TOTAL Truncated Unadjusted Claims Expenses (A21 -A19)]], AN_TME23[[#All],[Insurance Category Code]],6, AN_TME23[[#All],[Advanced Network/Insurance Carrier Org ID]],Q299)+SUMIFS(AN_TME23[[#All],[Total Claims Excluded because of Truncation]], AN_TME23[[#All],[Insurance Category Code]],6, AN_TME23[[#All],[Advanced Network/Insurance Carrier Org ID]],Q299),2)=ROUND(SUMIFS(AN_TME23[[#All],[TOTAL Non-Truncated Unadjusted Claims Expenses]], AN_TME23[[#All],[Insurance Category Code]],6, AN_TME23[[#All],[Advanced Network/Insurance Carrier Org ID]],Q299),2)</f>
        <v>1</v>
      </c>
      <c r="AF299" s="323" t="str">
        <f t="shared" si="29"/>
        <v>NA</v>
      </c>
    </row>
    <row r="300" spans="2:32" outlineLevel="1" x14ac:dyDescent="0.25">
      <c r="B300" s="236">
        <v>127</v>
      </c>
      <c r="C300" s="463">
        <f>ROUND(SUMIFS(Age_Sex22[[#All],[Total Member Months by Age/Sex Band]], Age_Sex22[[#All],[Advanced Network ID]], $B300, Age_Sex22[[#All],[Insurance Category Code]],6),2)</f>
        <v>0</v>
      </c>
      <c r="D300" s="268">
        <f>ROUND(SUMIFS(Age_Sex22[[#All],[Total Dollars Excluded from Spending After Applying Truncation at the Member Level]], Age_Sex22[[#All],[Advanced Network ID]], $B300, Age_Sex22[[#All],[Insurance Category Code]],6),2)</f>
        <v>0</v>
      </c>
      <c r="E300" s="229">
        <f>ROUND(SUMIFS(Age_Sex22[[#All],[Count of Members whose Spending was Truncated]], Age_Sex22[[#All],[Advanced Network ID]], $B300, Age_Sex22[[#All],[Insurance Category Code]],6),2)</f>
        <v>0</v>
      </c>
      <c r="F300" s="230">
        <f>ROUND(SUMIFS(Age_Sex22[[#All],[Total Spending before Truncation is Applied]], Age_Sex22[[#All],[Advanced Network ID]], $B300, Age_Sex22[[#All],[Insurance Category Code]],6),2)</f>
        <v>0</v>
      </c>
      <c r="G300" s="232">
        <f>ROUND(SUMIFS(Age_Sex22[[#All],[Total Spending After Applying Truncation at the Member Level]], Age_Sex22[[#All],[Advanced Network ID]], $B300, Age_Sex22[[#All],[Insurance Category Code]],6),2)</f>
        <v>0</v>
      </c>
      <c r="H300" s="416" t="str">
        <f>IF(C300=ROUND(SUMIFS(AN_TME22[[#All],[Member Months]], AN_TME22[[#All],[Insurance Category Code]],6, AN_TME22[[#All],[Advanced Network/Insurance Carrier Org ID]],B300),2), "TRUE", ROUND(C300-SUMIFS(AN_TME22[[#All],[Member Months]], AN_TME22[[#All],[Insurance Category Code]],6, AN_TME22[[#All],[Advanced Network/Insurance Carrier Org ID]],B300),2))</f>
        <v>TRUE</v>
      </c>
      <c r="I300" s="280" t="str">
        <f>IF(D300=ROUND(SUMIFS(AN_TME22[[#All],[Total Claims Excluded because of Truncation]], AN_TME22[[#All],[Insurance Category Code]],6, AN_TME22[[#All],[Advanced Network/Insurance Carrier Org ID]],B300),2), "TRUE", ROUND(D300-SUMIFS(AN_TME22[[#All],[Total Claims Excluded because of Truncation]], AN_TME22[[#All],[Insurance Category Code]],6, AN_TME22[[#All],[Advanced Network/Insurance Carrier Org ID]],B300),2))</f>
        <v>TRUE</v>
      </c>
      <c r="J300" s="281" t="str">
        <f>IF(E300=ROUND(SUMIFS(AN_TME22[[#All],[Count of Members with Claims Truncated]], AN_TME22[[#All],[Insurance Category Code]],6, AN_TME22[[#All],[Advanced Network/Insurance Carrier Org ID]],B300),2), "TRUE", ROUND(E300-SUMIFS(AN_TME22[[#All],[Count of Members with Claims Truncated]], AN_TME22[[#All],[Insurance Category Code]],6, AN_TME22[[#All],[Advanced Network/Insurance Carrier Org ID]],B300),2))</f>
        <v>TRUE</v>
      </c>
      <c r="K300" s="282" t="str">
        <f>IF(F300=ROUND(SUMIFS(AN_TME22[[#All],[TOTAL Non-Truncated Unadjusted Claims Expenses]], AN_TME22[[#All],[Insurance Category Code]],6, AN_TME22[[#All],[Advanced Network/Insurance Carrier Org ID]],B300),2),"TRUE", ROUND(F300-SUMIFS(AN_TME22[[#All],[TOTAL Non-Truncated Unadjusted Claims Expenses]], AN_TME22[[#All],[Insurance Category Code]],6, AN_TME22[[#All],[Advanced Network/Insurance Carrier Org ID]],B300),2))</f>
        <v>TRUE</v>
      </c>
      <c r="L300" s="295" t="str">
        <f>IF(G300=ROUND(SUMIFS(AN_TME22[[#All],[TOTAL Truncated Unadjusted Claims Expenses (A21 -A19)]], AN_TME22[[#All],[Insurance Category Code]],6, AN_TME22[[#All],[Advanced Network/Insurance Carrier Org ID]],B300),2), "TRUE", ROUND(G300-SUMIFS(AN_TME22[[#All],[TOTAL Truncated Unadjusted Claims Expenses (A21 -A19)]], AN_TME22[[#All],[Insurance Category Code]],6, AN_TME22[[#All],[Advanced Network/Insurance Carrier Org ID]],B300),2))</f>
        <v>TRUE</v>
      </c>
      <c r="M300" s="461" t="str">
        <f t="shared" si="27"/>
        <v>TRUE</v>
      </c>
      <c r="N300" s="282" t="b">
        <f>ROUND(SUMIFS(AN_TME22[[#All],[TOTAL Non-Truncated Unadjusted Claims Expenses]], AN_TME22[[#All],[Insurance Category Code]],6, AN_TME22[[#All],[Advanced Network/Insurance Carrier Org ID]],B300),2)&gt;=ROUND(SUMIFS(AN_TME22[[#All],[TOTAL Truncated Unadjusted Claims Expenses (A21 -A19)]], AN_TME22[[#All],[Insurance Category Code]],6, AN_TME22[[#All],[Advanced Network/Insurance Carrier Org ID]],B300),2)</f>
        <v>1</v>
      </c>
      <c r="O300" s="295" t="b">
        <f>ROUND(SUMIFS(AN_TME22[[#All],[TOTAL Truncated Unadjusted Claims Expenses (A21 -A19)]], AN_TME22[[#All],[Insurance Category Code]],6, AN_TME22[[#All],[Advanced Network/Insurance Carrier Org ID]],B300)+SUMIFS(AN_TME22[[#All],[Total Claims Excluded because of Truncation]], AN_TME22[[#All],[Insurance Category Code]],6, AN_TME22[[#All],[Advanced Network/Insurance Carrier Org ID]],B300),2)=ROUND(SUMIFS(AN_TME22[[#All],[TOTAL Non-Truncated Unadjusted Claims Expenses]], AN_TME22[[#All],[Insurance Category Code]],6, AN_TME22[[#All],[Advanced Network/Insurance Carrier Org ID]],B300),2)</f>
        <v>1</v>
      </c>
      <c r="Q300" s="236">
        <v>127</v>
      </c>
      <c r="R300" s="463">
        <f>ROUND(SUMIFS(Age_Sex23[[#All],[Total Member Months by Age/Sex Band]], Age_Sex23[[#All],[Advanced Network ID]], $Q300, Age_Sex23[[#All],[Insurance Category Code]],6),2)</f>
        <v>0</v>
      </c>
      <c r="S300" s="268">
        <f>ROUND(SUMIFS(Age_Sex23[[#All],[Total Dollars Excluded from Spending After Applying Truncation at the Member Level]], Age_Sex23[[#All],[Advanced Network ID]], $B300, Age_Sex23[[#All],[Insurance Category Code]],6),2)</f>
        <v>0</v>
      </c>
      <c r="T300" s="229">
        <f>ROUND(SUMIFS(Age_Sex23[[#All],[Count of Members whose Spending was Truncated]], Age_Sex23[[#All],[Advanced Network ID]], $B300, Age_Sex23[[#All],[Insurance Category Code]],6),2)</f>
        <v>0</v>
      </c>
      <c r="U300" s="230">
        <f>ROUND(SUMIFS(Age_Sex23[[#All],[Total Spending before Truncation is Applied]], Age_Sex23[[#All],[Advanced Network ID]], $B300, Age_Sex23[[#All],[Insurance Category Code]],6),2)</f>
        <v>0</v>
      </c>
      <c r="V300" s="232">
        <f>ROUND(SUMIFS(Age_Sex23[[#All],[Total Spending After Applying Truncation at the Member Level]], Age_Sex23[[#All],[Advanced Network ID]], $B300, Age_Sex23[[#All],[Insurance Category Code]],6),2)</f>
        <v>0</v>
      </c>
      <c r="W300" s="416" t="str">
        <f>IF(R300=ROUND(SUMIFS(AN_TME23[[#All],[Member Months]], AN_TME23[[#All],[Insurance Category Code]],6, AN_TME23[[#All],[Advanced Network/Insurance Carrier Org ID]],Q300),2), "TRUE", ROUND(R300-SUMIFS(AN_TME23[[#All],[Member Months]], AN_TME23[[#All],[Insurance Category Code]],6, AN_TME23[[#All],[Advanced Network/Insurance Carrier Org ID]],Q300),2))</f>
        <v>TRUE</v>
      </c>
      <c r="X300" s="280" t="str">
        <f>IF(S300=ROUND(SUMIFS(AN_TME23[[#All],[Total Claims Excluded because of Truncation]], AN_TME23[[#All],[Insurance Category Code]],6, AN_TME23[[#All],[Advanced Network/Insurance Carrier Org ID]],Q300),2), "TRUE", ROUND(S300-SUMIFS(AN_TME23[[#All],[Total Claims Excluded because of Truncation]], AN_TME23[[#All],[Insurance Category Code]],6, AN_TME23[[#All],[Advanced Network/Insurance Carrier Org ID]],Q300),2))</f>
        <v>TRUE</v>
      </c>
      <c r="Y300" s="281" t="str">
        <f>IF(T300=ROUND(SUMIFS(AN_TME23[[#All],[Count of Members with Claims Truncated]], AN_TME23[[#All],[Insurance Category Code]],6, AN_TME23[[#All],[Advanced Network/Insurance Carrier Org ID]],Q300),2), "TRUE", ROUND(T300-SUMIFS(AN_TME23[[#All],[Count of Members with Claims Truncated]], AN_TME23[[#All],[Insurance Category Code]],6, AN_TME23[[#All],[Advanced Network/Insurance Carrier Org ID]],Q300),2))</f>
        <v>TRUE</v>
      </c>
      <c r="Z300" s="282" t="str">
        <f>IF(U300=ROUND(SUMIFS(AN_TME23[[#All],[TOTAL Non-Truncated Unadjusted Claims Expenses]], AN_TME23[[#All],[Insurance Category Code]],6, AN_TME23[[#All],[Advanced Network/Insurance Carrier Org ID]],Q300),2), "TRUE", ROUND(U300-SUMIFS(AN_TME23[[#All],[TOTAL Non-Truncated Unadjusted Claims Expenses]], AN_TME23[[#All],[Insurance Category Code]],6, AN_TME23[[#All],[Advanced Network/Insurance Carrier Org ID]],Q300),2))</f>
        <v>TRUE</v>
      </c>
      <c r="AA300" s="295" t="str">
        <f>IF(V300=ROUND(SUMIFS(AN_TME23[[#All],[TOTAL Truncated Unadjusted Claims Expenses (A21 -A19)]], AN_TME23[[#All],[Insurance Category Code]],6, AN_TME23[[#All],[Advanced Network/Insurance Carrier Org ID]],Q300),2), "TRUE", ROUND(V300-SUMIFS(AN_TME23[[#All],[TOTAL Truncated Unadjusted Claims Expenses (A21 -A19)]], AN_TME23[[#All],[Insurance Category Code]],6, AN_TME23[[#All],[Advanced Network/Insurance Carrier Org ID]],Q300),2))</f>
        <v>TRUE</v>
      </c>
      <c r="AB300" s="461" t="str">
        <f t="shared" si="30"/>
        <v>TRUE</v>
      </c>
      <c r="AC300" s="282" t="b">
        <f>ROUND(SUMIFS(AN_TME23[[#All],[TOTAL Non-Truncated Unadjusted Claims Expenses]], AN_TME23[[#All],[Insurance Category Code]],6, AN_TME23[[#All],[Advanced Network/Insurance Carrier Org ID]],Q300),2)&gt;=ROUND(SUMIFS(AN_TME23[[#All],[TOTAL Truncated Unadjusted Claims Expenses (A21 -A19)]], AN_TME23[[#All],[Insurance Category Code]],6, AN_TME23[[#All],[Advanced Network/Insurance Carrier Org ID]],Q300),2)</f>
        <v>1</v>
      </c>
      <c r="AD300" s="295" t="b">
        <f>ROUND(SUMIFS(AN_TME23[[#All],[TOTAL Truncated Unadjusted Claims Expenses (A21 -A19)]], AN_TME23[[#All],[Insurance Category Code]],6, AN_TME23[[#All],[Advanced Network/Insurance Carrier Org ID]],Q300)+SUMIFS(AN_TME23[[#All],[Total Claims Excluded because of Truncation]], AN_TME23[[#All],[Insurance Category Code]],6, AN_TME23[[#All],[Advanced Network/Insurance Carrier Org ID]],Q300),2)=ROUND(SUMIFS(AN_TME23[[#All],[TOTAL Non-Truncated Unadjusted Claims Expenses]], AN_TME23[[#All],[Insurance Category Code]],6, AN_TME23[[#All],[Advanced Network/Insurance Carrier Org ID]],Q300),2)</f>
        <v>1</v>
      </c>
      <c r="AF300" s="323" t="str">
        <f t="shared" si="29"/>
        <v>NA</v>
      </c>
    </row>
    <row r="301" spans="2:32" outlineLevel="1" x14ac:dyDescent="0.25">
      <c r="B301" s="236">
        <v>128</v>
      </c>
      <c r="C301" s="463">
        <f>ROUND(SUMIFS(Age_Sex22[[#All],[Total Member Months by Age/Sex Band]], Age_Sex22[[#All],[Advanced Network ID]], $B301, Age_Sex22[[#All],[Insurance Category Code]],6),2)</f>
        <v>0</v>
      </c>
      <c r="D301" s="268">
        <f>ROUND(SUMIFS(Age_Sex22[[#All],[Total Dollars Excluded from Spending After Applying Truncation at the Member Level]], Age_Sex22[[#All],[Advanced Network ID]], $B301, Age_Sex22[[#All],[Insurance Category Code]],6),2)</f>
        <v>0</v>
      </c>
      <c r="E301" s="229">
        <f>ROUND(SUMIFS(Age_Sex22[[#All],[Count of Members whose Spending was Truncated]], Age_Sex22[[#All],[Advanced Network ID]], $B301, Age_Sex22[[#All],[Insurance Category Code]],6),2)</f>
        <v>0</v>
      </c>
      <c r="F301" s="230">
        <f>ROUND(SUMIFS(Age_Sex22[[#All],[Total Spending before Truncation is Applied]], Age_Sex22[[#All],[Advanced Network ID]], $B301, Age_Sex22[[#All],[Insurance Category Code]],6),2)</f>
        <v>0</v>
      </c>
      <c r="G301" s="232">
        <f>ROUND(SUMIFS(Age_Sex22[[#All],[Total Spending After Applying Truncation at the Member Level]], Age_Sex22[[#All],[Advanced Network ID]], $B301, Age_Sex22[[#All],[Insurance Category Code]],6),2)</f>
        <v>0</v>
      </c>
      <c r="H301" s="416" t="str">
        <f>IF(C301=ROUND(SUMIFS(AN_TME22[[#All],[Member Months]], AN_TME22[[#All],[Insurance Category Code]],6, AN_TME22[[#All],[Advanced Network/Insurance Carrier Org ID]],B301),2), "TRUE", ROUND(C301-SUMIFS(AN_TME22[[#All],[Member Months]], AN_TME22[[#All],[Insurance Category Code]],6, AN_TME22[[#All],[Advanced Network/Insurance Carrier Org ID]],B301),2))</f>
        <v>TRUE</v>
      </c>
      <c r="I301" s="280" t="str">
        <f>IF(D301=ROUND(SUMIFS(AN_TME22[[#All],[Total Claims Excluded because of Truncation]], AN_TME22[[#All],[Insurance Category Code]],6, AN_TME22[[#All],[Advanced Network/Insurance Carrier Org ID]],B301),2), "TRUE", ROUND(D301-SUMIFS(AN_TME22[[#All],[Total Claims Excluded because of Truncation]], AN_TME22[[#All],[Insurance Category Code]],6, AN_TME22[[#All],[Advanced Network/Insurance Carrier Org ID]],B301),2))</f>
        <v>TRUE</v>
      </c>
      <c r="J301" s="281" t="str">
        <f>IF(E301=ROUND(SUMIFS(AN_TME22[[#All],[Count of Members with Claims Truncated]], AN_TME22[[#All],[Insurance Category Code]],6, AN_TME22[[#All],[Advanced Network/Insurance Carrier Org ID]],B301),2), "TRUE", ROUND(E301-SUMIFS(AN_TME22[[#All],[Count of Members with Claims Truncated]], AN_TME22[[#All],[Insurance Category Code]],6, AN_TME22[[#All],[Advanced Network/Insurance Carrier Org ID]],B301),2))</f>
        <v>TRUE</v>
      </c>
      <c r="K301" s="282" t="str">
        <f>IF(F301=ROUND(SUMIFS(AN_TME22[[#All],[TOTAL Non-Truncated Unadjusted Claims Expenses]], AN_TME22[[#All],[Insurance Category Code]],6, AN_TME22[[#All],[Advanced Network/Insurance Carrier Org ID]],B301),2),"TRUE", ROUND(F301-SUMIFS(AN_TME22[[#All],[TOTAL Non-Truncated Unadjusted Claims Expenses]], AN_TME22[[#All],[Insurance Category Code]],6, AN_TME22[[#All],[Advanced Network/Insurance Carrier Org ID]],B301),2))</f>
        <v>TRUE</v>
      </c>
      <c r="L301" s="295" t="str">
        <f>IF(G301=ROUND(SUMIFS(AN_TME22[[#All],[TOTAL Truncated Unadjusted Claims Expenses (A21 -A19)]], AN_TME22[[#All],[Insurance Category Code]],6, AN_TME22[[#All],[Advanced Network/Insurance Carrier Org ID]],B301),2), "TRUE", ROUND(G301-SUMIFS(AN_TME22[[#All],[TOTAL Truncated Unadjusted Claims Expenses (A21 -A19)]], AN_TME22[[#All],[Insurance Category Code]],6, AN_TME22[[#All],[Advanced Network/Insurance Carrier Org ID]],B301),2))</f>
        <v>TRUE</v>
      </c>
      <c r="M301" s="461" t="str">
        <f t="shared" si="27"/>
        <v>TRUE</v>
      </c>
      <c r="N301" s="282" t="b">
        <f>ROUND(SUMIFS(AN_TME22[[#All],[TOTAL Non-Truncated Unadjusted Claims Expenses]], AN_TME22[[#All],[Insurance Category Code]],6, AN_TME22[[#All],[Advanced Network/Insurance Carrier Org ID]],B301),2)&gt;=ROUND(SUMIFS(AN_TME22[[#All],[TOTAL Truncated Unadjusted Claims Expenses (A21 -A19)]], AN_TME22[[#All],[Insurance Category Code]],6, AN_TME22[[#All],[Advanced Network/Insurance Carrier Org ID]],B301),2)</f>
        <v>1</v>
      </c>
      <c r="O301" s="295" t="b">
        <f>ROUND(SUMIFS(AN_TME22[[#All],[TOTAL Truncated Unadjusted Claims Expenses (A21 -A19)]], AN_TME22[[#All],[Insurance Category Code]],6, AN_TME22[[#All],[Advanced Network/Insurance Carrier Org ID]],B301)+SUMIFS(AN_TME22[[#All],[Total Claims Excluded because of Truncation]], AN_TME22[[#All],[Insurance Category Code]],6, AN_TME22[[#All],[Advanced Network/Insurance Carrier Org ID]],B301),2)=ROUND(SUMIFS(AN_TME22[[#All],[TOTAL Non-Truncated Unadjusted Claims Expenses]], AN_TME22[[#All],[Insurance Category Code]],6, AN_TME22[[#All],[Advanced Network/Insurance Carrier Org ID]],B301),2)</f>
        <v>1</v>
      </c>
      <c r="Q301" s="236">
        <v>128</v>
      </c>
      <c r="R301" s="463">
        <f>ROUND(SUMIFS(Age_Sex23[[#All],[Total Member Months by Age/Sex Band]], Age_Sex23[[#All],[Advanced Network ID]], $Q301, Age_Sex23[[#All],[Insurance Category Code]],6),2)</f>
        <v>0</v>
      </c>
      <c r="S301" s="268">
        <f>ROUND(SUMIFS(Age_Sex23[[#All],[Total Dollars Excluded from Spending After Applying Truncation at the Member Level]], Age_Sex23[[#All],[Advanced Network ID]], $B301, Age_Sex23[[#All],[Insurance Category Code]],6),2)</f>
        <v>0</v>
      </c>
      <c r="T301" s="229">
        <f>ROUND(SUMIFS(Age_Sex23[[#All],[Count of Members whose Spending was Truncated]], Age_Sex23[[#All],[Advanced Network ID]], $B301, Age_Sex23[[#All],[Insurance Category Code]],6),2)</f>
        <v>0</v>
      </c>
      <c r="U301" s="230">
        <f>ROUND(SUMIFS(Age_Sex23[[#All],[Total Spending before Truncation is Applied]], Age_Sex23[[#All],[Advanced Network ID]], $B301, Age_Sex23[[#All],[Insurance Category Code]],6),2)</f>
        <v>0</v>
      </c>
      <c r="V301" s="232">
        <f>ROUND(SUMIFS(Age_Sex23[[#All],[Total Spending After Applying Truncation at the Member Level]], Age_Sex23[[#All],[Advanced Network ID]], $B301, Age_Sex23[[#All],[Insurance Category Code]],6),2)</f>
        <v>0</v>
      </c>
      <c r="W301" s="416" t="str">
        <f>IF(R301=ROUND(SUMIFS(AN_TME23[[#All],[Member Months]], AN_TME23[[#All],[Insurance Category Code]],6, AN_TME23[[#All],[Advanced Network/Insurance Carrier Org ID]],Q301),2), "TRUE", ROUND(R301-SUMIFS(AN_TME23[[#All],[Member Months]], AN_TME23[[#All],[Insurance Category Code]],6, AN_TME23[[#All],[Advanced Network/Insurance Carrier Org ID]],Q301),2))</f>
        <v>TRUE</v>
      </c>
      <c r="X301" s="280" t="str">
        <f>IF(S301=ROUND(SUMIFS(AN_TME23[[#All],[Total Claims Excluded because of Truncation]], AN_TME23[[#All],[Insurance Category Code]],6, AN_TME23[[#All],[Advanced Network/Insurance Carrier Org ID]],Q301),2), "TRUE", ROUND(S301-SUMIFS(AN_TME23[[#All],[Total Claims Excluded because of Truncation]], AN_TME23[[#All],[Insurance Category Code]],6, AN_TME23[[#All],[Advanced Network/Insurance Carrier Org ID]],Q301),2))</f>
        <v>TRUE</v>
      </c>
      <c r="Y301" s="281" t="str">
        <f>IF(T301=ROUND(SUMIFS(AN_TME23[[#All],[Count of Members with Claims Truncated]], AN_TME23[[#All],[Insurance Category Code]],6, AN_TME23[[#All],[Advanced Network/Insurance Carrier Org ID]],Q301),2), "TRUE", ROUND(T301-SUMIFS(AN_TME23[[#All],[Count of Members with Claims Truncated]], AN_TME23[[#All],[Insurance Category Code]],6, AN_TME23[[#All],[Advanced Network/Insurance Carrier Org ID]],Q301),2))</f>
        <v>TRUE</v>
      </c>
      <c r="Z301" s="282" t="str">
        <f>IF(U301=ROUND(SUMIFS(AN_TME23[[#All],[TOTAL Non-Truncated Unadjusted Claims Expenses]], AN_TME23[[#All],[Insurance Category Code]],6, AN_TME23[[#All],[Advanced Network/Insurance Carrier Org ID]],Q301),2), "TRUE", ROUND(U301-SUMIFS(AN_TME23[[#All],[TOTAL Non-Truncated Unadjusted Claims Expenses]], AN_TME23[[#All],[Insurance Category Code]],6, AN_TME23[[#All],[Advanced Network/Insurance Carrier Org ID]],Q301),2))</f>
        <v>TRUE</v>
      </c>
      <c r="AA301" s="295" t="str">
        <f>IF(V301=ROUND(SUMIFS(AN_TME23[[#All],[TOTAL Truncated Unadjusted Claims Expenses (A21 -A19)]], AN_TME23[[#All],[Insurance Category Code]],6, AN_TME23[[#All],[Advanced Network/Insurance Carrier Org ID]],Q301),2), "TRUE", ROUND(V301-SUMIFS(AN_TME23[[#All],[TOTAL Truncated Unadjusted Claims Expenses (A21 -A19)]], AN_TME23[[#All],[Insurance Category Code]],6, AN_TME23[[#All],[Advanced Network/Insurance Carrier Org ID]],Q301),2))</f>
        <v>TRUE</v>
      </c>
      <c r="AB301" s="461" t="str">
        <f t="shared" si="30"/>
        <v>TRUE</v>
      </c>
      <c r="AC301" s="282" t="b">
        <f>ROUND(SUMIFS(AN_TME23[[#All],[TOTAL Non-Truncated Unadjusted Claims Expenses]], AN_TME23[[#All],[Insurance Category Code]],6, AN_TME23[[#All],[Advanced Network/Insurance Carrier Org ID]],Q301),2)&gt;=ROUND(SUMIFS(AN_TME23[[#All],[TOTAL Truncated Unadjusted Claims Expenses (A21 -A19)]], AN_TME23[[#All],[Insurance Category Code]],6, AN_TME23[[#All],[Advanced Network/Insurance Carrier Org ID]],Q301),2)</f>
        <v>1</v>
      </c>
      <c r="AD301" s="295" t="b">
        <f>ROUND(SUMIFS(AN_TME23[[#All],[TOTAL Truncated Unadjusted Claims Expenses (A21 -A19)]], AN_TME23[[#All],[Insurance Category Code]],6, AN_TME23[[#All],[Advanced Network/Insurance Carrier Org ID]],Q301)+SUMIFS(AN_TME23[[#All],[Total Claims Excluded because of Truncation]], AN_TME23[[#All],[Insurance Category Code]],6, AN_TME23[[#All],[Advanced Network/Insurance Carrier Org ID]],Q301),2)=ROUND(SUMIFS(AN_TME23[[#All],[TOTAL Non-Truncated Unadjusted Claims Expenses]], AN_TME23[[#All],[Insurance Category Code]],6, AN_TME23[[#All],[Advanced Network/Insurance Carrier Org ID]],Q301),2)</f>
        <v>1</v>
      </c>
      <c r="AF301" s="323" t="str">
        <f t="shared" si="29"/>
        <v>NA</v>
      </c>
    </row>
    <row r="302" spans="2:32" outlineLevel="1" x14ac:dyDescent="0.25">
      <c r="B302" s="236">
        <v>129</v>
      </c>
      <c r="C302" s="463">
        <f>ROUND(SUMIFS(Age_Sex22[[#All],[Total Member Months by Age/Sex Band]], Age_Sex22[[#All],[Advanced Network ID]], $B302, Age_Sex22[[#All],[Insurance Category Code]],6),2)</f>
        <v>0</v>
      </c>
      <c r="D302" s="268">
        <f>ROUND(SUMIFS(Age_Sex22[[#All],[Total Dollars Excluded from Spending After Applying Truncation at the Member Level]], Age_Sex22[[#All],[Advanced Network ID]], $B302, Age_Sex22[[#All],[Insurance Category Code]],6),2)</f>
        <v>0</v>
      </c>
      <c r="E302" s="229">
        <f>ROUND(SUMIFS(Age_Sex22[[#All],[Count of Members whose Spending was Truncated]], Age_Sex22[[#All],[Advanced Network ID]], $B302, Age_Sex22[[#All],[Insurance Category Code]],6),2)</f>
        <v>0</v>
      </c>
      <c r="F302" s="230">
        <f>ROUND(SUMIFS(Age_Sex22[[#All],[Total Spending before Truncation is Applied]], Age_Sex22[[#All],[Advanced Network ID]], $B302, Age_Sex22[[#All],[Insurance Category Code]],6),2)</f>
        <v>0</v>
      </c>
      <c r="G302" s="232">
        <f>ROUND(SUMIFS(Age_Sex22[[#All],[Total Spending After Applying Truncation at the Member Level]], Age_Sex22[[#All],[Advanced Network ID]], $B302, Age_Sex22[[#All],[Insurance Category Code]],6),2)</f>
        <v>0</v>
      </c>
      <c r="H302" s="416" t="str">
        <f>IF(C302=ROUND(SUMIFS(AN_TME22[[#All],[Member Months]], AN_TME22[[#All],[Insurance Category Code]],6, AN_TME22[[#All],[Advanced Network/Insurance Carrier Org ID]],B302),2), "TRUE", ROUND(C302-SUMIFS(AN_TME22[[#All],[Member Months]], AN_TME22[[#All],[Insurance Category Code]],6, AN_TME22[[#All],[Advanced Network/Insurance Carrier Org ID]],B302),2))</f>
        <v>TRUE</v>
      </c>
      <c r="I302" s="280" t="str">
        <f>IF(D302=ROUND(SUMIFS(AN_TME22[[#All],[Total Claims Excluded because of Truncation]], AN_TME22[[#All],[Insurance Category Code]],6, AN_TME22[[#All],[Advanced Network/Insurance Carrier Org ID]],B302),2), "TRUE", ROUND(D302-SUMIFS(AN_TME22[[#All],[Total Claims Excluded because of Truncation]], AN_TME22[[#All],[Insurance Category Code]],6, AN_TME22[[#All],[Advanced Network/Insurance Carrier Org ID]],B302),2))</f>
        <v>TRUE</v>
      </c>
      <c r="J302" s="281" t="str">
        <f>IF(E302=ROUND(SUMIFS(AN_TME22[[#All],[Count of Members with Claims Truncated]], AN_TME22[[#All],[Insurance Category Code]],6, AN_TME22[[#All],[Advanced Network/Insurance Carrier Org ID]],B302),2), "TRUE", ROUND(E302-SUMIFS(AN_TME22[[#All],[Count of Members with Claims Truncated]], AN_TME22[[#All],[Insurance Category Code]],6, AN_TME22[[#All],[Advanced Network/Insurance Carrier Org ID]],B302),2))</f>
        <v>TRUE</v>
      </c>
      <c r="K302" s="282" t="str">
        <f>IF(F302=ROUND(SUMIFS(AN_TME22[[#All],[TOTAL Non-Truncated Unadjusted Claims Expenses]], AN_TME22[[#All],[Insurance Category Code]],6, AN_TME22[[#All],[Advanced Network/Insurance Carrier Org ID]],B302),2),"TRUE", ROUND(F302-SUMIFS(AN_TME22[[#All],[TOTAL Non-Truncated Unadjusted Claims Expenses]], AN_TME22[[#All],[Insurance Category Code]],6, AN_TME22[[#All],[Advanced Network/Insurance Carrier Org ID]],B302),2))</f>
        <v>TRUE</v>
      </c>
      <c r="L302" s="295" t="str">
        <f>IF(G302=ROUND(SUMIFS(AN_TME22[[#All],[TOTAL Truncated Unadjusted Claims Expenses (A21 -A19)]], AN_TME22[[#All],[Insurance Category Code]],6, AN_TME22[[#All],[Advanced Network/Insurance Carrier Org ID]],B302),2), "TRUE", ROUND(G302-SUMIFS(AN_TME22[[#All],[TOTAL Truncated Unadjusted Claims Expenses (A21 -A19)]], AN_TME22[[#All],[Insurance Category Code]],6, AN_TME22[[#All],[Advanced Network/Insurance Carrier Org ID]],B302),2))</f>
        <v>TRUE</v>
      </c>
      <c r="M302" s="461" t="str">
        <f t="shared" si="27"/>
        <v>TRUE</v>
      </c>
      <c r="N302" s="282" t="b">
        <f>ROUND(SUMIFS(AN_TME22[[#All],[TOTAL Non-Truncated Unadjusted Claims Expenses]], AN_TME22[[#All],[Insurance Category Code]],6, AN_TME22[[#All],[Advanced Network/Insurance Carrier Org ID]],B302),2)&gt;=ROUND(SUMIFS(AN_TME22[[#All],[TOTAL Truncated Unadjusted Claims Expenses (A21 -A19)]], AN_TME22[[#All],[Insurance Category Code]],6, AN_TME22[[#All],[Advanced Network/Insurance Carrier Org ID]],B302),2)</f>
        <v>1</v>
      </c>
      <c r="O302" s="295" t="b">
        <f>ROUND(SUMIFS(AN_TME22[[#All],[TOTAL Truncated Unadjusted Claims Expenses (A21 -A19)]], AN_TME22[[#All],[Insurance Category Code]],6, AN_TME22[[#All],[Advanced Network/Insurance Carrier Org ID]],B302)+SUMIFS(AN_TME22[[#All],[Total Claims Excluded because of Truncation]], AN_TME22[[#All],[Insurance Category Code]],6, AN_TME22[[#All],[Advanced Network/Insurance Carrier Org ID]],B302),2)=ROUND(SUMIFS(AN_TME22[[#All],[TOTAL Non-Truncated Unadjusted Claims Expenses]], AN_TME22[[#All],[Insurance Category Code]],6, AN_TME22[[#All],[Advanced Network/Insurance Carrier Org ID]],B302),2)</f>
        <v>1</v>
      </c>
      <c r="Q302" s="236">
        <v>129</v>
      </c>
      <c r="R302" s="463">
        <f>ROUND(SUMIFS(Age_Sex23[[#All],[Total Member Months by Age/Sex Band]], Age_Sex23[[#All],[Advanced Network ID]], $Q302, Age_Sex23[[#All],[Insurance Category Code]],6),2)</f>
        <v>0</v>
      </c>
      <c r="S302" s="268">
        <f>ROUND(SUMIFS(Age_Sex23[[#All],[Total Dollars Excluded from Spending After Applying Truncation at the Member Level]], Age_Sex23[[#All],[Advanced Network ID]], $B302, Age_Sex23[[#All],[Insurance Category Code]],6),2)</f>
        <v>0</v>
      </c>
      <c r="T302" s="229">
        <f>ROUND(SUMIFS(Age_Sex23[[#All],[Count of Members whose Spending was Truncated]], Age_Sex23[[#All],[Advanced Network ID]], $B302, Age_Sex23[[#All],[Insurance Category Code]],6),2)</f>
        <v>0</v>
      </c>
      <c r="U302" s="230">
        <f>ROUND(SUMIFS(Age_Sex23[[#All],[Total Spending before Truncation is Applied]], Age_Sex23[[#All],[Advanced Network ID]], $B302, Age_Sex23[[#All],[Insurance Category Code]],6),2)</f>
        <v>0</v>
      </c>
      <c r="V302" s="232">
        <f>ROUND(SUMIFS(Age_Sex23[[#All],[Total Spending After Applying Truncation at the Member Level]], Age_Sex23[[#All],[Advanced Network ID]], $B302, Age_Sex23[[#All],[Insurance Category Code]],6),2)</f>
        <v>0</v>
      </c>
      <c r="W302" s="416" t="str">
        <f>IF(R302=ROUND(SUMIFS(AN_TME23[[#All],[Member Months]], AN_TME23[[#All],[Insurance Category Code]],6, AN_TME23[[#All],[Advanced Network/Insurance Carrier Org ID]],Q302),2), "TRUE", ROUND(R302-SUMIFS(AN_TME23[[#All],[Member Months]], AN_TME23[[#All],[Insurance Category Code]],6, AN_TME23[[#All],[Advanced Network/Insurance Carrier Org ID]],Q302),2))</f>
        <v>TRUE</v>
      </c>
      <c r="X302" s="280" t="str">
        <f>IF(S302=ROUND(SUMIFS(AN_TME23[[#All],[Total Claims Excluded because of Truncation]], AN_TME23[[#All],[Insurance Category Code]],6, AN_TME23[[#All],[Advanced Network/Insurance Carrier Org ID]],Q302),2), "TRUE", ROUND(S302-SUMIFS(AN_TME23[[#All],[Total Claims Excluded because of Truncation]], AN_TME23[[#All],[Insurance Category Code]],6, AN_TME23[[#All],[Advanced Network/Insurance Carrier Org ID]],Q302),2))</f>
        <v>TRUE</v>
      </c>
      <c r="Y302" s="281" t="str">
        <f>IF(T302=ROUND(SUMIFS(AN_TME23[[#All],[Count of Members with Claims Truncated]], AN_TME23[[#All],[Insurance Category Code]],6, AN_TME23[[#All],[Advanced Network/Insurance Carrier Org ID]],Q302),2), "TRUE", ROUND(T302-SUMIFS(AN_TME23[[#All],[Count of Members with Claims Truncated]], AN_TME23[[#All],[Insurance Category Code]],6, AN_TME23[[#All],[Advanced Network/Insurance Carrier Org ID]],Q302),2))</f>
        <v>TRUE</v>
      </c>
      <c r="Z302" s="282" t="str">
        <f>IF(U302=ROUND(SUMIFS(AN_TME23[[#All],[TOTAL Non-Truncated Unadjusted Claims Expenses]], AN_TME23[[#All],[Insurance Category Code]],6, AN_TME23[[#All],[Advanced Network/Insurance Carrier Org ID]],Q302),2), "TRUE", ROUND(U302-SUMIFS(AN_TME23[[#All],[TOTAL Non-Truncated Unadjusted Claims Expenses]], AN_TME23[[#All],[Insurance Category Code]],6, AN_TME23[[#All],[Advanced Network/Insurance Carrier Org ID]],Q302),2))</f>
        <v>TRUE</v>
      </c>
      <c r="AA302" s="295" t="str">
        <f>IF(V302=ROUND(SUMIFS(AN_TME23[[#All],[TOTAL Truncated Unadjusted Claims Expenses (A21 -A19)]], AN_TME23[[#All],[Insurance Category Code]],6, AN_TME23[[#All],[Advanced Network/Insurance Carrier Org ID]],Q302),2), "TRUE", ROUND(V302-SUMIFS(AN_TME23[[#All],[TOTAL Truncated Unadjusted Claims Expenses (A21 -A19)]], AN_TME23[[#All],[Insurance Category Code]],6, AN_TME23[[#All],[Advanced Network/Insurance Carrier Org ID]],Q302),2))</f>
        <v>TRUE</v>
      </c>
      <c r="AB302" s="461" t="str">
        <f t="shared" si="30"/>
        <v>TRUE</v>
      </c>
      <c r="AC302" s="282" t="b">
        <f>ROUND(SUMIFS(AN_TME23[[#All],[TOTAL Non-Truncated Unadjusted Claims Expenses]], AN_TME23[[#All],[Insurance Category Code]],6, AN_TME23[[#All],[Advanced Network/Insurance Carrier Org ID]],Q302),2)&gt;=ROUND(SUMIFS(AN_TME23[[#All],[TOTAL Truncated Unadjusted Claims Expenses (A21 -A19)]], AN_TME23[[#All],[Insurance Category Code]],6, AN_TME23[[#All],[Advanced Network/Insurance Carrier Org ID]],Q302),2)</f>
        <v>1</v>
      </c>
      <c r="AD302" s="295" t="b">
        <f>ROUND(SUMIFS(AN_TME23[[#All],[TOTAL Truncated Unadjusted Claims Expenses (A21 -A19)]], AN_TME23[[#All],[Insurance Category Code]],6, AN_TME23[[#All],[Advanced Network/Insurance Carrier Org ID]],Q302)+SUMIFS(AN_TME23[[#All],[Total Claims Excluded because of Truncation]], AN_TME23[[#All],[Insurance Category Code]],6, AN_TME23[[#All],[Advanced Network/Insurance Carrier Org ID]],Q302),2)=ROUND(SUMIFS(AN_TME23[[#All],[TOTAL Non-Truncated Unadjusted Claims Expenses]], AN_TME23[[#All],[Insurance Category Code]],6, AN_TME23[[#All],[Advanced Network/Insurance Carrier Org ID]],Q302),2)</f>
        <v>1</v>
      </c>
      <c r="AF302" s="323" t="str">
        <f t="shared" si="29"/>
        <v>NA</v>
      </c>
    </row>
    <row r="303" spans="2:32" outlineLevel="1" x14ac:dyDescent="0.25">
      <c r="B303" s="236">
        <v>130</v>
      </c>
      <c r="C303" s="463">
        <f>ROUND(SUMIFS(Age_Sex22[[#All],[Total Member Months by Age/Sex Band]], Age_Sex22[[#All],[Advanced Network ID]], $B303, Age_Sex22[[#All],[Insurance Category Code]],6),2)</f>
        <v>0</v>
      </c>
      <c r="D303" s="268">
        <f>ROUND(SUMIFS(Age_Sex22[[#All],[Total Dollars Excluded from Spending After Applying Truncation at the Member Level]], Age_Sex22[[#All],[Advanced Network ID]], $B303, Age_Sex22[[#All],[Insurance Category Code]],6),2)</f>
        <v>0</v>
      </c>
      <c r="E303" s="229">
        <f>ROUND(SUMIFS(Age_Sex22[[#All],[Count of Members whose Spending was Truncated]], Age_Sex22[[#All],[Advanced Network ID]], $B303, Age_Sex22[[#All],[Insurance Category Code]],6),2)</f>
        <v>0</v>
      </c>
      <c r="F303" s="230">
        <f>ROUND(SUMIFS(Age_Sex22[[#All],[Total Spending before Truncation is Applied]], Age_Sex22[[#All],[Advanced Network ID]], $B303, Age_Sex22[[#All],[Insurance Category Code]],6),2)</f>
        <v>0</v>
      </c>
      <c r="G303" s="232">
        <f>ROUND(SUMIFS(Age_Sex22[[#All],[Total Spending After Applying Truncation at the Member Level]], Age_Sex22[[#All],[Advanced Network ID]], $B303, Age_Sex22[[#All],[Insurance Category Code]],6),2)</f>
        <v>0</v>
      </c>
      <c r="H303" s="416" t="str">
        <f>IF(C303=ROUND(SUMIFS(AN_TME22[[#All],[Member Months]], AN_TME22[[#All],[Insurance Category Code]],6, AN_TME22[[#All],[Advanced Network/Insurance Carrier Org ID]],B303),2), "TRUE", ROUND(C303-SUMIFS(AN_TME22[[#All],[Member Months]], AN_TME22[[#All],[Insurance Category Code]],6, AN_TME22[[#All],[Advanced Network/Insurance Carrier Org ID]],B303),2))</f>
        <v>TRUE</v>
      </c>
      <c r="I303" s="280" t="str">
        <f>IF(D303=ROUND(SUMIFS(AN_TME22[[#All],[Total Claims Excluded because of Truncation]], AN_TME22[[#All],[Insurance Category Code]],6, AN_TME22[[#All],[Advanced Network/Insurance Carrier Org ID]],B303),2), "TRUE", ROUND(D303-SUMIFS(AN_TME22[[#All],[Total Claims Excluded because of Truncation]], AN_TME22[[#All],[Insurance Category Code]],6, AN_TME22[[#All],[Advanced Network/Insurance Carrier Org ID]],B303),2))</f>
        <v>TRUE</v>
      </c>
      <c r="J303" s="281" t="str">
        <f>IF(E303=ROUND(SUMIFS(AN_TME22[[#All],[Count of Members with Claims Truncated]], AN_TME22[[#All],[Insurance Category Code]],6, AN_TME22[[#All],[Advanced Network/Insurance Carrier Org ID]],B303),2), "TRUE", ROUND(E303-SUMIFS(AN_TME22[[#All],[Count of Members with Claims Truncated]], AN_TME22[[#All],[Insurance Category Code]],6, AN_TME22[[#All],[Advanced Network/Insurance Carrier Org ID]],B303),2))</f>
        <v>TRUE</v>
      </c>
      <c r="K303" s="282" t="str">
        <f>IF(F303=ROUND(SUMIFS(AN_TME22[[#All],[TOTAL Non-Truncated Unadjusted Claims Expenses]], AN_TME22[[#All],[Insurance Category Code]],6, AN_TME22[[#All],[Advanced Network/Insurance Carrier Org ID]],B303),2),"TRUE", ROUND(F303-SUMIFS(AN_TME22[[#All],[TOTAL Non-Truncated Unadjusted Claims Expenses]], AN_TME22[[#All],[Insurance Category Code]],6, AN_TME22[[#All],[Advanced Network/Insurance Carrier Org ID]],B303),2))</f>
        <v>TRUE</v>
      </c>
      <c r="L303" s="295" t="str">
        <f>IF(G303=ROUND(SUMIFS(AN_TME22[[#All],[TOTAL Truncated Unadjusted Claims Expenses (A21 -A19)]], AN_TME22[[#All],[Insurance Category Code]],6, AN_TME22[[#All],[Advanced Network/Insurance Carrier Org ID]],B303),2), "TRUE", ROUND(G303-SUMIFS(AN_TME22[[#All],[TOTAL Truncated Unadjusted Claims Expenses (A21 -A19)]], AN_TME22[[#All],[Insurance Category Code]],6, AN_TME22[[#All],[Advanced Network/Insurance Carrier Org ID]],B303),2))</f>
        <v>TRUE</v>
      </c>
      <c r="M303" s="461" t="str">
        <f t="shared" si="27"/>
        <v>TRUE</v>
      </c>
      <c r="N303" s="282" t="b">
        <f>ROUND(SUMIFS(AN_TME22[[#All],[TOTAL Non-Truncated Unadjusted Claims Expenses]], AN_TME22[[#All],[Insurance Category Code]],6, AN_TME22[[#All],[Advanced Network/Insurance Carrier Org ID]],B303),2)&gt;=ROUND(SUMIFS(AN_TME22[[#All],[TOTAL Truncated Unadjusted Claims Expenses (A21 -A19)]], AN_TME22[[#All],[Insurance Category Code]],6, AN_TME22[[#All],[Advanced Network/Insurance Carrier Org ID]],B303),2)</f>
        <v>1</v>
      </c>
      <c r="O303" s="295" t="b">
        <f>ROUND(SUMIFS(AN_TME22[[#All],[TOTAL Truncated Unadjusted Claims Expenses (A21 -A19)]], AN_TME22[[#All],[Insurance Category Code]],6, AN_TME22[[#All],[Advanced Network/Insurance Carrier Org ID]],B303)+SUMIFS(AN_TME22[[#All],[Total Claims Excluded because of Truncation]], AN_TME22[[#All],[Insurance Category Code]],6, AN_TME22[[#All],[Advanced Network/Insurance Carrier Org ID]],B303),2)=ROUND(SUMIFS(AN_TME22[[#All],[TOTAL Non-Truncated Unadjusted Claims Expenses]], AN_TME22[[#All],[Insurance Category Code]],6, AN_TME22[[#All],[Advanced Network/Insurance Carrier Org ID]],B303),2)</f>
        <v>1</v>
      </c>
      <c r="Q303" s="236">
        <v>130</v>
      </c>
      <c r="R303" s="463">
        <f>ROUND(SUMIFS(Age_Sex23[[#All],[Total Member Months by Age/Sex Band]], Age_Sex23[[#All],[Advanced Network ID]], $Q303, Age_Sex23[[#All],[Insurance Category Code]],6),2)</f>
        <v>0</v>
      </c>
      <c r="S303" s="268">
        <f>ROUND(SUMIFS(Age_Sex23[[#All],[Total Dollars Excluded from Spending After Applying Truncation at the Member Level]], Age_Sex23[[#All],[Advanced Network ID]], $B303, Age_Sex23[[#All],[Insurance Category Code]],6),2)</f>
        <v>0</v>
      </c>
      <c r="T303" s="229">
        <f>ROUND(SUMIFS(Age_Sex23[[#All],[Count of Members whose Spending was Truncated]], Age_Sex23[[#All],[Advanced Network ID]], $B303, Age_Sex23[[#All],[Insurance Category Code]],6),2)</f>
        <v>0</v>
      </c>
      <c r="U303" s="230">
        <f>ROUND(SUMIFS(Age_Sex23[[#All],[Total Spending before Truncation is Applied]], Age_Sex23[[#All],[Advanced Network ID]], $B303, Age_Sex23[[#All],[Insurance Category Code]],6),2)</f>
        <v>0</v>
      </c>
      <c r="V303" s="232">
        <f>ROUND(SUMIFS(Age_Sex23[[#All],[Total Spending After Applying Truncation at the Member Level]], Age_Sex23[[#All],[Advanced Network ID]], $B303, Age_Sex23[[#All],[Insurance Category Code]],6),2)</f>
        <v>0</v>
      </c>
      <c r="W303" s="416" t="str">
        <f>IF(R303=ROUND(SUMIFS(AN_TME23[[#All],[Member Months]], AN_TME23[[#All],[Insurance Category Code]],6, AN_TME23[[#All],[Advanced Network/Insurance Carrier Org ID]],Q303),2), "TRUE", ROUND(R303-SUMIFS(AN_TME23[[#All],[Member Months]], AN_TME23[[#All],[Insurance Category Code]],6, AN_TME23[[#All],[Advanced Network/Insurance Carrier Org ID]],Q303),2))</f>
        <v>TRUE</v>
      </c>
      <c r="X303" s="280" t="str">
        <f>IF(S303=ROUND(SUMIFS(AN_TME23[[#All],[Total Claims Excluded because of Truncation]], AN_TME23[[#All],[Insurance Category Code]],6, AN_TME23[[#All],[Advanced Network/Insurance Carrier Org ID]],Q303),2), "TRUE", ROUND(S303-SUMIFS(AN_TME23[[#All],[Total Claims Excluded because of Truncation]], AN_TME23[[#All],[Insurance Category Code]],6, AN_TME23[[#All],[Advanced Network/Insurance Carrier Org ID]],Q303),2))</f>
        <v>TRUE</v>
      </c>
      <c r="Y303" s="281" t="str">
        <f>IF(T303=ROUND(SUMIFS(AN_TME23[[#All],[Count of Members with Claims Truncated]], AN_TME23[[#All],[Insurance Category Code]],6, AN_TME23[[#All],[Advanced Network/Insurance Carrier Org ID]],Q303),2), "TRUE", ROUND(T303-SUMIFS(AN_TME23[[#All],[Count of Members with Claims Truncated]], AN_TME23[[#All],[Insurance Category Code]],6, AN_TME23[[#All],[Advanced Network/Insurance Carrier Org ID]],Q303),2))</f>
        <v>TRUE</v>
      </c>
      <c r="Z303" s="282" t="str">
        <f>IF(U303=ROUND(SUMIFS(AN_TME23[[#All],[TOTAL Non-Truncated Unadjusted Claims Expenses]], AN_TME23[[#All],[Insurance Category Code]],6, AN_TME23[[#All],[Advanced Network/Insurance Carrier Org ID]],Q303),2), "TRUE", ROUND(U303-SUMIFS(AN_TME23[[#All],[TOTAL Non-Truncated Unadjusted Claims Expenses]], AN_TME23[[#All],[Insurance Category Code]],6, AN_TME23[[#All],[Advanced Network/Insurance Carrier Org ID]],Q303),2))</f>
        <v>TRUE</v>
      </c>
      <c r="AA303" s="295" t="str">
        <f>IF(V303=ROUND(SUMIFS(AN_TME23[[#All],[TOTAL Truncated Unadjusted Claims Expenses (A21 -A19)]], AN_TME23[[#All],[Insurance Category Code]],6, AN_TME23[[#All],[Advanced Network/Insurance Carrier Org ID]],Q303),2), "TRUE", ROUND(V303-SUMIFS(AN_TME23[[#All],[TOTAL Truncated Unadjusted Claims Expenses (A21 -A19)]], AN_TME23[[#All],[Insurance Category Code]],6, AN_TME23[[#All],[Advanced Network/Insurance Carrier Org ID]],Q303),2))</f>
        <v>TRUE</v>
      </c>
      <c r="AB303" s="461" t="str">
        <f t="shared" si="30"/>
        <v>TRUE</v>
      </c>
      <c r="AC303" s="282" t="b">
        <f>ROUND(SUMIFS(AN_TME23[[#All],[TOTAL Non-Truncated Unadjusted Claims Expenses]], AN_TME23[[#All],[Insurance Category Code]],6, AN_TME23[[#All],[Advanced Network/Insurance Carrier Org ID]],Q303),2)&gt;=ROUND(SUMIFS(AN_TME23[[#All],[TOTAL Truncated Unadjusted Claims Expenses (A21 -A19)]], AN_TME23[[#All],[Insurance Category Code]],6, AN_TME23[[#All],[Advanced Network/Insurance Carrier Org ID]],Q303),2)</f>
        <v>1</v>
      </c>
      <c r="AD303" s="295" t="b">
        <f>ROUND(SUMIFS(AN_TME23[[#All],[TOTAL Truncated Unadjusted Claims Expenses (A21 -A19)]], AN_TME23[[#All],[Insurance Category Code]],6, AN_TME23[[#All],[Advanced Network/Insurance Carrier Org ID]],Q303)+SUMIFS(AN_TME23[[#All],[Total Claims Excluded because of Truncation]], AN_TME23[[#All],[Insurance Category Code]],6, AN_TME23[[#All],[Advanced Network/Insurance Carrier Org ID]],Q303),2)=ROUND(SUMIFS(AN_TME23[[#All],[TOTAL Non-Truncated Unadjusted Claims Expenses]], AN_TME23[[#All],[Insurance Category Code]],6, AN_TME23[[#All],[Advanced Network/Insurance Carrier Org ID]],Q303),2)</f>
        <v>1</v>
      </c>
      <c r="AF303" s="323" t="str">
        <f t="shared" si="29"/>
        <v>NA</v>
      </c>
    </row>
    <row r="304" spans="2:32" outlineLevel="1" x14ac:dyDescent="0.25">
      <c r="B304" s="236">
        <v>131</v>
      </c>
      <c r="C304" s="463">
        <f>ROUND(SUMIFS(Age_Sex22[[#All],[Total Member Months by Age/Sex Band]], Age_Sex22[[#All],[Advanced Network ID]], $B304, Age_Sex22[[#All],[Insurance Category Code]],6),2)</f>
        <v>0</v>
      </c>
      <c r="D304" s="268">
        <f>ROUND(SUMIFS(Age_Sex22[[#All],[Total Dollars Excluded from Spending After Applying Truncation at the Member Level]], Age_Sex22[[#All],[Advanced Network ID]], $B304, Age_Sex22[[#All],[Insurance Category Code]],6),2)</f>
        <v>0</v>
      </c>
      <c r="E304" s="229">
        <f>ROUND(SUMIFS(Age_Sex22[[#All],[Count of Members whose Spending was Truncated]], Age_Sex22[[#All],[Advanced Network ID]], $B304, Age_Sex22[[#All],[Insurance Category Code]],6),2)</f>
        <v>0</v>
      </c>
      <c r="F304" s="230">
        <f>ROUND(SUMIFS(Age_Sex22[[#All],[Total Spending before Truncation is Applied]], Age_Sex22[[#All],[Advanced Network ID]], $B304, Age_Sex22[[#All],[Insurance Category Code]],6),2)</f>
        <v>0</v>
      </c>
      <c r="G304" s="232">
        <f>ROUND(SUMIFS(Age_Sex22[[#All],[Total Spending After Applying Truncation at the Member Level]], Age_Sex22[[#All],[Advanced Network ID]], $B304, Age_Sex22[[#All],[Insurance Category Code]],6),2)</f>
        <v>0</v>
      </c>
      <c r="H304" s="416" t="str">
        <f>IF(C304=ROUND(SUMIFS(AN_TME22[[#All],[Member Months]], AN_TME22[[#All],[Insurance Category Code]],6, AN_TME22[[#All],[Advanced Network/Insurance Carrier Org ID]],B304),2), "TRUE", ROUND(C304-SUMIFS(AN_TME22[[#All],[Member Months]], AN_TME22[[#All],[Insurance Category Code]],6, AN_TME22[[#All],[Advanced Network/Insurance Carrier Org ID]],B304),2))</f>
        <v>TRUE</v>
      </c>
      <c r="I304" s="280" t="str">
        <f>IF(D304=ROUND(SUMIFS(AN_TME22[[#All],[Total Claims Excluded because of Truncation]], AN_TME22[[#All],[Insurance Category Code]],6, AN_TME22[[#All],[Advanced Network/Insurance Carrier Org ID]],B304),2), "TRUE", ROUND(D304-SUMIFS(AN_TME22[[#All],[Total Claims Excluded because of Truncation]], AN_TME22[[#All],[Insurance Category Code]],6, AN_TME22[[#All],[Advanced Network/Insurance Carrier Org ID]],B304),2))</f>
        <v>TRUE</v>
      </c>
      <c r="J304" s="281" t="str">
        <f>IF(E304=ROUND(SUMIFS(AN_TME22[[#All],[Count of Members with Claims Truncated]], AN_TME22[[#All],[Insurance Category Code]],6, AN_TME22[[#All],[Advanced Network/Insurance Carrier Org ID]],B304),2), "TRUE", ROUND(E304-SUMIFS(AN_TME22[[#All],[Count of Members with Claims Truncated]], AN_TME22[[#All],[Insurance Category Code]],6, AN_TME22[[#All],[Advanced Network/Insurance Carrier Org ID]],B304),2))</f>
        <v>TRUE</v>
      </c>
      <c r="K304" s="282" t="str">
        <f>IF(F304=ROUND(SUMIFS(AN_TME22[[#All],[TOTAL Non-Truncated Unadjusted Claims Expenses]], AN_TME22[[#All],[Insurance Category Code]],6, AN_TME22[[#All],[Advanced Network/Insurance Carrier Org ID]],B304),2),"TRUE", ROUND(F304-SUMIFS(AN_TME22[[#All],[TOTAL Non-Truncated Unadjusted Claims Expenses]], AN_TME22[[#All],[Insurance Category Code]],6, AN_TME22[[#All],[Advanced Network/Insurance Carrier Org ID]],B304),2))</f>
        <v>TRUE</v>
      </c>
      <c r="L304" s="295" t="str">
        <f>IF(G304=ROUND(SUMIFS(AN_TME22[[#All],[TOTAL Truncated Unadjusted Claims Expenses (A21 -A19)]], AN_TME22[[#All],[Insurance Category Code]],6, AN_TME22[[#All],[Advanced Network/Insurance Carrier Org ID]],B304),2), "TRUE", ROUND(G304-SUMIFS(AN_TME22[[#All],[TOTAL Truncated Unadjusted Claims Expenses (A21 -A19)]], AN_TME22[[#All],[Insurance Category Code]],6, AN_TME22[[#All],[Advanced Network/Insurance Carrier Org ID]],B304),2))</f>
        <v>TRUE</v>
      </c>
      <c r="M304" s="461" t="str">
        <f t="shared" si="27"/>
        <v>TRUE</v>
      </c>
      <c r="N304" s="282" t="b">
        <f>ROUND(SUMIFS(AN_TME22[[#All],[TOTAL Non-Truncated Unadjusted Claims Expenses]], AN_TME22[[#All],[Insurance Category Code]],6, AN_TME22[[#All],[Advanced Network/Insurance Carrier Org ID]],B304),2)&gt;=ROUND(SUMIFS(AN_TME22[[#All],[TOTAL Truncated Unadjusted Claims Expenses (A21 -A19)]], AN_TME22[[#All],[Insurance Category Code]],6, AN_TME22[[#All],[Advanced Network/Insurance Carrier Org ID]],B304),2)</f>
        <v>1</v>
      </c>
      <c r="O304" s="295" t="b">
        <f>ROUND(SUMIFS(AN_TME22[[#All],[TOTAL Truncated Unadjusted Claims Expenses (A21 -A19)]], AN_TME22[[#All],[Insurance Category Code]],6, AN_TME22[[#All],[Advanced Network/Insurance Carrier Org ID]],B304)+SUMIFS(AN_TME22[[#All],[Total Claims Excluded because of Truncation]], AN_TME22[[#All],[Insurance Category Code]],6, AN_TME22[[#All],[Advanced Network/Insurance Carrier Org ID]],B304),2)=ROUND(SUMIFS(AN_TME22[[#All],[TOTAL Non-Truncated Unadjusted Claims Expenses]], AN_TME22[[#All],[Insurance Category Code]],6, AN_TME22[[#All],[Advanced Network/Insurance Carrier Org ID]],B304),2)</f>
        <v>1</v>
      </c>
      <c r="Q304" s="236">
        <v>131</v>
      </c>
      <c r="R304" s="463">
        <f>ROUND(SUMIFS(Age_Sex23[[#All],[Total Member Months by Age/Sex Band]], Age_Sex23[[#All],[Advanced Network ID]], $Q304, Age_Sex23[[#All],[Insurance Category Code]],6),2)</f>
        <v>0</v>
      </c>
      <c r="S304" s="268">
        <f>ROUND(SUMIFS(Age_Sex23[[#All],[Total Dollars Excluded from Spending After Applying Truncation at the Member Level]], Age_Sex23[[#All],[Advanced Network ID]], $B304, Age_Sex23[[#All],[Insurance Category Code]],6),2)</f>
        <v>0</v>
      </c>
      <c r="T304" s="229">
        <f>ROUND(SUMIFS(Age_Sex23[[#All],[Count of Members whose Spending was Truncated]], Age_Sex23[[#All],[Advanced Network ID]], $B304, Age_Sex23[[#All],[Insurance Category Code]],6),2)</f>
        <v>0</v>
      </c>
      <c r="U304" s="230">
        <f>ROUND(SUMIFS(Age_Sex23[[#All],[Total Spending before Truncation is Applied]], Age_Sex23[[#All],[Advanced Network ID]], $B304, Age_Sex23[[#All],[Insurance Category Code]],6),2)</f>
        <v>0</v>
      </c>
      <c r="V304" s="232">
        <f>ROUND(SUMIFS(Age_Sex23[[#All],[Total Spending After Applying Truncation at the Member Level]], Age_Sex23[[#All],[Advanced Network ID]], $B304, Age_Sex23[[#All],[Insurance Category Code]],6),2)</f>
        <v>0</v>
      </c>
      <c r="W304" s="416" t="str">
        <f>IF(R304=ROUND(SUMIFS(AN_TME23[[#All],[Member Months]], AN_TME23[[#All],[Insurance Category Code]],6, AN_TME23[[#All],[Advanced Network/Insurance Carrier Org ID]],Q304),2), "TRUE", ROUND(R304-SUMIFS(AN_TME23[[#All],[Member Months]], AN_TME23[[#All],[Insurance Category Code]],6, AN_TME23[[#All],[Advanced Network/Insurance Carrier Org ID]],Q304),2))</f>
        <v>TRUE</v>
      </c>
      <c r="X304" s="280" t="str">
        <f>IF(S304=ROUND(SUMIFS(AN_TME23[[#All],[Total Claims Excluded because of Truncation]], AN_TME23[[#All],[Insurance Category Code]],6, AN_TME23[[#All],[Advanced Network/Insurance Carrier Org ID]],Q304),2), "TRUE", ROUND(S304-SUMIFS(AN_TME23[[#All],[Total Claims Excluded because of Truncation]], AN_TME23[[#All],[Insurance Category Code]],6, AN_TME23[[#All],[Advanced Network/Insurance Carrier Org ID]],Q304),2))</f>
        <v>TRUE</v>
      </c>
      <c r="Y304" s="281" t="str">
        <f>IF(T304=ROUND(SUMIFS(AN_TME23[[#All],[Count of Members with Claims Truncated]], AN_TME23[[#All],[Insurance Category Code]],6, AN_TME23[[#All],[Advanced Network/Insurance Carrier Org ID]],Q304),2), "TRUE", ROUND(T304-SUMIFS(AN_TME23[[#All],[Count of Members with Claims Truncated]], AN_TME23[[#All],[Insurance Category Code]],6, AN_TME23[[#All],[Advanced Network/Insurance Carrier Org ID]],Q304),2))</f>
        <v>TRUE</v>
      </c>
      <c r="Z304" s="282" t="str">
        <f>IF(U304=ROUND(SUMIFS(AN_TME23[[#All],[TOTAL Non-Truncated Unadjusted Claims Expenses]], AN_TME23[[#All],[Insurance Category Code]],6, AN_TME23[[#All],[Advanced Network/Insurance Carrier Org ID]],Q304),2), "TRUE", ROUND(U304-SUMIFS(AN_TME23[[#All],[TOTAL Non-Truncated Unadjusted Claims Expenses]], AN_TME23[[#All],[Insurance Category Code]],6, AN_TME23[[#All],[Advanced Network/Insurance Carrier Org ID]],Q304),2))</f>
        <v>TRUE</v>
      </c>
      <c r="AA304" s="295" t="str">
        <f>IF(V304=ROUND(SUMIFS(AN_TME23[[#All],[TOTAL Truncated Unadjusted Claims Expenses (A21 -A19)]], AN_TME23[[#All],[Insurance Category Code]],6, AN_TME23[[#All],[Advanced Network/Insurance Carrier Org ID]],Q304),2), "TRUE", ROUND(V304-SUMIFS(AN_TME23[[#All],[TOTAL Truncated Unadjusted Claims Expenses (A21 -A19)]], AN_TME23[[#All],[Insurance Category Code]],6, AN_TME23[[#All],[Advanced Network/Insurance Carrier Org ID]],Q304),2))</f>
        <v>TRUE</v>
      </c>
      <c r="AB304" s="461" t="str">
        <f t="shared" si="30"/>
        <v>TRUE</v>
      </c>
      <c r="AC304" s="282" t="b">
        <f>ROUND(SUMIFS(AN_TME23[[#All],[TOTAL Non-Truncated Unadjusted Claims Expenses]], AN_TME23[[#All],[Insurance Category Code]],6, AN_TME23[[#All],[Advanced Network/Insurance Carrier Org ID]],Q304),2)&gt;=ROUND(SUMIFS(AN_TME23[[#All],[TOTAL Truncated Unadjusted Claims Expenses (A21 -A19)]], AN_TME23[[#All],[Insurance Category Code]],6, AN_TME23[[#All],[Advanced Network/Insurance Carrier Org ID]],Q304),2)</f>
        <v>1</v>
      </c>
      <c r="AD304" s="295" t="b">
        <f>ROUND(SUMIFS(AN_TME23[[#All],[TOTAL Truncated Unadjusted Claims Expenses (A21 -A19)]], AN_TME23[[#All],[Insurance Category Code]],6, AN_TME23[[#All],[Advanced Network/Insurance Carrier Org ID]],Q304)+SUMIFS(AN_TME23[[#All],[Total Claims Excluded because of Truncation]], AN_TME23[[#All],[Insurance Category Code]],6, AN_TME23[[#All],[Advanced Network/Insurance Carrier Org ID]],Q304),2)=ROUND(SUMIFS(AN_TME23[[#All],[TOTAL Non-Truncated Unadjusted Claims Expenses]], AN_TME23[[#All],[Insurance Category Code]],6, AN_TME23[[#All],[Advanced Network/Insurance Carrier Org ID]],Q304),2)</f>
        <v>1</v>
      </c>
      <c r="AF304" s="323" t="str">
        <f t="shared" si="29"/>
        <v>NA</v>
      </c>
    </row>
    <row r="305" spans="2:32" ht="15.75" outlineLevel="1" thickBot="1" x14ac:dyDescent="0.3">
      <c r="B305" s="237">
        <v>999</v>
      </c>
      <c r="C305" s="464">
        <f>ROUND(SUMIFS(Age_Sex22[[#All],[Total Member Months by Age/Sex Band]], Age_Sex22[[#All],[Advanced Network ID]], $B305, Age_Sex22[[#All],[Insurance Category Code]],6),2)</f>
        <v>0</v>
      </c>
      <c r="D305" s="270">
        <f>ROUND(SUMIFS(Age_Sex22[[#All],[Total Dollars Excluded from Spending After Applying Truncation at the Member Level]], Age_Sex22[[#All],[Advanced Network ID]], $B305, Age_Sex22[[#All],[Insurance Category Code]],6),2)</f>
        <v>0</v>
      </c>
      <c r="E305" s="233">
        <f>ROUND(SUMIFS(Age_Sex22[[#All],[Count of Members whose Spending was Truncated]], Age_Sex22[[#All],[Advanced Network ID]], $B305, Age_Sex22[[#All],[Insurance Category Code]],6),2)</f>
        <v>0</v>
      </c>
      <c r="F305" s="234">
        <f>ROUND(SUMIFS(Age_Sex22[[#All],[Total Spending before Truncation is Applied]], Age_Sex22[[#All],[Advanced Network ID]], $B305, Age_Sex22[[#All],[Insurance Category Code]],6),2)</f>
        <v>0</v>
      </c>
      <c r="G305" s="235">
        <f>ROUND(SUMIFS(Age_Sex22[[#All],[Total Spending After Applying Truncation at the Member Level]], Age_Sex22[[#All],[Advanced Network ID]], $B305, Age_Sex22[[#All],[Insurance Category Code]],6),2)</f>
        <v>0</v>
      </c>
      <c r="H305" s="460" t="str">
        <f>IF(C305=ROUND(SUMIFS(AN_TME22[[#All],[Member Months]], AN_TME22[[#All],[Insurance Category Code]],6, AN_TME22[[#All],[Advanced Network/Insurance Carrier Org ID]],B305),2), "TRUE", ROUND(C305-SUMIFS(AN_TME22[[#All],[Member Months]], AN_TME22[[#All],[Insurance Category Code]],6, AN_TME22[[#All],[Advanced Network/Insurance Carrier Org ID]],B305),2))</f>
        <v>TRUE</v>
      </c>
      <c r="I305" s="283" t="str">
        <f>IF(D305=ROUND(SUMIFS(AN_TME22[[#All],[Total Claims Excluded because of Truncation]], AN_TME22[[#All],[Insurance Category Code]],6, AN_TME22[[#All],[Advanced Network/Insurance Carrier Org ID]],B305),2), "TRUE", ROUND(D305-SUMIFS(AN_TME22[[#All],[Total Claims Excluded because of Truncation]], AN_TME22[[#All],[Insurance Category Code]],6, AN_TME22[[#All],[Advanced Network/Insurance Carrier Org ID]],B305),2))</f>
        <v>TRUE</v>
      </c>
      <c r="J305" s="284" t="str">
        <f>IF(E305=ROUND(SUMIFS(AN_TME22[[#All],[Count of Members with Claims Truncated]], AN_TME22[[#All],[Insurance Category Code]],6, AN_TME22[[#All],[Advanced Network/Insurance Carrier Org ID]],B305),2), "TRUE", ROUND(E305-SUMIFS(AN_TME22[[#All],[Count of Members with Claims Truncated]], AN_TME22[[#All],[Insurance Category Code]],6, AN_TME22[[#All],[Advanced Network/Insurance Carrier Org ID]],B305),2))</f>
        <v>TRUE</v>
      </c>
      <c r="K305" s="285" t="str">
        <f>IF(F305=ROUND(SUMIFS(AN_TME22[[#All],[TOTAL Non-Truncated Unadjusted Claims Expenses]], AN_TME22[[#All],[Insurance Category Code]],6, AN_TME22[[#All],[Advanced Network/Insurance Carrier Org ID]],B305),2),"TRUE", ROUND(F305-SUMIFS(AN_TME22[[#All],[TOTAL Non-Truncated Unadjusted Claims Expenses]], AN_TME22[[#All],[Insurance Category Code]],6, AN_TME22[[#All],[Advanced Network/Insurance Carrier Org ID]],B305),2))</f>
        <v>TRUE</v>
      </c>
      <c r="L305" s="296" t="str">
        <f>IF(G305=ROUND(SUMIFS(AN_TME22[[#All],[TOTAL Truncated Unadjusted Claims Expenses (A21 -A19)]], AN_TME22[[#All],[Insurance Category Code]],6, AN_TME22[[#All],[Advanced Network/Insurance Carrier Org ID]],B305),2), "TRUE", ROUND(G305-SUMIFS(AN_TME22[[#All],[TOTAL Truncated Unadjusted Claims Expenses (A21 -A19)]], AN_TME22[[#All],[Insurance Category Code]],6, AN_TME22[[#All],[Advanced Network/Insurance Carrier Org ID]],B305),2))</f>
        <v>TRUE</v>
      </c>
      <c r="M305" s="462" t="str">
        <f t="shared" si="27"/>
        <v>TRUE</v>
      </c>
      <c r="N305" s="285" t="b">
        <f>ROUND(SUMIFS(AN_TME22[[#All],[TOTAL Non-Truncated Unadjusted Claims Expenses]], AN_TME22[[#All],[Insurance Category Code]],6, AN_TME22[[#All],[Advanced Network/Insurance Carrier Org ID]],B305),2)&gt;=ROUND(SUMIFS(AN_TME22[[#All],[TOTAL Truncated Unadjusted Claims Expenses (A21 -A19)]], AN_TME22[[#All],[Insurance Category Code]],6, AN_TME22[[#All],[Advanced Network/Insurance Carrier Org ID]],B305),2)</f>
        <v>1</v>
      </c>
      <c r="O305" s="296" t="b">
        <f>ROUND(SUMIFS(AN_TME22[[#All],[TOTAL Truncated Unadjusted Claims Expenses (A21 -A19)]], AN_TME22[[#All],[Insurance Category Code]],6, AN_TME22[[#All],[Advanced Network/Insurance Carrier Org ID]],B305)+SUMIFS(AN_TME22[[#All],[Total Claims Excluded because of Truncation]], AN_TME22[[#All],[Insurance Category Code]],6, AN_TME22[[#All],[Advanced Network/Insurance Carrier Org ID]],B305),2)=ROUND(SUMIFS(AN_TME22[[#All],[TOTAL Non-Truncated Unadjusted Claims Expenses]], AN_TME22[[#All],[Insurance Category Code]],6, AN_TME22[[#All],[Advanced Network/Insurance Carrier Org ID]],B305),2)</f>
        <v>1</v>
      </c>
      <c r="Q305" s="237">
        <v>999</v>
      </c>
      <c r="R305" s="464">
        <f>ROUND(SUMIFS(Age_Sex23[[#All],[Total Member Months by Age/Sex Band]], Age_Sex23[[#All],[Advanced Network ID]], $Q305, Age_Sex23[[#All],[Insurance Category Code]],6),2)</f>
        <v>0</v>
      </c>
      <c r="S305" s="270">
        <f>ROUND(SUMIFS(Age_Sex23[[#All],[Total Dollars Excluded from Spending After Applying Truncation at the Member Level]], Age_Sex23[[#All],[Advanced Network ID]], $B305, Age_Sex23[[#All],[Insurance Category Code]],6),2)</f>
        <v>0</v>
      </c>
      <c r="T305" s="233">
        <f>ROUND(SUMIFS(Age_Sex23[[#All],[Count of Members whose Spending was Truncated]], Age_Sex23[[#All],[Advanced Network ID]], $B305, Age_Sex23[[#All],[Insurance Category Code]],6),2)</f>
        <v>0</v>
      </c>
      <c r="U305" s="234">
        <f>ROUND(SUMIFS(Age_Sex23[[#All],[Total Spending before Truncation is Applied]], Age_Sex23[[#All],[Advanced Network ID]], $B305, Age_Sex23[[#All],[Insurance Category Code]],6),2)</f>
        <v>0</v>
      </c>
      <c r="V305" s="235">
        <f>ROUND(SUMIFS(Age_Sex23[[#All],[Total Spending After Applying Truncation at the Member Level]], Age_Sex23[[#All],[Advanced Network ID]], $B305, Age_Sex23[[#All],[Insurance Category Code]],6),2)</f>
        <v>0</v>
      </c>
      <c r="W305" s="460" t="str">
        <f>IF(R305=ROUND(SUMIFS(AN_TME23[[#All],[Member Months]], AN_TME23[[#All],[Insurance Category Code]],6, AN_TME23[[#All],[Advanced Network/Insurance Carrier Org ID]],Q305),2), "TRUE", ROUND(R305-SUMIFS(AN_TME23[[#All],[Member Months]], AN_TME23[[#All],[Insurance Category Code]],6, AN_TME23[[#All],[Advanced Network/Insurance Carrier Org ID]],Q305),2))</f>
        <v>TRUE</v>
      </c>
      <c r="X305" s="283" t="str">
        <f>IF(S305=ROUND(SUMIFS(AN_TME23[[#All],[Total Claims Excluded because of Truncation]], AN_TME23[[#All],[Insurance Category Code]],6, AN_TME23[[#All],[Advanced Network/Insurance Carrier Org ID]],Q305),2), "TRUE", ROUND(S305-SUMIFS(AN_TME23[[#All],[Total Claims Excluded because of Truncation]], AN_TME23[[#All],[Insurance Category Code]],6, AN_TME23[[#All],[Advanced Network/Insurance Carrier Org ID]],Q305),2))</f>
        <v>TRUE</v>
      </c>
      <c r="Y305" s="284" t="str">
        <f>IF(T305=ROUND(SUMIFS(AN_TME23[[#All],[Count of Members with Claims Truncated]], AN_TME23[[#All],[Insurance Category Code]],6, AN_TME23[[#All],[Advanced Network/Insurance Carrier Org ID]],Q305),2), "TRUE", ROUND(T305-SUMIFS(AN_TME23[[#All],[Count of Members with Claims Truncated]], AN_TME23[[#All],[Insurance Category Code]],6, AN_TME23[[#All],[Advanced Network/Insurance Carrier Org ID]],Q305),2))</f>
        <v>TRUE</v>
      </c>
      <c r="Z305" s="285" t="str">
        <f>IF(U305=ROUND(SUMIFS(AN_TME23[[#All],[TOTAL Non-Truncated Unadjusted Claims Expenses]], AN_TME23[[#All],[Insurance Category Code]],6, AN_TME23[[#All],[Advanced Network/Insurance Carrier Org ID]],Q305),2), "TRUE", ROUND(U305-SUMIFS(AN_TME23[[#All],[TOTAL Non-Truncated Unadjusted Claims Expenses]], AN_TME23[[#All],[Insurance Category Code]],6, AN_TME23[[#All],[Advanced Network/Insurance Carrier Org ID]],Q305),2))</f>
        <v>TRUE</v>
      </c>
      <c r="AA305" s="296" t="str">
        <f>IF(V305=ROUND(SUMIFS(AN_TME23[[#All],[TOTAL Truncated Unadjusted Claims Expenses (A21 -A19)]], AN_TME23[[#All],[Insurance Category Code]],6, AN_TME23[[#All],[Advanced Network/Insurance Carrier Org ID]],Q305),2), "TRUE", ROUND(V305-SUMIFS(AN_TME23[[#All],[TOTAL Truncated Unadjusted Claims Expenses (A21 -A19)]], AN_TME23[[#All],[Insurance Category Code]],6, AN_TME23[[#All],[Advanced Network/Insurance Carrier Org ID]],Q305),2))</f>
        <v>TRUE</v>
      </c>
      <c r="AB305" s="462" t="str">
        <f t="shared" si="30"/>
        <v>TRUE</v>
      </c>
      <c r="AC305" s="285" t="b">
        <f>ROUND(SUMIFS(AN_TME23[[#All],[TOTAL Non-Truncated Unadjusted Claims Expenses]], AN_TME23[[#All],[Insurance Category Code]],6, AN_TME23[[#All],[Advanced Network/Insurance Carrier Org ID]],Q305),2)&gt;=ROUND(SUMIFS(AN_TME23[[#All],[TOTAL Truncated Unadjusted Claims Expenses (A21 -A19)]], AN_TME23[[#All],[Insurance Category Code]],6, AN_TME23[[#All],[Advanced Network/Insurance Carrier Org ID]],Q305),2)</f>
        <v>1</v>
      </c>
      <c r="AD305" s="296" t="b">
        <f>ROUND(SUMIFS(AN_TME23[[#All],[TOTAL Truncated Unadjusted Claims Expenses (A21 -A19)]], AN_TME23[[#All],[Insurance Category Code]],6, AN_TME23[[#All],[Advanced Network/Insurance Carrier Org ID]],Q305)+SUMIFS(AN_TME23[[#All],[Total Claims Excluded because of Truncation]], AN_TME23[[#All],[Insurance Category Code]],6, AN_TME23[[#All],[Advanced Network/Insurance Carrier Org ID]],Q305),2)=ROUND(SUMIFS(AN_TME23[[#All],[TOTAL Non-Truncated Unadjusted Claims Expenses]], AN_TME23[[#All],[Insurance Category Code]],6, AN_TME23[[#All],[Advanced Network/Insurance Carrier Org ID]],Q305),2)</f>
        <v>1</v>
      </c>
      <c r="AF305" s="324" t="str">
        <f t="shared" si="29"/>
        <v>NA</v>
      </c>
    </row>
    <row r="306" spans="2:32" x14ac:dyDescent="0.25">
      <c r="B306" s="31"/>
      <c r="C306" s="14"/>
      <c r="D306" s="117"/>
    </row>
    <row r="307" spans="2:32" x14ac:dyDescent="0.25">
      <c r="B307" s="31"/>
      <c r="C307" s="14"/>
      <c r="D307" s="117"/>
    </row>
    <row r="308" spans="2:32" hidden="1" outlineLevel="1" x14ac:dyDescent="0.25">
      <c r="B308" s="363" t="s">
        <v>366</v>
      </c>
      <c r="C308" s="14"/>
      <c r="D308" s="117"/>
      <c r="L308" s="231"/>
      <c r="M308" s="231"/>
      <c r="N308" s="231"/>
      <c r="O308" s="231"/>
      <c r="Q308" s="363" t="s">
        <v>366</v>
      </c>
    </row>
    <row r="309" spans="2:32" collapsed="1" x14ac:dyDescent="0.25">
      <c r="B309" s="31"/>
      <c r="C309" s="14"/>
      <c r="D309" s="117"/>
    </row>
    <row r="310" spans="2:32" x14ac:dyDescent="0.25">
      <c r="B310" s="31"/>
      <c r="C310" s="14"/>
      <c r="D310" s="117"/>
    </row>
    <row r="311" spans="2:32" ht="19.5" thickBot="1" x14ac:dyDescent="0.35">
      <c r="B311" s="279" t="s">
        <v>390</v>
      </c>
      <c r="C311" s="14"/>
      <c r="D311" s="117"/>
    </row>
    <row r="312" spans="2:32" ht="21.75" thickBot="1" x14ac:dyDescent="0.4">
      <c r="C312" s="626">
        <v>2022</v>
      </c>
      <c r="D312" s="627"/>
      <c r="E312" s="628"/>
      <c r="F312" s="623">
        <v>2023</v>
      </c>
      <c r="G312" s="624"/>
      <c r="H312" s="625"/>
      <c r="K312" s="626">
        <v>2022</v>
      </c>
      <c r="L312" s="627"/>
      <c r="M312" s="628"/>
      <c r="N312" s="623">
        <v>2023</v>
      </c>
      <c r="O312" s="624"/>
      <c r="P312" s="625"/>
      <c r="S312" s="626">
        <v>2022</v>
      </c>
      <c r="T312" s="627"/>
      <c r="U312" s="628"/>
      <c r="V312" s="623">
        <v>2023</v>
      </c>
      <c r="W312" s="624"/>
      <c r="X312" s="625"/>
    </row>
    <row r="313" spans="2:32" s="275" customFormat="1" ht="64.5" customHeight="1" thickBot="1" x14ac:dyDescent="0.3">
      <c r="B313" s="278" t="s">
        <v>230</v>
      </c>
      <c r="C313" s="374" t="s">
        <v>391</v>
      </c>
      <c r="D313" s="375" t="s">
        <v>392</v>
      </c>
      <c r="E313" s="376" t="s">
        <v>349</v>
      </c>
      <c r="F313" s="377" t="s">
        <v>391</v>
      </c>
      <c r="G313" s="378" t="s">
        <v>392</v>
      </c>
      <c r="H313" s="379" t="s">
        <v>349</v>
      </c>
      <c r="J313" s="278" t="s">
        <v>343</v>
      </c>
      <c r="K313" s="374" t="s">
        <v>391</v>
      </c>
      <c r="L313" s="375" t="s">
        <v>392</v>
      </c>
      <c r="M313" s="376" t="s">
        <v>349</v>
      </c>
      <c r="N313" s="377" t="s">
        <v>391</v>
      </c>
      <c r="O313" s="378" t="s">
        <v>392</v>
      </c>
      <c r="P313" s="379" t="s">
        <v>349</v>
      </c>
      <c r="R313" s="278" t="s">
        <v>344</v>
      </c>
      <c r="S313" s="374" t="s">
        <v>391</v>
      </c>
      <c r="T313" s="375" t="s">
        <v>392</v>
      </c>
      <c r="U313" s="376" t="s">
        <v>349</v>
      </c>
      <c r="V313" s="377" t="s">
        <v>391</v>
      </c>
      <c r="W313" s="378" t="s">
        <v>392</v>
      </c>
      <c r="X313" s="379" t="s">
        <v>349</v>
      </c>
    </row>
    <row r="314" spans="2:32" x14ac:dyDescent="0.25">
      <c r="B314" s="236">
        <v>100</v>
      </c>
      <c r="C314" s="380">
        <f>ROUND(SUMIFS(AN_TME22[[#All],[TOTAL Truncated Unadjusted Claims Expenses (A21 -A19)]], AN_TME22[[#All],[Advanced Network/Insurance Carrier Org ID]],B314, AN_TME22[[#All],[Insurance Category Code]], 1)+SUMIFS(AN_TME22[[#All],[TOTAL Truncated Unadjusted Claims Expenses (A21 -A19)]], AN_TME22[[#All],[Advanced Network/Insurance Carrier Org ID]],B314, AN_TME22[[#All],[Insurance Category Code]], 5),2)</f>
        <v>0</v>
      </c>
      <c r="D314" s="381">
        <f>ROUND(SUMIFS(StandardDeviation22[[#All],[Total Spending After Truncation]], StandardDeviation22[[#All],[Advanced Network/Insurance Carrier Org ID]],B314, StandardDeviation22[[#All],[Market ID]],1),2)</f>
        <v>0</v>
      </c>
      <c r="E314" s="417" t="str">
        <f>IF(C314=D314, "TRUE", C314-D314)</f>
        <v>TRUE</v>
      </c>
      <c r="F314" s="380">
        <f>ROUND(SUMIFS(AN_TME23[[#All],[TOTAL Truncated Unadjusted Claims Expenses (A21 -A19)]], AN_TME23[[#All],[Advanced Network/Insurance Carrier Org ID]],B314, AN_TME23[[#All],[Insurance Category Code]], 1)+SUMIFS(AN_TME23[[#All],[TOTAL Truncated Unadjusted Claims Expenses (A21 -A19)]], AN_TME23[[#All],[Advanced Network/Insurance Carrier Org ID]],B314, AN_TME23[[#All],[Insurance Category Code]], 5),2)</f>
        <v>0</v>
      </c>
      <c r="G314" s="381">
        <f>ROUND(SUMIFS(StandardDeviation23[[#All],[Total Spending After Truncation]], StandardDeviation23[[#All],[Advanced Network/Insurance Carrier Org ID]],B314, StandardDeviation23[[#All],[Market ID]],1),2)</f>
        <v>0</v>
      </c>
      <c r="H314" s="417" t="str">
        <f>IF(F314=G314, "TRUE", F314-G314)</f>
        <v>TRUE</v>
      </c>
      <c r="J314" s="236">
        <v>100</v>
      </c>
      <c r="K314" s="380">
        <f>ROUND(SUMIFS(AN_TME22[[#All],[TOTAL Truncated Unadjusted Claims Expenses (A21 -A19)]], AN_TME22[[#All],[Advanced Network/Insurance Carrier Org ID]],J314, AN_TME22[[#All],[Insurance Category Code]], 2)+SUMIFS(AN_TME22[[#All],[TOTAL Truncated Unadjusted Claims Expenses (A21 -A19)]], AN_TME22[[#All],[Advanced Network/Insurance Carrier Org ID]],J314, AN_TME22[[#All],[Insurance Category Code]], 6),2)</f>
        <v>0</v>
      </c>
      <c r="L314" s="381">
        <f>ROUND(SUMIFS(StandardDeviation22[[#All],[Total Spending After Truncation]], StandardDeviation22[[#All],[Advanced Network/Insurance Carrier Org ID]],J314, StandardDeviation22[[#All],[Market ID]],2),2)</f>
        <v>0</v>
      </c>
      <c r="M314" s="382" t="str">
        <f>IF(K314=L314, "TRUE", K314-L314)</f>
        <v>TRUE</v>
      </c>
      <c r="N314" s="380">
        <f>ROUND(SUMIFS(AN_TME23[[#All],[TOTAL Truncated Unadjusted Claims Expenses (A21 -A19)]], AN_TME23[[#All],[Advanced Network/Insurance Carrier Org ID]],J314, AN_TME23[[#All],[Insurance Category Code]], 2)+SUMIFS(AN_TME23[[#All],[TOTAL Truncated Unadjusted Claims Expenses (A21 -A19)]], AN_TME23[[#All],[Advanced Network/Insurance Carrier Org ID]],J314, AN_TME23[[#All],[Insurance Category Code]], 6),2)</f>
        <v>0</v>
      </c>
      <c r="O314" s="381">
        <f>ROUND(SUMIFS(StandardDeviation23[[#All],[Total Spending After Truncation]], StandardDeviation23[[#All],[Advanced Network/Insurance Carrier Org ID]],J314, StandardDeviation23[[#All],[Market ID]],2),2)</f>
        <v>0</v>
      </c>
      <c r="P314" s="382" t="str">
        <f>IF(N314=O314, "TRUE", N314-O314)</f>
        <v>TRUE</v>
      </c>
      <c r="R314" s="236">
        <v>100</v>
      </c>
      <c r="S314" s="380">
        <f>ROUND(SUMIFS(AN_TME22[[#All],[TOTAL Truncated Unadjusted Claims Expenses (A21 -A19)]], AN_TME22[[#All],[Advanced Network/Insurance Carrier Org ID]],R314, AN_TME22[[#All],[Insurance Category Code]], 3)+SUMIFS(AN_TME22[[#All],[TOTAL Truncated Unadjusted Claims Expenses (A21 -A19)]], AN_TME22[[#All],[Advanced Network/Insurance Carrier Org ID]],R314, AN_TME22[[#All],[Insurance Category Code]], 4),2)</f>
        <v>0</v>
      </c>
      <c r="T314" s="381">
        <f>ROUND(SUMIFS(StandardDeviation22[[#All],[Total Spending After Truncation]], StandardDeviation22[[#All],[Advanced Network/Insurance Carrier Org ID]],R314, StandardDeviation22[[#All],[Market ID]],3),2)</f>
        <v>0</v>
      </c>
      <c r="U314" s="383" t="str">
        <f>IF(S314=T314, "TRUE", S314-T314)</f>
        <v>TRUE</v>
      </c>
      <c r="V314" s="380">
        <f>ROUND(SUMIFS(AN_TME23[[#All],[TOTAL Truncated Unadjusted Claims Expenses (A21 -A19)]], AN_TME23[[#All],[Advanced Network/Insurance Carrier Org ID]],R314, AN_TME23[[#All],[Insurance Category Code]], 3)+SUMIFS(AN_TME23[[#All],[TOTAL Truncated Unadjusted Claims Expenses (A21 -A19)]], AN_TME23[[#All],[Advanced Network/Insurance Carrier Org ID]],R314, AN_TME23[[#All],[Insurance Category Code]], 4),2)</f>
        <v>0</v>
      </c>
      <c r="W314" s="381">
        <f>ROUND(SUMIFS(StandardDeviation23[[#All],[Total Spending After Truncation]], StandardDeviation23[[#All],[Advanced Network/Insurance Carrier Org ID]],R314, StandardDeviation23[[#All],[Market ID]],3),2)</f>
        <v>0</v>
      </c>
      <c r="X314" s="383" t="str">
        <f>IF(V314=W314, "TRUE", V314-W314)</f>
        <v>TRUE</v>
      </c>
    </row>
    <row r="315" spans="2:32" s="30" customFormat="1" x14ac:dyDescent="0.25">
      <c r="B315" s="236">
        <v>101</v>
      </c>
      <c r="C315" s="263">
        <f>ROUND(SUMIFS(AN_TME22[[#All],[TOTAL Truncated Unadjusted Claims Expenses (A21 -A19)]], AN_TME22[[#All],[Advanced Network/Insurance Carrier Org ID]],B315, AN_TME22[[#All],[Insurance Category Code]], 1)+SUMIFS(AN_TME22[[#All],[TOTAL Truncated Unadjusted Claims Expenses (A21 -A19)]], AN_TME22[[#All],[Advanced Network/Insurance Carrier Org ID]],B315, AN_TME22[[#All],[Insurance Category Code]], 5),2)</f>
        <v>0</v>
      </c>
      <c r="D315" s="241">
        <f>ROUND(SUMIFS(StandardDeviation22[[#All],[Total Spending After Truncation]], StandardDeviation22[[#All],[Advanced Network/Insurance Carrier Org ID]],B315, StandardDeviation22[[#All],[Market ID]],1),2)</f>
        <v>0</v>
      </c>
      <c r="E315" s="418" t="str">
        <f t="shared" ref="E315:E346" si="31">IF(C315=D315, "TRUE", C315-D315)</f>
        <v>TRUE</v>
      </c>
      <c r="F315" s="263">
        <f>ROUND(SUMIFS(AN_TME23[[#All],[TOTAL Truncated Unadjusted Claims Expenses (A21 -A19)]], AN_TME23[[#All],[Advanced Network/Insurance Carrier Org ID]],B315, AN_TME23[[#All],[Insurance Category Code]], 1)+SUMIFS(AN_TME23[[#All],[TOTAL Truncated Unadjusted Claims Expenses (A21 -A19)]], AN_TME23[[#All],[Advanced Network/Insurance Carrier Org ID]],B315, AN_TME23[[#All],[Insurance Category Code]], 5),2)</f>
        <v>0</v>
      </c>
      <c r="G315" s="241">
        <f>ROUND(SUMIFS(StandardDeviation23[[#All],[Total Spending After Truncation]], StandardDeviation23[[#All],[Advanced Network/Insurance Carrier Org ID]],B315, StandardDeviation23[[#All],[Market ID]],1),2)</f>
        <v>0</v>
      </c>
      <c r="H315" s="418" t="str">
        <f t="shared" ref="H315:H346" si="32">IF(F315=G315, "TRUE", F315-G315)</f>
        <v>TRUE</v>
      </c>
      <c r="I315"/>
      <c r="J315" s="236">
        <v>101</v>
      </c>
      <c r="K315" s="263">
        <f>ROUND(SUMIFS(AN_TME22[[#All],[TOTAL Truncated Unadjusted Claims Expenses (A21 -A19)]], AN_TME22[[#All],[Advanced Network/Insurance Carrier Org ID]],J315, AN_TME22[[#All],[Insurance Category Code]], 2)+SUMIFS(AN_TME22[[#All],[TOTAL Truncated Unadjusted Claims Expenses (A21 -A19)]], AN_TME22[[#All],[Advanced Network/Insurance Carrier Org ID]],J315, AN_TME22[[#All],[Insurance Category Code]], 6),2)</f>
        <v>0</v>
      </c>
      <c r="L315" s="241">
        <f>ROUND(SUMIFS(StandardDeviation22[[#All],[Total Spending After Truncation]], StandardDeviation22[[#All],[Advanced Network/Insurance Carrier Org ID]],J315, StandardDeviation22[[#All],[Market ID]],2),2)</f>
        <v>0</v>
      </c>
      <c r="M315" s="276" t="str">
        <f t="shared" ref="M315:M346" si="33">IF(K315=L315, "TRUE", K315-L315)</f>
        <v>TRUE</v>
      </c>
      <c r="N315" s="263">
        <f>ROUND(SUMIFS(AN_TME23[[#All],[TOTAL Truncated Unadjusted Claims Expenses (A21 -A19)]], AN_TME23[[#All],[Advanced Network/Insurance Carrier Org ID]],J315, AN_TME23[[#All],[Insurance Category Code]], 2)+SUMIFS(AN_TME23[[#All],[TOTAL Truncated Unadjusted Claims Expenses (A21 -A19)]], AN_TME23[[#All],[Advanced Network/Insurance Carrier Org ID]],J315, AN_TME23[[#All],[Insurance Category Code]], 6),2)</f>
        <v>0</v>
      </c>
      <c r="O315" s="241">
        <f>ROUND(SUMIFS(StandardDeviation23[[#All],[Total Spending After Truncation]], StandardDeviation23[[#All],[Advanced Network/Insurance Carrier Org ID]],J315, StandardDeviation23[[#All],[Market ID]],2),2)</f>
        <v>0</v>
      </c>
      <c r="P315" s="276" t="str">
        <f t="shared" ref="P315:P346" si="34">IF(N315=O315, "TRUE", N315-O315)</f>
        <v>TRUE</v>
      </c>
      <c r="Q315"/>
      <c r="R315" s="236">
        <v>101</v>
      </c>
      <c r="S315" s="263">
        <f>ROUND(SUMIFS(AN_TME22[[#All],[TOTAL Truncated Unadjusted Claims Expenses (A21 -A19)]], AN_TME22[[#All],[Advanced Network/Insurance Carrier Org ID]],R315, AN_TME22[[#All],[Insurance Category Code]], 3)+SUMIFS(AN_TME22[[#All],[TOTAL Truncated Unadjusted Claims Expenses (A21 -A19)]], AN_TME22[[#All],[Advanced Network/Insurance Carrier Org ID]],R315, AN_TME22[[#All],[Insurance Category Code]], 4),2)</f>
        <v>0</v>
      </c>
      <c r="T315" s="241">
        <f>ROUND(SUMIFS(StandardDeviation22[[#All],[Total Spending After Truncation]], StandardDeviation22[[#All],[Advanced Network/Insurance Carrier Org ID]],R315, StandardDeviation22[[#All],[Market ID]],3),2)</f>
        <v>0</v>
      </c>
      <c r="U315" s="308" t="str">
        <f t="shared" ref="U315:U346" si="35">IF(S315=T315, "TRUE", S315-T315)</f>
        <v>TRUE</v>
      </c>
      <c r="V315" s="263">
        <f>ROUND(SUMIFS(AN_TME23[[#All],[TOTAL Truncated Unadjusted Claims Expenses (A21 -A19)]], AN_TME23[[#All],[Advanced Network/Insurance Carrier Org ID]],R315, AN_TME23[[#All],[Insurance Category Code]], 3)+SUMIFS(AN_TME23[[#All],[TOTAL Truncated Unadjusted Claims Expenses (A21 -A19)]], AN_TME23[[#All],[Advanced Network/Insurance Carrier Org ID]],R315, AN_TME23[[#All],[Insurance Category Code]], 4),2)</f>
        <v>0</v>
      </c>
      <c r="W315" s="241">
        <f>ROUND(SUMIFS(StandardDeviation23[[#All],[Total Spending After Truncation]], StandardDeviation23[[#All],[Advanced Network/Insurance Carrier Org ID]],R315, StandardDeviation23[[#All],[Market ID]],3),2)</f>
        <v>0</v>
      </c>
      <c r="X315" s="308" t="str">
        <f t="shared" ref="X315:X346" si="36">IF(V315=W315, "TRUE", V315-W315)</f>
        <v>TRUE</v>
      </c>
    </row>
    <row r="316" spans="2:32" s="30" customFormat="1" x14ac:dyDescent="0.25">
      <c r="B316" s="236">
        <v>102</v>
      </c>
      <c r="C316" s="263">
        <f>ROUND(SUMIFS(AN_TME22[[#All],[TOTAL Truncated Unadjusted Claims Expenses (A21 -A19)]], AN_TME22[[#All],[Advanced Network/Insurance Carrier Org ID]],B316, AN_TME22[[#All],[Insurance Category Code]], 1)+SUMIFS(AN_TME22[[#All],[TOTAL Truncated Unadjusted Claims Expenses (A21 -A19)]], AN_TME22[[#All],[Advanced Network/Insurance Carrier Org ID]],B316, AN_TME22[[#All],[Insurance Category Code]], 5),2)</f>
        <v>0</v>
      </c>
      <c r="D316" s="241">
        <f>ROUND(SUMIFS(StandardDeviation22[[#All],[Total Spending After Truncation]], StandardDeviation22[[#All],[Advanced Network/Insurance Carrier Org ID]],B316, StandardDeviation22[[#All],[Market ID]],1),2)</f>
        <v>0</v>
      </c>
      <c r="E316" s="418" t="str">
        <f t="shared" si="31"/>
        <v>TRUE</v>
      </c>
      <c r="F316" s="263">
        <f>ROUND(SUMIFS(AN_TME23[[#All],[TOTAL Truncated Unadjusted Claims Expenses (A21 -A19)]], AN_TME23[[#All],[Advanced Network/Insurance Carrier Org ID]],B316, AN_TME23[[#All],[Insurance Category Code]], 1)+SUMIFS(AN_TME23[[#All],[TOTAL Truncated Unadjusted Claims Expenses (A21 -A19)]], AN_TME23[[#All],[Advanced Network/Insurance Carrier Org ID]],B316, AN_TME23[[#All],[Insurance Category Code]], 5),2)</f>
        <v>0</v>
      </c>
      <c r="G316" s="241">
        <f>ROUND(SUMIFS(StandardDeviation23[[#All],[Total Spending After Truncation]], StandardDeviation23[[#All],[Advanced Network/Insurance Carrier Org ID]],B316, StandardDeviation23[[#All],[Market ID]],1),2)</f>
        <v>0</v>
      </c>
      <c r="H316" s="418" t="str">
        <f t="shared" si="32"/>
        <v>TRUE</v>
      </c>
      <c r="I316"/>
      <c r="J316" s="236">
        <v>102</v>
      </c>
      <c r="K316" s="263">
        <f>ROUND(SUMIFS(AN_TME22[[#All],[TOTAL Truncated Unadjusted Claims Expenses (A21 -A19)]], AN_TME22[[#All],[Advanced Network/Insurance Carrier Org ID]],J316, AN_TME22[[#All],[Insurance Category Code]], 2)+SUMIFS(AN_TME22[[#All],[TOTAL Truncated Unadjusted Claims Expenses (A21 -A19)]], AN_TME22[[#All],[Advanced Network/Insurance Carrier Org ID]],J316, AN_TME22[[#All],[Insurance Category Code]], 6),2)</f>
        <v>0</v>
      </c>
      <c r="L316" s="241">
        <f>ROUND(SUMIFS(StandardDeviation22[[#All],[Total Spending After Truncation]], StandardDeviation22[[#All],[Advanced Network/Insurance Carrier Org ID]],J316, StandardDeviation22[[#All],[Market ID]],2),2)</f>
        <v>0</v>
      </c>
      <c r="M316" s="276" t="str">
        <f t="shared" si="33"/>
        <v>TRUE</v>
      </c>
      <c r="N316" s="263">
        <f>ROUND(SUMIFS(AN_TME23[[#All],[TOTAL Truncated Unadjusted Claims Expenses (A21 -A19)]], AN_TME23[[#All],[Advanced Network/Insurance Carrier Org ID]],J316, AN_TME23[[#All],[Insurance Category Code]], 2)+SUMIFS(AN_TME23[[#All],[TOTAL Truncated Unadjusted Claims Expenses (A21 -A19)]], AN_TME23[[#All],[Advanced Network/Insurance Carrier Org ID]],J316, AN_TME23[[#All],[Insurance Category Code]], 6),2)</f>
        <v>0</v>
      </c>
      <c r="O316" s="241">
        <f>ROUND(SUMIFS(StandardDeviation23[[#All],[Total Spending After Truncation]], StandardDeviation23[[#All],[Advanced Network/Insurance Carrier Org ID]],J316, StandardDeviation23[[#All],[Market ID]],2),2)</f>
        <v>0</v>
      </c>
      <c r="P316" s="276" t="str">
        <f t="shared" si="34"/>
        <v>TRUE</v>
      </c>
      <c r="Q316"/>
      <c r="R316" s="236">
        <v>102</v>
      </c>
      <c r="S316" s="263">
        <f>ROUND(SUMIFS(AN_TME22[[#All],[TOTAL Truncated Unadjusted Claims Expenses (A21 -A19)]], AN_TME22[[#All],[Advanced Network/Insurance Carrier Org ID]],R316, AN_TME22[[#All],[Insurance Category Code]], 3)+SUMIFS(AN_TME22[[#All],[TOTAL Truncated Unadjusted Claims Expenses (A21 -A19)]], AN_TME22[[#All],[Advanced Network/Insurance Carrier Org ID]],R316, AN_TME22[[#All],[Insurance Category Code]], 4),2)</f>
        <v>0</v>
      </c>
      <c r="T316" s="241">
        <f>ROUND(SUMIFS(StandardDeviation22[[#All],[Total Spending After Truncation]], StandardDeviation22[[#All],[Advanced Network/Insurance Carrier Org ID]],R316, StandardDeviation22[[#All],[Market ID]],3),2)</f>
        <v>0</v>
      </c>
      <c r="U316" s="308" t="str">
        <f t="shared" si="35"/>
        <v>TRUE</v>
      </c>
      <c r="V316" s="263">
        <f>ROUND(SUMIFS(AN_TME23[[#All],[TOTAL Truncated Unadjusted Claims Expenses (A21 -A19)]], AN_TME23[[#All],[Advanced Network/Insurance Carrier Org ID]],R316, AN_TME23[[#All],[Insurance Category Code]], 3)+SUMIFS(AN_TME23[[#All],[TOTAL Truncated Unadjusted Claims Expenses (A21 -A19)]], AN_TME23[[#All],[Advanced Network/Insurance Carrier Org ID]],R316, AN_TME23[[#All],[Insurance Category Code]], 4),2)</f>
        <v>0</v>
      </c>
      <c r="W316" s="241">
        <f>ROUND(SUMIFS(StandardDeviation23[[#All],[Total Spending After Truncation]], StandardDeviation23[[#All],[Advanced Network/Insurance Carrier Org ID]],R316, StandardDeviation23[[#All],[Market ID]],3),2)</f>
        <v>0</v>
      </c>
      <c r="X316" s="308" t="str">
        <f t="shared" si="36"/>
        <v>TRUE</v>
      </c>
    </row>
    <row r="317" spans="2:32" s="30" customFormat="1" x14ac:dyDescent="0.25">
      <c r="B317" s="236">
        <v>103</v>
      </c>
      <c r="C317" s="263">
        <f>ROUND(SUMIFS(AN_TME22[[#All],[TOTAL Truncated Unadjusted Claims Expenses (A21 -A19)]], AN_TME22[[#All],[Advanced Network/Insurance Carrier Org ID]],B317, AN_TME22[[#All],[Insurance Category Code]], 1)+SUMIFS(AN_TME22[[#All],[TOTAL Truncated Unadjusted Claims Expenses (A21 -A19)]], AN_TME22[[#All],[Advanced Network/Insurance Carrier Org ID]],B317, AN_TME22[[#All],[Insurance Category Code]], 5),2)</f>
        <v>0</v>
      </c>
      <c r="D317" s="241">
        <f>ROUND(SUMIFS(StandardDeviation22[[#All],[Total Spending After Truncation]], StandardDeviation22[[#All],[Advanced Network/Insurance Carrier Org ID]],B317, StandardDeviation22[[#All],[Market ID]],1),2)</f>
        <v>0</v>
      </c>
      <c r="E317" s="418" t="str">
        <f t="shared" si="31"/>
        <v>TRUE</v>
      </c>
      <c r="F317" s="263">
        <f>ROUND(SUMIFS(AN_TME23[[#All],[TOTAL Truncated Unadjusted Claims Expenses (A21 -A19)]], AN_TME23[[#All],[Advanced Network/Insurance Carrier Org ID]],B317, AN_TME23[[#All],[Insurance Category Code]], 1)+SUMIFS(AN_TME23[[#All],[TOTAL Truncated Unadjusted Claims Expenses (A21 -A19)]], AN_TME23[[#All],[Advanced Network/Insurance Carrier Org ID]],B317, AN_TME23[[#All],[Insurance Category Code]], 5),2)</f>
        <v>0</v>
      </c>
      <c r="G317" s="241">
        <f>ROUND(SUMIFS(StandardDeviation23[[#All],[Total Spending After Truncation]], StandardDeviation23[[#All],[Advanced Network/Insurance Carrier Org ID]],B317, StandardDeviation23[[#All],[Market ID]],1),2)</f>
        <v>0</v>
      </c>
      <c r="H317" s="418" t="str">
        <f t="shared" si="32"/>
        <v>TRUE</v>
      </c>
      <c r="I317"/>
      <c r="J317" s="236">
        <v>103</v>
      </c>
      <c r="K317" s="263">
        <f>ROUND(SUMIFS(AN_TME22[[#All],[TOTAL Truncated Unadjusted Claims Expenses (A21 -A19)]], AN_TME22[[#All],[Advanced Network/Insurance Carrier Org ID]],J317, AN_TME22[[#All],[Insurance Category Code]], 2)+SUMIFS(AN_TME22[[#All],[TOTAL Truncated Unadjusted Claims Expenses (A21 -A19)]], AN_TME22[[#All],[Advanced Network/Insurance Carrier Org ID]],J317, AN_TME22[[#All],[Insurance Category Code]], 6),2)</f>
        <v>0</v>
      </c>
      <c r="L317" s="241">
        <f>ROUND(SUMIFS(StandardDeviation22[[#All],[Total Spending After Truncation]], StandardDeviation22[[#All],[Advanced Network/Insurance Carrier Org ID]],J317, StandardDeviation22[[#All],[Market ID]],2),2)</f>
        <v>0</v>
      </c>
      <c r="M317" s="276" t="str">
        <f t="shared" si="33"/>
        <v>TRUE</v>
      </c>
      <c r="N317" s="263">
        <f>ROUND(SUMIFS(AN_TME23[[#All],[TOTAL Truncated Unadjusted Claims Expenses (A21 -A19)]], AN_TME23[[#All],[Advanced Network/Insurance Carrier Org ID]],J317, AN_TME23[[#All],[Insurance Category Code]], 2)+SUMIFS(AN_TME23[[#All],[TOTAL Truncated Unadjusted Claims Expenses (A21 -A19)]], AN_TME23[[#All],[Advanced Network/Insurance Carrier Org ID]],J317, AN_TME23[[#All],[Insurance Category Code]], 6),2)</f>
        <v>0</v>
      </c>
      <c r="O317" s="241">
        <f>ROUND(SUMIFS(StandardDeviation23[[#All],[Total Spending After Truncation]], StandardDeviation23[[#All],[Advanced Network/Insurance Carrier Org ID]],J317, StandardDeviation23[[#All],[Market ID]],2),2)</f>
        <v>0</v>
      </c>
      <c r="P317" s="276" t="str">
        <f t="shared" si="34"/>
        <v>TRUE</v>
      </c>
      <c r="Q317"/>
      <c r="R317" s="236">
        <v>103</v>
      </c>
      <c r="S317" s="263">
        <f>ROUND(SUMIFS(AN_TME22[[#All],[TOTAL Truncated Unadjusted Claims Expenses (A21 -A19)]], AN_TME22[[#All],[Advanced Network/Insurance Carrier Org ID]],R317, AN_TME22[[#All],[Insurance Category Code]], 3)+SUMIFS(AN_TME22[[#All],[TOTAL Truncated Unadjusted Claims Expenses (A21 -A19)]], AN_TME22[[#All],[Advanced Network/Insurance Carrier Org ID]],R317, AN_TME22[[#All],[Insurance Category Code]], 4),2)</f>
        <v>0</v>
      </c>
      <c r="T317" s="241">
        <f>ROUND(SUMIFS(StandardDeviation22[[#All],[Total Spending After Truncation]], StandardDeviation22[[#All],[Advanced Network/Insurance Carrier Org ID]],R317, StandardDeviation22[[#All],[Market ID]],3),2)</f>
        <v>0</v>
      </c>
      <c r="U317" s="308" t="str">
        <f t="shared" si="35"/>
        <v>TRUE</v>
      </c>
      <c r="V317" s="263">
        <f>ROUND(SUMIFS(AN_TME23[[#All],[TOTAL Truncated Unadjusted Claims Expenses (A21 -A19)]], AN_TME23[[#All],[Advanced Network/Insurance Carrier Org ID]],R317, AN_TME23[[#All],[Insurance Category Code]], 3)+SUMIFS(AN_TME23[[#All],[TOTAL Truncated Unadjusted Claims Expenses (A21 -A19)]], AN_TME23[[#All],[Advanced Network/Insurance Carrier Org ID]],R317, AN_TME23[[#All],[Insurance Category Code]], 4),2)</f>
        <v>0</v>
      </c>
      <c r="W317" s="241">
        <f>ROUND(SUMIFS(StandardDeviation23[[#All],[Total Spending After Truncation]], StandardDeviation23[[#All],[Advanced Network/Insurance Carrier Org ID]],R317, StandardDeviation23[[#All],[Market ID]],3),2)</f>
        <v>0</v>
      </c>
      <c r="X317" s="308" t="str">
        <f t="shared" si="36"/>
        <v>TRUE</v>
      </c>
    </row>
    <row r="318" spans="2:32" s="30" customFormat="1" x14ac:dyDescent="0.25">
      <c r="B318" s="236">
        <v>104</v>
      </c>
      <c r="C318" s="263">
        <f>ROUND(SUMIFS(AN_TME22[[#All],[TOTAL Truncated Unadjusted Claims Expenses (A21 -A19)]], AN_TME22[[#All],[Advanced Network/Insurance Carrier Org ID]],B318, AN_TME22[[#All],[Insurance Category Code]], 1)+SUMIFS(AN_TME22[[#All],[TOTAL Truncated Unadjusted Claims Expenses (A21 -A19)]], AN_TME22[[#All],[Advanced Network/Insurance Carrier Org ID]],B318, AN_TME22[[#All],[Insurance Category Code]], 5),2)</f>
        <v>0</v>
      </c>
      <c r="D318" s="241">
        <f>ROUND(SUMIFS(StandardDeviation22[[#All],[Total Spending After Truncation]], StandardDeviation22[[#All],[Advanced Network/Insurance Carrier Org ID]],B318, StandardDeviation22[[#All],[Market ID]],1),2)</f>
        <v>0</v>
      </c>
      <c r="E318" s="418" t="str">
        <f t="shared" si="31"/>
        <v>TRUE</v>
      </c>
      <c r="F318" s="263">
        <f>ROUND(SUMIFS(AN_TME23[[#All],[TOTAL Truncated Unadjusted Claims Expenses (A21 -A19)]], AN_TME23[[#All],[Advanced Network/Insurance Carrier Org ID]],B318, AN_TME23[[#All],[Insurance Category Code]], 1)+SUMIFS(AN_TME23[[#All],[TOTAL Truncated Unadjusted Claims Expenses (A21 -A19)]], AN_TME23[[#All],[Advanced Network/Insurance Carrier Org ID]],B318, AN_TME23[[#All],[Insurance Category Code]], 5),2)</f>
        <v>0</v>
      </c>
      <c r="G318" s="241">
        <f>ROUND(SUMIFS(StandardDeviation23[[#All],[Total Spending After Truncation]], StandardDeviation23[[#All],[Advanced Network/Insurance Carrier Org ID]],B318, StandardDeviation23[[#All],[Market ID]],1),2)</f>
        <v>0</v>
      </c>
      <c r="H318" s="418" t="str">
        <f t="shared" si="32"/>
        <v>TRUE</v>
      </c>
      <c r="I318"/>
      <c r="J318" s="236">
        <v>104</v>
      </c>
      <c r="K318" s="263">
        <f>ROUND(SUMIFS(AN_TME22[[#All],[TOTAL Truncated Unadjusted Claims Expenses (A21 -A19)]], AN_TME22[[#All],[Advanced Network/Insurance Carrier Org ID]],J318, AN_TME22[[#All],[Insurance Category Code]], 2)+SUMIFS(AN_TME22[[#All],[TOTAL Truncated Unadjusted Claims Expenses (A21 -A19)]], AN_TME22[[#All],[Advanced Network/Insurance Carrier Org ID]],J318, AN_TME22[[#All],[Insurance Category Code]], 6),2)</f>
        <v>0</v>
      </c>
      <c r="L318" s="241">
        <f>ROUND(SUMIFS(StandardDeviation22[[#All],[Total Spending After Truncation]], StandardDeviation22[[#All],[Advanced Network/Insurance Carrier Org ID]],J318, StandardDeviation22[[#All],[Market ID]],2),2)</f>
        <v>0</v>
      </c>
      <c r="M318" s="276" t="str">
        <f t="shared" si="33"/>
        <v>TRUE</v>
      </c>
      <c r="N318" s="263">
        <f>ROUND(SUMIFS(AN_TME23[[#All],[TOTAL Truncated Unadjusted Claims Expenses (A21 -A19)]], AN_TME23[[#All],[Advanced Network/Insurance Carrier Org ID]],J318, AN_TME23[[#All],[Insurance Category Code]], 2)+SUMIFS(AN_TME23[[#All],[TOTAL Truncated Unadjusted Claims Expenses (A21 -A19)]], AN_TME23[[#All],[Advanced Network/Insurance Carrier Org ID]],J318, AN_TME23[[#All],[Insurance Category Code]], 6),2)</f>
        <v>0</v>
      </c>
      <c r="O318" s="241">
        <f>ROUND(SUMIFS(StandardDeviation23[[#All],[Total Spending After Truncation]], StandardDeviation23[[#All],[Advanced Network/Insurance Carrier Org ID]],J318, StandardDeviation23[[#All],[Market ID]],2),2)</f>
        <v>0</v>
      </c>
      <c r="P318" s="276" t="str">
        <f t="shared" si="34"/>
        <v>TRUE</v>
      </c>
      <c r="Q318"/>
      <c r="R318" s="236">
        <v>104</v>
      </c>
      <c r="S318" s="263">
        <f>ROUND(SUMIFS(AN_TME22[[#All],[TOTAL Truncated Unadjusted Claims Expenses (A21 -A19)]], AN_TME22[[#All],[Advanced Network/Insurance Carrier Org ID]],R318, AN_TME22[[#All],[Insurance Category Code]], 3)+SUMIFS(AN_TME22[[#All],[TOTAL Truncated Unadjusted Claims Expenses (A21 -A19)]], AN_TME22[[#All],[Advanced Network/Insurance Carrier Org ID]],R318, AN_TME22[[#All],[Insurance Category Code]], 4),2)</f>
        <v>0</v>
      </c>
      <c r="T318" s="241">
        <f>ROUND(SUMIFS(StandardDeviation22[[#All],[Total Spending After Truncation]], StandardDeviation22[[#All],[Advanced Network/Insurance Carrier Org ID]],R318, StandardDeviation22[[#All],[Market ID]],3),2)</f>
        <v>0</v>
      </c>
      <c r="U318" s="308" t="str">
        <f t="shared" si="35"/>
        <v>TRUE</v>
      </c>
      <c r="V318" s="263">
        <f>ROUND(SUMIFS(AN_TME23[[#All],[TOTAL Truncated Unadjusted Claims Expenses (A21 -A19)]], AN_TME23[[#All],[Advanced Network/Insurance Carrier Org ID]],R318, AN_TME23[[#All],[Insurance Category Code]], 3)+SUMIFS(AN_TME23[[#All],[TOTAL Truncated Unadjusted Claims Expenses (A21 -A19)]], AN_TME23[[#All],[Advanced Network/Insurance Carrier Org ID]],R318, AN_TME23[[#All],[Insurance Category Code]], 4),2)</f>
        <v>0</v>
      </c>
      <c r="W318" s="241">
        <f>ROUND(SUMIFS(StandardDeviation23[[#All],[Total Spending After Truncation]], StandardDeviation23[[#All],[Advanced Network/Insurance Carrier Org ID]],R318, StandardDeviation23[[#All],[Market ID]],3),2)</f>
        <v>0</v>
      </c>
      <c r="X318" s="308" t="str">
        <f t="shared" si="36"/>
        <v>TRUE</v>
      </c>
    </row>
    <row r="319" spans="2:32" s="30" customFormat="1" x14ac:dyDescent="0.25">
      <c r="B319" s="236">
        <v>105</v>
      </c>
      <c r="C319" s="263">
        <f>ROUND(SUMIFS(AN_TME22[[#All],[TOTAL Truncated Unadjusted Claims Expenses (A21 -A19)]], AN_TME22[[#All],[Advanced Network/Insurance Carrier Org ID]],B319, AN_TME22[[#All],[Insurance Category Code]], 1)+SUMIFS(AN_TME22[[#All],[TOTAL Truncated Unadjusted Claims Expenses (A21 -A19)]], AN_TME22[[#All],[Advanced Network/Insurance Carrier Org ID]],B319, AN_TME22[[#All],[Insurance Category Code]], 5),2)</f>
        <v>0</v>
      </c>
      <c r="D319" s="241">
        <f>ROUND(SUMIFS(StandardDeviation22[[#All],[Total Spending After Truncation]], StandardDeviation22[[#All],[Advanced Network/Insurance Carrier Org ID]],B319, StandardDeviation22[[#All],[Market ID]],1),2)</f>
        <v>0</v>
      </c>
      <c r="E319" s="418" t="str">
        <f t="shared" si="31"/>
        <v>TRUE</v>
      </c>
      <c r="F319" s="263">
        <f>ROUND(SUMIFS(AN_TME23[[#All],[TOTAL Truncated Unadjusted Claims Expenses (A21 -A19)]], AN_TME23[[#All],[Advanced Network/Insurance Carrier Org ID]],B319, AN_TME23[[#All],[Insurance Category Code]], 1)+SUMIFS(AN_TME23[[#All],[TOTAL Truncated Unadjusted Claims Expenses (A21 -A19)]], AN_TME23[[#All],[Advanced Network/Insurance Carrier Org ID]],B319, AN_TME23[[#All],[Insurance Category Code]], 5),2)</f>
        <v>0</v>
      </c>
      <c r="G319" s="241">
        <f>ROUND(SUMIFS(StandardDeviation23[[#All],[Total Spending After Truncation]], StandardDeviation23[[#All],[Advanced Network/Insurance Carrier Org ID]],B319, StandardDeviation23[[#All],[Market ID]],1),2)</f>
        <v>0</v>
      </c>
      <c r="H319" s="418" t="str">
        <f t="shared" si="32"/>
        <v>TRUE</v>
      </c>
      <c r="I319"/>
      <c r="J319" s="236">
        <v>105</v>
      </c>
      <c r="K319" s="263">
        <f>ROUND(SUMIFS(AN_TME22[[#All],[TOTAL Truncated Unadjusted Claims Expenses (A21 -A19)]], AN_TME22[[#All],[Advanced Network/Insurance Carrier Org ID]],J319, AN_TME22[[#All],[Insurance Category Code]], 2)+SUMIFS(AN_TME22[[#All],[TOTAL Truncated Unadjusted Claims Expenses (A21 -A19)]], AN_TME22[[#All],[Advanced Network/Insurance Carrier Org ID]],J319, AN_TME22[[#All],[Insurance Category Code]], 6),2)</f>
        <v>0</v>
      </c>
      <c r="L319" s="241">
        <f>ROUND(SUMIFS(StandardDeviation22[[#All],[Total Spending After Truncation]], StandardDeviation22[[#All],[Advanced Network/Insurance Carrier Org ID]],J319, StandardDeviation22[[#All],[Market ID]],2),2)</f>
        <v>0</v>
      </c>
      <c r="M319" s="276" t="str">
        <f t="shared" si="33"/>
        <v>TRUE</v>
      </c>
      <c r="N319" s="263">
        <f>ROUND(SUMIFS(AN_TME23[[#All],[TOTAL Truncated Unadjusted Claims Expenses (A21 -A19)]], AN_TME23[[#All],[Advanced Network/Insurance Carrier Org ID]],J319, AN_TME23[[#All],[Insurance Category Code]], 2)+SUMIFS(AN_TME23[[#All],[TOTAL Truncated Unadjusted Claims Expenses (A21 -A19)]], AN_TME23[[#All],[Advanced Network/Insurance Carrier Org ID]],J319, AN_TME23[[#All],[Insurance Category Code]], 6),2)</f>
        <v>0</v>
      </c>
      <c r="O319" s="241">
        <f>ROUND(SUMIFS(StandardDeviation23[[#All],[Total Spending After Truncation]], StandardDeviation23[[#All],[Advanced Network/Insurance Carrier Org ID]],J319, StandardDeviation23[[#All],[Market ID]],2),2)</f>
        <v>0</v>
      </c>
      <c r="P319" s="276" t="str">
        <f t="shared" si="34"/>
        <v>TRUE</v>
      </c>
      <c r="Q319"/>
      <c r="R319" s="236">
        <v>105</v>
      </c>
      <c r="S319" s="263">
        <f>ROUND(SUMIFS(AN_TME22[[#All],[TOTAL Truncated Unadjusted Claims Expenses (A21 -A19)]], AN_TME22[[#All],[Advanced Network/Insurance Carrier Org ID]],R319, AN_TME22[[#All],[Insurance Category Code]], 3)+SUMIFS(AN_TME22[[#All],[TOTAL Truncated Unadjusted Claims Expenses (A21 -A19)]], AN_TME22[[#All],[Advanced Network/Insurance Carrier Org ID]],R319, AN_TME22[[#All],[Insurance Category Code]], 4),2)</f>
        <v>0</v>
      </c>
      <c r="T319" s="241">
        <f>ROUND(SUMIFS(StandardDeviation22[[#All],[Total Spending After Truncation]], StandardDeviation22[[#All],[Advanced Network/Insurance Carrier Org ID]],R319, StandardDeviation22[[#All],[Market ID]],3),2)</f>
        <v>0</v>
      </c>
      <c r="U319" s="308" t="str">
        <f t="shared" si="35"/>
        <v>TRUE</v>
      </c>
      <c r="V319" s="263">
        <f>ROUND(SUMIFS(AN_TME23[[#All],[TOTAL Truncated Unadjusted Claims Expenses (A21 -A19)]], AN_TME23[[#All],[Advanced Network/Insurance Carrier Org ID]],R319, AN_TME23[[#All],[Insurance Category Code]], 3)+SUMIFS(AN_TME23[[#All],[TOTAL Truncated Unadjusted Claims Expenses (A21 -A19)]], AN_TME23[[#All],[Advanced Network/Insurance Carrier Org ID]],R319, AN_TME23[[#All],[Insurance Category Code]], 4),2)</f>
        <v>0</v>
      </c>
      <c r="W319" s="241">
        <f>ROUND(SUMIFS(StandardDeviation23[[#All],[Total Spending After Truncation]], StandardDeviation23[[#All],[Advanced Network/Insurance Carrier Org ID]],R319, StandardDeviation23[[#All],[Market ID]],3),2)</f>
        <v>0</v>
      </c>
      <c r="X319" s="308" t="str">
        <f t="shared" si="36"/>
        <v>TRUE</v>
      </c>
    </row>
    <row r="320" spans="2:32" s="30" customFormat="1" x14ac:dyDescent="0.25">
      <c r="B320" s="236">
        <v>106</v>
      </c>
      <c r="C320" s="263">
        <f>ROUND(SUMIFS(AN_TME22[[#All],[TOTAL Truncated Unadjusted Claims Expenses (A21 -A19)]], AN_TME22[[#All],[Advanced Network/Insurance Carrier Org ID]],B320, AN_TME22[[#All],[Insurance Category Code]], 1)+SUMIFS(AN_TME22[[#All],[TOTAL Truncated Unadjusted Claims Expenses (A21 -A19)]], AN_TME22[[#All],[Advanced Network/Insurance Carrier Org ID]],B320, AN_TME22[[#All],[Insurance Category Code]], 5),2)</f>
        <v>0</v>
      </c>
      <c r="D320" s="241">
        <f>ROUND(SUMIFS(StandardDeviation22[[#All],[Total Spending After Truncation]], StandardDeviation22[[#All],[Advanced Network/Insurance Carrier Org ID]],B320, StandardDeviation22[[#All],[Market ID]],1),2)</f>
        <v>0</v>
      </c>
      <c r="E320" s="418" t="str">
        <f t="shared" si="31"/>
        <v>TRUE</v>
      </c>
      <c r="F320" s="263">
        <f>ROUND(SUMIFS(AN_TME23[[#All],[TOTAL Truncated Unadjusted Claims Expenses (A21 -A19)]], AN_TME23[[#All],[Advanced Network/Insurance Carrier Org ID]],B320, AN_TME23[[#All],[Insurance Category Code]], 1)+SUMIFS(AN_TME23[[#All],[TOTAL Truncated Unadjusted Claims Expenses (A21 -A19)]], AN_TME23[[#All],[Advanced Network/Insurance Carrier Org ID]],B320, AN_TME23[[#All],[Insurance Category Code]], 5),2)</f>
        <v>0</v>
      </c>
      <c r="G320" s="241">
        <f>ROUND(SUMIFS(StandardDeviation23[[#All],[Total Spending After Truncation]], StandardDeviation23[[#All],[Advanced Network/Insurance Carrier Org ID]],B320, StandardDeviation23[[#All],[Market ID]],1),2)</f>
        <v>0</v>
      </c>
      <c r="H320" s="418" t="str">
        <f t="shared" si="32"/>
        <v>TRUE</v>
      </c>
      <c r="I320"/>
      <c r="J320" s="236">
        <v>106</v>
      </c>
      <c r="K320" s="263">
        <f>ROUND(SUMIFS(AN_TME22[[#All],[TOTAL Truncated Unadjusted Claims Expenses (A21 -A19)]], AN_TME22[[#All],[Advanced Network/Insurance Carrier Org ID]],J320, AN_TME22[[#All],[Insurance Category Code]], 2)+SUMIFS(AN_TME22[[#All],[TOTAL Truncated Unadjusted Claims Expenses (A21 -A19)]], AN_TME22[[#All],[Advanced Network/Insurance Carrier Org ID]],J320, AN_TME22[[#All],[Insurance Category Code]], 6),2)</f>
        <v>0</v>
      </c>
      <c r="L320" s="241">
        <f>ROUND(SUMIFS(StandardDeviation22[[#All],[Total Spending After Truncation]], StandardDeviation22[[#All],[Advanced Network/Insurance Carrier Org ID]],J320, StandardDeviation22[[#All],[Market ID]],2),2)</f>
        <v>0</v>
      </c>
      <c r="M320" s="276" t="str">
        <f t="shared" si="33"/>
        <v>TRUE</v>
      </c>
      <c r="N320" s="263">
        <f>ROUND(SUMIFS(AN_TME23[[#All],[TOTAL Truncated Unadjusted Claims Expenses (A21 -A19)]], AN_TME23[[#All],[Advanced Network/Insurance Carrier Org ID]],J320, AN_TME23[[#All],[Insurance Category Code]], 2)+SUMIFS(AN_TME23[[#All],[TOTAL Truncated Unadjusted Claims Expenses (A21 -A19)]], AN_TME23[[#All],[Advanced Network/Insurance Carrier Org ID]],J320, AN_TME23[[#All],[Insurance Category Code]], 6),2)</f>
        <v>0</v>
      </c>
      <c r="O320" s="241">
        <f>ROUND(SUMIFS(StandardDeviation23[[#All],[Total Spending After Truncation]], StandardDeviation23[[#All],[Advanced Network/Insurance Carrier Org ID]],J320, StandardDeviation23[[#All],[Market ID]],2),2)</f>
        <v>0</v>
      </c>
      <c r="P320" s="276" t="str">
        <f t="shared" si="34"/>
        <v>TRUE</v>
      </c>
      <c r="Q320"/>
      <c r="R320" s="236">
        <v>106</v>
      </c>
      <c r="S320" s="263">
        <f>ROUND(SUMIFS(AN_TME22[[#All],[TOTAL Truncated Unadjusted Claims Expenses (A21 -A19)]], AN_TME22[[#All],[Advanced Network/Insurance Carrier Org ID]],R320, AN_TME22[[#All],[Insurance Category Code]], 3)+SUMIFS(AN_TME22[[#All],[TOTAL Truncated Unadjusted Claims Expenses (A21 -A19)]], AN_TME22[[#All],[Advanced Network/Insurance Carrier Org ID]],R320, AN_TME22[[#All],[Insurance Category Code]], 4),2)</f>
        <v>0</v>
      </c>
      <c r="T320" s="241">
        <f>ROUND(SUMIFS(StandardDeviation22[[#All],[Total Spending After Truncation]], StandardDeviation22[[#All],[Advanced Network/Insurance Carrier Org ID]],R320, StandardDeviation22[[#All],[Market ID]],3),2)</f>
        <v>0</v>
      </c>
      <c r="U320" s="308" t="str">
        <f t="shared" si="35"/>
        <v>TRUE</v>
      </c>
      <c r="V320" s="263">
        <f>ROUND(SUMIFS(AN_TME23[[#All],[TOTAL Truncated Unadjusted Claims Expenses (A21 -A19)]], AN_TME23[[#All],[Advanced Network/Insurance Carrier Org ID]],R320, AN_TME23[[#All],[Insurance Category Code]], 3)+SUMIFS(AN_TME23[[#All],[TOTAL Truncated Unadjusted Claims Expenses (A21 -A19)]], AN_TME23[[#All],[Advanced Network/Insurance Carrier Org ID]],R320, AN_TME23[[#All],[Insurance Category Code]], 4),2)</f>
        <v>0</v>
      </c>
      <c r="W320" s="241">
        <f>ROUND(SUMIFS(StandardDeviation23[[#All],[Total Spending After Truncation]], StandardDeviation23[[#All],[Advanced Network/Insurance Carrier Org ID]],R320, StandardDeviation23[[#All],[Market ID]],3),2)</f>
        <v>0</v>
      </c>
      <c r="X320" s="308" t="str">
        <f t="shared" si="36"/>
        <v>TRUE</v>
      </c>
    </row>
    <row r="321" spans="2:24" s="30" customFormat="1" x14ac:dyDescent="0.25">
      <c r="B321" s="236">
        <v>107</v>
      </c>
      <c r="C321" s="263">
        <f>ROUND(SUMIFS(AN_TME22[[#All],[TOTAL Truncated Unadjusted Claims Expenses (A21 -A19)]], AN_TME22[[#All],[Advanced Network/Insurance Carrier Org ID]],B321, AN_TME22[[#All],[Insurance Category Code]], 1)+SUMIFS(AN_TME22[[#All],[TOTAL Truncated Unadjusted Claims Expenses (A21 -A19)]], AN_TME22[[#All],[Advanced Network/Insurance Carrier Org ID]],B321, AN_TME22[[#All],[Insurance Category Code]], 5),2)</f>
        <v>0</v>
      </c>
      <c r="D321" s="241">
        <f>ROUND(SUMIFS(StandardDeviation22[[#All],[Total Spending After Truncation]], StandardDeviation22[[#All],[Advanced Network/Insurance Carrier Org ID]],B321, StandardDeviation22[[#All],[Market ID]],1),2)</f>
        <v>0</v>
      </c>
      <c r="E321" s="418" t="str">
        <f t="shared" si="31"/>
        <v>TRUE</v>
      </c>
      <c r="F321" s="263">
        <f>ROUND(SUMIFS(AN_TME23[[#All],[TOTAL Truncated Unadjusted Claims Expenses (A21 -A19)]], AN_TME23[[#All],[Advanced Network/Insurance Carrier Org ID]],B321, AN_TME23[[#All],[Insurance Category Code]], 1)+SUMIFS(AN_TME23[[#All],[TOTAL Truncated Unadjusted Claims Expenses (A21 -A19)]], AN_TME23[[#All],[Advanced Network/Insurance Carrier Org ID]],B321, AN_TME23[[#All],[Insurance Category Code]], 5),2)</f>
        <v>0</v>
      </c>
      <c r="G321" s="241">
        <f>ROUND(SUMIFS(StandardDeviation23[[#All],[Total Spending After Truncation]], StandardDeviation23[[#All],[Advanced Network/Insurance Carrier Org ID]],B321, StandardDeviation23[[#All],[Market ID]],1),2)</f>
        <v>0</v>
      </c>
      <c r="H321" s="418" t="str">
        <f t="shared" si="32"/>
        <v>TRUE</v>
      </c>
      <c r="I321"/>
      <c r="J321" s="236">
        <v>107</v>
      </c>
      <c r="K321" s="263">
        <f>ROUND(SUMIFS(AN_TME22[[#All],[TOTAL Truncated Unadjusted Claims Expenses (A21 -A19)]], AN_TME22[[#All],[Advanced Network/Insurance Carrier Org ID]],J321, AN_TME22[[#All],[Insurance Category Code]], 2)+SUMIFS(AN_TME22[[#All],[TOTAL Truncated Unadjusted Claims Expenses (A21 -A19)]], AN_TME22[[#All],[Advanced Network/Insurance Carrier Org ID]],J321, AN_TME22[[#All],[Insurance Category Code]], 6),2)</f>
        <v>0</v>
      </c>
      <c r="L321" s="241">
        <f>ROUND(SUMIFS(StandardDeviation22[[#All],[Total Spending After Truncation]], StandardDeviation22[[#All],[Advanced Network/Insurance Carrier Org ID]],J321, StandardDeviation22[[#All],[Market ID]],2),2)</f>
        <v>0</v>
      </c>
      <c r="M321" s="276" t="str">
        <f t="shared" si="33"/>
        <v>TRUE</v>
      </c>
      <c r="N321" s="263">
        <f>ROUND(SUMIFS(AN_TME23[[#All],[TOTAL Truncated Unadjusted Claims Expenses (A21 -A19)]], AN_TME23[[#All],[Advanced Network/Insurance Carrier Org ID]],J321, AN_TME23[[#All],[Insurance Category Code]], 2)+SUMIFS(AN_TME23[[#All],[TOTAL Truncated Unadjusted Claims Expenses (A21 -A19)]], AN_TME23[[#All],[Advanced Network/Insurance Carrier Org ID]],J321, AN_TME23[[#All],[Insurance Category Code]], 6),2)</f>
        <v>0</v>
      </c>
      <c r="O321" s="241">
        <f>ROUND(SUMIFS(StandardDeviation23[[#All],[Total Spending After Truncation]], StandardDeviation23[[#All],[Advanced Network/Insurance Carrier Org ID]],J321, StandardDeviation23[[#All],[Market ID]],2),2)</f>
        <v>0</v>
      </c>
      <c r="P321" s="276" t="str">
        <f t="shared" si="34"/>
        <v>TRUE</v>
      </c>
      <c r="Q321"/>
      <c r="R321" s="236">
        <v>107</v>
      </c>
      <c r="S321" s="263">
        <f>ROUND(SUMIFS(AN_TME22[[#All],[TOTAL Truncated Unadjusted Claims Expenses (A21 -A19)]], AN_TME22[[#All],[Advanced Network/Insurance Carrier Org ID]],R321, AN_TME22[[#All],[Insurance Category Code]], 3)+SUMIFS(AN_TME22[[#All],[TOTAL Truncated Unadjusted Claims Expenses (A21 -A19)]], AN_TME22[[#All],[Advanced Network/Insurance Carrier Org ID]],R321, AN_TME22[[#All],[Insurance Category Code]], 4),2)</f>
        <v>0</v>
      </c>
      <c r="T321" s="241">
        <f>ROUND(SUMIFS(StandardDeviation22[[#All],[Total Spending After Truncation]], StandardDeviation22[[#All],[Advanced Network/Insurance Carrier Org ID]],R321, StandardDeviation22[[#All],[Market ID]],3),2)</f>
        <v>0</v>
      </c>
      <c r="U321" s="308" t="str">
        <f t="shared" si="35"/>
        <v>TRUE</v>
      </c>
      <c r="V321" s="263">
        <f>ROUND(SUMIFS(AN_TME23[[#All],[TOTAL Truncated Unadjusted Claims Expenses (A21 -A19)]], AN_TME23[[#All],[Advanced Network/Insurance Carrier Org ID]],R321, AN_TME23[[#All],[Insurance Category Code]], 3)+SUMIFS(AN_TME23[[#All],[TOTAL Truncated Unadjusted Claims Expenses (A21 -A19)]], AN_TME23[[#All],[Advanced Network/Insurance Carrier Org ID]],R321, AN_TME23[[#All],[Insurance Category Code]], 4),2)</f>
        <v>0</v>
      </c>
      <c r="W321" s="241">
        <f>ROUND(SUMIFS(StandardDeviation23[[#All],[Total Spending After Truncation]], StandardDeviation23[[#All],[Advanced Network/Insurance Carrier Org ID]],R321, StandardDeviation23[[#All],[Market ID]],3),2)</f>
        <v>0</v>
      </c>
      <c r="X321" s="308" t="str">
        <f t="shared" si="36"/>
        <v>TRUE</v>
      </c>
    </row>
    <row r="322" spans="2:24" s="30" customFormat="1" x14ac:dyDescent="0.25">
      <c r="B322" s="236">
        <v>108</v>
      </c>
      <c r="C322" s="263">
        <f>ROUND(SUMIFS(AN_TME22[[#All],[TOTAL Truncated Unadjusted Claims Expenses (A21 -A19)]], AN_TME22[[#All],[Advanced Network/Insurance Carrier Org ID]],B322, AN_TME22[[#All],[Insurance Category Code]], 1)+SUMIFS(AN_TME22[[#All],[TOTAL Truncated Unadjusted Claims Expenses (A21 -A19)]], AN_TME22[[#All],[Advanced Network/Insurance Carrier Org ID]],B322, AN_TME22[[#All],[Insurance Category Code]], 5),2)</f>
        <v>0</v>
      </c>
      <c r="D322" s="241">
        <f>ROUND(SUMIFS(StandardDeviation22[[#All],[Total Spending After Truncation]], StandardDeviation22[[#All],[Advanced Network/Insurance Carrier Org ID]],B322, StandardDeviation22[[#All],[Market ID]],1),2)</f>
        <v>0</v>
      </c>
      <c r="E322" s="418" t="str">
        <f t="shared" si="31"/>
        <v>TRUE</v>
      </c>
      <c r="F322" s="263">
        <f>ROUND(SUMIFS(AN_TME23[[#All],[TOTAL Truncated Unadjusted Claims Expenses (A21 -A19)]], AN_TME23[[#All],[Advanced Network/Insurance Carrier Org ID]],B322, AN_TME23[[#All],[Insurance Category Code]], 1)+SUMIFS(AN_TME23[[#All],[TOTAL Truncated Unadjusted Claims Expenses (A21 -A19)]], AN_TME23[[#All],[Advanced Network/Insurance Carrier Org ID]],B322, AN_TME23[[#All],[Insurance Category Code]], 5),2)</f>
        <v>0</v>
      </c>
      <c r="G322" s="241">
        <f>ROUND(SUMIFS(StandardDeviation23[[#All],[Total Spending After Truncation]], StandardDeviation23[[#All],[Advanced Network/Insurance Carrier Org ID]],B322, StandardDeviation23[[#All],[Market ID]],1),2)</f>
        <v>0</v>
      </c>
      <c r="H322" s="418" t="str">
        <f t="shared" si="32"/>
        <v>TRUE</v>
      </c>
      <c r="I322"/>
      <c r="J322" s="236">
        <v>108</v>
      </c>
      <c r="K322" s="263">
        <f>ROUND(SUMIFS(AN_TME22[[#All],[TOTAL Truncated Unadjusted Claims Expenses (A21 -A19)]], AN_TME22[[#All],[Advanced Network/Insurance Carrier Org ID]],J322, AN_TME22[[#All],[Insurance Category Code]], 2)+SUMIFS(AN_TME22[[#All],[TOTAL Truncated Unadjusted Claims Expenses (A21 -A19)]], AN_TME22[[#All],[Advanced Network/Insurance Carrier Org ID]],J322, AN_TME22[[#All],[Insurance Category Code]], 6),2)</f>
        <v>0</v>
      </c>
      <c r="L322" s="241">
        <f>ROUND(SUMIFS(StandardDeviation22[[#All],[Total Spending After Truncation]], StandardDeviation22[[#All],[Advanced Network/Insurance Carrier Org ID]],J322, StandardDeviation22[[#All],[Market ID]],2),2)</f>
        <v>0</v>
      </c>
      <c r="M322" s="276" t="str">
        <f t="shared" si="33"/>
        <v>TRUE</v>
      </c>
      <c r="N322" s="263">
        <f>ROUND(SUMIFS(AN_TME23[[#All],[TOTAL Truncated Unadjusted Claims Expenses (A21 -A19)]], AN_TME23[[#All],[Advanced Network/Insurance Carrier Org ID]],J322, AN_TME23[[#All],[Insurance Category Code]], 2)+SUMIFS(AN_TME23[[#All],[TOTAL Truncated Unadjusted Claims Expenses (A21 -A19)]], AN_TME23[[#All],[Advanced Network/Insurance Carrier Org ID]],J322, AN_TME23[[#All],[Insurance Category Code]], 6),2)</f>
        <v>0</v>
      </c>
      <c r="O322" s="241">
        <f>ROUND(SUMIFS(StandardDeviation23[[#All],[Total Spending After Truncation]], StandardDeviation23[[#All],[Advanced Network/Insurance Carrier Org ID]],J322, StandardDeviation23[[#All],[Market ID]],2),2)</f>
        <v>0</v>
      </c>
      <c r="P322" s="276" t="str">
        <f t="shared" si="34"/>
        <v>TRUE</v>
      </c>
      <c r="Q322"/>
      <c r="R322" s="236">
        <v>108</v>
      </c>
      <c r="S322" s="263">
        <f>ROUND(SUMIFS(AN_TME22[[#All],[TOTAL Truncated Unadjusted Claims Expenses (A21 -A19)]], AN_TME22[[#All],[Advanced Network/Insurance Carrier Org ID]],R322, AN_TME22[[#All],[Insurance Category Code]], 3)+SUMIFS(AN_TME22[[#All],[TOTAL Truncated Unadjusted Claims Expenses (A21 -A19)]], AN_TME22[[#All],[Advanced Network/Insurance Carrier Org ID]],R322, AN_TME22[[#All],[Insurance Category Code]], 4),2)</f>
        <v>0</v>
      </c>
      <c r="T322" s="241">
        <f>ROUND(SUMIFS(StandardDeviation22[[#All],[Total Spending After Truncation]], StandardDeviation22[[#All],[Advanced Network/Insurance Carrier Org ID]],R322, StandardDeviation22[[#All],[Market ID]],3),2)</f>
        <v>0</v>
      </c>
      <c r="U322" s="308" t="str">
        <f t="shared" si="35"/>
        <v>TRUE</v>
      </c>
      <c r="V322" s="263">
        <f>ROUND(SUMIFS(AN_TME23[[#All],[TOTAL Truncated Unadjusted Claims Expenses (A21 -A19)]], AN_TME23[[#All],[Advanced Network/Insurance Carrier Org ID]],R322, AN_TME23[[#All],[Insurance Category Code]], 3)+SUMIFS(AN_TME23[[#All],[TOTAL Truncated Unadjusted Claims Expenses (A21 -A19)]], AN_TME23[[#All],[Advanced Network/Insurance Carrier Org ID]],R322, AN_TME23[[#All],[Insurance Category Code]], 4),2)</f>
        <v>0</v>
      </c>
      <c r="W322" s="241">
        <f>ROUND(SUMIFS(StandardDeviation23[[#All],[Total Spending After Truncation]], StandardDeviation23[[#All],[Advanced Network/Insurance Carrier Org ID]],R322, StandardDeviation23[[#All],[Market ID]],3),2)</f>
        <v>0</v>
      </c>
      <c r="X322" s="308" t="str">
        <f t="shared" si="36"/>
        <v>TRUE</v>
      </c>
    </row>
    <row r="323" spans="2:24" s="30" customFormat="1" x14ac:dyDescent="0.25">
      <c r="B323" s="236">
        <v>109</v>
      </c>
      <c r="C323" s="263">
        <f>ROUND(SUMIFS(AN_TME22[[#All],[TOTAL Truncated Unadjusted Claims Expenses (A21 -A19)]], AN_TME22[[#All],[Advanced Network/Insurance Carrier Org ID]],B323, AN_TME22[[#All],[Insurance Category Code]], 1)+SUMIFS(AN_TME22[[#All],[TOTAL Truncated Unadjusted Claims Expenses (A21 -A19)]], AN_TME22[[#All],[Advanced Network/Insurance Carrier Org ID]],B323, AN_TME22[[#All],[Insurance Category Code]], 5),2)</f>
        <v>0</v>
      </c>
      <c r="D323" s="241">
        <f>ROUND(SUMIFS(StandardDeviation22[[#All],[Total Spending After Truncation]], StandardDeviation22[[#All],[Advanced Network/Insurance Carrier Org ID]],B323, StandardDeviation22[[#All],[Market ID]],1),2)</f>
        <v>0</v>
      </c>
      <c r="E323" s="418" t="str">
        <f t="shared" si="31"/>
        <v>TRUE</v>
      </c>
      <c r="F323" s="263">
        <f>ROUND(SUMIFS(AN_TME23[[#All],[TOTAL Truncated Unadjusted Claims Expenses (A21 -A19)]], AN_TME23[[#All],[Advanced Network/Insurance Carrier Org ID]],B323, AN_TME23[[#All],[Insurance Category Code]], 1)+SUMIFS(AN_TME23[[#All],[TOTAL Truncated Unadjusted Claims Expenses (A21 -A19)]], AN_TME23[[#All],[Advanced Network/Insurance Carrier Org ID]],B323, AN_TME23[[#All],[Insurance Category Code]], 5),2)</f>
        <v>0</v>
      </c>
      <c r="G323" s="241">
        <f>ROUND(SUMIFS(StandardDeviation23[[#All],[Total Spending After Truncation]], StandardDeviation23[[#All],[Advanced Network/Insurance Carrier Org ID]],B323, StandardDeviation23[[#All],[Market ID]],1),2)</f>
        <v>0</v>
      </c>
      <c r="H323" s="418" t="str">
        <f t="shared" si="32"/>
        <v>TRUE</v>
      </c>
      <c r="I323"/>
      <c r="J323" s="236">
        <v>109</v>
      </c>
      <c r="K323" s="263">
        <f>ROUND(SUMIFS(AN_TME22[[#All],[TOTAL Truncated Unadjusted Claims Expenses (A21 -A19)]], AN_TME22[[#All],[Advanced Network/Insurance Carrier Org ID]],J323, AN_TME22[[#All],[Insurance Category Code]], 2)+SUMIFS(AN_TME22[[#All],[TOTAL Truncated Unadjusted Claims Expenses (A21 -A19)]], AN_TME22[[#All],[Advanced Network/Insurance Carrier Org ID]],J323, AN_TME22[[#All],[Insurance Category Code]], 6),2)</f>
        <v>0</v>
      </c>
      <c r="L323" s="241">
        <f>ROUND(SUMIFS(StandardDeviation22[[#All],[Total Spending After Truncation]], StandardDeviation22[[#All],[Advanced Network/Insurance Carrier Org ID]],J323, StandardDeviation22[[#All],[Market ID]],2),2)</f>
        <v>0</v>
      </c>
      <c r="M323" s="276" t="str">
        <f t="shared" si="33"/>
        <v>TRUE</v>
      </c>
      <c r="N323" s="263">
        <f>ROUND(SUMIFS(AN_TME23[[#All],[TOTAL Truncated Unadjusted Claims Expenses (A21 -A19)]], AN_TME23[[#All],[Advanced Network/Insurance Carrier Org ID]],J323, AN_TME23[[#All],[Insurance Category Code]], 2)+SUMIFS(AN_TME23[[#All],[TOTAL Truncated Unadjusted Claims Expenses (A21 -A19)]], AN_TME23[[#All],[Advanced Network/Insurance Carrier Org ID]],J323, AN_TME23[[#All],[Insurance Category Code]], 6),2)</f>
        <v>0</v>
      </c>
      <c r="O323" s="241">
        <f>ROUND(SUMIFS(StandardDeviation23[[#All],[Total Spending After Truncation]], StandardDeviation23[[#All],[Advanced Network/Insurance Carrier Org ID]],J323, StandardDeviation23[[#All],[Market ID]],2),2)</f>
        <v>0</v>
      </c>
      <c r="P323" s="276" t="str">
        <f t="shared" si="34"/>
        <v>TRUE</v>
      </c>
      <c r="Q323"/>
      <c r="R323" s="236">
        <v>109</v>
      </c>
      <c r="S323" s="263">
        <f>ROUND(SUMIFS(AN_TME22[[#All],[TOTAL Truncated Unadjusted Claims Expenses (A21 -A19)]], AN_TME22[[#All],[Advanced Network/Insurance Carrier Org ID]],R323, AN_TME22[[#All],[Insurance Category Code]], 3)+SUMIFS(AN_TME22[[#All],[TOTAL Truncated Unadjusted Claims Expenses (A21 -A19)]], AN_TME22[[#All],[Advanced Network/Insurance Carrier Org ID]],R323, AN_TME22[[#All],[Insurance Category Code]], 4),2)</f>
        <v>0</v>
      </c>
      <c r="T323" s="241">
        <f>ROUND(SUMIFS(StandardDeviation22[[#All],[Total Spending After Truncation]], StandardDeviation22[[#All],[Advanced Network/Insurance Carrier Org ID]],R323, StandardDeviation22[[#All],[Market ID]],3),2)</f>
        <v>0</v>
      </c>
      <c r="U323" s="308" t="str">
        <f t="shared" si="35"/>
        <v>TRUE</v>
      </c>
      <c r="V323" s="263">
        <f>ROUND(SUMIFS(AN_TME23[[#All],[TOTAL Truncated Unadjusted Claims Expenses (A21 -A19)]], AN_TME23[[#All],[Advanced Network/Insurance Carrier Org ID]],R323, AN_TME23[[#All],[Insurance Category Code]], 3)+SUMIFS(AN_TME23[[#All],[TOTAL Truncated Unadjusted Claims Expenses (A21 -A19)]], AN_TME23[[#All],[Advanced Network/Insurance Carrier Org ID]],R323, AN_TME23[[#All],[Insurance Category Code]], 4),2)</f>
        <v>0</v>
      </c>
      <c r="W323" s="241">
        <f>ROUND(SUMIFS(StandardDeviation23[[#All],[Total Spending After Truncation]], StandardDeviation23[[#All],[Advanced Network/Insurance Carrier Org ID]],R323, StandardDeviation23[[#All],[Market ID]],3),2)</f>
        <v>0</v>
      </c>
      <c r="X323" s="308" t="str">
        <f t="shared" si="36"/>
        <v>TRUE</v>
      </c>
    </row>
    <row r="324" spans="2:24" s="30" customFormat="1" x14ac:dyDescent="0.25">
      <c r="B324" s="236">
        <v>110</v>
      </c>
      <c r="C324" s="263">
        <f>ROUND(SUMIFS(AN_TME22[[#All],[TOTAL Truncated Unadjusted Claims Expenses (A21 -A19)]], AN_TME22[[#All],[Advanced Network/Insurance Carrier Org ID]],B324, AN_TME22[[#All],[Insurance Category Code]], 1)+SUMIFS(AN_TME22[[#All],[TOTAL Truncated Unadjusted Claims Expenses (A21 -A19)]], AN_TME22[[#All],[Advanced Network/Insurance Carrier Org ID]],B324, AN_TME22[[#All],[Insurance Category Code]], 5),2)</f>
        <v>0</v>
      </c>
      <c r="D324" s="241">
        <f>ROUND(SUMIFS(StandardDeviation22[[#All],[Total Spending After Truncation]], StandardDeviation22[[#All],[Advanced Network/Insurance Carrier Org ID]],B324, StandardDeviation22[[#All],[Market ID]],1),2)</f>
        <v>0</v>
      </c>
      <c r="E324" s="418" t="str">
        <f t="shared" si="31"/>
        <v>TRUE</v>
      </c>
      <c r="F324" s="263">
        <f>ROUND(SUMIFS(AN_TME23[[#All],[TOTAL Truncated Unadjusted Claims Expenses (A21 -A19)]], AN_TME23[[#All],[Advanced Network/Insurance Carrier Org ID]],B324, AN_TME23[[#All],[Insurance Category Code]], 1)+SUMIFS(AN_TME23[[#All],[TOTAL Truncated Unadjusted Claims Expenses (A21 -A19)]], AN_TME23[[#All],[Advanced Network/Insurance Carrier Org ID]],B324, AN_TME23[[#All],[Insurance Category Code]], 5),2)</f>
        <v>0</v>
      </c>
      <c r="G324" s="241">
        <f>ROUND(SUMIFS(StandardDeviation23[[#All],[Total Spending After Truncation]], StandardDeviation23[[#All],[Advanced Network/Insurance Carrier Org ID]],B324, StandardDeviation23[[#All],[Market ID]],1),2)</f>
        <v>0</v>
      </c>
      <c r="H324" s="418" t="str">
        <f t="shared" si="32"/>
        <v>TRUE</v>
      </c>
      <c r="I324"/>
      <c r="J324" s="236">
        <v>110</v>
      </c>
      <c r="K324" s="263">
        <f>ROUND(SUMIFS(AN_TME22[[#All],[TOTAL Truncated Unadjusted Claims Expenses (A21 -A19)]], AN_TME22[[#All],[Advanced Network/Insurance Carrier Org ID]],J324, AN_TME22[[#All],[Insurance Category Code]], 2)+SUMIFS(AN_TME22[[#All],[TOTAL Truncated Unadjusted Claims Expenses (A21 -A19)]], AN_TME22[[#All],[Advanced Network/Insurance Carrier Org ID]],J324, AN_TME22[[#All],[Insurance Category Code]], 6),2)</f>
        <v>0</v>
      </c>
      <c r="L324" s="241">
        <f>ROUND(SUMIFS(StandardDeviation22[[#All],[Total Spending After Truncation]], StandardDeviation22[[#All],[Advanced Network/Insurance Carrier Org ID]],J324, StandardDeviation22[[#All],[Market ID]],2),2)</f>
        <v>0</v>
      </c>
      <c r="M324" s="276" t="str">
        <f t="shared" si="33"/>
        <v>TRUE</v>
      </c>
      <c r="N324" s="263">
        <f>ROUND(SUMIFS(AN_TME23[[#All],[TOTAL Truncated Unadjusted Claims Expenses (A21 -A19)]], AN_TME23[[#All],[Advanced Network/Insurance Carrier Org ID]],J324, AN_TME23[[#All],[Insurance Category Code]], 2)+SUMIFS(AN_TME23[[#All],[TOTAL Truncated Unadjusted Claims Expenses (A21 -A19)]], AN_TME23[[#All],[Advanced Network/Insurance Carrier Org ID]],J324, AN_TME23[[#All],[Insurance Category Code]], 6),2)</f>
        <v>0</v>
      </c>
      <c r="O324" s="241">
        <f>ROUND(SUMIFS(StandardDeviation23[[#All],[Total Spending After Truncation]], StandardDeviation23[[#All],[Advanced Network/Insurance Carrier Org ID]],J324, StandardDeviation23[[#All],[Market ID]],2),2)</f>
        <v>0</v>
      </c>
      <c r="P324" s="276" t="str">
        <f t="shared" si="34"/>
        <v>TRUE</v>
      </c>
      <c r="Q324"/>
      <c r="R324" s="236">
        <v>110</v>
      </c>
      <c r="S324" s="263">
        <f>ROUND(SUMIFS(AN_TME22[[#All],[TOTAL Truncated Unadjusted Claims Expenses (A21 -A19)]], AN_TME22[[#All],[Advanced Network/Insurance Carrier Org ID]],R324, AN_TME22[[#All],[Insurance Category Code]], 3)+SUMIFS(AN_TME22[[#All],[TOTAL Truncated Unadjusted Claims Expenses (A21 -A19)]], AN_TME22[[#All],[Advanced Network/Insurance Carrier Org ID]],R324, AN_TME22[[#All],[Insurance Category Code]], 4),2)</f>
        <v>0</v>
      </c>
      <c r="T324" s="241">
        <f>ROUND(SUMIFS(StandardDeviation22[[#All],[Total Spending After Truncation]], StandardDeviation22[[#All],[Advanced Network/Insurance Carrier Org ID]],R324, StandardDeviation22[[#All],[Market ID]],3),2)</f>
        <v>0</v>
      </c>
      <c r="U324" s="308" t="str">
        <f t="shared" si="35"/>
        <v>TRUE</v>
      </c>
      <c r="V324" s="263">
        <f>ROUND(SUMIFS(AN_TME23[[#All],[TOTAL Truncated Unadjusted Claims Expenses (A21 -A19)]], AN_TME23[[#All],[Advanced Network/Insurance Carrier Org ID]],R324, AN_TME23[[#All],[Insurance Category Code]], 3)+SUMIFS(AN_TME23[[#All],[TOTAL Truncated Unadjusted Claims Expenses (A21 -A19)]], AN_TME23[[#All],[Advanced Network/Insurance Carrier Org ID]],R324, AN_TME23[[#All],[Insurance Category Code]], 4),2)</f>
        <v>0</v>
      </c>
      <c r="W324" s="241">
        <f>ROUND(SUMIFS(StandardDeviation23[[#All],[Total Spending After Truncation]], StandardDeviation23[[#All],[Advanced Network/Insurance Carrier Org ID]],R324, StandardDeviation23[[#All],[Market ID]],3),2)</f>
        <v>0</v>
      </c>
      <c r="X324" s="308" t="str">
        <f t="shared" si="36"/>
        <v>TRUE</v>
      </c>
    </row>
    <row r="325" spans="2:24" s="30" customFormat="1" x14ac:dyDescent="0.25">
      <c r="B325" s="236">
        <v>111</v>
      </c>
      <c r="C325" s="263">
        <f>ROUND(SUMIFS(AN_TME22[[#All],[TOTAL Truncated Unadjusted Claims Expenses (A21 -A19)]], AN_TME22[[#All],[Advanced Network/Insurance Carrier Org ID]],B325, AN_TME22[[#All],[Insurance Category Code]], 1)+SUMIFS(AN_TME22[[#All],[TOTAL Truncated Unadjusted Claims Expenses (A21 -A19)]], AN_TME22[[#All],[Advanced Network/Insurance Carrier Org ID]],B325, AN_TME22[[#All],[Insurance Category Code]], 5),2)</f>
        <v>0</v>
      </c>
      <c r="D325" s="241">
        <f>ROUND(SUMIFS(StandardDeviation22[[#All],[Total Spending After Truncation]], StandardDeviation22[[#All],[Advanced Network/Insurance Carrier Org ID]],B325, StandardDeviation22[[#All],[Market ID]],1),2)</f>
        <v>0</v>
      </c>
      <c r="E325" s="418" t="str">
        <f t="shared" si="31"/>
        <v>TRUE</v>
      </c>
      <c r="F325" s="263">
        <f>ROUND(SUMIFS(AN_TME23[[#All],[TOTAL Truncated Unadjusted Claims Expenses (A21 -A19)]], AN_TME23[[#All],[Advanced Network/Insurance Carrier Org ID]],B325, AN_TME23[[#All],[Insurance Category Code]], 1)+SUMIFS(AN_TME23[[#All],[TOTAL Truncated Unadjusted Claims Expenses (A21 -A19)]], AN_TME23[[#All],[Advanced Network/Insurance Carrier Org ID]],B325, AN_TME23[[#All],[Insurance Category Code]], 5),2)</f>
        <v>0</v>
      </c>
      <c r="G325" s="241">
        <f>ROUND(SUMIFS(StandardDeviation23[[#All],[Total Spending After Truncation]], StandardDeviation23[[#All],[Advanced Network/Insurance Carrier Org ID]],B325, StandardDeviation23[[#All],[Market ID]],1),2)</f>
        <v>0</v>
      </c>
      <c r="H325" s="418" t="str">
        <f t="shared" si="32"/>
        <v>TRUE</v>
      </c>
      <c r="I325"/>
      <c r="J325" s="236">
        <v>111</v>
      </c>
      <c r="K325" s="263">
        <f>ROUND(SUMIFS(AN_TME22[[#All],[TOTAL Truncated Unadjusted Claims Expenses (A21 -A19)]], AN_TME22[[#All],[Advanced Network/Insurance Carrier Org ID]],J325, AN_TME22[[#All],[Insurance Category Code]], 2)+SUMIFS(AN_TME22[[#All],[TOTAL Truncated Unadjusted Claims Expenses (A21 -A19)]], AN_TME22[[#All],[Advanced Network/Insurance Carrier Org ID]],J325, AN_TME22[[#All],[Insurance Category Code]], 6),2)</f>
        <v>0</v>
      </c>
      <c r="L325" s="241">
        <f>ROUND(SUMIFS(StandardDeviation22[[#All],[Total Spending After Truncation]], StandardDeviation22[[#All],[Advanced Network/Insurance Carrier Org ID]],J325, StandardDeviation22[[#All],[Market ID]],2),2)</f>
        <v>0</v>
      </c>
      <c r="M325" s="276" t="str">
        <f t="shared" si="33"/>
        <v>TRUE</v>
      </c>
      <c r="N325" s="263">
        <f>ROUND(SUMIFS(AN_TME23[[#All],[TOTAL Truncated Unadjusted Claims Expenses (A21 -A19)]], AN_TME23[[#All],[Advanced Network/Insurance Carrier Org ID]],J325, AN_TME23[[#All],[Insurance Category Code]], 2)+SUMIFS(AN_TME23[[#All],[TOTAL Truncated Unadjusted Claims Expenses (A21 -A19)]], AN_TME23[[#All],[Advanced Network/Insurance Carrier Org ID]],J325, AN_TME23[[#All],[Insurance Category Code]], 6),2)</f>
        <v>0</v>
      </c>
      <c r="O325" s="241">
        <f>ROUND(SUMIFS(StandardDeviation23[[#All],[Total Spending After Truncation]], StandardDeviation23[[#All],[Advanced Network/Insurance Carrier Org ID]],J325, StandardDeviation23[[#All],[Market ID]],2),2)</f>
        <v>0</v>
      </c>
      <c r="P325" s="276" t="str">
        <f t="shared" si="34"/>
        <v>TRUE</v>
      </c>
      <c r="Q325"/>
      <c r="R325" s="236">
        <v>111</v>
      </c>
      <c r="S325" s="263">
        <f>ROUND(SUMIFS(AN_TME22[[#All],[TOTAL Truncated Unadjusted Claims Expenses (A21 -A19)]], AN_TME22[[#All],[Advanced Network/Insurance Carrier Org ID]],R325, AN_TME22[[#All],[Insurance Category Code]], 3)+SUMIFS(AN_TME22[[#All],[TOTAL Truncated Unadjusted Claims Expenses (A21 -A19)]], AN_TME22[[#All],[Advanced Network/Insurance Carrier Org ID]],R325, AN_TME22[[#All],[Insurance Category Code]], 4),2)</f>
        <v>0</v>
      </c>
      <c r="T325" s="241">
        <f>ROUND(SUMIFS(StandardDeviation22[[#All],[Total Spending After Truncation]], StandardDeviation22[[#All],[Advanced Network/Insurance Carrier Org ID]],R325, StandardDeviation22[[#All],[Market ID]],3),2)</f>
        <v>0</v>
      </c>
      <c r="U325" s="308" t="str">
        <f t="shared" si="35"/>
        <v>TRUE</v>
      </c>
      <c r="V325" s="263">
        <f>ROUND(SUMIFS(AN_TME23[[#All],[TOTAL Truncated Unadjusted Claims Expenses (A21 -A19)]], AN_TME23[[#All],[Advanced Network/Insurance Carrier Org ID]],R325, AN_TME23[[#All],[Insurance Category Code]], 3)+SUMIFS(AN_TME23[[#All],[TOTAL Truncated Unadjusted Claims Expenses (A21 -A19)]], AN_TME23[[#All],[Advanced Network/Insurance Carrier Org ID]],R325, AN_TME23[[#All],[Insurance Category Code]], 4),2)</f>
        <v>0</v>
      </c>
      <c r="W325" s="241">
        <f>ROUND(SUMIFS(StandardDeviation23[[#All],[Total Spending After Truncation]], StandardDeviation23[[#All],[Advanced Network/Insurance Carrier Org ID]],R325, StandardDeviation23[[#All],[Market ID]],3),2)</f>
        <v>0</v>
      </c>
      <c r="X325" s="308" t="str">
        <f t="shared" si="36"/>
        <v>TRUE</v>
      </c>
    </row>
    <row r="326" spans="2:24" s="30" customFormat="1" x14ac:dyDescent="0.25">
      <c r="B326" s="236">
        <v>112</v>
      </c>
      <c r="C326" s="263">
        <f>ROUND(SUMIFS(AN_TME22[[#All],[TOTAL Truncated Unadjusted Claims Expenses (A21 -A19)]], AN_TME22[[#All],[Advanced Network/Insurance Carrier Org ID]],B326, AN_TME22[[#All],[Insurance Category Code]], 1)+SUMIFS(AN_TME22[[#All],[TOTAL Truncated Unadjusted Claims Expenses (A21 -A19)]], AN_TME22[[#All],[Advanced Network/Insurance Carrier Org ID]],B326, AN_TME22[[#All],[Insurance Category Code]], 5),2)</f>
        <v>0</v>
      </c>
      <c r="D326" s="241">
        <f>ROUND(SUMIFS(StandardDeviation22[[#All],[Total Spending After Truncation]], StandardDeviation22[[#All],[Advanced Network/Insurance Carrier Org ID]],B326, StandardDeviation22[[#All],[Market ID]],1),2)</f>
        <v>0</v>
      </c>
      <c r="E326" s="418" t="str">
        <f t="shared" si="31"/>
        <v>TRUE</v>
      </c>
      <c r="F326" s="263">
        <f>ROUND(SUMIFS(AN_TME23[[#All],[TOTAL Truncated Unadjusted Claims Expenses (A21 -A19)]], AN_TME23[[#All],[Advanced Network/Insurance Carrier Org ID]],B326, AN_TME23[[#All],[Insurance Category Code]], 1)+SUMIFS(AN_TME23[[#All],[TOTAL Truncated Unadjusted Claims Expenses (A21 -A19)]], AN_TME23[[#All],[Advanced Network/Insurance Carrier Org ID]],B326, AN_TME23[[#All],[Insurance Category Code]], 5),2)</f>
        <v>0</v>
      </c>
      <c r="G326" s="241">
        <f>ROUND(SUMIFS(StandardDeviation23[[#All],[Total Spending After Truncation]], StandardDeviation23[[#All],[Advanced Network/Insurance Carrier Org ID]],B326, StandardDeviation23[[#All],[Market ID]],1),2)</f>
        <v>0</v>
      </c>
      <c r="H326" s="418" t="str">
        <f t="shared" si="32"/>
        <v>TRUE</v>
      </c>
      <c r="I326"/>
      <c r="J326" s="236">
        <v>112</v>
      </c>
      <c r="K326" s="263">
        <f>ROUND(SUMIFS(AN_TME22[[#All],[TOTAL Truncated Unadjusted Claims Expenses (A21 -A19)]], AN_TME22[[#All],[Advanced Network/Insurance Carrier Org ID]],J326, AN_TME22[[#All],[Insurance Category Code]], 2)+SUMIFS(AN_TME22[[#All],[TOTAL Truncated Unadjusted Claims Expenses (A21 -A19)]], AN_TME22[[#All],[Advanced Network/Insurance Carrier Org ID]],J326, AN_TME22[[#All],[Insurance Category Code]], 6),2)</f>
        <v>0</v>
      </c>
      <c r="L326" s="241">
        <f>ROUND(SUMIFS(StandardDeviation22[[#All],[Total Spending After Truncation]], StandardDeviation22[[#All],[Advanced Network/Insurance Carrier Org ID]],J326, StandardDeviation22[[#All],[Market ID]],2),2)</f>
        <v>0</v>
      </c>
      <c r="M326" s="276" t="str">
        <f t="shared" si="33"/>
        <v>TRUE</v>
      </c>
      <c r="N326" s="263">
        <f>ROUND(SUMIFS(AN_TME23[[#All],[TOTAL Truncated Unadjusted Claims Expenses (A21 -A19)]], AN_TME23[[#All],[Advanced Network/Insurance Carrier Org ID]],J326, AN_TME23[[#All],[Insurance Category Code]], 2)+SUMIFS(AN_TME23[[#All],[TOTAL Truncated Unadjusted Claims Expenses (A21 -A19)]], AN_TME23[[#All],[Advanced Network/Insurance Carrier Org ID]],J326, AN_TME23[[#All],[Insurance Category Code]], 6),2)</f>
        <v>0</v>
      </c>
      <c r="O326" s="241">
        <f>ROUND(SUMIFS(StandardDeviation23[[#All],[Total Spending After Truncation]], StandardDeviation23[[#All],[Advanced Network/Insurance Carrier Org ID]],J326, StandardDeviation23[[#All],[Market ID]],2),2)</f>
        <v>0</v>
      </c>
      <c r="P326" s="276" t="str">
        <f t="shared" si="34"/>
        <v>TRUE</v>
      </c>
      <c r="Q326"/>
      <c r="R326" s="236">
        <v>112</v>
      </c>
      <c r="S326" s="263">
        <f>ROUND(SUMIFS(AN_TME22[[#All],[TOTAL Truncated Unadjusted Claims Expenses (A21 -A19)]], AN_TME22[[#All],[Advanced Network/Insurance Carrier Org ID]],R326, AN_TME22[[#All],[Insurance Category Code]], 3)+SUMIFS(AN_TME22[[#All],[TOTAL Truncated Unadjusted Claims Expenses (A21 -A19)]], AN_TME22[[#All],[Advanced Network/Insurance Carrier Org ID]],R326, AN_TME22[[#All],[Insurance Category Code]], 4),2)</f>
        <v>0</v>
      </c>
      <c r="T326" s="241">
        <f>ROUND(SUMIFS(StandardDeviation22[[#All],[Total Spending After Truncation]], StandardDeviation22[[#All],[Advanced Network/Insurance Carrier Org ID]],R326, StandardDeviation22[[#All],[Market ID]],3),2)</f>
        <v>0</v>
      </c>
      <c r="U326" s="308" t="str">
        <f t="shared" si="35"/>
        <v>TRUE</v>
      </c>
      <c r="V326" s="263">
        <f>ROUND(SUMIFS(AN_TME23[[#All],[TOTAL Truncated Unadjusted Claims Expenses (A21 -A19)]], AN_TME23[[#All],[Advanced Network/Insurance Carrier Org ID]],R326, AN_TME23[[#All],[Insurance Category Code]], 3)+SUMIFS(AN_TME23[[#All],[TOTAL Truncated Unadjusted Claims Expenses (A21 -A19)]], AN_TME23[[#All],[Advanced Network/Insurance Carrier Org ID]],R326, AN_TME23[[#All],[Insurance Category Code]], 4),2)</f>
        <v>0</v>
      </c>
      <c r="W326" s="241">
        <f>ROUND(SUMIFS(StandardDeviation23[[#All],[Total Spending After Truncation]], StandardDeviation23[[#All],[Advanced Network/Insurance Carrier Org ID]],R326, StandardDeviation23[[#All],[Market ID]],3),2)</f>
        <v>0</v>
      </c>
      <c r="X326" s="308" t="str">
        <f t="shared" si="36"/>
        <v>TRUE</v>
      </c>
    </row>
    <row r="327" spans="2:24" s="30" customFormat="1" x14ac:dyDescent="0.25">
      <c r="B327" s="236">
        <v>113</v>
      </c>
      <c r="C327" s="263">
        <f>ROUND(SUMIFS(AN_TME22[[#All],[TOTAL Truncated Unadjusted Claims Expenses (A21 -A19)]], AN_TME22[[#All],[Advanced Network/Insurance Carrier Org ID]],B327, AN_TME22[[#All],[Insurance Category Code]], 1)+SUMIFS(AN_TME22[[#All],[TOTAL Truncated Unadjusted Claims Expenses (A21 -A19)]], AN_TME22[[#All],[Advanced Network/Insurance Carrier Org ID]],B327, AN_TME22[[#All],[Insurance Category Code]], 5),2)</f>
        <v>0</v>
      </c>
      <c r="D327" s="241">
        <f>ROUND(SUMIFS(StandardDeviation22[[#All],[Total Spending After Truncation]], StandardDeviation22[[#All],[Advanced Network/Insurance Carrier Org ID]],B327, StandardDeviation22[[#All],[Market ID]],1),2)</f>
        <v>0</v>
      </c>
      <c r="E327" s="418" t="str">
        <f t="shared" si="31"/>
        <v>TRUE</v>
      </c>
      <c r="F327" s="263">
        <f>ROUND(SUMIFS(AN_TME23[[#All],[TOTAL Truncated Unadjusted Claims Expenses (A21 -A19)]], AN_TME23[[#All],[Advanced Network/Insurance Carrier Org ID]],B327, AN_TME23[[#All],[Insurance Category Code]], 1)+SUMIFS(AN_TME23[[#All],[TOTAL Truncated Unadjusted Claims Expenses (A21 -A19)]], AN_TME23[[#All],[Advanced Network/Insurance Carrier Org ID]],B327, AN_TME23[[#All],[Insurance Category Code]], 5),2)</f>
        <v>0</v>
      </c>
      <c r="G327" s="241">
        <f>ROUND(SUMIFS(StandardDeviation23[[#All],[Total Spending After Truncation]], StandardDeviation23[[#All],[Advanced Network/Insurance Carrier Org ID]],B327, StandardDeviation23[[#All],[Market ID]],1),2)</f>
        <v>0</v>
      </c>
      <c r="H327" s="418" t="str">
        <f t="shared" si="32"/>
        <v>TRUE</v>
      </c>
      <c r="I327"/>
      <c r="J327" s="236">
        <v>113</v>
      </c>
      <c r="K327" s="263">
        <f>ROUND(SUMIFS(AN_TME22[[#All],[TOTAL Truncated Unadjusted Claims Expenses (A21 -A19)]], AN_TME22[[#All],[Advanced Network/Insurance Carrier Org ID]],J327, AN_TME22[[#All],[Insurance Category Code]], 2)+SUMIFS(AN_TME22[[#All],[TOTAL Truncated Unadjusted Claims Expenses (A21 -A19)]], AN_TME22[[#All],[Advanced Network/Insurance Carrier Org ID]],J327, AN_TME22[[#All],[Insurance Category Code]], 6),2)</f>
        <v>0</v>
      </c>
      <c r="L327" s="241">
        <f>ROUND(SUMIFS(StandardDeviation22[[#All],[Total Spending After Truncation]], StandardDeviation22[[#All],[Advanced Network/Insurance Carrier Org ID]],J327, StandardDeviation22[[#All],[Market ID]],2),2)</f>
        <v>0</v>
      </c>
      <c r="M327" s="276" t="str">
        <f t="shared" si="33"/>
        <v>TRUE</v>
      </c>
      <c r="N327" s="263">
        <f>ROUND(SUMIFS(AN_TME23[[#All],[TOTAL Truncated Unadjusted Claims Expenses (A21 -A19)]], AN_TME23[[#All],[Advanced Network/Insurance Carrier Org ID]],J327, AN_TME23[[#All],[Insurance Category Code]], 2)+SUMIFS(AN_TME23[[#All],[TOTAL Truncated Unadjusted Claims Expenses (A21 -A19)]], AN_TME23[[#All],[Advanced Network/Insurance Carrier Org ID]],J327, AN_TME23[[#All],[Insurance Category Code]], 6),2)</f>
        <v>0</v>
      </c>
      <c r="O327" s="241">
        <f>ROUND(SUMIFS(StandardDeviation23[[#All],[Total Spending After Truncation]], StandardDeviation23[[#All],[Advanced Network/Insurance Carrier Org ID]],J327, StandardDeviation23[[#All],[Market ID]],2),2)</f>
        <v>0</v>
      </c>
      <c r="P327" s="276" t="str">
        <f t="shared" si="34"/>
        <v>TRUE</v>
      </c>
      <c r="Q327"/>
      <c r="R327" s="236">
        <v>113</v>
      </c>
      <c r="S327" s="263">
        <f>ROUND(SUMIFS(AN_TME22[[#All],[TOTAL Truncated Unadjusted Claims Expenses (A21 -A19)]], AN_TME22[[#All],[Advanced Network/Insurance Carrier Org ID]],R327, AN_TME22[[#All],[Insurance Category Code]], 3)+SUMIFS(AN_TME22[[#All],[TOTAL Truncated Unadjusted Claims Expenses (A21 -A19)]], AN_TME22[[#All],[Advanced Network/Insurance Carrier Org ID]],R327, AN_TME22[[#All],[Insurance Category Code]], 4),2)</f>
        <v>0</v>
      </c>
      <c r="T327" s="241">
        <f>ROUND(SUMIFS(StandardDeviation22[[#All],[Total Spending After Truncation]], StandardDeviation22[[#All],[Advanced Network/Insurance Carrier Org ID]],R327, StandardDeviation22[[#All],[Market ID]],3),2)</f>
        <v>0</v>
      </c>
      <c r="U327" s="308" t="str">
        <f t="shared" si="35"/>
        <v>TRUE</v>
      </c>
      <c r="V327" s="263">
        <f>ROUND(SUMIFS(AN_TME23[[#All],[TOTAL Truncated Unadjusted Claims Expenses (A21 -A19)]], AN_TME23[[#All],[Advanced Network/Insurance Carrier Org ID]],R327, AN_TME23[[#All],[Insurance Category Code]], 3)+SUMIFS(AN_TME23[[#All],[TOTAL Truncated Unadjusted Claims Expenses (A21 -A19)]], AN_TME23[[#All],[Advanced Network/Insurance Carrier Org ID]],R327, AN_TME23[[#All],[Insurance Category Code]], 4),2)</f>
        <v>0</v>
      </c>
      <c r="W327" s="241">
        <f>ROUND(SUMIFS(StandardDeviation23[[#All],[Total Spending After Truncation]], StandardDeviation23[[#All],[Advanced Network/Insurance Carrier Org ID]],R327, StandardDeviation23[[#All],[Market ID]],3),2)</f>
        <v>0</v>
      </c>
      <c r="X327" s="308" t="str">
        <f t="shared" si="36"/>
        <v>TRUE</v>
      </c>
    </row>
    <row r="328" spans="2:24" s="30" customFormat="1" x14ac:dyDescent="0.25">
      <c r="B328" s="236">
        <v>114</v>
      </c>
      <c r="C328" s="263">
        <f>ROUND(SUMIFS(AN_TME22[[#All],[TOTAL Truncated Unadjusted Claims Expenses (A21 -A19)]], AN_TME22[[#All],[Advanced Network/Insurance Carrier Org ID]],B328, AN_TME22[[#All],[Insurance Category Code]], 1)+SUMIFS(AN_TME22[[#All],[TOTAL Truncated Unadjusted Claims Expenses (A21 -A19)]], AN_TME22[[#All],[Advanced Network/Insurance Carrier Org ID]],B328, AN_TME22[[#All],[Insurance Category Code]], 5),2)</f>
        <v>0</v>
      </c>
      <c r="D328" s="241">
        <f>ROUND(SUMIFS(StandardDeviation22[[#All],[Total Spending After Truncation]], StandardDeviation22[[#All],[Advanced Network/Insurance Carrier Org ID]],B328, StandardDeviation22[[#All],[Market ID]],1),2)</f>
        <v>0</v>
      </c>
      <c r="E328" s="418" t="str">
        <f t="shared" si="31"/>
        <v>TRUE</v>
      </c>
      <c r="F328" s="263">
        <f>ROUND(SUMIFS(AN_TME23[[#All],[TOTAL Truncated Unadjusted Claims Expenses (A21 -A19)]], AN_TME23[[#All],[Advanced Network/Insurance Carrier Org ID]],B328, AN_TME23[[#All],[Insurance Category Code]], 1)+SUMIFS(AN_TME23[[#All],[TOTAL Truncated Unadjusted Claims Expenses (A21 -A19)]], AN_TME23[[#All],[Advanced Network/Insurance Carrier Org ID]],B328, AN_TME23[[#All],[Insurance Category Code]], 5),2)</f>
        <v>0</v>
      </c>
      <c r="G328" s="241">
        <f>ROUND(SUMIFS(StandardDeviation23[[#All],[Total Spending After Truncation]], StandardDeviation23[[#All],[Advanced Network/Insurance Carrier Org ID]],B328, StandardDeviation23[[#All],[Market ID]],1),2)</f>
        <v>0</v>
      </c>
      <c r="H328" s="418" t="str">
        <f t="shared" si="32"/>
        <v>TRUE</v>
      </c>
      <c r="I328"/>
      <c r="J328" s="236">
        <v>114</v>
      </c>
      <c r="K328" s="263">
        <f>ROUND(SUMIFS(AN_TME22[[#All],[TOTAL Truncated Unadjusted Claims Expenses (A21 -A19)]], AN_TME22[[#All],[Advanced Network/Insurance Carrier Org ID]],J328, AN_TME22[[#All],[Insurance Category Code]], 2)+SUMIFS(AN_TME22[[#All],[TOTAL Truncated Unadjusted Claims Expenses (A21 -A19)]], AN_TME22[[#All],[Advanced Network/Insurance Carrier Org ID]],J328, AN_TME22[[#All],[Insurance Category Code]], 6),2)</f>
        <v>0</v>
      </c>
      <c r="L328" s="241">
        <f>ROUND(SUMIFS(StandardDeviation22[[#All],[Total Spending After Truncation]], StandardDeviation22[[#All],[Advanced Network/Insurance Carrier Org ID]],J328, StandardDeviation22[[#All],[Market ID]],2),2)</f>
        <v>0</v>
      </c>
      <c r="M328" s="276" t="str">
        <f t="shared" si="33"/>
        <v>TRUE</v>
      </c>
      <c r="N328" s="263">
        <f>ROUND(SUMIFS(AN_TME23[[#All],[TOTAL Truncated Unadjusted Claims Expenses (A21 -A19)]], AN_TME23[[#All],[Advanced Network/Insurance Carrier Org ID]],J328, AN_TME23[[#All],[Insurance Category Code]], 2)+SUMIFS(AN_TME23[[#All],[TOTAL Truncated Unadjusted Claims Expenses (A21 -A19)]], AN_TME23[[#All],[Advanced Network/Insurance Carrier Org ID]],J328, AN_TME23[[#All],[Insurance Category Code]], 6),2)</f>
        <v>0</v>
      </c>
      <c r="O328" s="241">
        <f>ROUND(SUMIFS(StandardDeviation23[[#All],[Total Spending After Truncation]], StandardDeviation23[[#All],[Advanced Network/Insurance Carrier Org ID]],J328, StandardDeviation23[[#All],[Market ID]],2),2)</f>
        <v>0</v>
      </c>
      <c r="P328" s="276" t="str">
        <f t="shared" si="34"/>
        <v>TRUE</v>
      </c>
      <c r="Q328"/>
      <c r="R328" s="236">
        <v>114</v>
      </c>
      <c r="S328" s="263">
        <f>ROUND(SUMIFS(AN_TME22[[#All],[TOTAL Truncated Unadjusted Claims Expenses (A21 -A19)]], AN_TME22[[#All],[Advanced Network/Insurance Carrier Org ID]],R328, AN_TME22[[#All],[Insurance Category Code]], 3)+SUMIFS(AN_TME22[[#All],[TOTAL Truncated Unadjusted Claims Expenses (A21 -A19)]], AN_TME22[[#All],[Advanced Network/Insurance Carrier Org ID]],R328, AN_TME22[[#All],[Insurance Category Code]], 4),2)</f>
        <v>0</v>
      </c>
      <c r="T328" s="241">
        <f>ROUND(SUMIFS(StandardDeviation22[[#All],[Total Spending After Truncation]], StandardDeviation22[[#All],[Advanced Network/Insurance Carrier Org ID]],R328, StandardDeviation22[[#All],[Market ID]],3),2)</f>
        <v>0</v>
      </c>
      <c r="U328" s="308" t="str">
        <f t="shared" si="35"/>
        <v>TRUE</v>
      </c>
      <c r="V328" s="263">
        <f>ROUND(SUMIFS(AN_TME23[[#All],[TOTAL Truncated Unadjusted Claims Expenses (A21 -A19)]], AN_TME23[[#All],[Advanced Network/Insurance Carrier Org ID]],R328, AN_TME23[[#All],[Insurance Category Code]], 3)+SUMIFS(AN_TME23[[#All],[TOTAL Truncated Unadjusted Claims Expenses (A21 -A19)]], AN_TME23[[#All],[Advanced Network/Insurance Carrier Org ID]],R328, AN_TME23[[#All],[Insurance Category Code]], 4),2)</f>
        <v>0</v>
      </c>
      <c r="W328" s="241">
        <f>ROUND(SUMIFS(StandardDeviation23[[#All],[Total Spending After Truncation]], StandardDeviation23[[#All],[Advanced Network/Insurance Carrier Org ID]],R328, StandardDeviation23[[#All],[Market ID]],3),2)</f>
        <v>0</v>
      </c>
      <c r="X328" s="308" t="str">
        <f t="shared" si="36"/>
        <v>TRUE</v>
      </c>
    </row>
    <row r="329" spans="2:24" s="30" customFormat="1" x14ac:dyDescent="0.25">
      <c r="B329" s="236">
        <v>115</v>
      </c>
      <c r="C329" s="263">
        <f>ROUND(SUMIFS(AN_TME22[[#All],[TOTAL Truncated Unadjusted Claims Expenses (A21 -A19)]], AN_TME22[[#All],[Advanced Network/Insurance Carrier Org ID]],B329, AN_TME22[[#All],[Insurance Category Code]], 1)+SUMIFS(AN_TME22[[#All],[TOTAL Truncated Unadjusted Claims Expenses (A21 -A19)]], AN_TME22[[#All],[Advanced Network/Insurance Carrier Org ID]],B329, AN_TME22[[#All],[Insurance Category Code]], 5),2)</f>
        <v>0</v>
      </c>
      <c r="D329" s="241">
        <f>ROUND(SUMIFS(StandardDeviation22[[#All],[Total Spending After Truncation]], StandardDeviation22[[#All],[Advanced Network/Insurance Carrier Org ID]],B329, StandardDeviation22[[#All],[Market ID]],1),2)</f>
        <v>0</v>
      </c>
      <c r="E329" s="418" t="str">
        <f t="shared" si="31"/>
        <v>TRUE</v>
      </c>
      <c r="F329" s="263">
        <f>ROUND(SUMIFS(AN_TME23[[#All],[TOTAL Truncated Unadjusted Claims Expenses (A21 -A19)]], AN_TME23[[#All],[Advanced Network/Insurance Carrier Org ID]],B329, AN_TME23[[#All],[Insurance Category Code]], 1)+SUMIFS(AN_TME23[[#All],[TOTAL Truncated Unadjusted Claims Expenses (A21 -A19)]], AN_TME23[[#All],[Advanced Network/Insurance Carrier Org ID]],B329, AN_TME23[[#All],[Insurance Category Code]], 5),2)</f>
        <v>0</v>
      </c>
      <c r="G329" s="241">
        <f>ROUND(SUMIFS(StandardDeviation23[[#All],[Total Spending After Truncation]], StandardDeviation23[[#All],[Advanced Network/Insurance Carrier Org ID]],B329, StandardDeviation23[[#All],[Market ID]],1),2)</f>
        <v>0</v>
      </c>
      <c r="H329" s="418" t="str">
        <f t="shared" si="32"/>
        <v>TRUE</v>
      </c>
      <c r="I329"/>
      <c r="J329" s="236">
        <v>115</v>
      </c>
      <c r="K329" s="263">
        <f>ROUND(SUMIFS(AN_TME22[[#All],[TOTAL Truncated Unadjusted Claims Expenses (A21 -A19)]], AN_TME22[[#All],[Advanced Network/Insurance Carrier Org ID]],J329, AN_TME22[[#All],[Insurance Category Code]], 2)+SUMIFS(AN_TME22[[#All],[TOTAL Truncated Unadjusted Claims Expenses (A21 -A19)]], AN_TME22[[#All],[Advanced Network/Insurance Carrier Org ID]],J329, AN_TME22[[#All],[Insurance Category Code]], 6),2)</f>
        <v>0</v>
      </c>
      <c r="L329" s="241">
        <f>ROUND(SUMIFS(StandardDeviation22[[#All],[Total Spending After Truncation]], StandardDeviation22[[#All],[Advanced Network/Insurance Carrier Org ID]],J329, StandardDeviation22[[#All],[Market ID]],2),2)</f>
        <v>0</v>
      </c>
      <c r="M329" s="276" t="str">
        <f t="shared" si="33"/>
        <v>TRUE</v>
      </c>
      <c r="N329" s="263">
        <f>ROUND(SUMIFS(AN_TME23[[#All],[TOTAL Truncated Unadjusted Claims Expenses (A21 -A19)]], AN_TME23[[#All],[Advanced Network/Insurance Carrier Org ID]],J329, AN_TME23[[#All],[Insurance Category Code]], 2)+SUMIFS(AN_TME23[[#All],[TOTAL Truncated Unadjusted Claims Expenses (A21 -A19)]], AN_TME23[[#All],[Advanced Network/Insurance Carrier Org ID]],J329, AN_TME23[[#All],[Insurance Category Code]], 6),2)</f>
        <v>0</v>
      </c>
      <c r="O329" s="241">
        <f>ROUND(SUMIFS(StandardDeviation23[[#All],[Total Spending After Truncation]], StandardDeviation23[[#All],[Advanced Network/Insurance Carrier Org ID]],J329, StandardDeviation23[[#All],[Market ID]],2),2)</f>
        <v>0</v>
      </c>
      <c r="P329" s="276" t="str">
        <f t="shared" si="34"/>
        <v>TRUE</v>
      </c>
      <c r="Q329"/>
      <c r="R329" s="236">
        <v>115</v>
      </c>
      <c r="S329" s="263">
        <f>ROUND(SUMIFS(AN_TME22[[#All],[TOTAL Truncated Unadjusted Claims Expenses (A21 -A19)]], AN_TME22[[#All],[Advanced Network/Insurance Carrier Org ID]],R329, AN_TME22[[#All],[Insurance Category Code]], 3)+SUMIFS(AN_TME22[[#All],[TOTAL Truncated Unadjusted Claims Expenses (A21 -A19)]], AN_TME22[[#All],[Advanced Network/Insurance Carrier Org ID]],R329, AN_TME22[[#All],[Insurance Category Code]], 4),2)</f>
        <v>0</v>
      </c>
      <c r="T329" s="241">
        <f>ROUND(SUMIFS(StandardDeviation22[[#All],[Total Spending After Truncation]], StandardDeviation22[[#All],[Advanced Network/Insurance Carrier Org ID]],R329, StandardDeviation22[[#All],[Market ID]],3),2)</f>
        <v>0</v>
      </c>
      <c r="U329" s="308" t="str">
        <f t="shared" si="35"/>
        <v>TRUE</v>
      </c>
      <c r="V329" s="263">
        <f>ROUND(SUMIFS(AN_TME23[[#All],[TOTAL Truncated Unadjusted Claims Expenses (A21 -A19)]], AN_TME23[[#All],[Advanced Network/Insurance Carrier Org ID]],R329, AN_TME23[[#All],[Insurance Category Code]], 3)+SUMIFS(AN_TME23[[#All],[TOTAL Truncated Unadjusted Claims Expenses (A21 -A19)]], AN_TME23[[#All],[Advanced Network/Insurance Carrier Org ID]],R329, AN_TME23[[#All],[Insurance Category Code]], 4),2)</f>
        <v>0</v>
      </c>
      <c r="W329" s="241">
        <f>ROUND(SUMIFS(StandardDeviation23[[#All],[Total Spending After Truncation]], StandardDeviation23[[#All],[Advanced Network/Insurance Carrier Org ID]],R329, StandardDeviation23[[#All],[Market ID]],3),2)</f>
        <v>0</v>
      </c>
      <c r="X329" s="308" t="str">
        <f t="shared" si="36"/>
        <v>TRUE</v>
      </c>
    </row>
    <row r="330" spans="2:24" s="30" customFormat="1" x14ac:dyDescent="0.25">
      <c r="B330" s="236">
        <v>116</v>
      </c>
      <c r="C330" s="263">
        <f>ROUND(SUMIFS(AN_TME22[[#All],[TOTAL Truncated Unadjusted Claims Expenses (A21 -A19)]], AN_TME22[[#All],[Advanced Network/Insurance Carrier Org ID]],B330, AN_TME22[[#All],[Insurance Category Code]], 1)+SUMIFS(AN_TME22[[#All],[TOTAL Truncated Unadjusted Claims Expenses (A21 -A19)]], AN_TME22[[#All],[Advanced Network/Insurance Carrier Org ID]],B330, AN_TME22[[#All],[Insurance Category Code]], 5),2)</f>
        <v>0</v>
      </c>
      <c r="D330" s="241">
        <f>ROUND(SUMIFS(StandardDeviation22[[#All],[Total Spending After Truncation]], StandardDeviation22[[#All],[Advanced Network/Insurance Carrier Org ID]],B330, StandardDeviation22[[#All],[Market ID]],1),2)</f>
        <v>0</v>
      </c>
      <c r="E330" s="418" t="str">
        <f t="shared" si="31"/>
        <v>TRUE</v>
      </c>
      <c r="F330" s="263">
        <f>ROUND(SUMIFS(AN_TME23[[#All],[TOTAL Truncated Unadjusted Claims Expenses (A21 -A19)]], AN_TME23[[#All],[Advanced Network/Insurance Carrier Org ID]],B330, AN_TME23[[#All],[Insurance Category Code]], 1)+SUMIFS(AN_TME23[[#All],[TOTAL Truncated Unadjusted Claims Expenses (A21 -A19)]], AN_TME23[[#All],[Advanced Network/Insurance Carrier Org ID]],B330, AN_TME23[[#All],[Insurance Category Code]], 5),2)</f>
        <v>0</v>
      </c>
      <c r="G330" s="241">
        <f>ROUND(SUMIFS(StandardDeviation23[[#All],[Total Spending After Truncation]], StandardDeviation23[[#All],[Advanced Network/Insurance Carrier Org ID]],B330, StandardDeviation23[[#All],[Market ID]],1),2)</f>
        <v>0</v>
      </c>
      <c r="H330" s="418" t="str">
        <f t="shared" si="32"/>
        <v>TRUE</v>
      </c>
      <c r="I330"/>
      <c r="J330" s="236">
        <v>116</v>
      </c>
      <c r="K330" s="263">
        <f>ROUND(SUMIFS(AN_TME22[[#All],[TOTAL Truncated Unadjusted Claims Expenses (A21 -A19)]], AN_TME22[[#All],[Advanced Network/Insurance Carrier Org ID]],J330, AN_TME22[[#All],[Insurance Category Code]], 2)+SUMIFS(AN_TME22[[#All],[TOTAL Truncated Unadjusted Claims Expenses (A21 -A19)]], AN_TME22[[#All],[Advanced Network/Insurance Carrier Org ID]],J330, AN_TME22[[#All],[Insurance Category Code]], 6),2)</f>
        <v>0</v>
      </c>
      <c r="L330" s="241">
        <f>ROUND(SUMIFS(StandardDeviation22[[#All],[Total Spending After Truncation]], StandardDeviation22[[#All],[Advanced Network/Insurance Carrier Org ID]],J330, StandardDeviation22[[#All],[Market ID]],2),2)</f>
        <v>0</v>
      </c>
      <c r="M330" s="276" t="str">
        <f t="shared" si="33"/>
        <v>TRUE</v>
      </c>
      <c r="N330" s="263">
        <f>ROUND(SUMIFS(AN_TME23[[#All],[TOTAL Truncated Unadjusted Claims Expenses (A21 -A19)]], AN_TME23[[#All],[Advanced Network/Insurance Carrier Org ID]],J330, AN_TME23[[#All],[Insurance Category Code]], 2)+SUMIFS(AN_TME23[[#All],[TOTAL Truncated Unadjusted Claims Expenses (A21 -A19)]], AN_TME23[[#All],[Advanced Network/Insurance Carrier Org ID]],J330, AN_TME23[[#All],[Insurance Category Code]], 6),2)</f>
        <v>0</v>
      </c>
      <c r="O330" s="241">
        <f>ROUND(SUMIFS(StandardDeviation23[[#All],[Total Spending After Truncation]], StandardDeviation23[[#All],[Advanced Network/Insurance Carrier Org ID]],J330, StandardDeviation23[[#All],[Market ID]],2),2)</f>
        <v>0</v>
      </c>
      <c r="P330" s="276" t="str">
        <f t="shared" si="34"/>
        <v>TRUE</v>
      </c>
      <c r="Q330"/>
      <c r="R330" s="236">
        <v>116</v>
      </c>
      <c r="S330" s="263">
        <f>ROUND(SUMIFS(AN_TME22[[#All],[TOTAL Truncated Unadjusted Claims Expenses (A21 -A19)]], AN_TME22[[#All],[Advanced Network/Insurance Carrier Org ID]],R330, AN_TME22[[#All],[Insurance Category Code]], 3)+SUMIFS(AN_TME22[[#All],[TOTAL Truncated Unadjusted Claims Expenses (A21 -A19)]], AN_TME22[[#All],[Advanced Network/Insurance Carrier Org ID]],R330, AN_TME22[[#All],[Insurance Category Code]], 4),2)</f>
        <v>0</v>
      </c>
      <c r="T330" s="241">
        <f>ROUND(SUMIFS(StandardDeviation22[[#All],[Total Spending After Truncation]], StandardDeviation22[[#All],[Advanced Network/Insurance Carrier Org ID]],R330, StandardDeviation22[[#All],[Market ID]],3),2)</f>
        <v>0</v>
      </c>
      <c r="U330" s="308" t="str">
        <f t="shared" si="35"/>
        <v>TRUE</v>
      </c>
      <c r="V330" s="263">
        <f>ROUND(SUMIFS(AN_TME23[[#All],[TOTAL Truncated Unadjusted Claims Expenses (A21 -A19)]], AN_TME23[[#All],[Advanced Network/Insurance Carrier Org ID]],R330, AN_TME23[[#All],[Insurance Category Code]], 3)+SUMIFS(AN_TME23[[#All],[TOTAL Truncated Unadjusted Claims Expenses (A21 -A19)]], AN_TME23[[#All],[Advanced Network/Insurance Carrier Org ID]],R330, AN_TME23[[#All],[Insurance Category Code]], 4),2)</f>
        <v>0</v>
      </c>
      <c r="W330" s="241">
        <f>ROUND(SUMIFS(StandardDeviation23[[#All],[Total Spending After Truncation]], StandardDeviation23[[#All],[Advanced Network/Insurance Carrier Org ID]],R330, StandardDeviation23[[#All],[Market ID]],3),2)</f>
        <v>0</v>
      </c>
      <c r="X330" s="308" t="str">
        <f t="shared" si="36"/>
        <v>TRUE</v>
      </c>
    </row>
    <row r="331" spans="2:24" s="30" customFormat="1" x14ac:dyDescent="0.25">
      <c r="B331" s="236">
        <v>117</v>
      </c>
      <c r="C331" s="263">
        <f>ROUND(SUMIFS(AN_TME22[[#All],[TOTAL Truncated Unadjusted Claims Expenses (A21 -A19)]], AN_TME22[[#All],[Advanced Network/Insurance Carrier Org ID]],B331, AN_TME22[[#All],[Insurance Category Code]], 1)+SUMIFS(AN_TME22[[#All],[TOTAL Truncated Unadjusted Claims Expenses (A21 -A19)]], AN_TME22[[#All],[Advanced Network/Insurance Carrier Org ID]],B331, AN_TME22[[#All],[Insurance Category Code]], 5),2)</f>
        <v>0</v>
      </c>
      <c r="D331" s="241">
        <f>ROUND(SUMIFS(StandardDeviation22[[#All],[Total Spending After Truncation]], StandardDeviation22[[#All],[Advanced Network/Insurance Carrier Org ID]],B331, StandardDeviation22[[#All],[Market ID]],1),2)</f>
        <v>0</v>
      </c>
      <c r="E331" s="418" t="str">
        <f t="shared" si="31"/>
        <v>TRUE</v>
      </c>
      <c r="F331" s="263">
        <f>ROUND(SUMIFS(AN_TME23[[#All],[TOTAL Truncated Unadjusted Claims Expenses (A21 -A19)]], AN_TME23[[#All],[Advanced Network/Insurance Carrier Org ID]],B331, AN_TME23[[#All],[Insurance Category Code]], 1)+SUMIFS(AN_TME23[[#All],[TOTAL Truncated Unadjusted Claims Expenses (A21 -A19)]], AN_TME23[[#All],[Advanced Network/Insurance Carrier Org ID]],B331, AN_TME23[[#All],[Insurance Category Code]], 5),2)</f>
        <v>0</v>
      </c>
      <c r="G331" s="241">
        <f>ROUND(SUMIFS(StandardDeviation23[[#All],[Total Spending After Truncation]], StandardDeviation23[[#All],[Advanced Network/Insurance Carrier Org ID]],B331, StandardDeviation23[[#All],[Market ID]],1),2)</f>
        <v>0</v>
      </c>
      <c r="H331" s="418" t="str">
        <f t="shared" si="32"/>
        <v>TRUE</v>
      </c>
      <c r="I331"/>
      <c r="J331" s="236">
        <v>117</v>
      </c>
      <c r="K331" s="263">
        <f>ROUND(SUMIFS(AN_TME22[[#All],[TOTAL Truncated Unadjusted Claims Expenses (A21 -A19)]], AN_TME22[[#All],[Advanced Network/Insurance Carrier Org ID]],J331, AN_TME22[[#All],[Insurance Category Code]], 2)+SUMIFS(AN_TME22[[#All],[TOTAL Truncated Unadjusted Claims Expenses (A21 -A19)]], AN_TME22[[#All],[Advanced Network/Insurance Carrier Org ID]],J331, AN_TME22[[#All],[Insurance Category Code]], 6),2)</f>
        <v>0</v>
      </c>
      <c r="L331" s="241">
        <f>ROUND(SUMIFS(StandardDeviation22[[#All],[Total Spending After Truncation]], StandardDeviation22[[#All],[Advanced Network/Insurance Carrier Org ID]],J331, StandardDeviation22[[#All],[Market ID]],2),2)</f>
        <v>0</v>
      </c>
      <c r="M331" s="276" t="str">
        <f t="shared" si="33"/>
        <v>TRUE</v>
      </c>
      <c r="N331" s="263">
        <f>ROUND(SUMIFS(AN_TME23[[#All],[TOTAL Truncated Unadjusted Claims Expenses (A21 -A19)]], AN_TME23[[#All],[Advanced Network/Insurance Carrier Org ID]],J331, AN_TME23[[#All],[Insurance Category Code]], 2)+SUMIFS(AN_TME23[[#All],[TOTAL Truncated Unadjusted Claims Expenses (A21 -A19)]], AN_TME23[[#All],[Advanced Network/Insurance Carrier Org ID]],J331, AN_TME23[[#All],[Insurance Category Code]], 6),2)</f>
        <v>0</v>
      </c>
      <c r="O331" s="241">
        <f>ROUND(SUMIFS(StandardDeviation23[[#All],[Total Spending After Truncation]], StandardDeviation23[[#All],[Advanced Network/Insurance Carrier Org ID]],J331, StandardDeviation23[[#All],[Market ID]],2),2)</f>
        <v>0</v>
      </c>
      <c r="P331" s="276" t="str">
        <f t="shared" si="34"/>
        <v>TRUE</v>
      </c>
      <c r="Q331"/>
      <c r="R331" s="236">
        <v>117</v>
      </c>
      <c r="S331" s="263">
        <f>ROUND(SUMIFS(AN_TME22[[#All],[TOTAL Truncated Unadjusted Claims Expenses (A21 -A19)]], AN_TME22[[#All],[Advanced Network/Insurance Carrier Org ID]],R331, AN_TME22[[#All],[Insurance Category Code]], 3)+SUMIFS(AN_TME22[[#All],[TOTAL Truncated Unadjusted Claims Expenses (A21 -A19)]], AN_TME22[[#All],[Advanced Network/Insurance Carrier Org ID]],R331, AN_TME22[[#All],[Insurance Category Code]], 4),2)</f>
        <v>0</v>
      </c>
      <c r="T331" s="241">
        <f>ROUND(SUMIFS(StandardDeviation22[[#All],[Total Spending After Truncation]], StandardDeviation22[[#All],[Advanced Network/Insurance Carrier Org ID]],R331, StandardDeviation22[[#All],[Market ID]],3),2)</f>
        <v>0</v>
      </c>
      <c r="U331" s="308" t="str">
        <f t="shared" si="35"/>
        <v>TRUE</v>
      </c>
      <c r="V331" s="263">
        <f>ROUND(SUMIFS(AN_TME23[[#All],[TOTAL Truncated Unadjusted Claims Expenses (A21 -A19)]], AN_TME23[[#All],[Advanced Network/Insurance Carrier Org ID]],R331, AN_TME23[[#All],[Insurance Category Code]], 3)+SUMIFS(AN_TME23[[#All],[TOTAL Truncated Unadjusted Claims Expenses (A21 -A19)]], AN_TME23[[#All],[Advanced Network/Insurance Carrier Org ID]],R331, AN_TME23[[#All],[Insurance Category Code]], 4),2)</f>
        <v>0</v>
      </c>
      <c r="W331" s="241">
        <f>ROUND(SUMIFS(StandardDeviation23[[#All],[Total Spending After Truncation]], StandardDeviation23[[#All],[Advanced Network/Insurance Carrier Org ID]],R331, StandardDeviation23[[#All],[Market ID]],3),2)</f>
        <v>0</v>
      </c>
      <c r="X331" s="308" t="str">
        <f t="shared" si="36"/>
        <v>TRUE</v>
      </c>
    </row>
    <row r="332" spans="2:24" s="30" customFormat="1" x14ac:dyDescent="0.25">
      <c r="B332" s="236">
        <v>118</v>
      </c>
      <c r="C332" s="263">
        <f>ROUND(SUMIFS(AN_TME22[[#All],[TOTAL Truncated Unadjusted Claims Expenses (A21 -A19)]], AN_TME22[[#All],[Advanced Network/Insurance Carrier Org ID]],B332, AN_TME22[[#All],[Insurance Category Code]], 1)+SUMIFS(AN_TME22[[#All],[TOTAL Truncated Unadjusted Claims Expenses (A21 -A19)]], AN_TME22[[#All],[Advanced Network/Insurance Carrier Org ID]],B332, AN_TME22[[#All],[Insurance Category Code]], 5),2)</f>
        <v>0</v>
      </c>
      <c r="D332" s="241">
        <f>ROUND(SUMIFS(StandardDeviation22[[#All],[Total Spending After Truncation]], StandardDeviation22[[#All],[Advanced Network/Insurance Carrier Org ID]],B332, StandardDeviation22[[#All],[Market ID]],1),2)</f>
        <v>0</v>
      </c>
      <c r="E332" s="418" t="str">
        <f t="shared" si="31"/>
        <v>TRUE</v>
      </c>
      <c r="F332" s="263">
        <f>ROUND(SUMIFS(AN_TME23[[#All],[TOTAL Truncated Unadjusted Claims Expenses (A21 -A19)]], AN_TME23[[#All],[Advanced Network/Insurance Carrier Org ID]],B332, AN_TME23[[#All],[Insurance Category Code]], 1)+SUMIFS(AN_TME23[[#All],[TOTAL Truncated Unadjusted Claims Expenses (A21 -A19)]], AN_TME23[[#All],[Advanced Network/Insurance Carrier Org ID]],B332, AN_TME23[[#All],[Insurance Category Code]], 5),2)</f>
        <v>0</v>
      </c>
      <c r="G332" s="241">
        <f>ROUND(SUMIFS(StandardDeviation23[[#All],[Total Spending After Truncation]], StandardDeviation23[[#All],[Advanced Network/Insurance Carrier Org ID]],B332, StandardDeviation23[[#All],[Market ID]],1),2)</f>
        <v>0</v>
      </c>
      <c r="H332" s="418" t="str">
        <f t="shared" si="32"/>
        <v>TRUE</v>
      </c>
      <c r="I332"/>
      <c r="J332" s="236">
        <v>118</v>
      </c>
      <c r="K332" s="263">
        <f>ROUND(SUMIFS(AN_TME22[[#All],[TOTAL Truncated Unadjusted Claims Expenses (A21 -A19)]], AN_TME22[[#All],[Advanced Network/Insurance Carrier Org ID]],J332, AN_TME22[[#All],[Insurance Category Code]], 2)+SUMIFS(AN_TME22[[#All],[TOTAL Truncated Unadjusted Claims Expenses (A21 -A19)]], AN_TME22[[#All],[Advanced Network/Insurance Carrier Org ID]],J332, AN_TME22[[#All],[Insurance Category Code]], 6),2)</f>
        <v>0</v>
      </c>
      <c r="L332" s="241">
        <f>ROUND(SUMIFS(StandardDeviation22[[#All],[Total Spending After Truncation]], StandardDeviation22[[#All],[Advanced Network/Insurance Carrier Org ID]],J332, StandardDeviation22[[#All],[Market ID]],2),2)</f>
        <v>0</v>
      </c>
      <c r="M332" s="276" t="str">
        <f t="shared" si="33"/>
        <v>TRUE</v>
      </c>
      <c r="N332" s="263">
        <f>ROUND(SUMIFS(AN_TME23[[#All],[TOTAL Truncated Unadjusted Claims Expenses (A21 -A19)]], AN_TME23[[#All],[Advanced Network/Insurance Carrier Org ID]],J332, AN_TME23[[#All],[Insurance Category Code]], 2)+SUMIFS(AN_TME23[[#All],[TOTAL Truncated Unadjusted Claims Expenses (A21 -A19)]], AN_TME23[[#All],[Advanced Network/Insurance Carrier Org ID]],J332, AN_TME23[[#All],[Insurance Category Code]], 6),2)</f>
        <v>0</v>
      </c>
      <c r="O332" s="241">
        <f>ROUND(SUMIFS(StandardDeviation23[[#All],[Total Spending After Truncation]], StandardDeviation23[[#All],[Advanced Network/Insurance Carrier Org ID]],J332, StandardDeviation23[[#All],[Market ID]],2),2)</f>
        <v>0</v>
      </c>
      <c r="P332" s="276" t="str">
        <f t="shared" si="34"/>
        <v>TRUE</v>
      </c>
      <c r="Q332"/>
      <c r="R332" s="236">
        <v>118</v>
      </c>
      <c r="S332" s="263">
        <f>ROUND(SUMIFS(AN_TME22[[#All],[TOTAL Truncated Unadjusted Claims Expenses (A21 -A19)]], AN_TME22[[#All],[Advanced Network/Insurance Carrier Org ID]],R332, AN_TME22[[#All],[Insurance Category Code]], 3)+SUMIFS(AN_TME22[[#All],[TOTAL Truncated Unadjusted Claims Expenses (A21 -A19)]], AN_TME22[[#All],[Advanced Network/Insurance Carrier Org ID]],R332, AN_TME22[[#All],[Insurance Category Code]], 4),2)</f>
        <v>0</v>
      </c>
      <c r="T332" s="241">
        <f>ROUND(SUMIFS(StandardDeviation22[[#All],[Total Spending After Truncation]], StandardDeviation22[[#All],[Advanced Network/Insurance Carrier Org ID]],R332, StandardDeviation22[[#All],[Market ID]],3),2)</f>
        <v>0</v>
      </c>
      <c r="U332" s="308" t="str">
        <f t="shared" si="35"/>
        <v>TRUE</v>
      </c>
      <c r="V332" s="263">
        <f>ROUND(SUMIFS(AN_TME23[[#All],[TOTAL Truncated Unadjusted Claims Expenses (A21 -A19)]], AN_TME23[[#All],[Advanced Network/Insurance Carrier Org ID]],R332, AN_TME23[[#All],[Insurance Category Code]], 3)+SUMIFS(AN_TME23[[#All],[TOTAL Truncated Unadjusted Claims Expenses (A21 -A19)]], AN_TME23[[#All],[Advanced Network/Insurance Carrier Org ID]],R332, AN_TME23[[#All],[Insurance Category Code]], 4),2)</f>
        <v>0</v>
      </c>
      <c r="W332" s="241">
        <f>ROUND(SUMIFS(StandardDeviation23[[#All],[Total Spending After Truncation]], StandardDeviation23[[#All],[Advanced Network/Insurance Carrier Org ID]],R332, StandardDeviation23[[#All],[Market ID]],3),2)</f>
        <v>0</v>
      </c>
      <c r="X332" s="308" t="str">
        <f t="shared" si="36"/>
        <v>TRUE</v>
      </c>
    </row>
    <row r="333" spans="2:24" s="30" customFormat="1" x14ac:dyDescent="0.25">
      <c r="B333" s="236">
        <v>119</v>
      </c>
      <c r="C333" s="263">
        <f>ROUND(SUMIFS(AN_TME22[[#All],[TOTAL Truncated Unadjusted Claims Expenses (A21 -A19)]], AN_TME22[[#All],[Advanced Network/Insurance Carrier Org ID]],B333, AN_TME22[[#All],[Insurance Category Code]], 1)+SUMIFS(AN_TME22[[#All],[TOTAL Truncated Unadjusted Claims Expenses (A21 -A19)]], AN_TME22[[#All],[Advanced Network/Insurance Carrier Org ID]],B333, AN_TME22[[#All],[Insurance Category Code]], 5),2)</f>
        <v>0</v>
      </c>
      <c r="D333" s="241">
        <f>ROUND(SUMIFS(StandardDeviation22[[#All],[Total Spending After Truncation]], StandardDeviation22[[#All],[Advanced Network/Insurance Carrier Org ID]],B333, StandardDeviation22[[#All],[Market ID]],1),2)</f>
        <v>0</v>
      </c>
      <c r="E333" s="418" t="str">
        <f t="shared" si="31"/>
        <v>TRUE</v>
      </c>
      <c r="F333" s="263">
        <f>ROUND(SUMIFS(AN_TME23[[#All],[TOTAL Truncated Unadjusted Claims Expenses (A21 -A19)]], AN_TME23[[#All],[Advanced Network/Insurance Carrier Org ID]],B333, AN_TME23[[#All],[Insurance Category Code]], 1)+SUMIFS(AN_TME23[[#All],[TOTAL Truncated Unadjusted Claims Expenses (A21 -A19)]], AN_TME23[[#All],[Advanced Network/Insurance Carrier Org ID]],B333, AN_TME23[[#All],[Insurance Category Code]], 5),2)</f>
        <v>0</v>
      </c>
      <c r="G333" s="241">
        <f>ROUND(SUMIFS(StandardDeviation23[[#All],[Total Spending After Truncation]], StandardDeviation23[[#All],[Advanced Network/Insurance Carrier Org ID]],B333, StandardDeviation23[[#All],[Market ID]],1),2)</f>
        <v>0</v>
      </c>
      <c r="H333" s="418" t="str">
        <f t="shared" si="32"/>
        <v>TRUE</v>
      </c>
      <c r="I333"/>
      <c r="J333" s="236">
        <v>119</v>
      </c>
      <c r="K333" s="263">
        <f>ROUND(SUMIFS(AN_TME22[[#All],[TOTAL Truncated Unadjusted Claims Expenses (A21 -A19)]], AN_TME22[[#All],[Advanced Network/Insurance Carrier Org ID]],J333, AN_TME22[[#All],[Insurance Category Code]], 2)+SUMIFS(AN_TME22[[#All],[TOTAL Truncated Unadjusted Claims Expenses (A21 -A19)]], AN_TME22[[#All],[Advanced Network/Insurance Carrier Org ID]],J333, AN_TME22[[#All],[Insurance Category Code]], 6),2)</f>
        <v>0</v>
      </c>
      <c r="L333" s="241">
        <f>ROUND(SUMIFS(StandardDeviation22[[#All],[Total Spending After Truncation]], StandardDeviation22[[#All],[Advanced Network/Insurance Carrier Org ID]],J333, StandardDeviation22[[#All],[Market ID]],2),2)</f>
        <v>0</v>
      </c>
      <c r="M333" s="276" t="str">
        <f t="shared" si="33"/>
        <v>TRUE</v>
      </c>
      <c r="N333" s="263">
        <f>ROUND(SUMIFS(AN_TME23[[#All],[TOTAL Truncated Unadjusted Claims Expenses (A21 -A19)]], AN_TME23[[#All],[Advanced Network/Insurance Carrier Org ID]],J333, AN_TME23[[#All],[Insurance Category Code]], 2)+SUMIFS(AN_TME23[[#All],[TOTAL Truncated Unadjusted Claims Expenses (A21 -A19)]], AN_TME23[[#All],[Advanced Network/Insurance Carrier Org ID]],J333, AN_TME23[[#All],[Insurance Category Code]], 6),2)</f>
        <v>0</v>
      </c>
      <c r="O333" s="241">
        <f>ROUND(SUMIFS(StandardDeviation23[[#All],[Total Spending After Truncation]], StandardDeviation23[[#All],[Advanced Network/Insurance Carrier Org ID]],J333, StandardDeviation23[[#All],[Market ID]],2),2)</f>
        <v>0</v>
      </c>
      <c r="P333" s="276" t="str">
        <f t="shared" si="34"/>
        <v>TRUE</v>
      </c>
      <c r="Q333"/>
      <c r="R333" s="236">
        <v>119</v>
      </c>
      <c r="S333" s="263">
        <f>ROUND(SUMIFS(AN_TME22[[#All],[TOTAL Truncated Unadjusted Claims Expenses (A21 -A19)]], AN_TME22[[#All],[Advanced Network/Insurance Carrier Org ID]],R333, AN_TME22[[#All],[Insurance Category Code]], 3)+SUMIFS(AN_TME22[[#All],[TOTAL Truncated Unadjusted Claims Expenses (A21 -A19)]], AN_TME22[[#All],[Advanced Network/Insurance Carrier Org ID]],R333, AN_TME22[[#All],[Insurance Category Code]], 4),2)</f>
        <v>0</v>
      </c>
      <c r="T333" s="241">
        <f>ROUND(SUMIFS(StandardDeviation22[[#All],[Total Spending After Truncation]], StandardDeviation22[[#All],[Advanced Network/Insurance Carrier Org ID]],R333, StandardDeviation22[[#All],[Market ID]],3),2)</f>
        <v>0</v>
      </c>
      <c r="U333" s="308" t="str">
        <f t="shared" si="35"/>
        <v>TRUE</v>
      </c>
      <c r="V333" s="263">
        <f>ROUND(SUMIFS(AN_TME23[[#All],[TOTAL Truncated Unadjusted Claims Expenses (A21 -A19)]], AN_TME23[[#All],[Advanced Network/Insurance Carrier Org ID]],R333, AN_TME23[[#All],[Insurance Category Code]], 3)+SUMIFS(AN_TME23[[#All],[TOTAL Truncated Unadjusted Claims Expenses (A21 -A19)]], AN_TME23[[#All],[Advanced Network/Insurance Carrier Org ID]],R333, AN_TME23[[#All],[Insurance Category Code]], 4),2)</f>
        <v>0</v>
      </c>
      <c r="W333" s="241">
        <f>ROUND(SUMIFS(StandardDeviation23[[#All],[Total Spending After Truncation]], StandardDeviation23[[#All],[Advanced Network/Insurance Carrier Org ID]],R333, StandardDeviation23[[#All],[Market ID]],3),2)</f>
        <v>0</v>
      </c>
      <c r="X333" s="308" t="str">
        <f t="shared" si="36"/>
        <v>TRUE</v>
      </c>
    </row>
    <row r="334" spans="2:24" s="30" customFormat="1" x14ac:dyDescent="0.25">
      <c r="B334" s="236">
        <v>120</v>
      </c>
      <c r="C334" s="263">
        <f>ROUND(SUMIFS(AN_TME22[[#All],[TOTAL Truncated Unadjusted Claims Expenses (A21 -A19)]], AN_TME22[[#All],[Advanced Network/Insurance Carrier Org ID]],B334, AN_TME22[[#All],[Insurance Category Code]], 1)+SUMIFS(AN_TME22[[#All],[TOTAL Truncated Unadjusted Claims Expenses (A21 -A19)]], AN_TME22[[#All],[Advanced Network/Insurance Carrier Org ID]],B334, AN_TME22[[#All],[Insurance Category Code]], 5),2)</f>
        <v>0</v>
      </c>
      <c r="D334" s="241">
        <f>ROUND(SUMIFS(StandardDeviation22[[#All],[Total Spending After Truncation]], StandardDeviation22[[#All],[Advanced Network/Insurance Carrier Org ID]],B334, StandardDeviation22[[#All],[Market ID]],1),2)</f>
        <v>0</v>
      </c>
      <c r="E334" s="418" t="str">
        <f t="shared" si="31"/>
        <v>TRUE</v>
      </c>
      <c r="F334" s="263">
        <f>ROUND(SUMIFS(AN_TME23[[#All],[TOTAL Truncated Unadjusted Claims Expenses (A21 -A19)]], AN_TME23[[#All],[Advanced Network/Insurance Carrier Org ID]],B334, AN_TME23[[#All],[Insurance Category Code]], 1)+SUMIFS(AN_TME23[[#All],[TOTAL Truncated Unadjusted Claims Expenses (A21 -A19)]], AN_TME23[[#All],[Advanced Network/Insurance Carrier Org ID]],B334, AN_TME23[[#All],[Insurance Category Code]], 5),2)</f>
        <v>0</v>
      </c>
      <c r="G334" s="241">
        <f>ROUND(SUMIFS(StandardDeviation23[[#All],[Total Spending After Truncation]], StandardDeviation23[[#All],[Advanced Network/Insurance Carrier Org ID]],B334, StandardDeviation23[[#All],[Market ID]],1),2)</f>
        <v>0</v>
      </c>
      <c r="H334" s="418" t="str">
        <f t="shared" si="32"/>
        <v>TRUE</v>
      </c>
      <c r="I334"/>
      <c r="J334" s="236">
        <v>120</v>
      </c>
      <c r="K334" s="263">
        <f>ROUND(SUMIFS(AN_TME22[[#All],[TOTAL Truncated Unadjusted Claims Expenses (A21 -A19)]], AN_TME22[[#All],[Advanced Network/Insurance Carrier Org ID]],J334, AN_TME22[[#All],[Insurance Category Code]], 2)+SUMIFS(AN_TME22[[#All],[TOTAL Truncated Unadjusted Claims Expenses (A21 -A19)]], AN_TME22[[#All],[Advanced Network/Insurance Carrier Org ID]],J334, AN_TME22[[#All],[Insurance Category Code]], 6),2)</f>
        <v>0</v>
      </c>
      <c r="L334" s="241">
        <f>ROUND(SUMIFS(StandardDeviation22[[#All],[Total Spending After Truncation]], StandardDeviation22[[#All],[Advanced Network/Insurance Carrier Org ID]],J334, StandardDeviation22[[#All],[Market ID]],2),2)</f>
        <v>0</v>
      </c>
      <c r="M334" s="276" t="str">
        <f t="shared" si="33"/>
        <v>TRUE</v>
      </c>
      <c r="N334" s="263">
        <f>ROUND(SUMIFS(AN_TME23[[#All],[TOTAL Truncated Unadjusted Claims Expenses (A21 -A19)]], AN_TME23[[#All],[Advanced Network/Insurance Carrier Org ID]],J334, AN_TME23[[#All],[Insurance Category Code]], 2)+SUMIFS(AN_TME23[[#All],[TOTAL Truncated Unadjusted Claims Expenses (A21 -A19)]], AN_TME23[[#All],[Advanced Network/Insurance Carrier Org ID]],J334, AN_TME23[[#All],[Insurance Category Code]], 6),2)</f>
        <v>0</v>
      </c>
      <c r="O334" s="241">
        <f>ROUND(SUMIFS(StandardDeviation23[[#All],[Total Spending After Truncation]], StandardDeviation23[[#All],[Advanced Network/Insurance Carrier Org ID]],J334, StandardDeviation23[[#All],[Market ID]],2),2)</f>
        <v>0</v>
      </c>
      <c r="P334" s="276" t="str">
        <f t="shared" si="34"/>
        <v>TRUE</v>
      </c>
      <c r="Q334"/>
      <c r="R334" s="236">
        <v>120</v>
      </c>
      <c r="S334" s="263">
        <f>ROUND(SUMIFS(AN_TME22[[#All],[TOTAL Truncated Unadjusted Claims Expenses (A21 -A19)]], AN_TME22[[#All],[Advanced Network/Insurance Carrier Org ID]],R334, AN_TME22[[#All],[Insurance Category Code]], 3)+SUMIFS(AN_TME22[[#All],[TOTAL Truncated Unadjusted Claims Expenses (A21 -A19)]], AN_TME22[[#All],[Advanced Network/Insurance Carrier Org ID]],R334, AN_TME22[[#All],[Insurance Category Code]], 4),2)</f>
        <v>0</v>
      </c>
      <c r="T334" s="241">
        <f>ROUND(SUMIFS(StandardDeviation22[[#All],[Total Spending After Truncation]], StandardDeviation22[[#All],[Advanced Network/Insurance Carrier Org ID]],R334, StandardDeviation22[[#All],[Market ID]],3),2)</f>
        <v>0</v>
      </c>
      <c r="U334" s="308" t="str">
        <f t="shared" si="35"/>
        <v>TRUE</v>
      </c>
      <c r="V334" s="263">
        <f>ROUND(SUMIFS(AN_TME23[[#All],[TOTAL Truncated Unadjusted Claims Expenses (A21 -A19)]], AN_TME23[[#All],[Advanced Network/Insurance Carrier Org ID]],R334, AN_TME23[[#All],[Insurance Category Code]], 3)+SUMIFS(AN_TME23[[#All],[TOTAL Truncated Unadjusted Claims Expenses (A21 -A19)]], AN_TME23[[#All],[Advanced Network/Insurance Carrier Org ID]],R334, AN_TME23[[#All],[Insurance Category Code]], 4),2)</f>
        <v>0</v>
      </c>
      <c r="W334" s="241">
        <f>ROUND(SUMIFS(StandardDeviation23[[#All],[Total Spending After Truncation]], StandardDeviation23[[#All],[Advanced Network/Insurance Carrier Org ID]],R334, StandardDeviation23[[#All],[Market ID]],3),2)</f>
        <v>0</v>
      </c>
      <c r="X334" s="308" t="str">
        <f t="shared" si="36"/>
        <v>TRUE</v>
      </c>
    </row>
    <row r="335" spans="2:24" s="30" customFormat="1" x14ac:dyDescent="0.25">
      <c r="B335" s="236">
        <v>121</v>
      </c>
      <c r="C335" s="263">
        <f>ROUND(SUMIFS(AN_TME22[[#All],[TOTAL Truncated Unadjusted Claims Expenses (A21 -A19)]], AN_TME22[[#All],[Advanced Network/Insurance Carrier Org ID]],B335, AN_TME22[[#All],[Insurance Category Code]], 1)+SUMIFS(AN_TME22[[#All],[TOTAL Truncated Unadjusted Claims Expenses (A21 -A19)]], AN_TME22[[#All],[Advanced Network/Insurance Carrier Org ID]],B335, AN_TME22[[#All],[Insurance Category Code]], 5),2)</f>
        <v>0</v>
      </c>
      <c r="D335" s="241">
        <f>ROUND(SUMIFS(StandardDeviation22[[#All],[Total Spending After Truncation]], StandardDeviation22[[#All],[Advanced Network/Insurance Carrier Org ID]],B335, StandardDeviation22[[#All],[Market ID]],1),2)</f>
        <v>0</v>
      </c>
      <c r="E335" s="418" t="str">
        <f t="shared" si="31"/>
        <v>TRUE</v>
      </c>
      <c r="F335" s="263">
        <f>ROUND(SUMIFS(AN_TME23[[#All],[TOTAL Truncated Unadjusted Claims Expenses (A21 -A19)]], AN_TME23[[#All],[Advanced Network/Insurance Carrier Org ID]],B335, AN_TME23[[#All],[Insurance Category Code]], 1)+SUMIFS(AN_TME23[[#All],[TOTAL Truncated Unadjusted Claims Expenses (A21 -A19)]], AN_TME23[[#All],[Advanced Network/Insurance Carrier Org ID]],B335, AN_TME23[[#All],[Insurance Category Code]], 5),2)</f>
        <v>0</v>
      </c>
      <c r="G335" s="241">
        <f>ROUND(SUMIFS(StandardDeviation23[[#All],[Total Spending After Truncation]], StandardDeviation23[[#All],[Advanced Network/Insurance Carrier Org ID]],B335, StandardDeviation23[[#All],[Market ID]],1),2)</f>
        <v>0</v>
      </c>
      <c r="H335" s="418" t="str">
        <f t="shared" si="32"/>
        <v>TRUE</v>
      </c>
      <c r="I335"/>
      <c r="J335" s="236">
        <v>121</v>
      </c>
      <c r="K335" s="263">
        <f>ROUND(SUMIFS(AN_TME22[[#All],[TOTAL Truncated Unadjusted Claims Expenses (A21 -A19)]], AN_TME22[[#All],[Advanced Network/Insurance Carrier Org ID]],J335, AN_TME22[[#All],[Insurance Category Code]], 2)+SUMIFS(AN_TME22[[#All],[TOTAL Truncated Unadjusted Claims Expenses (A21 -A19)]], AN_TME22[[#All],[Advanced Network/Insurance Carrier Org ID]],J335, AN_TME22[[#All],[Insurance Category Code]], 6),2)</f>
        <v>0</v>
      </c>
      <c r="L335" s="241">
        <f>ROUND(SUMIFS(StandardDeviation22[[#All],[Total Spending After Truncation]], StandardDeviation22[[#All],[Advanced Network/Insurance Carrier Org ID]],J335, StandardDeviation22[[#All],[Market ID]],2),2)</f>
        <v>0</v>
      </c>
      <c r="M335" s="276" t="str">
        <f t="shared" si="33"/>
        <v>TRUE</v>
      </c>
      <c r="N335" s="263">
        <f>ROUND(SUMIFS(AN_TME23[[#All],[TOTAL Truncated Unadjusted Claims Expenses (A21 -A19)]], AN_TME23[[#All],[Advanced Network/Insurance Carrier Org ID]],J335, AN_TME23[[#All],[Insurance Category Code]], 2)+SUMIFS(AN_TME23[[#All],[TOTAL Truncated Unadjusted Claims Expenses (A21 -A19)]], AN_TME23[[#All],[Advanced Network/Insurance Carrier Org ID]],J335, AN_TME23[[#All],[Insurance Category Code]], 6),2)</f>
        <v>0</v>
      </c>
      <c r="O335" s="241">
        <f>ROUND(SUMIFS(StandardDeviation23[[#All],[Total Spending After Truncation]], StandardDeviation23[[#All],[Advanced Network/Insurance Carrier Org ID]],J335, StandardDeviation23[[#All],[Market ID]],2),2)</f>
        <v>0</v>
      </c>
      <c r="P335" s="276" t="str">
        <f t="shared" si="34"/>
        <v>TRUE</v>
      </c>
      <c r="Q335"/>
      <c r="R335" s="236">
        <v>121</v>
      </c>
      <c r="S335" s="263">
        <f>ROUND(SUMIFS(AN_TME22[[#All],[TOTAL Truncated Unadjusted Claims Expenses (A21 -A19)]], AN_TME22[[#All],[Advanced Network/Insurance Carrier Org ID]],R335, AN_TME22[[#All],[Insurance Category Code]], 3)+SUMIFS(AN_TME22[[#All],[TOTAL Truncated Unadjusted Claims Expenses (A21 -A19)]], AN_TME22[[#All],[Advanced Network/Insurance Carrier Org ID]],R335, AN_TME22[[#All],[Insurance Category Code]], 4),2)</f>
        <v>0</v>
      </c>
      <c r="T335" s="241">
        <f>ROUND(SUMIFS(StandardDeviation22[[#All],[Total Spending After Truncation]], StandardDeviation22[[#All],[Advanced Network/Insurance Carrier Org ID]],R335, StandardDeviation22[[#All],[Market ID]],3),2)</f>
        <v>0</v>
      </c>
      <c r="U335" s="308" t="str">
        <f t="shared" si="35"/>
        <v>TRUE</v>
      </c>
      <c r="V335" s="263">
        <f>ROUND(SUMIFS(AN_TME23[[#All],[TOTAL Truncated Unadjusted Claims Expenses (A21 -A19)]], AN_TME23[[#All],[Advanced Network/Insurance Carrier Org ID]],R335, AN_TME23[[#All],[Insurance Category Code]], 3)+SUMIFS(AN_TME23[[#All],[TOTAL Truncated Unadjusted Claims Expenses (A21 -A19)]], AN_TME23[[#All],[Advanced Network/Insurance Carrier Org ID]],R335, AN_TME23[[#All],[Insurance Category Code]], 4),2)</f>
        <v>0</v>
      </c>
      <c r="W335" s="241">
        <f>ROUND(SUMIFS(StandardDeviation23[[#All],[Total Spending After Truncation]], StandardDeviation23[[#All],[Advanced Network/Insurance Carrier Org ID]],R335, StandardDeviation23[[#All],[Market ID]],3),2)</f>
        <v>0</v>
      </c>
      <c r="X335" s="308" t="str">
        <f t="shared" si="36"/>
        <v>TRUE</v>
      </c>
    </row>
    <row r="336" spans="2:24" s="30" customFormat="1" x14ac:dyDescent="0.25">
      <c r="B336" s="236">
        <v>122</v>
      </c>
      <c r="C336" s="263">
        <f>ROUND(SUMIFS(AN_TME22[[#All],[TOTAL Truncated Unadjusted Claims Expenses (A21 -A19)]], AN_TME22[[#All],[Advanced Network/Insurance Carrier Org ID]],B336, AN_TME22[[#All],[Insurance Category Code]], 1)+SUMIFS(AN_TME22[[#All],[TOTAL Truncated Unadjusted Claims Expenses (A21 -A19)]], AN_TME22[[#All],[Advanced Network/Insurance Carrier Org ID]],B336, AN_TME22[[#All],[Insurance Category Code]], 5),2)</f>
        <v>0</v>
      </c>
      <c r="D336" s="241">
        <f>ROUND(SUMIFS(StandardDeviation22[[#All],[Total Spending After Truncation]], StandardDeviation22[[#All],[Advanced Network/Insurance Carrier Org ID]],B336, StandardDeviation22[[#All],[Market ID]],1),2)</f>
        <v>0</v>
      </c>
      <c r="E336" s="418" t="str">
        <f t="shared" si="31"/>
        <v>TRUE</v>
      </c>
      <c r="F336" s="263">
        <f>ROUND(SUMIFS(AN_TME23[[#All],[TOTAL Truncated Unadjusted Claims Expenses (A21 -A19)]], AN_TME23[[#All],[Advanced Network/Insurance Carrier Org ID]],B336, AN_TME23[[#All],[Insurance Category Code]], 1)+SUMIFS(AN_TME23[[#All],[TOTAL Truncated Unadjusted Claims Expenses (A21 -A19)]], AN_TME23[[#All],[Advanced Network/Insurance Carrier Org ID]],B336, AN_TME23[[#All],[Insurance Category Code]], 5),2)</f>
        <v>0</v>
      </c>
      <c r="G336" s="241">
        <f>ROUND(SUMIFS(StandardDeviation23[[#All],[Total Spending After Truncation]], StandardDeviation23[[#All],[Advanced Network/Insurance Carrier Org ID]],B336, StandardDeviation23[[#All],[Market ID]],1),2)</f>
        <v>0</v>
      </c>
      <c r="H336" s="418" t="str">
        <f t="shared" si="32"/>
        <v>TRUE</v>
      </c>
      <c r="I336"/>
      <c r="J336" s="236">
        <v>122</v>
      </c>
      <c r="K336" s="263">
        <f>ROUND(SUMIFS(AN_TME22[[#All],[TOTAL Truncated Unadjusted Claims Expenses (A21 -A19)]], AN_TME22[[#All],[Advanced Network/Insurance Carrier Org ID]],J336, AN_TME22[[#All],[Insurance Category Code]], 2)+SUMIFS(AN_TME22[[#All],[TOTAL Truncated Unadjusted Claims Expenses (A21 -A19)]], AN_TME22[[#All],[Advanced Network/Insurance Carrier Org ID]],J336, AN_TME22[[#All],[Insurance Category Code]], 6),2)</f>
        <v>0</v>
      </c>
      <c r="L336" s="241">
        <f>ROUND(SUMIFS(StandardDeviation22[[#All],[Total Spending After Truncation]], StandardDeviation22[[#All],[Advanced Network/Insurance Carrier Org ID]],J336, StandardDeviation22[[#All],[Market ID]],2),2)</f>
        <v>0</v>
      </c>
      <c r="M336" s="276" t="str">
        <f t="shared" si="33"/>
        <v>TRUE</v>
      </c>
      <c r="N336" s="263">
        <f>ROUND(SUMIFS(AN_TME23[[#All],[TOTAL Truncated Unadjusted Claims Expenses (A21 -A19)]], AN_TME23[[#All],[Advanced Network/Insurance Carrier Org ID]],J336, AN_TME23[[#All],[Insurance Category Code]], 2)+SUMIFS(AN_TME23[[#All],[TOTAL Truncated Unadjusted Claims Expenses (A21 -A19)]], AN_TME23[[#All],[Advanced Network/Insurance Carrier Org ID]],J336, AN_TME23[[#All],[Insurance Category Code]], 6),2)</f>
        <v>0</v>
      </c>
      <c r="O336" s="241">
        <f>ROUND(SUMIFS(StandardDeviation23[[#All],[Total Spending After Truncation]], StandardDeviation23[[#All],[Advanced Network/Insurance Carrier Org ID]],J336, StandardDeviation23[[#All],[Market ID]],2),2)</f>
        <v>0</v>
      </c>
      <c r="P336" s="276" t="str">
        <f t="shared" si="34"/>
        <v>TRUE</v>
      </c>
      <c r="Q336"/>
      <c r="R336" s="236">
        <v>122</v>
      </c>
      <c r="S336" s="263">
        <f>ROUND(SUMIFS(AN_TME22[[#All],[TOTAL Truncated Unadjusted Claims Expenses (A21 -A19)]], AN_TME22[[#All],[Advanced Network/Insurance Carrier Org ID]],R336, AN_TME22[[#All],[Insurance Category Code]], 3)+SUMIFS(AN_TME22[[#All],[TOTAL Truncated Unadjusted Claims Expenses (A21 -A19)]], AN_TME22[[#All],[Advanced Network/Insurance Carrier Org ID]],R336, AN_TME22[[#All],[Insurance Category Code]], 4),2)</f>
        <v>0</v>
      </c>
      <c r="T336" s="241">
        <f>ROUND(SUMIFS(StandardDeviation22[[#All],[Total Spending After Truncation]], StandardDeviation22[[#All],[Advanced Network/Insurance Carrier Org ID]],R336, StandardDeviation22[[#All],[Market ID]],3),2)</f>
        <v>0</v>
      </c>
      <c r="U336" s="308" t="str">
        <f t="shared" si="35"/>
        <v>TRUE</v>
      </c>
      <c r="V336" s="263">
        <f>ROUND(SUMIFS(AN_TME23[[#All],[TOTAL Truncated Unadjusted Claims Expenses (A21 -A19)]], AN_TME23[[#All],[Advanced Network/Insurance Carrier Org ID]],R336, AN_TME23[[#All],[Insurance Category Code]], 3)+SUMIFS(AN_TME23[[#All],[TOTAL Truncated Unadjusted Claims Expenses (A21 -A19)]], AN_TME23[[#All],[Advanced Network/Insurance Carrier Org ID]],R336, AN_TME23[[#All],[Insurance Category Code]], 4),2)</f>
        <v>0</v>
      </c>
      <c r="W336" s="241">
        <f>ROUND(SUMIFS(StandardDeviation23[[#All],[Total Spending After Truncation]], StandardDeviation23[[#All],[Advanced Network/Insurance Carrier Org ID]],R336, StandardDeviation23[[#All],[Market ID]],3),2)</f>
        <v>0</v>
      </c>
      <c r="X336" s="308" t="str">
        <f t="shared" si="36"/>
        <v>TRUE</v>
      </c>
    </row>
    <row r="337" spans="2:24" s="30" customFormat="1" x14ac:dyDescent="0.25">
      <c r="B337" s="236">
        <v>123</v>
      </c>
      <c r="C337" s="263">
        <f>ROUND(SUMIFS(AN_TME22[[#All],[TOTAL Truncated Unadjusted Claims Expenses (A21 -A19)]], AN_TME22[[#All],[Advanced Network/Insurance Carrier Org ID]],B337, AN_TME22[[#All],[Insurance Category Code]], 1)+SUMIFS(AN_TME22[[#All],[TOTAL Truncated Unadjusted Claims Expenses (A21 -A19)]], AN_TME22[[#All],[Advanced Network/Insurance Carrier Org ID]],B337, AN_TME22[[#All],[Insurance Category Code]], 5),2)</f>
        <v>0</v>
      </c>
      <c r="D337" s="241">
        <f>ROUND(SUMIFS(StandardDeviation22[[#All],[Total Spending After Truncation]], StandardDeviation22[[#All],[Advanced Network/Insurance Carrier Org ID]],B337, StandardDeviation22[[#All],[Market ID]],1),2)</f>
        <v>0</v>
      </c>
      <c r="E337" s="418" t="str">
        <f t="shared" si="31"/>
        <v>TRUE</v>
      </c>
      <c r="F337" s="263">
        <f>ROUND(SUMIFS(AN_TME23[[#All],[TOTAL Truncated Unadjusted Claims Expenses (A21 -A19)]], AN_TME23[[#All],[Advanced Network/Insurance Carrier Org ID]],B337, AN_TME23[[#All],[Insurance Category Code]], 1)+SUMIFS(AN_TME23[[#All],[TOTAL Truncated Unadjusted Claims Expenses (A21 -A19)]], AN_TME23[[#All],[Advanced Network/Insurance Carrier Org ID]],B337, AN_TME23[[#All],[Insurance Category Code]], 5),2)</f>
        <v>0</v>
      </c>
      <c r="G337" s="241">
        <f>ROUND(SUMIFS(StandardDeviation23[[#All],[Total Spending After Truncation]], StandardDeviation23[[#All],[Advanced Network/Insurance Carrier Org ID]],B337, StandardDeviation23[[#All],[Market ID]],1),2)</f>
        <v>0</v>
      </c>
      <c r="H337" s="418" t="str">
        <f t="shared" si="32"/>
        <v>TRUE</v>
      </c>
      <c r="I337"/>
      <c r="J337" s="236">
        <v>123</v>
      </c>
      <c r="K337" s="263">
        <f>ROUND(SUMIFS(AN_TME22[[#All],[TOTAL Truncated Unadjusted Claims Expenses (A21 -A19)]], AN_TME22[[#All],[Advanced Network/Insurance Carrier Org ID]],J337, AN_TME22[[#All],[Insurance Category Code]], 2)+SUMIFS(AN_TME22[[#All],[TOTAL Truncated Unadjusted Claims Expenses (A21 -A19)]], AN_TME22[[#All],[Advanced Network/Insurance Carrier Org ID]],J337, AN_TME22[[#All],[Insurance Category Code]], 6),2)</f>
        <v>0</v>
      </c>
      <c r="L337" s="241">
        <f>ROUND(SUMIFS(StandardDeviation22[[#All],[Total Spending After Truncation]], StandardDeviation22[[#All],[Advanced Network/Insurance Carrier Org ID]],J337, StandardDeviation22[[#All],[Market ID]],2),2)</f>
        <v>0</v>
      </c>
      <c r="M337" s="276" t="str">
        <f t="shared" si="33"/>
        <v>TRUE</v>
      </c>
      <c r="N337" s="263">
        <f>ROUND(SUMIFS(AN_TME23[[#All],[TOTAL Truncated Unadjusted Claims Expenses (A21 -A19)]], AN_TME23[[#All],[Advanced Network/Insurance Carrier Org ID]],J337, AN_TME23[[#All],[Insurance Category Code]], 2)+SUMIFS(AN_TME23[[#All],[TOTAL Truncated Unadjusted Claims Expenses (A21 -A19)]], AN_TME23[[#All],[Advanced Network/Insurance Carrier Org ID]],J337, AN_TME23[[#All],[Insurance Category Code]], 6),2)</f>
        <v>0</v>
      </c>
      <c r="O337" s="241">
        <f>ROUND(SUMIFS(StandardDeviation23[[#All],[Total Spending After Truncation]], StandardDeviation23[[#All],[Advanced Network/Insurance Carrier Org ID]],J337, StandardDeviation23[[#All],[Market ID]],2),2)</f>
        <v>0</v>
      </c>
      <c r="P337" s="276" t="str">
        <f t="shared" si="34"/>
        <v>TRUE</v>
      </c>
      <c r="Q337"/>
      <c r="R337" s="236">
        <v>123</v>
      </c>
      <c r="S337" s="263">
        <f>ROUND(SUMIFS(AN_TME22[[#All],[TOTAL Truncated Unadjusted Claims Expenses (A21 -A19)]], AN_TME22[[#All],[Advanced Network/Insurance Carrier Org ID]],R337, AN_TME22[[#All],[Insurance Category Code]], 3)+SUMIFS(AN_TME22[[#All],[TOTAL Truncated Unadjusted Claims Expenses (A21 -A19)]], AN_TME22[[#All],[Advanced Network/Insurance Carrier Org ID]],R337, AN_TME22[[#All],[Insurance Category Code]], 4),2)</f>
        <v>0</v>
      </c>
      <c r="T337" s="241">
        <f>ROUND(SUMIFS(StandardDeviation22[[#All],[Total Spending After Truncation]], StandardDeviation22[[#All],[Advanced Network/Insurance Carrier Org ID]],R337, StandardDeviation22[[#All],[Market ID]],3),2)</f>
        <v>0</v>
      </c>
      <c r="U337" s="308" t="str">
        <f t="shared" si="35"/>
        <v>TRUE</v>
      </c>
      <c r="V337" s="263">
        <f>ROUND(SUMIFS(AN_TME23[[#All],[TOTAL Truncated Unadjusted Claims Expenses (A21 -A19)]], AN_TME23[[#All],[Advanced Network/Insurance Carrier Org ID]],R337, AN_TME23[[#All],[Insurance Category Code]], 3)+SUMIFS(AN_TME23[[#All],[TOTAL Truncated Unadjusted Claims Expenses (A21 -A19)]], AN_TME23[[#All],[Advanced Network/Insurance Carrier Org ID]],R337, AN_TME23[[#All],[Insurance Category Code]], 4),2)</f>
        <v>0</v>
      </c>
      <c r="W337" s="241">
        <f>ROUND(SUMIFS(StandardDeviation23[[#All],[Total Spending After Truncation]], StandardDeviation23[[#All],[Advanced Network/Insurance Carrier Org ID]],R337, StandardDeviation23[[#All],[Market ID]],3),2)</f>
        <v>0</v>
      </c>
      <c r="X337" s="308" t="str">
        <f t="shared" si="36"/>
        <v>TRUE</v>
      </c>
    </row>
    <row r="338" spans="2:24" s="30" customFormat="1" x14ac:dyDescent="0.25">
      <c r="B338" s="236">
        <v>124</v>
      </c>
      <c r="C338" s="263">
        <f>ROUND(SUMIFS(AN_TME22[[#All],[TOTAL Truncated Unadjusted Claims Expenses (A21 -A19)]], AN_TME22[[#All],[Advanced Network/Insurance Carrier Org ID]],B338, AN_TME22[[#All],[Insurance Category Code]], 1)+SUMIFS(AN_TME22[[#All],[TOTAL Truncated Unadjusted Claims Expenses (A21 -A19)]], AN_TME22[[#All],[Advanced Network/Insurance Carrier Org ID]],B338, AN_TME22[[#All],[Insurance Category Code]], 5),2)</f>
        <v>0</v>
      </c>
      <c r="D338" s="241">
        <f>ROUND(SUMIFS(StandardDeviation22[[#All],[Total Spending After Truncation]], StandardDeviation22[[#All],[Advanced Network/Insurance Carrier Org ID]],B338, StandardDeviation22[[#All],[Market ID]],1),2)</f>
        <v>0</v>
      </c>
      <c r="E338" s="418" t="str">
        <f t="shared" si="31"/>
        <v>TRUE</v>
      </c>
      <c r="F338" s="263">
        <f>ROUND(SUMIFS(AN_TME23[[#All],[TOTAL Truncated Unadjusted Claims Expenses (A21 -A19)]], AN_TME23[[#All],[Advanced Network/Insurance Carrier Org ID]],B338, AN_TME23[[#All],[Insurance Category Code]], 1)+SUMIFS(AN_TME23[[#All],[TOTAL Truncated Unadjusted Claims Expenses (A21 -A19)]], AN_TME23[[#All],[Advanced Network/Insurance Carrier Org ID]],B338, AN_TME23[[#All],[Insurance Category Code]], 5),2)</f>
        <v>0</v>
      </c>
      <c r="G338" s="241">
        <f>ROUND(SUMIFS(StandardDeviation23[[#All],[Total Spending After Truncation]], StandardDeviation23[[#All],[Advanced Network/Insurance Carrier Org ID]],B338, StandardDeviation23[[#All],[Market ID]],1),2)</f>
        <v>0</v>
      </c>
      <c r="H338" s="418" t="str">
        <f t="shared" si="32"/>
        <v>TRUE</v>
      </c>
      <c r="I338"/>
      <c r="J338" s="236">
        <v>124</v>
      </c>
      <c r="K338" s="263">
        <f>ROUND(SUMIFS(AN_TME22[[#All],[TOTAL Truncated Unadjusted Claims Expenses (A21 -A19)]], AN_TME22[[#All],[Advanced Network/Insurance Carrier Org ID]],J338, AN_TME22[[#All],[Insurance Category Code]], 2)+SUMIFS(AN_TME22[[#All],[TOTAL Truncated Unadjusted Claims Expenses (A21 -A19)]], AN_TME22[[#All],[Advanced Network/Insurance Carrier Org ID]],J338, AN_TME22[[#All],[Insurance Category Code]], 6),2)</f>
        <v>0</v>
      </c>
      <c r="L338" s="241">
        <f>ROUND(SUMIFS(StandardDeviation22[[#All],[Total Spending After Truncation]], StandardDeviation22[[#All],[Advanced Network/Insurance Carrier Org ID]],J338, StandardDeviation22[[#All],[Market ID]],2),2)</f>
        <v>0</v>
      </c>
      <c r="M338" s="276" t="str">
        <f t="shared" si="33"/>
        <v>TRUE</v>
      </c>
      <c r="N338" s="263">
        <f>ROUND(SUMIFS(AN_TME23[[#All],[TOTAL Truncated Unadjusted Claims Expenses (A21 -A19)]], AN_TME23[[#All],[Advanced Network/Insurance Carrier Org ID]],J338, AN_TME23[[#All],[Insurance Category Code]], 2)+SUMIFS(AN_TME23[[#All],[TOTAL Truncated Unadjusted Claims Expenses (A21 -A19)]], AN_TME23[[#All],[Advanced Network/Insurance Carrier Org ID]],J338, AN_TME23[[#All],[Insurance Category Code]], 6),2)</f>
        <v>0</v>
      </c>
      <c r="O338" s="241">
        <f>ROUND(SUMIFS(StandardDeviation23[[#All],[Total Spending After Truncation]], StandardDeviation23[[#All],[Advanced Network/Insurance Carrier Org ID]],J338, StandardDeviation23[[#All],[Market ID]],2),2)</f>
        <v>0</v>
      </c>
      <c r="P338" s="276" t="str">
        <f t="shared" si="34"/>
        <v>TRUE</v>
      </c>
      <c r="Q338"/>
      <c r="R338" s="236">
        <v>124</v>
      </c>
      <c r="S338" s="263">
        <f>ROUND(SUMIFS(AN_TME22[[#All],[TOTAL Truncated Unadjusted Claims Expenses (A21 -A19)]], AN_TME22[[#All],[Advanced Network/Insurance Carrier Org ID]],R338, AN_TME22[[#All],[Insurance Category Code]], 3)+SUMIFS(AN_TME22[[#All],[TOTAL Truncated Unadjusted Claims Expenses (A21 -A19)]], AN_TME22[[#All],[Advanced Network/Insurance Carrier Org ID]],R338, AN_TME22[[#All],[Insurance Category Code]], 4),2)</f>
        <v>0</v>
      </c>
      <c r="T338" s="241">
        <f>ROUND(SUMIFS(StandardDeviation22[[#All],[Total Spending After Truncation]], StandardDeviation22[[#All],[Advanced Network/Insurance Carrier Org ID]],R338, StandardDeviation22[[#All],[Market ID]],3),2)</f>
        <v>0</v>
      </c>
      <c r="U338" s="308" t="str">
        <f t="shared" si="35"/>
        <v>TRUE</v>
      </c>
      <c r="V338" s="263">
        <f>ROUND(SUMIFS(AN_TME23[[#All],[TOTAL Truncated Unadjusted Claims Expenses (A21 -A19)]], AN_TME23[[#All],[Advanced Network/Insurance Carrier Org ID]],R338, AN_TME23[[#All],[Insurance Category Code]], 3)+SUMIFS(AN_TME23[[#All],[TOTAL Truncated Unadjusted Claims Expenses (A21 -A19)]], AN_TME23[[#All],[Advanced Network/Insurance Carrier Org ID]],R338, AN_TME23[[#All],[Insurance Category Code]], 4),2)</f>
        <v>0</v>
      </c>
      <c r="W338" s="241">
        <f>ROUND(SUMIFS(StandardDeviation23[[#All],[Total Spending After Truncation]], StandardDeviation23[[#All],[Advanced Network/Insurance Carrier Org ID]],R338, StandardDeviation23[[#All],[Market ID]],3),2)</f>
        <v>0</v>
      </c>
      <c r="X338" s="308" t="str">
        <f t="shared" si="36"/>
        <v>TRUE</v>
      </c>
    </row>
    <row r="339" spans="2:24" s="30" customFormat="1" x14ac:dyDescent="0.25">
      <c r="B339" s="236">
        <v>125</v>
      </c>
      <c r="C339" s="263">
        <f>ROUND(SUMIFS(AN_TME22[[#All],[TOTAL Truncated Unadjusted Claims Expenses (A21 -A19)]], AN_TME22[[#All],[Advanced Network/Insurance Carrier Org ID]],B339, AN_TME22[[#All],[Insurance Category Code]], 1)+SUMIFS(AN_TME22[[#All],[TOTAL Truncated Unadjusted Claims Expenses (A21 -A19)]], AN_TME22[[#All],[Advanced Network/Insurance Carrier Org ID]],B339, AN_TME22[[#All],[Insurance Category Code]], 5),2)</f>
        <v>0</v>
      </c>
      <c r="D339" s="241">
        <f>ROUND(SUMIFS(StandardDeviation22[[#All],[Total Spending After Truncation]], StandardDeviation22[[#All],[Advanced Network/Insurance Carrier Org ID]],B339, StandardDeviation22[[#All],[Market ID]],1),2)</f>
        <v>0</v>
      </c>
      <c r="E339" s="418" t="str">
        <f t="shared" si="31"/>
        <v>TRUE</v>
      </c>
      <c r="F339" s="263">
        <f>ROUND(SUMIFS(AN_TME23[[#All],[TOTAL Truncated Unadjusted Claims Expenses (A21 -A19)]], AN_TME23[[#All],[Advanced Network/Insurance Carrier Org ID]],B339, AN_TME23[[#All],[Insurance Category Code]], 1)+SUMIFS(AN_TME23[[#All],[TOTAL Truncated Unadjusted Claims Expenses (A21 -A19)]], AN_TME23[[#All],[Advanced Network/Insurance Carrier Org ID]],B339, AN_TME23[[#All],[Insurance Category Code]], 5),2)</f>
        <v>0</v>
      </c>
      <c r="G339" s="241">
        <f>ROUND(SUMIFS(StandardDeviation23[[#All],[Total Spending After Truncation]], StandardDeviation23[[#All],[Advanced Network/Insurance Carrier Org ID]],B339, StandardDeviation23[[#All],[Market ID]],1),2)</f>
        <v>0</v>
      </c>
      <c r="H339" s="418" t="str">
        <f t="shared" si="32"/>
        <v>TRUE</v>
      </c>
      <c r="I339"/>
      <c r="J339" s="236">
        <v>125</v>
      </c>
      <c r="K339" s="263">
        <f>ROUND(SUMIFS(AN_TME22[[#All],[TOTAL Truncated Unadjusted Claims Expenses (A21 -A19)]], AN_TME22[[#All],[Advanced Network/Insurance Carrier Org ID]],J339, AN_TME22[[#All],[Insurance Category Code]], 2)+SUMIFS(AN_TME22[[#All],[TOTAL Truncated Unadjusted Claims Expenses (A21 -A19)]], AN_TME22[[#All],[Advanced Network/Insurance Carrier Org ID]],J339, AN_TME22[[#All],[Insurance Category Code]], 6),2)</f>
        <v>0</v>
      </c>
      <c r="L339" s="241">
        <f>ROUND(SUMIFS(StandardDeviation22[[#All],[Total Spending After Truncation]], StandardDeviation22[[#All],[Advanced Network/Insurance Carrier Org ID]],J339, StandardDeviation22[[#All],[Market ID]],2),2)</f>
        <v>0</v>
      </c>
      <c r="M339" s="276" t="str">
        <f t="shared" si="33"/>
        <v>TRUE</v>
      </c>
      <c r="N339" s="263">
        <f>ROUND(SUMIFS(AN_TME23[[#All],[TOTAL Truncated Unadjusted Claims Expenses (A21 -A19)]], AN_TME23[[#All],[Advanced Network/Insurance Carrier Org ID]],J339, AN_TME23[[#All],[Insurance Category Code]], 2)+SUMIFS(AN_TME23[[#All],[TOTAL Truncated Unadjusted Claims Expenses (A21 -A19)]], AN_TME23[[#All],[Advanced Network/Insurance Carrier Org ID]],J339, AN_TME23[[#All],[Insurance Category Code]], 6),2)</f>
        <v>0</v>
      </c>
      <c r="O339" s="241">
        <f>ROUND(SUMIFS(StandardDeviation23[[#All],[Total Spending After Truncation]], StandardDeviation23[[#All],[Advanced Network/Insurance Carrier Org ID]],J339, StandardDeviation23[[#All],[Market ID]],2),2)</f>
        <v>0</v>
      </c>
      <c r="P339" s="276" t="str">
        <f t="shared" si="34"/>
        <v>TRUE</v>
      </c>
      <c r="Q339"/>
      <c r="R339" s="236">
        <v>125</v>
      </c>
      <c r="S339" s="263">
        <f>ROUND(SUMIFS(AN_TME22[[#All],[TOTAL Truncated Unadjusted Claims Expenses (A21 -A19)]], AN_TME22[[#All],[Advanced Network/Insurance Carrier Org ID]],R339, AN_TME22[[#All],[Insurance Category Code]], 3)+SUMIFS(AN_TME22[[#All],[TOTAL Truncated Unadjusted Claims Expenses (A21 -A19)]], AN_TME22[[#All],[Advanced Network/Insurance Carrier Org ID]],R339, AN_TME22[[#All],[Insurance Category Code]], 4),2)</f>
        <v>0</v>
      </c>
      <c r="T339" s="241">
        <f>ROUND(SUMIFS(StandardDeviation22[[#All],[Total Spending After Truncation]], StandardDeviation22[[#All],[Advanced Network/Insurance Carrier Org ID]],R339, StandardDeviation22[[#All],[Market ID]],3),2)</f>
        <v>0</v>
      </c>
      <c r="U339" s="308" t="str">
        <f t="shared" si="35"/>
        <v>TRUE</v>
      </c>
      <c r="V339" s="263">
        <f>ROUND(SUMIFS(AN_TME23[[#All],[TOTAL Truncated Unadjusted Claims Expenses (A21 -A19)]], AN_TME23[[#All],[Advanced Network/Insurance Carrier Org ID]],R339, AN_TME23[[#All],[Insurance Category Code]], 3)+SUMIFS(AN_TME23[[#All],[TOTAL Truncated Unadjusted Claims Expenses (A21 -A19)]], AN_TME23[[#All],[Advanced Network/Insurance Carrier Org ID]],R339, AN_TME23[[#All],[Insurance Category Code]], 4),2)</f>
        <v>0</v>
      </c>
      <c r="W339" s="241">
        <f>ROUND(SUMIFS(StandardDeviation23[[#All],[Total Spending After Truncation]], StandardDeviation23[[#All],[Advanced Network/Insurance Carrier Org ID]],R339, StandardDeviation23[[#All],[Market ID]],3),2)</f>
        <v>0</v>
      </c>
      <c r="X339" s="308" t="str">
        <f t="shared" si="36"/>
        <v>TRUE</v>
      </c>
    </row>
    <row r="340" spans="2:24" x14ac:dyDescent="0.25">
      <c r="B340" s="236">
        <v>126</v>
      </c>
      <c r="C340" s="263">
        <f>ROUND(SUMIFS(AN_TME22[[#All],[TOTAL Truncated Unadjusted Claims Expenses (A21 -A19)]], AN_TME22[[#All],[Advanced Network/Insurance Carrier Org ID]],B340, AN_TME22[[#All],[Insurance Category Code]], 1)+SUMIFS(AN_TME22[[#All],[TOTAL Truncated Unadjusted Claims Expenses (A21 -A19)]], AN_TME22[[#All],[Advanced Network/Insurance Carrier Org ID]],B340, AN_TME22[[#All],[Insurance Category Code]], 5),2)</f>
        <v>0</v>
      </c>
      <c r="D340" s="241">
        <f>ROUND(SUMIFS(StandardDeviation22[[#All],[Total Spending After Truncation]], StandardDeviation22[[#All],[Advanced Network/Insurance Carrier Org ID]],B340, StandardDeviation22[[#All],[Market ID]],1),2)</f>
        <v>0</v>
      </c>
      <c r="E340" s="418" t="str">
        <f t="shared" si="31"/>
        <v>TRUE</v>
      </c>
      <c r="F340" s="263">
        <f>ROUND(SUMIFS(AN_TME23[[#All],[TOTAL Truncated Unadjusted Claims Expenses (A21 -A19)]], AN_TME23[[#All],[Advanced Network/Insurance Carrier Org ID]],B340, AN_TME23[[#All],[Insurance Category Code]], 1)+SUMIFS(AN_TME23[[#All],[TOTAL Truncated Unadjusted Claims Expenses (A21 -A19)]], AN_TME23[[#All],[Advanced Network/Insurance Carrier Org ID]],B340, AN_TME23[[#All],[Insurance Category Code]], 5),2)</f>
        <v>0</v>
      </c>
      <c r="G340" s="241">
        <f>ROUND(SUMIFS(StandardDeviation23[[#All],[Total Spending After Truncation]], StandardDeviation23[[#All],[Advanced Network/Insurance Carrier Org ID]],B340, StandardDeviation23[[#All],[Market ID]],1),2)</f>
        <v>0</v>
      </c>
      <c r="H340" s="418" t="str">
        <f t="shared" si="32"/>
        <v>TRUE</v>
      </c>
      <c r="J340" s="236">
        <v>126</v>
      </c>
      <c r="K340" s="263">
        <f>ROUND(SUMIFS(AN_TME22[[#All],[TOTAL Truncated Unadjusted Claims Expenses (A21 -A19)]], AN_TME22[[#All],[Advanced Network/Insurance Carrier Org ID]],J340, AN_TME22[[#All],[Insurance Category Code]], 2)+SUMIFS(AN_TME22[[#All],[TOTAL Truncated Unadjusted Claims Expenses (A21 -A19)]], AN_TME22[[#All],[Advanced Network/Insurance Carrier Org ID]],J340, AN_TME22[[#All],[Insurance Category Code]], 6),2)</f>
        <v>0</v>
      </c>
      <c r="L340" s="241">
        <f>ROUND(SUMIFS(StandardDeviation22[[#All],[Total Spending After Truncation]], StandardDeviation22[[#All],[Advanced Network/Insurance Carrier Org ID]],J340, StandardDeviation22[[#All],[Market ID]],2),2)</f>
        <v>0</v>
      </c>
      <c r="M340" s="276" t="str">
        <f t="shared" si="33"/>
        <v>TRUE</v>
      </c>
      <c r="N340" s="263">
        <f>ROUND(SUMIFS(AN_TME23[[#All],[TOTAL Truncated Unadjusted Claims Expenses (A21 -A19)]], AN_TME23[[#All],[Advanced Network/Insurance Carrier Org ID]],J340, AN_TME23[[#All],[Insurance Category Code]], 2)+SUMIFS(AN_TME23[[#All],[TOTAL Truncated Unadjusted Claims Expenses (A21 -A19)]], AN_TME23[[#All],[Advanced Network/Insurance Carrier Org ID]],J340, AN_TME23[[#All],[Insurance Category Code]], 6),2)</f>
        <v>0</v>
      </c>
      <c r="O340" s="241">
        <f>ROUND(SUMIFS(StandardDeviation23[[#All],[Total Spending After Truncation]], StandardDeviation23[[#All],[Advanced Network/Insurance Carrier Org ID]],J340, StandardDeviation23[[#All],[Market ID]],2),2)</f>
        <v>0</v>
      </c>
      <c r="P340" s="276" t="str">
        <f t="shared" si="34"/>
        <v>TRUE</v>
      </c>
      <c r="R340" s="236">
        <v>126</v>
      </c>
      <c r="S340" s="263">
        <f>ROUND(SUMIFS(AN_TME22[[#All],[TOTAL Truncated Unadjusted Claims Expenses (A21 -A19)]], AN_TME22[[#All],[Advanced Network/Insurance Carrier Org ID]],R340, AN_TME22[[#All],[Insurance Category Code]], 3)+SUMIFS(AN_TME22[[#All],[TOTAL Truncated Unadjusted Claims Expenses (A21 -A19)]], AN_TME22[[#All],[Advanced Network/Insurance Carrier Org ID]],R340, AN_TME22[[#All],[Insurance Category Code]], 4),2)</f>
        <v>0</v>
      </c>
      <c r="T340" s="241">
        <f>ROUND(SUMIFS(StandardDeviation22[[#All],[Total Spending After Truncation]], StandardDeviation22[[#All],[Advanced Network/Insurance Carrier Org ID]],R340, StandardDeviation22[[#All],[Market ID]],3),2)</f>
        <v>0</v>
      </c>
      <c r="U340" s="308" t="str">
        <f t="shared" si="35"/>
        <v>TRUE</v>
      </c>
      <c r="V340" s="263">
        <f>ROUND(SUMIFS(AN_TME23[[#All],[TOTAL Truncated Unadjusted Claims Expenses (A21 -A19)]], AN_TME23[[#All],[Advanced Network/Insurance Carrier Org ID]],R340, AN_TME23[[#All],[Insurance Category Code]], 3)+SUMIFS(AN_TME23[[#All],[TOTAL Truncated Unadjusted Claims Expenses (A21 -A19)]], AN_TME23[[#All],[Advanced Network/Insurance Carrier Org ID]],R340, AN_TME23[[#All],[Insurance Category Code]], 4),2)</f>
        <v>0</v>
      </c>
      <c r="W340" s="241">
        <f>ROUND(SUMIFS(StandardDeviation23[[#All],[Total Spending After Truncation]], StandardDeviation23[[#All],[Advanced Network/Insurance Carrier Org ID]],R340, StandardDeviation23[[#All],[Market ID]],3),2)</f>
        <v>0</v>
      </c>
      <c r="X340" s="308" t="str">
        <f t="shared" si="36"/>
        <v>TRUE</v>
      </c>
    </row>
    <row r="341" spans="2:24" x14ac:dyDescent="0.25">
      <c r="B341" s="236">
        <v>127</v>
      </c>
      <c r="C341" s="263">
        <f>ROUND(SUMIFS(AN_TME22[[#All],[TOTAL Truncated Unadjusted Claims Expenses (A21 -A19)]], AN_TME22[[#All],[Advanced Network/Insurance Carrier Org ID]],B341, AN_TME22[[#All],[Insurance Category Code]], 1)+SUMIFS(AN_TME22[[#All],[TOTAL Truncated Unadjusted Claims Expenses (A21 -A19)]], AN_TME22[[#All],[Advanced Network/Insurance Carrier Org ID]],B341, AN_TME22[[#All],[Insurance Category Code]], 5),2)</f>
        <v>0</v>
      </c>
      <c r="D341" s="241">
        <f>ROUND(SUMIFS(StandardDeviation22[[#All],[Total Spending After Truncation]], StandardDeviation22[[#All],[Advanced Network/Insurance Carrier Org ID]],B341, StandardDeviation22[[#All],[Market ID]],1),2)</f>
        <v>0</v>
      </c>
      <c r="E341" s="418" t="str">
        <f t="shared" si="31"/>
        <v>TRUE</v>
      </c>
      <c r="F341" s="263">
        <f>ROUND(SUMIFS(AN_TME23[[#All],[TOTAL Truncated Unadjusted Claims Expenses (A21 -A19)]], AN_TME23[[#All],[Advanced Network/Insurance Carrier Org ID]],B341, AN_TME23[[#All],[Insurance Category Code]], 1)+SUMIFS(AN_TME23[[#All],[TOTAL Truncated Unadjusted Claims Expenses (A21 -A19)]], AN_TME23[[#All],[Advanced Network/Insurance Carrier Org ID]],B341, AN_TME23[[#All],[Insurance Category Code]], 5),2)</f>
        <v>0</v>
      </c>
      <c r="G341" s="241">
        <f>ROUND(SUMIFS(StandardDeviation23[[#All],[Total Spending After Truncation]], StandardDeviation23[[#All],[Advanced Network/Insurance Carrier Org ID]],B341, StandardDeviation23[[#All],[Market ID]],1),2)</f>
        <v>0</v>
      </c>
      <c r="H341" s="418" t="str">
        <f t="shared" si="32"/>
        <v>TRUE</v>
      </c>
      <c r="J341" s="236">
        <v>127</v>
      </c>
      <c r="K341" s="263">
        <f>ROUND(SUMIFS(AN_TME22[[#All],[TOTAL Truncated Unadjusted Claims Expenses (A21 -A19)]], AN_TME22[[#All],[Advanced Network/Insurance Carrier Org ID]],J341, AN_TME22[[#All],[Insurance Category Code]], 2)+SUMIFS(AN_TME22[[#All],[TOTAL Truncated Unadjusted Claims Expenses (A21 -A19)]], AN_TME22[[#All],[Advanced Network/Insurance Carrier Org ID]],J341, AN_TME22[[#All],[Insurance Category Code]], 6),2)</f>
        <v>0</v>
      </c>
      <c r="L341" s="241">
        <f>ROUND(SUMIFS(StandardDeviation22[[#All],[Total Spending After Truncation]], StandardDeviation22[[#All],[Advanced Network/Insurance Carrier Org ID]],J341, StandardDeviation22[[#All],[Market ID]],2),2)</f>
        <v>0</v>
      </c>
      <c r="M341" s="276" t="str">
        <f t="shared" si="33"/>
        <v>TRUE</v>
      </c>
      <c r="N341" s="263">
        <f>ROUND(SUMIFS(AN_TME23[[#All],[TOTAL Truncated Unadjusted Claims Expenses (A21 -A19)]], AN_TME23[[#All],[Advanced Network/Insurance Carrier Org ID]],J341, AN_TME23[[#All],[Insurance Category Code]], 2)+SUMIFS(AN_TME23[[#All],[TOTAL Truncated Unadjusted Claims Expenses (A21 -A19)]], AN_TME23[[#All],[Advanced Network/Insurance Carrier Org ID]],J341, AN_TME23[[#All],[Insurance Category Code]], 6),2)</f>
        <v>0</v>
      </c>
      <c r="O341" s="241">
        <f>ROUND(SUMIFS(StandardDeviation23[[#All],[Total Spending After Truncation]], StandardDeviation23[[#All],[Advanced Network/Insurance Carrier Org ID]],J341, StandardDeviation23[[#All],[Market ID]],2),2)</f>
        <v>0</v>
      </c>
      <c r="P341" s="276" t="str">
        <f t="shared" si="34"/>
        <v>TRUE</v>
      </c>
      <c r="R341" s="236">
        <v>127</v>
      </c>
      <c r="S341" s="263">
        <f>ROUND(SUMIFS(AN_TME22[[#All],[TOTAL Truncated Unadjusted Claims Expenses (A21 -A19)]], AN_TME22[[#All],[Advanced Network/Insurance Carrier Org ID]],R341, AN_TME22[[#All],[Insurance Category Code]], 3)+SUMIFS(AN_TME22[[#All],[TOTAL Truncated Unadjusted Claims Expenses (A21 -A19)]], AN_TME22[[#All],[Advanced Network/Insurance Carrier Org ID]],R341, AN_TME22[[#All],[Insurance Category Code]], 4),2)</f>
        <v>0</v>
      </c>
      <c r="T341" s="241">
        <f>ROUND(SUMIFS(StandardDeviation22[[#All],[Total Spending After Truncation]], StandardDeviation22[[#All],[Advanced Network/Insurance Carrier Org ID]],R341, StandardDeviation22[[#All],[Market ID]],3),2)</f>
        <v>0</v>
      </c>
      <c r="U341" s="308" t="str">
        <f t="shared" si="35"/>
        <v>TRUE</v>
      </c>
      <c r="V341" s="263">
        <f>ROUND(SUMIFS(AN_TME23[[#All],[TOTAL Truncated Unadjusted Claims Expenses (A21 -A19)]], AN_TME23[[#All],[Advanced Network/Insurance Carrier Org ID]],R341, AN_TME23[[#All],[Insurance Category Code]], 3)+SUMIFS(AN_TME23[[#All],[TOTAL Truncated Unadjusted Claims Expenses (A21 -A19)]], AN_TME23[[#All],[Advanced Network/Insurance Carrier Org ID]],R341, AN_TME23[[#All],[Insurance Category Code]], 4),2)</f>
        <v>0</v>
      </c>
      <c r="W341" s="241">
        <f>ROUND(SUMIFS(StandardDeviation23[[#All],[Total Spending After Truncation]], StandardDeviation23[[#All],[Advanced Network/Insurance Carrier Org ID]],R341, StandardDeviation23[[#All],[Market ID]],3),2)</f>
        <v>0</v>
      </c>
      <c r="X341" s="308" t="str">
        <f t="shared" si="36"/>
        <v>TRUE</v>
      </c>
    </row>
    <row r="342" spans="2:24" ht="14.45" customHeight="1" x14ac:dyDescent="0.25">
      <c r="B342" s="236">
        <v>128</v>
      </c>
      <c r="C342" s="263">
        <f>ROUND(SUMIFS(AN_TME22[[#All],[TOTAL Truncated Unadjusted Claims Expenses (A21 -A19)]], AN_TME22[[#All],[Advanced Network/Insurance Carrier Org ID]],B342, AN_TME22[[#All],[Insurance Category Code]], 1)+SUMIFS(AN_TME22[[#All],[TOTAL Truncated Unadjusted Claims Expenses (A21 -A19)]], AN_TME22[[#All],[Advanced Network/Insurance Carrier Org ID]],B342, AN_TME22[[#All],[Insurance Category Code]], 5),2)</f>
        <v>0</v>
      </c>
      <c r="D342" s="241">
        <f>ROUND(SUMIFS(StandardDeviation22[[#All],[Total Spending After Truncation]], StandardDeviation22[[#All],[Advanced Network/Insurance Carrier Org ID]],B342, StandardDeviation22[[#All],[Market ID]],1),2)</f>
        <v>0</v>
      </c>
      <c r="E342" s="418" t="str">
        <f t="shared" si="31"/>
        <v>TRUE</v>
      </c>
      <c r="F342" s="263">
        <f>ROUND(SUMIFS(AN_TME23[[#All],[TOTAL Truncated Unadjusted Claims Expenses (A21 -A19)]], AN_TME23[[#All],[Advanced Network/Insurance Carrier Org ID]],B342, AN_TME23[[#All],[Insurance Category Code]], 1)+SUMIFS(AN_TME23[[#All],[TOTAL Truncated Unadjusted Claims Expenses (A21 -A19)]], AN_TME23[[#All],[Advanced Network/Insurance Carrier Org ID]],B342, AN_TME23[[#All],[Insurance Category Code]], 5),2)</f>
        <v>0</v>
      </c>
      <c r="G342" s="241">
        <f>ROUND(SUMIFS(StandardDeviation23[[#All],[Total Spending After Truncation]], StandardDeviation23[[#All],[Advanced Network/Insurance Carrier Org ID]],B342, StandardDeviation23[[#All],[Market ID]],1),2)</f>
        <v>0</v>
      </c>
      <c r="H342" s="418" t="str">
        <f t="shared" si="32"/>
        <v>TRUE</v>
      </c>
      <c r="J342" s="236">
        <v>128</v>
      </c>
      <c r="K342" s="263">
        <f>ROUND(SUMIFS(AN_TME22[[#All],[TOTAL Truncated Unadjusted Claims Expenses (A21 -A19)]], AN_TME22[[#All],[Advanced Network/Insurance Carrier Org ID]],J342, AN_TME22[[#All],[Insurance Category Code]], 2)+SUMIFS(AN_TME22[[#All],[TOTAL Truncated Unadjusted Claims Expenses (A21 -A19)]], AN_TME22[[#All],[Advanced Network/Insurance Carrier Org ID]],J342, AN_TME22[[#All],[Insurance Category Code]], 6),2)</f>
        <v>0</v>
      </c>
      <c r="L342" s="241">
        <f>ROUND(SUMIFS(StandardDeviation22[[#All],[Total Spending After Truncation]], StandardDeviation22[[#All],[Advanced Network/Insurance Carrier Org ID]],J342, StandardDeviation22[[#All],[Market ID]],2),2)</f>
        <v>0</v>
      </c>
      <c r="M342" s="276" t="str">
        <f t="shared" si="33"/>
        <v>TRUE</v>
      </c>
      <c r="N342" s="263">
        <f>ROUND(SUMIFS(AN_TME23[[#All],[TOTAL Truncated Unadjusted Claims Expenses (A21 -A19)]], AN_TME23[[#All],[Advanced Network/Insurance Carrier Org ID]],J342, AN_TME23[[#All],[Insurance Category Code]], 2)+SUMIFS(AN_TME23[[#All],[TOTAL Truncated Unadjusted Claims Expenses (A21 -A19)]], AN_TME23[[#All],[Advanced Network/Insurance Carrier Org ID]],J342, AN_TME23[[#All],[Insurance Category Code]], 6),2)</f>
        <v>0</v>
      </c>
      <c r="O342" s="241">
        <f>ROUND(SUMIFS(StandardDeviation23[[#All],[Total Spending After Truncation]], StandardDeviation23[[#All],[Advanced Network/Insurance Carrier Org ID]],J342, StandardDeviation23[[#All],[Market ID]],2),2)</f>
        <v>0</v>
      </c>
      <c r="P342" s="276" t="str">
        <f t="shared" si="34"/>
        <v>TRUE</v>
      </c>
      <c r="R342" s="236">
        <v>128</v>
      </c>
      <c r="S342" s="263">
        <f>ROUND(SUMIFS(AN_TME22[[#All],[TOTAL Truncated Unadjusted Claims Expenses (A21 -A19)]], AN_TME22[[#All],[Advanced Network/Insurance Carrier Org ID]],R342, AN_TME22[[#All],[Insurance Category Code]], 3)+SUMIFS(AN_TME22[[#All],[TOTAL Truncated Unadjusted Claims Expenses (A21 -A19)]], AN_TME22[[#All],[Advanced Network/Insurance Carrier Org ID]],R342, AN_TME22[[#All],[Insurance Category Code]], 4),2)</f>
        <v>0</v>
      </c>
      <c r="T342" s="241">
        <f>ROUND(SUMIFS(StandardDeviation22[[#All],[Total Spending After Truncation]], StandardDeviation22[[#All],[Advanced Network/Insurance Carrier Org ID]],R342, StandardDeviation22[[#All],[Market ID]],3),2)</f>
        <v>0</v>
      </c>
      <c r="U342" s="308" t="str">
        <f t="shared" si="35"/>
        <v>TRUE</v>
      </c>
      <c r="V342" s="263">
        <f>ROUND(SUMIFS(AN_TME23[[#All],[TOTAL Truncated Unadjusted Claims Expenses (A21 -A19)]], AN_TME23[[#All],[Advanced Network/Insurance Carrier Org ID]],R342, AN_TME23[[#All],[Insurance Category Code]], 3)+SUMIFS(AN_TME23[[#All],[TOTAL Truncated Unadjusted Claims Expenses (A21 -A19)]], AN_TME23[[#All],[Advanced Network/Insurance Carrier Org ID]],R342, AN_TME23[[#All],[Insurance Category Code]], 4),2)</f>
        <v>0</v>
      </c>
      <c r="W342" s="241">
        <f>ROUND(SUMIFS(StandardDeviation23[[#All],[Total Spending After Truncation]], StandardDeviation23[[#All],[Advanced Network/Insurance Carrier Org ID]],R342, StandardDeviation23[[#All],[Market ID]],3),2)</f>
        <v>0</v>
      </c>
      <c r="X342" s="308" t="str">
        <f t="shared" si="36"/>
        <v>TRUE</v>
      </c>
    </row>
    <row r="343" spans="2:24" x14ac:dyDescent="0.25">
      <c r="B343" s="236">
        <v>129</v>
      </c>
      <c r="C343" s="263">
        <f>ROUND(SUMIFS(AN_TME22[[#All],[TOTAL Truncated Unadjusted Claims Expenses (A21 -A19)]], AN_TME22[[#All],[Advanced Network/Insurance Carrier Org ID]],B343, AN_TME22[[#All],[Insurance Category Code]], 1)+SUMIFS(AN_TME22[[#All],[TOTAL Truncated Unadjusted Claims Expenses (A21 -A19)]], AN_TME22[[#All],[Advanced Network/Insurance Carrier Org ID]],B343, AN_TME22[[#All],[Insurance Category Code]], 5),2)</f>
        <v>0</v>
      </c>
      <c r="D343" s="241">
        <f>ROUND(SUMIFS(StandardDeviation22[[#All],[Total Spending After Truncation]], StandardDeviation22[[#All],[Advanced Network/Insurance Carrier Org ID]],B343, StandardDeviation22[[#All],[Market ID]],1),2)</f>
        <v>0</v>
      </c>
      <c r="E343" s="418" t="str">
        <f t="shared" si="31"/>
        <v>TRUE</v>
      </c>
      <c r="F343" s="263">
        <f>ROUND(SUMIFS(AN_TME23[[#All],[TOTAL Truncated Unadjusted Claims Expenses (A21 -A19)]], AN_TME23[[#All],[Advanced Network/Insurance Carrier Org ID]],B343, AN_TME23[[#All],[Insurance Category Code]], 1)+SUMIFS(AN_TME23[[#All],[TOTAL Truncated Unadjusted Claims Expenses (A21 -A19)]], AN_TME23[[#All],[Advanced Network/Insurance Carrier Org ID]],B343, AN_TME23[[#All],[Insurance Category Code]], 5),2)</f>
        <v>0</v>
      </c>
      <c r="G343" s="241">
        <f>ROUND(SUMIFS(StandardDeviation23[[#All],[Total Spending After Truncation]], StandardDeviation23[[#All],[Advanced Network/Insurance Carrier Org ID]],B343, StandardDeviation23[[#All],[Market ID]],1),2)</f>
        <v>0</v>
      </c>
      <c r="H343" s="418" t="str">
        <f t="shared" si="32"/>
        <v>TRUE</v>
      </c>
      <c r="J343" s="236">
        <v>129</v>
      </c>
      <c r="K343" s="263">
        <f>ROUND(SUMIFS(AN_TME22[[#All],[TOTAL Truncated Unadjusted Claims Expenses (A21 -A19)]], AN_TME22[[#All],[Advanced Network/Insurance Carrier Org ID]],J343, AN_TME22[[#All],[Insurance Category Code]], 2)+SUMIFS(AN_TME22[[#All],[TOTAL Truncated Unadjusted Claims Expenses (A21 -A19)]], AN_TME22[[#All],[Advanced Network/Insurance Carrier Org ID]],J343, AN_TME22[[#All],[Insurance Category Code]], 6),2)</f>
        <v>0</v>
      </c>
      <c r="L343" s="241">
        <f>ROUND(SUMIFS(StandardDeviation22[[#All],[Total Spending After Truncation]], StandardDeviation22[[#All],[Advanced Network/Insurance Carrier Org ID]],J343, StandardDeviation22[[#All],[Market ID]],2),2)</f>
        <v>0</v>
      </c>
      <c r="M343" s="276" t="str">
        <f t="shared" si="33"/>
        <v>TRUE</v>
      </c>
      <c r="N343" s="263">
        <f>ROUND(SUMIFS(AN_TME23[[#All],[TOTAL Truncated Unadjusted Claims Expenses (A21 -A19)]], AN_TME23[[#All],[Advanced Network/Insurance Carrier Org ID]],J343, AN_TME23[[#All],[Insurance Category Code]], 2)+SUMIFS(AN_TME23[[#All],[TOTAL Truncated Unadjusted Claims Expenses (A21 -A19)]], AN_TME23[[#All],[Advanced Network/Insurance Carrier Org ID]],J343, AN_TME23[[#All],[Insurance Category Code]], 6),2)</f>
        <v>0</v>
      </c>
      <c r="O343" s="241">
        <f>ROUND(SUMIFS(StandardDeviation23[[#All],[Total Spending After Truncation]], StandardDeviation23[[#All],[Advanced Network/Insurance Carrier Org ID]],J343, StandardDeviation23[[#All],[Market ID]],2),2)</f>
        <v>0</v>
      </c>
      <c r="P343" s="276" t="str">
        <f t="shared" si="34"/>
        <v>TRUE</v>
      </c>
      <c r="R343" s="236">
        <v>129</v>
      </c>
      <c r="S343" s="263">
        <f>ROUND(SUMIFS(AN_TME22[[#All],[TOTAL Truncated Unadjusted Claims Expenses (A21 -A19)]], AN_TME22[[#All],[Advanced Network/Insurance Carrier Org ID]],R343, AN_TME22[[#All],[Insurance Category Code]], 3)+SUMIFS(AN_TME22[[#All],[TOTAL Truncated Unadjusted Claims Expenses (A21 -A19)]], AN_TME22[[#All],[Advanced Network/Insurance Carrier Org ID]],R343, AN_TME22[[#All],[Insurance Category Code]], 4),2)</f>
        <v>0</v>
      </c>
      <c r="T343" s="241">
        <f>ROUND(SUMIFS(StandardDeviation22[[#All],[Total Spending After Truncation]], StandardDeviation22[[#All],[Advanced Network/Insurance Carrier Org ID]],R343, StandardDeviation22[[#All],[Market ID]],3),2)</f>
        <v>0</v>
      </c>
      <c r="U343" s="308" t="str">
        <f t="shared" si="35"/>
        <v>TRUE</v>
      </c>
      <c r="V343" s="263">
        <f>ROUND(SUMIFS(AN_TME23[[#All],[TOTAL Truncated Unadjusted Claims Expenses (A21 -A19)]], AN_TME23[[#All],[Advanced Network/Insurance Carrier Org ID]],R343, AN_TME23[[#All],[Insurance Category Code]], 3)+SUMIFS(AN_TME23[[#All],[TOTAL Truncated Unadjusted Claims Expenses (A21 -A19)]], AN_TME23[[#All],[Advanced Network/Insurance Carrier Org ID]],R343, AN_TME23[[#All],[Insurance Category Code]], 4),2)</f>
        <v>0</v>
      </c>
      <c r="W343" s="241">
        <f>ROUND(SUMIFS(StandardDeviation23[[#All],[Total Spending After Truncation]], StandardDeviation23[[#All],[Advanced Network/Insurance Carrier Org ID]],R343, StandardDeviation23[[#All],[Market ID]],3),2)</f>
        <v>0</v>
      </c>
      <c r="X343" s="308" t="str">
        <f t="shared" si="36"/>
        <v>TRUE</v>
      </c>
    </row>
    <row r="344" spans="2:24" x14ac:dyDescent="0.25">
      <c r="B344" s="236">
        <v>130</v>
      </c>
      <c r="C344" s="263">
        <f>ROUND(SUMIFS(AN_TME22[[#All],[TOTAL Truncated Unadjusted Claims Expenses (A21 -A19)]], AN_TME22[[#All],[Advanced Network/Insurance Carrier Org ID]],B344, AN_TME22[[#All],[Insurance Category Code]], 1)+SUMIFS(AN_TME22[[#All],[TOTAL Truncated Unadjusted Claims Expenses (A21 -A19)]], AN_TME22[[#All],[Advanced Network/Insurance Carrier Org ID]],B344, AN_TME22[[#All],[Insurance Category Code]], 5),2)</f>
        <v>0</v>
      </c>
      <c r="D344" s="241">
        <f>ROUND(SUMIFS(StandardDeviation22[[#All],[Total Spending After Truncation]], StandardDeviation22[[#All],[Advanced Network/Insurance Carrier Org ID]],B344, StandardDeviation22[[#All],[Market ID]],1),2)</f>
        <v>0</v>
      </c>
      <c r="E344" s="418" t="str">
        <f t="shared" si="31"/>
        <v>TRUE</v>
      </c>
      <c r="F344" s="263">
        <f>ROUND(SUMIFS(AN_TME23[[#All],[TOTAL Truncated Unadjusted Claims Expenses (A21 -A19)]], AN_TME23[[#All],[Advanced Network/Insurance Carrier Org ID]],B344, AN_TME23[[#All],[Insurance Category Code]], 1)+SUMIFS(AN_TME23[[#All],[TOTAL Truncated Unadjusted Claims Expenses (A21 -A19)]], AN_TME23[[#All],[Advanced Network/Insurance Carrier Org ID]],B344, AN_TME23[[#All],[Insurance Category Code]], 5),2)</f>
        <v>0</v>
      </c>
      <c r="G344" s="241">
        <f>ROUND(SUMIFS(StandardDeviation23[[#All],[Total Spending After Truncation]], StandardDeviation23[[#All],[Advanced Network/Insurance Carrier Org ID]],B344, StandardDeviation23[[#All],[Market ID]],1),2)</f>
        <v>0</v>
      </c>
      <c r="H344" s="418" t="str">
        <f t="shared" si="32"/>
        <v>TRUE</v>
      </c>
      <c r="J344" s="236">
        <v>130</v>
      </c>
      <c r="K344" s="263">
        <f>ROUND(SUMIFS(AN_TME22[[#All],[TOTAL Truncated Unadjusted Claims Expenses (A21 -A19)]], AN_TME22[[#All],[Advanced Network/Insurance Carrier Org ID]],J344, AN_TME22[[#All],[Insurance Category Code]], 2)+SUMIFS(AN_TME22[[#All],[TOTAL Truncated Unadjusted Claims Expenses (A21 -A19)]], AN_TME22[[#All],[Advanced Network/Insurance Carrier Org ID]],J344, AN_TME22[[#All],[Insurance Category Code]], 6),2)</f>
        <v>0</v>
      </c>
      <c r="L344" s="241">
        <f>ROUND(SUMIFS(StandardDeviation22[[#All],[Total Spending After Truncation]], StandardDeviation22[[#All],[Advanced Network/Insurance Carrier Org ID]],J344, StandardDeviation22[[#All],[Market ID]],2),2)</f>
        <v>0</v>
      </c>
      <c r="M344" s="276" t="str">
        <f t="shared" si="33"/>
        <v>TRUE</v>
      </c>
      <c r="N344" s="263">
        <f>ROUND(SUMIFS(AN_TME23[[#All],[TOTAL Truncated Unadjusted Claims Expenses (A21 -A19)]], AN_TME23[[#All],[Advanced Network/Insurance Carrier Org ID]],J344, AN_TME23[[#All],[Insurance Category Code]], 2)+SUMIFS(AN_TME23[[#All],[TOTAL Truncated Unadjusted Claims Expenses (A21 -A19)]], AN_TME23[[#All],[Advanced Network/Insurance Carrier Org ID]],J344, AN_TME23[[#All],[Insurance Category Code]], 6),2)</f>
        <v>0</v>
      </c>
      <c r="O344" s="241">
        <f>ROUND(SUMIFS(StandardDeviation23[[#All],[Total Spending After Truncation]], StandardDeviation23[[#All],[Advanced Network/Insurance Carrier Org ID]],J344, StandardDeviation23[[#All],[Market ID]],2),2)</f>
        <v>0</v>
      </c>
      <c r="P344" s="276" t="str">
        <f t="shared" si="34"/>
        <v>TRUE</v>
      </c>
      <c r="R344" s="236">
        <v>130</v>
      </c>
      <c r="S344" s="263">
        <f>ROUND(SUMIFS(AN_TME22[[#All],[TOTAL Truncated Unadjusted Claims Expenses (A21 -A19)]], AN_TME22[[#All],[Advanced Network/Insurance Carrier Org ID]],R344, AN_TME22[[#All],[Insurance Category Code]], 3)+SUMIFS(AN_TME22[[#All],[TOTAL Truncated Unadjusted Claims Expenses (A21 -A19)]], AN_TME22[[#All],[Advanced Network/Insurance Carrier Org ID]],R344, AN_TME22[[#All],[Insurance Category Code]], 4),2)</f>
        <v>0</v>
      </c>
      <c r="T344" s="241">
        <f>ROUND(SUMIFS(StandardDeviation22[[#All],[Total Spending After Truncation]], StandardDeviation22[[#All],[Advanced Network/Insurance Carrier Org ID]],R344, StandardDeviation22[[#All],[Market ID]],3),2)</f>
        <v>0</v>
      </c>
      <c r="U344" s="308" t="str">
        <f t="shared" si="35"/>
        <v>TRUE</v>
      </c>
      <c r="V344" s="263">
        <f>ROUND(SUMIFS(AN_TME23[[#All],[TOTAL Truncated Unadjusted Claims Expenses (A21 -A19)]], AN_TME23[[#All],[Advanced Network/Insurance Carrier Org ID]],R344, AN_TME23[[#All],[Insurance Category Code]], 3)+SUMIFS(AN_TME23[[#All],[TOTAL Truncated Unadjusted Claims Expenses (A21 -A19)]], AN_TME23[[#All],[Advanced Network/Insurance Carrier Org ID]],R344, AN_TME23[[#All],[Insurance Category Code]], 4),2)</f>
        <v>0</v>
      </c>
      <c r="W344" s="241">
        <f>ROUND(SUMIFS(StandardDeviation23[[#All],[Total Spending After Truncation]], StandardDeviation23[[#All],[Advanced Network/Insurance Carrier Org ID]],R344, StandardDeviation23[[#All],[Market ID]],3),2)</f>
        <v>0</v>
      </c>
      <c r="X344" s="308" t="str">
        <f t="shared" si="36"/>
        <v>TRUE</v>
      </c>
    </row>
    <row r="345" spans="2:24" x14ac:dyDescent="0.25">
      <c r="B345" s="236">
        <v>131</v>
      </c>
      <c r="C345" s="263">
        <f>ROUND(SUMIFS(AN_TME22[[#All],[TOTAL Truncated Unadjusted Claims Expenses (A21 -A19)]], AN_TME22[[#All],[Advanced Network/Insurance Carrier Org ID]],B345, AN_TME22[[#All],[Insurance Category Code]], 1)+SUMIFS(AN_TME22[[#All],[TOTAL Truncated Unadjusted Claims Expenses (A21 -A19)]], AN_TME22[[#All],[Advanced Network/Insurance Carrier Org ID]],B345, AN_TME22[[#All],[Insurance Category Code]], 5),2)</f>
        <v>0</v>
      </c>
      <c r="D345" s="241">
        <f>ROUND(SUMIFS(StandardDeviation22[[#All],[Total Spending After Truncation]], StandardDeviation22[[#All],[Advanced Network/Insurance Carrier Org ID]],B345, StandardDeviation22[[#All],[Market ID]],1),2)</f>
        <v>0</v>
      </c>
      <c r="E345" s="418" t="str">
        <f t="shared" si="31"/>
        <v>TRUE</v>
      </c>
      <c r="F345" s="263">
        <f>ROUND(SUMIFS(AN_TME23[[#All],[TOTAL Truncated Unadjusted Claims Expenses (A21 -A19)]], AN_TME23[[#All],[Advanced Network/Insurance Carrier Org ID]],B345, AN_TME23[[#All],[Insurance Category Code]], 1)+SUMIFS(AN_TME23[[#All],[TOTAL Truncated Unadjusted Claims Expenses (A21 -A19)]], AN_TME23[[#All],[Advanced Network/Insurance Carrier Org ID]],B345, AN_TME23[[#All],[Insurance Category Code]], 5),2)</f>
        <v>0</v>
      </c>
      <c r="G345" s="241">
        <f>ROUND(SUMIFS(StandardDeviation23[[#All],[Total Spending After Truncation]], StandardDeviation23[[#All],[Advanced Network/Insurance Carrier Org ID]],B345, StandardDeviation23[[#All],[Market ID]],1),2)</f>
        <v>0</v>
      </c>
      <c r="H345" s="418" t="str">
        <f t="shared" si="32"/>
        <v>TRUE</v>
      </c>
      <c r="J345" s="236">
        <v>131</v>
      </c>
      <c r="K345" s="263">
        <f>ROUND(SUMIFS(AN_TME22[[#All],[TOTAL Truncated Unadjusted Claims Expenses (A21 -A19)]], AN_TME22[[#All],[Advanced Network/Insurance Carrier Org ID]],J345, AN_TME22[[#All],[Insurance Category Code]], 2)+SUMIFS(AN_TME22[[#All],[TOTAL Truncated Unadjusted Claims Expenses (A21 -A19)]], AN_TME22[[#All],[Advanced Network/Insurance Carrier Org ID]],J345, AN_TME22[[#All],[Insurance Category Code]], 6),2)</f>
        <v>0</v>
      </c>
      <c r="L345" s="241">
        <f>ROUND(SUMIFS(StandardDeviation22[[#All],[Total Spending After Truncation]], StandardDeviation22[[#All],[Advanced Network/Insurance Carrier Org ID]],J345, StandardDeviation22[[#All],[Market ID]],2),2)</f>
        <v>0</v>
      </c>
      <c r="M345" s="276" t="str">
        <f t="shared" si="33"/>
        <v>TRUE</v>
      </c>
      <c r="N345" s="263">
        <f>ROUND(SUMIFS(AN_TME23[[#All],[TOTAL Truncated Unadjusted Claims Expenses (A21 -A19)]], AN_TME23[[#All],[Advanced Network/Insurance Carrier Org ID]],J345, AN_TME23[[#All],[Insurance Category Code]], 2)+SUMIFS(AN_TME23[[#All],[TOTAL Truncated Unadjusted Claims Expenses (A21 -A19)]], AN_TME23[[#All],[Advanced Network/Insurance Carrier Org ID]],J345, AN_TME23[[#All],[Insurance Category Code]], 6),2)</f>
        <v>0</v>
      </c>
      <c r="O345" s="241">
        <f>ROUND(SUMIFS(StandardDeviation23[[#All],[Total Spending After Truncation]], StandardDeviation23[[#All],[Advanced Network/Insurance Carrier Org ID]],J345, StandardDeviation23[[#All],[Market ID]],2),2)</f>
        <v>0</v>
      </c>
      <c r="P345" s="276" t="str">
        <f t="shared" si="34"/>
        <v>TRUE</v>
      </c>
      <c r="R345" s="236">
        <v>131</v>
      </c>
      <c r="S345" s="263">
        <f>ROUND(SUMIFS(AN_TME22[[#All],[TOTAL Truncated Unadjusted Claims Expenses (A21 -A19)]], AN_TME22[[#All],[Advanced Network/Insurance Carrier Org ID]],R345, AN_TME22[[#All],[Insurance Category Code]], 3)+SUMIFS(AN_TME22[[#All],[TOTAL Truncated Unadjusted Claims Expenses (A21 -A19)]], AN_TME22[[#All],[Advanced Network/Insurance Carrier Org ID]],R345, AN_TME22[[#All],[Insurance Category Code]], 4),2)</f>
        <v>0</v>
      </c>
      <c r="T345" s="241">
        <f>ROUND(SUMIFS(StandardDeviation22[[#All],[Total Spending After Truncation]], StandardDeviation22[[#All],[Advanced Network/Insurance Carrier Org ID]],R345, StandardDeviation22[[#All],[Market ID]],3),2)</f>
        <v>0</v>
      </c>
      <c r="U345" s="308" t="str">
        <f t="shared" si="35"/>
        <v>TRUE</v>
      </c>
      <c r="V345" s="263">
        <f>ROUND(SUMIFS(AN_TME23[[#All],[TOTAL Truncated Unadjusted Claims Expenses (A21 -A19)]], AN_TME23[[#All],[Advanced Network/Insurance Carrier Org ID]],R345, AN_TME23[[#All],[Insurance Category Code]], 3)+SUMIFS(AN_TME23[[#All],[TOTAL Truncated Unadjusted Claims Expenses (A21 -A19)]], AN_TME23[[#All],[Advanced Network/Insurance Carrier Org ID]],R345, AN_TME23[[#All],[Insurance Category Code]], 4),2)</f>
        <v>0</v>
      </c>
      <c r="W345" s="241">
        <f>ROUND(SUMIFS(StandardDeviation23[[#All],[Total Spending After Truncation]], StandardDeviation23[[#All],[Advanced Network/Insurance Carrier Org ID]],R345, StandardDeviation23[[#All],[Market ID]],3),2)</f>
        <v>0</v>
      </c>
      <c r="X345" s="308" t="str">
        <f t="shared" si="36"/>
        <v>TRUE</v>
      </c>
    </row>
    <row r="346" spans="2:24" ht="15.75" thickBot="1" x14ac:dyDescent="0.3">
      <c r="B346" s="237">
        <v>999</v>
      </c>
      <c r="C346" s="264">
        <f>ROUND(SUMIFS(AN_TME22[[#All],[TOTAL Truncated Unadjusted Claims Expenses (A21 -A19)]], AN_TME22[[#All],[Advanced Network/Insurance Carrier Org ID]],B346, AN_TME22[[#All],[Insurance Category Code]], 1)+SUMIFS(AN_TME22[[#All],[TOTAL Truncated Unadjusted Claims Expenses (A21 -A19)]], AN_TME22[[#All],[Advanced Network/Insurance Carrier Org ID]],B346, AN_TME22[[#All],[Insurance Category Code]], 5),2)</f>
        <v>0</v>
      </c>
      <c r="D346" s="242">
        <f>ROUND(SUMIFS(StandardDeviation22[[#All],[Total Spending After Truncation]], StandardDeviation22[[#All],[Advanced Network/Insurance Carrier Org ID]],B346, StandardDeviation22[[#All],[Market ID]],1),2)</f>
        <v>0</v>
      </c>
      <c r="E346" s="419" t="str">
        <f t="shared" si="31"/>
        <v>TRUE</v>
      </c>
      <c r="F346" s="264">
        <f>ROUND(SUMIFS(AN_TME23[[#All],[TOTAL Truncated Unadjusted Claims Expenses (A21 -A19)]], AN_TME23[[#All],[Advanced Network/Insurance Carrier Org ID]],B346, AN_TME23[[#All],[Insurance Category Code]], 1)+SUMIFS(AN_TME23[[#All],[TOTAL Truncated Unadjusted Claims Expenses (A21 -A19)]], AN_TME23[[#All],[Advanced Network/Insurance Carrier Org ID]],B346, AN_TME23[[#All],[Insurance Category Code]], 5),2)</f>
        <v>0</v>
      </c>
      <c r="G346" s="242">
        <f>ROUND(SUMIFS(StandardDeviation23[[#All],[Total Spending After Truncation]], StandardDeviation23[[#All],[Advanced Network/Insurance Carrier Org ID]],B346, StandardDeviation23[[#All],[Market ID]],1),2)</f>
        <v>0</v>
      </c>
      <c r="H346" s="419" t="str">
        <f t="shared" si="32"/>
        <v>TRUE</v>
      </c>
      <c r="J346" s="237">
        <v>999</v>
      </c>
      <c r="K346" s="264">
        <f>ROUND(SUMIFS(AN_TME22[[#All],[TOTAL Truncated Unadjusted Claims Expenses (A21 -A19)]], AN_TME22[[#All],[Advanced Network/Insurance Carrier Org ID]],J346, AN_TME22[[#All],[Insurance Category Code]], 2)+SUMIFS(AN_TME22[[#All],[TOTAL Truncated Unadjusted Claims Expenses (A21 -A19)]], AN_TME22[[#All],[Advanced Network/Insurance Carrier Org ID]],J346, AN_TME22[[#All],[Insurance Category Code]], 6),2)</f>
        <v>0</v>
      </c>
      <c r="L346" s="242">
        <f>ROUND(SUMIFS(StandardDeviation22[[#All],[Total Spending After Truncation]], StandardDeviation22[[#All],[Advanced Network/Insurance Carrier Org ID]],J346, StandardDeviation22[[#All],[Market ID]],2),2)</f>
        <v>0</v>
      </c>
      <c r="M346" s="277" t="str">
        <f t="shared" si="33"/>
        <v>TRUE</v>
      </c>
      <c r="N346" s="264">
        <f>ROUND(SUMIFS(AN_TME23[[#All],[TOTAL Truncated Unadjusted Claims Expenses (A21 -A19)]], AN_TME23[[#All],[Advanced Network/Insurance Carrier Org ID]],J346, AN_TME23[[#All],[Insurance Category Code]], 2)+SUMIFS(AN_TME23[[#All],[TOTAL Truncated Unadjusted Claims Expenses (A21 -A19)]], AN_TME23[[#All],[Advanced Network/Insurance Carrier Org ID]],J346, AN_TME23[[#All],[Insurance Category Code]], 6),2)</f>
        <v>0</v>
      </c>
      <c r="O346" s="242">
        <f>ROUND(SUMIFS(StandardDeviation23[[#All],[Total Spending After Truncation]], StandardDeviation23[[#All],[Advanced Network/Insurance Carrier Org ID]],J346, StandardDeviation23[[#All],[Market ID]],2),2)</f>
        <v>0</v>
      </c>
      <c r="P346" s="277" t="str">
        <f t="shared" si="34"/>
        <v>TRUE</v>
      </c>
      <c r="R346" s="237">
        <v>999</v>
      </c>
      <c r="S346" s="264">
        <f>ROUND(SUMIFS(AN_TME22[[#All],[TOTAL Truncated Unadjusted Claims Expenses (A21 -A19)]], AN_TME22[[#All],[Advanced Network/Insurance Carrier Org ID]],R346, AN_TME22[[#All],[Insurance Category Code]], 3)+SUMIFS(AN_TME22[[#All],[TOTAL Truncated Unadjusted Claims Expenses (A21 -A19)]], AN_TME22[[#All],[Advanced Network/Insurance Carrier Org ID]],R346, AN_TME22[[#All],[Insurance Category Code]], 4),2)</f>
        <v>0</v>
      </c>
      <c r="T346" s="242">
        <f>ROUND(SUMIFS(StandardDeviation22[[#All],[Total Spending After Truncation]], StandardDeviation22[[#All],[Advanced Network/Insurance Carrier Org ID]],R346, StandardDeviation22[[#All],[Market ID]],3),2)</f>
        <v>0</v>
      </c>
      <c r="U346" s="309" t="str">
        <f t="shared" si="35"/>
        <v>TRUE</v>
      </c>
      <c r="V346" s="264">
        <f>ROUND(SUMIFS(AN_TME23[[#All],[TOTAL Truncated Unadjusted Claims Expenses (A21 -A19)]], AN_TME23[[#All],[Advanced Network/Insurance Carrier Org ID]],R346, AN_TME23[[#All],[Insurance Category Code]], 3)+SUMIFS(AN_TME23[[#All],[TOTAL Truncated Unadjusted Claims Expenses (A21 -A19)]], AN_TME23[[#All],[Advanced Network/Insurance Carrier Org ID]],R346, AN_TME23[[#All],[Insurance Category Code]], 4),2)</f>
        <v>0</v>
      </c>
      <c r="W346" s="242">
        <f>ROUND(SUMIFS(StandardDeviation23[[#All],[Total Spending After Truncation]], StandardDeviation23[[#All],[Advanced Network/Insurance Carrier Org ID]],R346, StandardDeviation23[[#All],[Market ID]],3),2)</f>
        <v>0</v>
      </c>
      <c r="X346" s="309" t="str">
        <f t="shared" si="36"/>
        <v>TRUE</v>
      </c>
    </row>
    <row r="347" spans="2:24" x14ac:dyDescent="0.25">
      <c r="O347" s="2"/>
      <c r="R347" s="2"/>
    </row>
    <row r="348" spans="2:24" x14ac:dyDescent="0.25">
      <c r="B348" s="363" t="s">
        <v>366</v>
      </c>
    </row>
    <row r="350" spans="2:24" ht="18.75" x14ac:dyDescent="0.3">
      <c r="B350" s="279" t="s">
        <v>400</v>
      </c>
    </row>
    <row r="351" spans="2:24" x14ac:dyDescent="0.25">
      <c r="B351" s="27" t="s">
        <v>393</v>
      </c>
    </row>
    <row r="352" spans="2:24" ht="45" x14ac:dyDescent="0.25">
      <c r="B352" s="33" t="s">
        <v>61</v>
      </c>
      <c r="C352" s="33" t="s">
        <v>394</v>
      </c>
      <c r="D352" s="33" t="s">
        <v>102</v>
      </c>
      <c r="E352" s="33" t="s">
        <v>104</v>
      </c>
      <c r="F352" s="33" t="s">
        <v>106</v>
      </c>
      <c r="G352" s="33" t="s">
        <v>107</v>
      </c>
      <c r="H352" s="33" t="s">
        <v>108</v>
      </c>
      <c r="I352" s="33" t="s">
        <v>109</v>
      </c>
      <c r="J352" s="33" t="s">
        <v>111</v>
      </c>
      <c r="K352" s="33" t="s">
        <v>113</v>
      </c>
      <c r="L352" s="33" t="s">
        <v>115</v>
      </c>
      <c r="M352" s="33" t="s">
        <v>395</v>
      </c>
      <c r="N352" s="341" t="s">
        <v>396</v>
      </c>
      <c r="O352" s="341" t="s">
        <v>397</v>
      </c>
      <c r="P352" s="341" t="s">
        <v>398</v>
      </c>
    </row>
    <row r="353" spans="2:16" x14ac:dyDescent="0.25">
      <c r="B353" s="4">
        <v>1</v>
      </c>
      <c r="C353" s="55" t="str">
        <f>IF(C71&lt;&gt;0,SUMIFS(AN_TME22[[#All],[TOTAL Non-Truncated Unadjusted Expenses (A21 + A23)]], AN_TME22[[#All],[Insurance Category Code]], B353, AN_TME22[[#All],[Advanced Network/Insurance Carrier Org ID]],100)/C71,"NA")</f>
        <v>NA</v>
      </c>
      <c r="D353" s="56" t="str">
        <f>IF(C71&lt;&gt;0,SUMIFS(AN_TME22[[#All],[Claims: Hospital Inpatient]], AN_TME22[[#All],[Insurance Category Code]], B353, AN_TME22[[#All],[Advanced Network/Insurance Carrier Org ID]],100)/C71,"NA")</f>
        <v>NA</v>
      </c>
      <c r="E353" s="56" t="str">
        <f>IF(C71&lt;&gt;0,SUMIFS(AN_TME22[[#All],[Claims: Hospital Outpatient]], AN_TME22[[#All],[Insurance Category Code]], B353, AN_TME22[[#All],[Advanced Network/Insurance Carrier Org ID]],100)/C71,"NA")</f>
        <v>NA</v>
      </c>
      <c r="F353" s="56" t="str">
        <f>IF(C71&lt;&gt;0,SUMIFS(AN_TME22[[#All],[Claims: Professional, Primary Care]], AN_TME22[[#All],[Insurance Category Code]], B353, AN_TME22[[#All],[Advanced Network/Insurance Carrier Org ID]],100)/C71,"NA")</f>
        <v>NA</v>
      </c>
      <c r="G353" s="56" t="str">
        <f>IF(C71&lt;&gt;0,SUMIFS(AN_TME22[[#All],[Claims: Professional, Primary Care (for Monitoring Purposes)]], AN_TME22[[#All],[Insurance Category Code]], B353, AN_TME22[[#All],[Advanced Network/Insurance Carrier Org ID]],100)/C71,"NA")</f>
        <v>NA</v>
      </c>
      <c r="H353" s="56" t="str">
        <f>IF(C71&lt;&gt;0,SUMIFS(AN_TME22[[#All],[Claims: Professional, Specialty]], AN_TME22[[#All],[Insurance Category Code]], B353, AN_TME22[[#All],[Advanced Network/Insurance Carrier Org ID]],100)/C71,"NA")</f>
        <v>NA</v>
      </c>
      <c r="I353" s="56" t="str">
        <f>IF(C71&lt;&gt;0,SUMIFS(AN_TME22[[#All],[Claims: Professional Other]], AN_TME22[[#All],[Insurance Category Code]], B353, AN_TME22[[#All],[Advanced Network/Insurance Carrier Org ID]],100)/C71,"NA")</f>
        <v>NA</v>
      </c>
      <c r="J353" s="55" t="str">
        <f>IF(C71&lt;&gt;0,SUMIFS(AN_TME22[[#All],[Claims: Pharmacy]], AN_TME22[[#All],[Insurance Category Code]], B353, AN_TME22[[#All],[Advanced Network/Insurance Carrier Org ID]],100)/C71,"NA")</f>
        <v>NA</v>
      </c>
      <c r="K353" s="57" t="str">
        <f>IF(C71&lt;&gt;0,SUMIFS(AN_TME22[[#All],[Claims: Long-Term Care]], AN_TME22[[#All],[Insurance Category Code]], B353, AN_TME22[[#All],[Advanced Network/Insurance Carrier Org ID]],100)/C71,"NA")</f>
        <v>NA</v>
      </c>
      <c r="L353" s="57" t="str">
        <f>IF(C71&lt;&gt;0,SUMIFS(AN_TME22[[#All],[Claims: Other]], AN_TME22[[#All],[Insurance Category Code]], B353, AN_TME22[[#All],[Advanced Network/Insurance Carrier Org ID]],100)/C71,"NA")</f>
        <v>NA</v>
      </c>
      <c r="M353" s="57" t="str">
        <f>IF(C71&lt;&gt;0,SUMIFS(AN_TME22[[#All],[TOTAL Non-Claims Expenses]], AN_TME22[[#All],[Insurance Category Code]], B353, AN_TME22[[#All],[Advanced Network/Insurance Carrier Org ID]],100)/C71,"NA")</f>
        <v>NA</v>
      </c>
      <c r="N353" s="241">
        <f>SUMIFS(AN_TME22[[#All],[Claims: Pharmacy]], AN_TME22[[#All],[Insurance Category Code]], B353, AN_TME22[[#All],[Advanced Network/Insurance Carrier Org ID]],100)</f>
        <v>0</v>
      </c>
      <c r="O353" s="241">
        <f>ABS(SUMIF(RX_REBATES22[[#All],[Insurance Category Code]], B353, RX_REBATES22[[#All],[Total Pharmacy Rebates]]))</f>
        <v>0</v>
      </c>
      <c r="P353" s="9" t="str">
        <f>IF(O353&lt;N353,"No","Yes, please resubmit")</f>
        <v>Yes, please resubmit</v>
      </c>
    </row>
    <row r="354" spans="2:16" x14ac:dyDescent="0.25">
      <c r="B354" s="4">
        <v>2</v>
      </c>
      <c r="C354" s="55" t="str">
        <f>IF(C72&lt;&gt;0,SUMIFS(AN_TME22[[#All],[TOTAL Non-Truncated Unadjusted Expenses (A21 + A23)]], AN_TME22[[#All],[Insurance Category Code]], B354, AN_TME22[[#All],[Advanced Network/Insurance Carrier Org ID]],100)/C72,"NA")</f>
        <v>NA</v>
      </c>
      <c r="D354" s="56" t="str">
        <f>IF(C72&lt;&gt;0,SUMIFS(AN_TME22[[#All],[Claims: Hospital Inpatient]], AN_TME22[[#All],[Insurance Category Code]], B354, AN_TME22[[#All],[Advanced Network/Insurance Carrier Org ID]],100)/C72,"NA")</f>
        <v>NA</v>
      </c>
      <c r="E354" s="56" t="str">
        <f>IF(C72&lt;&gt;0,SUMIFS(AN_TME22[[#All],[Claims: Hospital Outpatient]], AN_TME22[[#All],[Insurance Category Code]], B354, AN_TME22[[#All],[Advanced Network/Insurance Carrier Org ID]],100)/C72,"NA")</f>
        <v>NA</v>
      </c>
      <c r="F354" s="56" t="str">
        <f>IF(C72&lt;&gt;0,SUMIFS(AN_TME22[[#All],[Claims: Professional, Primary Care]], AN_TME22[[#All],[Insurance Category Code]], B354, AN_TME22[[#All],[Advanced Network/Insurance Carrier Org ID]],100)/C72,"NA")</f>
        <v>NA</v>
      </c>
      <c r="G354" s="56" t="str">
        <f>IF(C72&lt;&gt;0,SUMIFS(AN_TME22[[#All],[Claims: Professional, Primary Care (for Monitoring Purposes)]], AN_TME22[[#All],[Insurance Category Code]], B354, AN_TME22[[#All],[Advanced Network/Insurance Carrier Org ID]],100)/C72,"NA")</f>
        <v>NA</v>
      </c>
      <c r="H354" s="56" t="str">
        <f>IF(C72&lt;&gt;0,SUMIFS(AN_TME22[[#All],[Claims: Professional, Specialty]], AN_TME22[[#All],[Insurance Category Code]], B354, AN_TME22[[#All],[Advanced Network/Insurance Carrier Org ID]],100)/C72,"NA")</f>
        <v>NA</v>
      </c>
      <c r="I354" s="56" t="str">
        <f>IF(C72&lt;&gt;0,SUMIFS(AN_TME22[[#All],[Claims: Professional Other]], AN_TME22[[#All],[Insurance Category Code]], B354, AN_TME22[[#All],[Advanced Network/Insurance Carrier Org ID]],100)/C72,"NA")</f>
        <v>NA</v>
      </c>
      <c r="J354" s="55" t="str">
        <f>IF(C72&lt;&gt;0,SUMIFS(AN_TME22[[#All],[Claims: Pharmacy]], AN_TME22[[#All],[Insurance Category Code]], B354, AN_TME22[[#All],[Advanced Network/Insurance Carrier Org ID]],100)/C72,"NA")</f>
        <v>NA</v>
      </c>
      <c r="K354" s="57" t="str">
        <f>IF(C72&lt;&gt;0,SUMIFS(AN_TME22[[#All],[Claims: Long-Term Care]], AN_TME22[[#All],[Insurance Category Code]], B354, AN_TME22[[#All],[Advanced Network/Insurance Carrier Org ID]],100)/C72,"NA")</f>
        <v>NA</v>
      </c>
      <c r="L354" s="57" t="str">
        <f>IF(C72&lt;&gt;0,SUMIFS(AN_TME22[[#All],[Claims: Other]], AN_TME22[[#All],[Insurance Category Code]], B354, AN_TME22[[#All],[Advanced Network/Insurance Carrier Org ID]],100)/C72,"NA")</f>
        <v>NA</v>
      </c>
      <c r="M354" s="57" t="str">
        <f>IF(C72&lt;&gt;0,SUMIFS(AN_TME22[[#All],[TOTAL Non-Claims Expenses]], AN_TME22[[#All],[Insurance Category Code]], B354, AN_TME22[[#All],[Advanced Network/Insurance Carrier Org ID]],100)/C72,"NA")</f>
        <v>NA</v>
      </c>
      <c r="N354" s="241">
        <f>SUMIFS(AN_TME22[[#All],[Claims: Pharmacy]], AN_TME22[[#All],[Insurance Category Code]], B354, AN_TME22[[#All],[Advanced Network/Insurance Carrier Org ID]],100)</f>
        <v>0</v>
      </c>
      <c r="O354" s="241">
        <f>ABS(SUMIF(RX_REBATES22[[#All],[Insurance Category Code]], B354, RX_REBATES22[[#All],[Total Pharmacy Rebates]]))</f>
        <v>0</v>
      </c>
      <c r="P354" s="9" t="str">
        <f t="shared" ref="P354:P358" si="37">IF(O354&lt;N354,"No","Yes, please resubmit")</f>
        <v>Yes, please resubmit</v>
      </c>
    </row>
    <row r="355" spans="2:16" x14ac:dyDescent="0.25">
      <c r="B355" s="4">
        <v>3</v>
      </c>
      <c r="C355" s="55" t="str">
        <f>IF(C73&lt;&gt;0,SUMIFS(AN_TME22[[#All],[TOTAL Non-Truncated Unadjusted Expenses (A21 + A23)]], AN_TME22[[#All],[Insurance Category Code]], B355, AN_TME22[[#All],[Advanced Network/Insurance Carrier Org ID]],100)/C73,"NA")</f>
        <v>NA</v>
      </c>
      <c r="D355" s="56" t="str">
        <f>IF(C73&lt;&gt;0,SUMIFS(AN_TME22[[#All],[Claims: Hospital Inpatient]], AN_TME22[[#All],[Insurance Category Code]], B355, AN_TME22[[#All],[Advanced Network/Insurance Carrier Org ID]],100)/C73,"NA")</f>
        <v>NA</v>
      </c>
      <c r="E355" s="56" t="str">
        <f>IF(C73&lt;&gt;0,SUMIFS(AN_TME22[[#All],[Claims: Hospital Outpatient]], AN_TME22[[#All],[Insurance Category Code]], B355, AN_TME22[[#All],[Advanced Network/Insurance Carrier Org ID]],100)/C73,"NA")</f>
        <v>NA</v>
      </c>
      <c r="F355" s="56" t="str">
        <f>IF(C73&lt;&gt;0,SUMIFS(AN_TME22[[#All],[Claims: Professional, Primary Care]], AN_TME22[[#All],[Insurance Category Code]], B355, AN_TME22[[#All],[Advanced Network/Insurance Carrier Org ID]],100)/C73,"NA")</f>
        <v>NA</v>
      </c>
      <c r="G355" s="56" t="str">
        <f>IF(C73&lt;&gt;0,SUMIFS(AN_TME22[[#All],[Claims: Professional, Primary Care (for Monitoring Purposes)]], AN_TME22[[#All],[Insurance Category Code]], B355, AN_TME22[[#All],[Advanced Network/Insurance Carrier Org ID]],100)/C73,"NA")</f>
        <v>NA</v>
      </c>
      <c r="H355" s="56" t="str">
        <f>IF(C73&lt;&gt;0,SUMIFS(AN_TME22[[#All],[Claims: Professional, Specialty]], AN_TME22[[#All],[Insurance Category Code]], B355, AN_TME22[[#All],[Advanced Network/Insurance Carrier Org ID]],100)/C73,"NA")</f>
        <v>NA</v>
      </c>
      <c r="I355" s="56" t="str">
        <f>IF(C73&lt;&gt;0,SUMIFS(AN_TME22[[#All],[Claims: Professional Other]], AN_TME22[[#All],[Insurance Category Code]], B355, AN_TME22[[#All],[Advanced Network/Insurance Carrier Org ID]],100)/C73,"NA")</f>
        <v>NA</v>
      </c>
      <c r="J355" s="55" t="str">
        <f>IF(C73&lt;&gt;0,SUMIFS(AN_TME22[[#All],[Claims: Pharmacy]], AN_TME22[[#All],[Insurance Category Code]], B355, AN_TME22[[#All],[Advanced Network/Insurance Carrier Org ID]],100)/C73,"NA")</f>
        <v>NA</v>
      </c>
      <c r="K355" s="57" t="str">
        <f>IF(C73&lt;&gt;0,SUMIFS(AN_TME22[[#All],[Claims: Long-Term Care]], AN_TME22[[#All],[Insurance Category Code]], B355, AN_TME22[[#All],[Advanced Network/Insurance Carrier Org ID]],100)/C73,"NA")</f>
        <v>NA</v>
      </c>
      <c r="L355" s="57" t="str">
        <f>IF(C73&lt;&gt;0,SUMIFS(AN_TME22[[#All],[Claims: Other]], AN_TME22[[#All],[Insurance Category Code]], B355, AN_TME22[[#All],[Advanced Network/Insurance Carrier Org ID]],100)/C73,"NA")</f>
        <v>NA</v>
      </c>
      <c r="M355" s="57" t="str">
        <f>IF(C73&lt;&gt;0,SUMIFS(AN_TME22[[#All],[TOTAL Non-Claims Expenses]], AN_TME22[[#All],[Insurance Category Code]], B355, AN_TME22[[#All],[Advanced Network/Insurance Carrier Org ID]],100)/C73,"NA")</f>
        <v>NA</v>
      </c>
      <c r="N355" s="241">
        <f>SUMIFS(AN_TME22[[#All],[Claims: Pharmacy]], AN_TME22[[#All],[Insurance Category Code]], B355, AN_TME22[[#All],[Advanced Network/Insurance Carrier Org ID]],100)</f>
        <v>0</v>
      </c>
      <c r="O355" s="241">
        <f>ABS(SUMIF(RX_REBATES22[[#All],[Insurance Category Code]], B355, RX_REBATES22[[#All],[Total Pharmacy Rebates]]))</f>
        <v>0</v>
      </c>
      <c r="P355" s="9" t="str">
        <f t="shared" si="37"/>
        <v>Yes, please resubmit</v>
      </c>
    </row>
    <row r="356" spans="2:16" x14ac:dyDescent="0.25">
      <c r="B356" s="4">
        <v>4</v>
      </c>
      <c r="C356" s="55" t="str">
        <f>IF(C74&lt;&gt;0,SUMIFS(AN_TME22[[#All],[TOTAL Non-Truncated Unadjusted Expenses (A21 + A23)]], AN_TME22[[#All],[Insurance Category Code]], B356, AN_TME22[[#All],[Advanced Network/Insurance Carrier Org ID]],100)/C74,"NA")</f>
        <v>NA</v>
      </c>
      <c r="D356" s="56" t="str">
        <f>IF(C74&lt;&gt;0,SUMIFS(AN_TME22[[#All],[Claims: Hospital Inpatient]], AN_TME22[[#All],[Insurance Category Code]], B356, AN_TME22[[#All],[Advanced Network/Insurance Carrier Org ID]],100)/C74,"NA")</f>
        <v>NA</v>
      </c>
      <c r="E356" s="56" t="str">
        <f>IF(C74&lt;&gt;0,SUMIFS(AN_TME22[[#All],[Claims: Hospital Outpatient]], AN_TME22[[#All],[Insurance Category Code]], B356, AN_TME22[[#All],[Advanced Network/Insurance Carrier Org ID]],100)/C74,"NA")</f>
        <v>NA</v>
      </c>
      <c r="F356" s="56" t="str">
        <f>IF(C74&lt;&gt;0,SUMIFS(AN_TME22[[#All],[Claims: Professional, Primary Care]], AN_TME22[[#All],[Insurance Category Code]], B356, AN_TME22[[#All],[Advanced Network/Insurance Carrier Org ID]],100)/C74,"NA")</f>
        <v>NA</v>
      </c>
      <c r="G356" s="56" t="str">
        <f>IF(C74&lt;&gt;0,SUMIFS(AN_TME22[[#All],[Claims: Professional, Primary Care (for Monitoring Purposes)]], AN_TME22[[#All],[Insurance Category Code]], B356, AN_TME22[[#All],[Advanced Network/Insurance Carrier Org ID]],100)/C74,"NA")</f>
        <v>NA</v>
      </c>
      <c r="H356" s="56" t="str">
        <f>IF(C74&lt;&gt;0,SUMIFS(AN_TME22[[#All],[Claims: Professional, Specialty]], AN_TME22[[#All],[Insurance Category Code]], B356, AN_TME22[[#All],[Advanced Network/Insurance Carrier Org ID]],100)/C74,"NA")</f>
        <v>NA</v>
      </c>
      <c r="I356" s="56" t="str">
        <f>IF(C74&lt;&gt;0,SUMIFS(AN_TME22[[#All],[Claims: Professional Other]], AN_TME22[[#All],[Insurance Category Code]], B356, AN_TME22[[#All],[Advanced Network/Insurance Carrier Org ID]],100)/C74,"NA")</f>
        <v>NA</v>
      </c>
      <c r="J356" s="55" t="str">
        <f>IF(C74&lt;&gt;0,SUMIFS(AN_TME22[[#All],[Claims: Pharmacy]], AN_TME22[[#All],[Insurance Category Code]], B356, AN_TME22[[#All],[Advanced Network/Insurance Carrier Org ID]],100)/C74,"NA")</f>
        <v>NA</v>
      </c>
      <c r="K356" s="57" t="str">
        <f>IF(C74&lt;&gt;0,SUMIFS(AN_TME22[[#All],[Claims: Long-Term Care]], AN_TME22[[#All],[Insurance Category Code]], B356, AN_TME22[[#All],[Advanced Network/Insurance Carrier Org ID]],100)/C74,"NA")</f>
        <v>NA</v>
      </c>
      <c r="L356" s="57" t="str">
        <f>IF(C74&lt;&gt;0,SUMIFS(AN_TME22[[#All],[Claims: Other]], AN_TME22[[#All],[Insurance Category Code]], B356, AN_TME22[[#All],[Advanced Network/Insurance Carrier Org ID]],100)/C74,"NA")</f>
        <v>NA</v>
      </c>
      <c r="M356" s="57" t="str">
        <f>IF(C74&lt;&gt;0,SUMIFS(AN_TME22[[#All],[TOTAL Non-Claims Expenses]], AN_TME22[[#All],[Insurance Category Code]], B356, AN_TME22[[#All],[Advanced Network/Insurance Carrier Org ID]],100)/C74,"NA")</f>
        <v>NA</v>
      </c>
      <c r="N356" s="241">
        <f>SUMIFS(AN_TME22[[#All],[Claims: Pharmacy]], AN_TME22[[#All],[Insurance Category Code]], B356, AN_TME22[[#All],[Advanced Network/Insurance Carrier Org ID]],100)</f>
        <v>0</v>
      </c>
      <c r="O356" s="241">
        <f>ABS(SUMIF(RX_REBATES22[[#All],[Insurance Category Code]], B356, RX_REBATES22[[#All],[Total Pharmacy Rebates]]))</f>
        <v>0</v>
      </c>
      <c r="P356" s="9" t="str">
        <f t="shared" si="37"/>
        <v>Yes, please resubmit</v>
      </c>
    </row>
    <row r="357" spans="2:16" x14ac:dyDescent="0.25">
      <c r="B357" s="4">
        <v>5</v>
      </c>
      <c r="C357" s="55" t="str">
        <f>IF(C75&lt;&gt;0,SUMIFS(AN_TME22[[#All],[TOTAL Non-Truncated Unadjusted Expenses (A21 + A23)]], AN_TME22[[#All],[Insurance Category Code]], B357, AN_TME22[[#All],[Advanced Network/Insurance Carrier Org ID]],100)/C75,"NA")</f>
        <v>NA</v>
      </c>
      <c r="D357" s="56" t="str">
        <f>IF(C75&lt;&gt;0,SUMIFS(AN_TME22[[#All],[Claims: Hospital Inpatient]], AN_TME22[[#All],[Insurance Category Code]], B357, AN_TME22[[#All],[Advanced Network/Insurance Carrier Org ID]],100)/C75,"NA")</f>
        <v>NA</v>
      </c>
      <c r="E357" s="56" t="str">
        <f>IF(C75&lt;&gt;0,SUMIFS(AN_TME22[[#All],[Claims: Hospital Outpatient]], AN_TME22[[#All],[Insurance Category Code]], B357, AN_TME22[[#All],[Advanced Network/Insurance Carrier Org ID]],100)/C75,"NA")</f>
        <v>NA</v>
      </c>
      <c r="F357" s="56" t="str">
        <f>IF(C75&lt;&gt;0,SUMIFS(AN_TME22[[#All],[Claims: Professional, Primary Care]], AN_TME22[[#All],[Insurance Category Code]], B357, AN_TME22[[#All],[Advanced Network/Insurance Carrier Org ID]],100)/C75,"NA")</f>
        <v>NA</v>
      </c>
      <c r="G357" s="56" t="str">
        <f>IF(C75&lt;&gt;0,SUMIFS(AN_TME22[[#All],[Claims: Professional, Primary Care (for Monitoring Purposes)]], AN_TME22[[#All],[Insurance Category Code]], B357, AN_TME22[[#All],[Advanced Network/Insurance Carrier Org ID]],100)/C75,"NA")</f>
        <v>NA</v>
      </c>
      <c r="H357" s="56" t="str">
        <f>IF(C75&lt;&gt;0,SUMIFS(AN_TME22[[#All],[Claims: Professional, Specialty]], AN_TME22[[#All],[Insurance Category Code]], B357, AN_TME22[[#All],[Advanced Network/Insurance Carrier Org ID]],100)/C75,"NA")</f>
        <v>NA</v>
      </c>
      <c r="I357" s="56" t="str">
        <f>IF(C75&lt;&gt;0,SUMIFS(AN_TME22[[#All],[Claims: Professional Other]], AN_TME22[[#All],[Insurance Category Code]], B357, AN_TME22[[#All],[Advanced Network/Insurance Carrier Org ID]],100)/C75,"NA")</f>
        <v>NA</v>
      </c>
      <c r="J357" s="55" t="str">
        <f>IF(C75&lt;&gt;0,SUMIFS(AN_TME22[[#All],[Claims: Pharmacy]], AN_TME22[[#All],[Insurance Category Code]], B357, AN_TME22[[#All],[Advanced Network/Insurance Carrier Org ID]],100)/C75,"NA")</f>
        <v>NA</v>
      </c>
      <c r="K357" s="57" t="str">
        <f>IF(C75&lt;&gt;0,SUMIFS(AN_TME22[[#All],[Claims: Long-Term Care]], AN_TME22[[#All],[Insurance Category Code]], B357, AN_TME22[[#All],[Advanced Network/Insurance Carrier Org ID]],100)/C75,"NA")</f>
        <v>NA</v>
      </c>
      <c r="L357" s="57" t="str">
        <f>IF(C75&lt;&gt;0,SUMIFS(AN_TME22[[#All],[Claims: Other]], AN_TME22[[#All],[Insurance Category Code]], B357, AN_TME22[[#All],[Advanced Network/Insurance Carrier Org ID]],100)/C75,"NA")</f>
        <v>NA</v>
      </c>
      <c r="M357" s="57" t="str">
        <f>IF(C75&lt;&gt;0,SUMIFS(AN_TME22[[#All],[TOTAL Non-Claims Expenses]], AN_TME22[[#All],[Insurance Category Code]], B357, AN_TME22[[#All],[Advanced Network/Insurance Carrier Org ID]],100)/C75,"NA")</f>
        <v>NA</v>
      </c>
      <c r="N357" s="241">
        <f>SUMIFS(AN_TME22[[#All],[Claims: Pharmacy]], AN_TME22[[#All],[Insurance Category Code]], B357, AN_TME22[[#All],[Advanced Network/Insurance Carrier Org ID]],100)</f>
        <v>0</v>
      </c>
      <c r="O357" s="241">
        <f>ABS(SUMIF(RX_REBATES22[[#All],[Insurance Category Code]], B357, RX_REBATES22[[#All],[Total Pharmacy Rebates]]))</f>
        <v>0</v>
      </c>
      <c r="P357" s="9" t="str">
        <f t="shared" si="37"/>
        <v>Yes, please resubmit</v>
      </c>
    </row>
    <row r="358" spans="2:16" ht="15.75" thickBot="1" x14ac:dyDescent="0.3">
      <c r="B358" s="4">
        <v>6</v>
      </c>
      <c r="C358" s="55" t="str">
        <f>IF(C76&lt;&gt;0,SUMIFS(AN_TME22[[#All],[TOTAL Non-Truncated Unadjusted Expenses (A21 + A23)]], AN_TME22[[#All],[Insurance Category Code]], B358, AN_TME22[[#All],[Advanced Network/Insurance Carrier Org ID]],100)/C76,"NA")</f>
        <v>NA</v>
      </c>
      <c r="D358" s="56" t="str">
        <f>IF(C76&lt;&gt;0,SUMIFS(AN_TME22[[#All],[Claims: Hospital Inpatient]], AN_TME22[[#All],[Insurance Category Code]], B358, AN_TME22[[#All],[Advanced Network/Insurance Carrier Org ID]],100)/C76,"NA")</f>
        <v>NA</v>
      </c>
      <c r="E358" s="56" t="str">
        <f>IF(C76&lt;&gt;0,SUMIFS(AN_TME22[[#All],[Claims: Hospital Outpatient]], AN_TME22[[#All],[Insurance Category Code]], B358, AN_TME22[[#All],[Advanced Network/Insurance Carrier Org ID]],100)/C76,"NA")</f>
        <v>NA</v>
      </c>
      <c r="F358" s="56" t="str">
        <f>IF(C76&lt;&gt;0,SUMIFS(AN_TME22[[#All],[Claims: Professional, Primary Care]], AN_TME22[[#All],[Insurance Category Code]], B358, AN_TME22[[#All],[Advanced Network/Insurance Carrier Org ID]],100)/C76,"NA")</f>
        <v>NA</v>
      </c>
      <c r="G358" s="56" t="str">
        <f>IF(C76&lt;&gt;0,SUMIFS(AN_TME22[[#All],[Claims: Professional, Primary Care (for Monitoring Purposes)]], AN_TME22[[#All],[Insurance Category Code]], B358, AN_TME22[[#All],[Advanced Network/Insurance Carrier Org ID]],100)/C76,"NA")</f>
        <v>NA</v>
      </c>
      <c r="H358" s="56" t="str">
        <f>IF(C76&lt;&gt;0,SUMIFS(AN_TME22[[#All],[Claims: Professional, Specialty]], AN_TME22[[#All],[Insurance Category Code]], B358, AN_TME22[[#All],[Advanced Network/Insurance Carrier Org ID]],100)/C76,"NA")</f>
        <v>NA</v>
      </c>
      <c r="I358" s="56" t="str">
        <f>IF(C76&lt;&gt;0,SUMIFS(AN_TME22[[#All],[Claims: Professional Other]], AN_TME22[[#All],[Insurance Category Code]], B358, AN_TME22[[#All],[Advanced Network/Insurance Carrier Org ID]],100)/C76,"NA")</f>
        <v>NA</v>
      </c>
      <c r="J358" s="55" t="str">
        <f>IF(C76&lt;&gt;0,SUMIFS(AN_TME22[[#All],[Claims: Pharmacy]], AN_TME22[[#All],[Insurance Category Code]], B358, AN_TME22[[#All],[Advanced Network/Insurance Carrier Org ID]],100)/C76,"NA")</f>
        <v>NA</v>
      </c>
      <c r="K358" s="57" t="str">
        <f>IF(C76&lt;&gt;0,SUMIFS(AN_TME22[[#All],[Claims: Long-Term Care]], AN_TME22[[#All],[Insurance Category Code]], B358, AN_TME22[[#All],[Advanced Network/Insurance Carrier Org ID]],100)/C76,"NA")</f>
        <v>NA</v>
      </c>
      <c r="L358" s="57" t="str">
        <f>IF(C76&lt;&gt;0,SUMIFS(AN_TME22[[#All],[Claims: Other]], AN_TME22[[#All],[Insurance Category Code]], B358, AN_TME22[[#All],[Advanced Network/Insurance Carrier Org ID]],100)/C76,"NA")</f>
        <v>NA</v>
      </c>
      <c r="M358" s="57" t="str">
        <f>IF(C76&lt;&gt;0,SUMIFS(AN_TME22[[#All],[TOTAL Non-Claims Expenses]], AN_TME22[[#All],[Insurance Category Code]], B358, AN_TME22[[#All],[Advanced Network/Insurance Carrier Org ID]],100)/C76,"NA")</f>
        <v>NA</v>
      </c>
      <c r="N358" s="316">
        <f>SUMIFS(AN_TME22[[#All],[Claims: Pharmacy]], AN_TME22[[#All],[Insurance Category Code]], B358, AN_TME22[[#All],[Advanced Network/Insurance Carrier Org ID]],100)</f>
        <v>0</v>
      </c>
      <c r="O358" s="316">
        <f>ABS(SUMIF(RX_REBATES22[[#All],[Insurance Category Code]], B358, RX_REBATES22[[#All],[Total Pharmacy Rebates]]))</f>
        <v>0</v>
      </c>
      <c r="P358" s="317" t="str">
        <f t="shared" si="37"/>
        <v>Yes, please resubmit</v>
      </c>
    </row>
    <row r="359" spans="2:16" ht="66.95" customHeight="1" thickBot="1" x14ac:dyDescent="0.3">
      <c r="B359" s="34" t="s">
        <v>399</v>
      </c>
      <c r="C359" s="58" t="str">
        <f t="shared" ref="C359:M359" si="38">IFERROR(IF(ABS(C356/C355-1)&lt;10%,"No","Yes"), "NA")</f>
        <v>NA</v>
      </c>
      <c r="D359" s="58" t="str">
        <f t="shared" si="38"/>
        <v>NA</v>
      </c>
      <c r="E359" s="58" t="str">
        <f t="shared" si="38"/>
        <v>NA</v>
      </c>
      <c r="F359" s="58" t="str">
        <f t="shared" si="38"/>
        <v>NA</v>
      </c>
      <c r="G359" s="58" t="str">
        <f t="shared" si="38"/>
        <v>NA</v>
      </c>
      <c r="H359" s="58" t="str">
        <f t="shared" si="38"/>
        <v>NA</v>
      </c>
      <c r="I359" s="58" t="str">
        <f t="shared" si="38"/>
        <v>NA</v>
      </c>
      <c r="J359" s="58" t="str">
        <f t="shared" si="38"/>
        <v>NA</v>
      </c>
      <c r="K359" s="59" t="str">
        <f t="shared" si="38"/>
        <v>NA</v>
      </c>
      <c r="L359" s="59" t="str">
        <f t="shared" si="38"/>
        <v>NA</v>
      </c>
      <c r="M359" s="315" t="str">
        <f t="shared" si="38"/>
        <v>NA</v>
      </c>
      <c r="N359" s="318" t="s">
        <v>28</v>
      </c>
      <c r="O359" s="319" t="s">
        <v>28</v>
      </c>
      <c r="P359" s="320" t="s">
        <v>28</v>
      </c>
    </row>
    <row r="361" spans="2:16" x14ac:dyDescent="0.25">
      <c r="B361" s="363" t="s">
        <v>366</v>
      </c>
    </row>
    <row r="363" spans="2:16" ht="18.75" x14ac:dyDescent="0.3">
      <c r="B363" s="279" t="s">
        <v>443</v>
      </c>
    </row>
    <row r="364" spans="2:16" x14ac:dyDescent="0.25">
      <c r="B364" s="27" t="s">
        <v>393</v>
      </c>
      <c r="I364" s="14"/>
    </row>
    <row r="365" spans="2:16" ht="45" x14ac:dyDescent="0.25">
      <c r="B365" s="33" t="s">
        <v>61</v>
      </c>
      <c r="C365" s="33" t="s">
        <v>394</v>
      </c>
      <c r="D365" s="33" t="s">
        <v>102</v>
      </c>
      <c r="E365" s="33" t="s">
        <v>104</v>
      </c>
      <c r="F365" s="33" t="s">
        <v>106</v>
      </c>
      <c r="G365" s="33" t="s">
        <v>107</v>
      </c>
      <c r="H365" s="33" t="s">
        <v>108</v>
      </c>
      <c r="I365" s="33" t="s">
        <v>109</v>
      </c>
      <c r="J365" s="33" t="s">
        <v>111</v>
      </c>
      <c r="K365" s="33" t="s">
        <v>113</v>
      </c>
      <c r="L365" s="33" t="s">
        <v>115</v>
      </c>
      <c r="M365" s="33" t="s">
        <v>395</v>
      </c>
      <c r="N365" s="341" t="s">
        <v>396</v>
      </c>
      <c r="O365" s="341" t="s">
        <v>397</v>
      </c>
      <c r="P365" s="341" t="s">
        <v>398</v>
      </c>
    </row>
    <row r="366" spans="2:16" x14ac:dyDescent="0.25">
      <c r="B366" s="4">
        <v>1</v>
      </c>
      <c r="C366" s="55" t="str">
        <f>IF(G71&lt;&gt;0,SUMIFS(AN_TME23[[#All],[TOTAL Non-Truncated Unadjusted Expenses (A21 + A23)]], AN_TME23[[#All],[Insurance Category Code]], B353, AN_TME23[[#All],[Advanced Network/Insurance Carrier Org ID]],100)/G71,"NA")</f>
        <v>NA</v>
      </c>
      <c r="D366" s="56" t="str">
        <f>IF(G71&lt;&gt;0,SUMIFS(AN_TME23[[#All],[Claims: Hospital Inpatient]], AN_TME23[[#All],[Insurance Category Code]], B353, AN_TME23[[#All],[Advanced Network/Insurance Carrier Org ID]],100)/G71,"NA")</f>
        <v>NA</v>
      </c>
      <c r="E366" s="56" t="str">
        <f>IF(G71&lt;&gt;0,SUMIFS(AN_TME23[[#All],[Claims: Hospital Outpatient]], AN_TME23[[#All],[Insurance Category Code]], B353, AN_TME23[[#All],[Advanced Network/Insurance Carrier Org ID]],100)/G71,"NA")</f>
        <v>NA</v>
      </c>
      <c r="F366" s="56" t="str">
        <f>IF(G71&lt;&gt;0,SUMIFS(AN_TME23[[#All],[Claims: Professional, Primary Care]], AN_TME23[[#All],[Insurance Category Code]], B353, AN_TME23[[#All],[Advanced Network/Insurance Carrier Org ID]],100)/G71,"NA")</f>
        <v>NA</v>
      </c>
      <c r="G366" s="56" t="str">
        <f>IF(G71&lt;&gt;0,SUMIFS(AN_TME23[[#All],[Claims: Professional, Primary Care (for Monitoring Purposes)]], AN_TME23[[#All],[Insurance Category Code]], B353, AN_TME23[[#All],[Advanced Network/Insurance Carrier Org ID]],100)/G71,"NA")</f>
        <v>NA</v>
      </c>
      <c r="H366" s="56" t="str">
        <f>IF(G71&lt;&gt;0,SUMIFS(AN_TME23[[#All],[Claims: Professional, Specialty]], AN_TME23[[#All],[Insurance Category Code]], B353, AN_TME23[[#All],[Advanced Network/Insurance Carrier Org ID]],100)/G71,"NA")</f>
        <v>NA</v>
      </c>
      <c r="I366" s="56" t="str">
        <f>IF(G71&lt;&gt;0,SUMIFS(AN_TME23[[#All],[Claims: Professional Other]], AN_TME23[[#All],[Insurance Category Code]], B353, AN_TME23[[#All],[Advanced Network/Insurance Carrier Org ID]],100)/G71,"NA")</f>
        <v>NA</v>
      </c>
      <c r="J366" s="55" t="str">
        <f>IF(G71&lt;&gt;0,SUMIFS(AN_TME23[[#All],[Claims: Pharmacy]], AN_TME23[[#All],[Insurance Category Code]], B353, AN_TME23[[#All],[Advanced Network/Insurance Carrier Org ID]],100)/G71,"NA")</f>
        <v>NA</v>
      </c>
      <c r="K366" s="57" t="str">
        <f>IF(G71&lt;&gt;0,SUMIFS(AN_TME23[[#All],[Claims: Long-Term Care]], AN_TME23[[#All],[Insurance Category Code]], B353, AN_TME23[[#All],[Advanced Network/Insurance Carrier Org ID]],100)/G71,"NA")</f>
        <v>NA</v>
      </c>
      <c r="L366" s="57" t="str">
        <f>IF(G71&lt;&gt;0,SUMIFS(AN_TME23[[#All],[Claims: Other]], AN_TME23[[#All],[Insurance Category Code]], B353, AN_TME23[[#All],[Advanced Network/Insurance Carrier Org ID]],100)/G71,"NA")</f>
        <v>NA</v>
      </c>
      <c r="M366" s="57" t="str">
        <f>IF(G71&lt;&gt;0,SUMIFS(AN_TME23[[#All],[TOTAL Non-Claims Expenses]], AN_TME23[[#All],[Insurance Category Code]], B353, AN_TME23[[#All],[Advanced Network/Insurance Carrier Org ID]],100)/G71,"NA")</f>
        <v>NA</v>
      </c>
      <c r="N366" s="241">
        <f>SUMIFS(AN_TME23[[#All],[Claims: Pharmacy]], AN_TME23[[#All],[Insurance Category Code]], B366, AN_TME23[[#All],[Advanced Network/Insurance Carrier Org ID]],100)</f>
        <v>0</v>
      </c>
      <c r="O366" s="241">
        <f>ABS(SUMIF(RX_REBATES23[[#All],[Insurance Category Code]], B366, RX_REBATES23[[#All],[Total Pharmacy Rebates]]))</f>
        <v>0</v>
      </c>
      <c r="P366" s="9" t="str">
        <f>IF(O366&lt;N366,"No","Yes, please resubmit")</f>
        <v>Yes, please resubmit</v>
      </c>
    </row>
    <row r="367" spans="2:16" x14ac:dyDescent="0.25">
      <c r="B367" s="4">
        <v>2</v>
      </c>
      <c r="C367" s="55" t="str">
        <f>IF(G72&lt;&gt;0,SUMIFS(AN_TME23[[#All],[TOTAL Non-Truncated Unadjusted Expenses (A21 + A23)]], AN_TME23[[#All],[Insurance Category Code]], B354, AN_TME23[[#All],[Advanced Network/Insurance Carrier Org ID]],100)/G72,"NA")</f>
        <v>NA</v>
      </c>
      <c r="D367" s="56" t="str">
        <f>IF(G72&lt;&gt;0,SUMIFS(AN_TME23[[#All],[Claims: Hospital Inpatient]], AN_TME23[[#All],[Insurance Category Code]], B354, AN_TME23[[#All],[Advanced Network/Insurance Carrier Org ID]],100)/G72,"NA")</f>
        <v>NA</v>
      </c>
      <c r="E367" s="56" t="str">
        <f>IF(G72&lt;&gt;0,SUMIFS(AN_TME23[[#All],[Claims: Hospital Outpatient]], AN_TME23[[#All],[Insurance Category Code]], B354, AN_TME23[[#All],[Advanced Network/Insurance Carrier Org ID]],100)/G72,"NA")</f>
        <v>NA</v>
      </c>
      <c r="F367" s="56" t="str">
        <f>IF(G72&lt;&gt;0,SUMIFS(AN_TME23[[#All],[Claims: Professional, Primary Care]], AN_TME23[[#All],[Insurance Category Code]], B354, AN_TME23[[#All],[Advanced Network/Insurance Carrier Org ID]],100)/G72,"NA")</f>
        <v>NA</v>
      </c>
      <c r="G367" s="56" t="str">
        <f>IF(G72&lt;&gt;0,SUMIFS(AN_TME23[[#All],[Claims: Professional, Primary Care (for Monitoring Purposes)]], AN_TME23[[#All],[Insurance Category Code]], B354, AN_TME23[[#All],[Advanced Network/Insurance Carrier Org ID]],100)/G72,"NA")</f>
        <v>NA</v>
      </c>
      <c r="H367" s="56" t="str">
        <f>IF(G72&lt;&gt;0,SUMIFS(AN_TME23[[#All],[Claims: Professional, Specialty]], AN_TME23[[#All],[Insurance Category Code]], B354, AN_TME23[[#All],[Advanced Network/Insurance Carrier Org ID]],100)/G72,"NA")</f>
        <v>NA</v>
      </c>
      <c r="I367" s="56" t="str">
        <f>IF(G72&lt;&gt;0,SUMIFS(AN_TME23[[#All],[Claims: Professional Other]], AN_TME23[[#All],[Insurance Category Code]], B354, AN_TME23[[#All],[Advanced Network/Insurance Carrier Org ID]],100)/G72,"NA")</f>
        <v>NA</v>
      </c>
      <c r="J367" s="55" t="str">
        <f>IF(G72&lt;&gt;0,SUMIFS(AN_TME23[[#All],[Claims: Pharmacy]], AN_TME23[[#All],[Insurance Category Code]], B354, AN_TME23[[#All],[Advanced Network/Insurance Carrier Org ID]],100)/G72,"NA")</f>
        <v>NA</v>
      </c>
      <c r="K367" s="57" t="str">
        <f>IF(G72&lt;&gt;0,SUMIFS(AN_TME23[[#All],[Claims: Long-Term Care]], AN_TME23[[#All],[Insurance Category Code]], B354, AN_TME23[[#All],[Advanced Network/Insurance Carrier Org ID]],100)/G72,"NA")</f>
        <v>NA</v>
      </c>
      <c r="L367" s="57" t="str">
        <f>IF(G72&lt;&gt;0,SUMIFS(AN_TME23[[#All],[Claims: Other]], AN_TME23[[#All],[Insurance Category Code]], B354, AN_TME23[[#All],[Advanced Network/Insurance Carrier Org ID]],100)/G72,"NA")</f>
        <v>NA</v>
      </c>
      <c r="M367" s="57" t="str">
        <f>IF(G72&lt;&gt;0,SUMIFS(AN_TME23[[#All],[TOTAL Non-Claims Expenses]], AN_TME23[[#All],[Insurance Category Code]], B354, AN_TME23[[#All],[Advanced Network/Insurance Carrier Org ID]],100)/G72,"NA")</f>
        <v>NA</v>
      </c>
      <c r="N367" s="241">
        <f>SUMIFS(AN_TME23[[#All],[Claims: Pharmacy]], AN_TME23[[#All],[Insurance Category Code]], B367, AN_TME23[[#All],[Advanced Network/Insurance Carrier Org ID]],100)</f>
        <v>0</v>
      </c>
      <c r="O367" s="241">
        <f>ABS(SUMIF(RX_REBATES23[[#All],[Insurance Category Code]], B367, RX_REBATES23[[#All],[Total Pharmacy Rebates]]))</f>
        <v>0</v>
      </c>
      <c r="P367" s="9" t="str">
        <f t="shared" ref="P367:P371" si="39">IF(O367&lt;N367,"No","Yes, please resubmit")</f>
        <v>Yes, please resubmit</v>
      </c>
    </row>
    <row r="368" spans="2:16" x14ac:dyDescent="0.25">
      <c r="B368" s="4">
        <v>3</v>
      </c>
      <c r="C368" s="55" t="str">
        <f>IF(G73&lt;&gt;0,SUMIFS(AN_TME23[[#All],[TOTAL Non-Truncated Unadjusted Expenses (A21 + A23)]], AN_TME23[[#All],[Insurance Category Code]], B355, AN_TME23[[#All],[Advanced Network/Insurance Carrier Org ID]],100)/G73,"NA")</f>
        <v>NA</v>
      </c>
      <c r="D368" s="56" t="str">
        <f>IF(G73&lt;&gt;0,SUMIFS(AN_TME23[[#All],[Claims: Hospital Inpatient]], AN_TME23[[#All],[Insurance Category Code]], B355, AN_TME23[[#All],[Advanced Network/Insurance Carrier Org ID]],100)/G73,"NA")</f>
        <v>NA</v>
      </c>
      <c r="E368" s="56" t="str">
        <f>IF(G73&lt;&gt;0,SUMIFS(AN_TME23[[#All],[Claims: Hospital Outpatient]], AN_TME23[[#All],[Insurance Category Code]], B355, AN_TME23[[#All],[Advanced Network/Insurance Carrier Org ID]],100)/G73,"NA")</f>
        <v>NA</v>
      </c>
      <c r="F368" s="56" t="str">
        <f>IF(G73&lt;&gt;0,SUMIFS(AN_TME23[[#All],[Claims: Professional, Primary Care]], AN_TME23[[#All],[Insurance Category Code]], B355, AN_TME23[[#All],[Advanced Network/Insurance Carrier Org ID]],100)/G73,"NA")</f>
        <v>NA</v>
      </c>
      <c r="G368" s="56" t="str">
        <f>IF(G73&lt;&gt;0,SUMIFS(AN_TME23[[#All],[Claims: Professional, Primary Care (for Monitoring Purposes)]], AN_TME23[[#All],[Insurance Category Code]], B355, AN_TME23[[#All],[Advanced Network/Insurance Carrier Org ID]],100)/G73,"NA")</f>
        <v>NA</v>
      </c>
      <c r="H368" s="56" t="str">
        <f>IF(G73&lt;&gt;0,SUMIFS(AN_TME23[[#All],[Claims: Professional, Specialty]], AN_TME23[[#All],[Insurance Category Code]], B355, AN_TME23[[#All],[Advanced Network/Insurance Carrier Org ID]],100)/G73,"NA")</f>
        <v>NA</v>
      </c>
      <c r="I368" s="56" t="str">
        <f>IF(G73&lt;&gt;0,SUMIFS(AN_TME23[[#All],[Claims: Professional Other]], AN_TME23[[#All],[Insurance Category Code]], B355, AN_TME23[[#All],[Advanced Network/Insurance Carrier Org ID]],100)/G73,"NA")</f>
        <v>NA</v>
      </c>
      <c r="J368" s="55" t="str">
        <f>IF(G73&lt;&gt;0,SUMIFS(AN_TME23[[#All],[Claims: Pharmacy]], AN_TME23[[#All],[Insurance Category Code]], B355, AN_TME23[[#All],[Advanced Network/Insurance Carrier Org ID]],100)/G73,"NA")</f>
        <v>NA</v>
      </c>
      <c r="K368" s="57" t="str">
        <f>IF(G73&lt;&gt;0,SUMIFS(AN_TME23[[#All],[Claims: Long-Term Care]], AN_TME23[[#All],[Insurance Category Code]], B355, AN_TME23[[#All],[Advanced Network/Insurance Carrier Org ID]],100)/G73,"NA")</f>
        <v>NA</v>
      </c>
      <c r="L368" s="57" t="str">
        <f>IF(G73&lt;&gt;0,SUMIFS(AN_TME23[[#All],[Claims: Other]], AN_TME23[[#All],[Insurance Category Code]], B355, AN_TME23[[#All],[Advanced Network/Insurance Carrier Org ID]],100)/G73,"NA")</f>
        <v>NA</v>
      </c>
      <c r="M368" s="57" t="str">
        <f>IF(G73&lt;&gt;0,SUMIFS(AN_TME23[[#All],[TOTAL Non-Claims Expenses]], AN_TME23[[#All],[Insurance Category Code]], B355, AN_TME23[[#All],[Advanced Network/Insurance Carrier Org ID]],100)/G73,"NA")</f>
        <v>NA</v>
      </c>
      <c r="N368" s="241">
        <f>SUMIFS(AN_TME23[[#All],[Claims: Pharmacy]], AN_TME23[[#All],[Insurance Category Code]], B368, AN_TME23[[#All],[Advanced Network/Insurance Carrier Org ID]],100)</f>
        <v>0</v>
      </c>
      <c r="O368" s="241">
        <f>ABS(SUMIF(RX_REBATES23[[#All],[Insurance Category Code]], B368, RX_REBATES23[[#All],[Total Pharmacy Rebates]]))</f>
        <v>0</v>
      </c>
      <c r="P368" s="9" t="str">
        <f t="shared" si="39"/>
        <v>Yes, please resubmit</v>
      </c>
    </row>
    <row r="369" spans="2:16" x14ac:dyDescent="0.25">
      <c r="B369" s="4">
        <v>4</v>
      </c>
      <c r="C369" s="55" t="str">
        <f>IF(G74&lt;&gt;0,SUMIFS(AN_TME23[[#All],[TOTAL Non-Truncated Unadjusted Expenses (A21 + A23)]], AN_TME23[[#All],[Insurance Category Code]], B356, AN_TME23[[#All],[Advanced Network/Insurance Carrier Org ID]],100)/G74,"NA")</f>
        <v>NA</v>
      </c>
      <c r="D369" s="56" t="str">
        <f>IF(G74&lt;&gt;0,SUMIFS(AN_TME23[[#All],[Claims: Hospital Inpatient]], AN_TME23[[#All],[Insurance Category Code]], B356, AN_TME23[[#All],[Advanced Network/Insurance Carrier Org ID]],100)/G74,"NA")</f>
        <v>NA</v>
      </c>
      <c r="E369" s="56" t="str">
        <f>IF(G74&lt;&gt;0,SUMIFS(AN_TME23[[#All],[Claims: Hospital Outpatient]], AN_TME23[[#All],[Insurance Category Code]], B356, AN_TME23[[#All],[Advanced Network/Insurance Carrier Org ID]],100)/G74,"NA")</f>
        <v>NA</v>
      </c>
      <c r="F369" s="56" t="str">
        <f>IF(G74&lt;&gt;0,SUMIFS(AN_TME23[[#All],[Claims: Professional, Primary Care]], AN_TME23[[#All],[Insurance Category Code]], B356, AN_TME23[[#All],[Advanced Network/Insurance Carrier Org ID]],100)/G74,"NA")</f>
        <v>NA</v>
      </c>
      <c r="G369" s="56" t="str">
        <f>IF(G74&lt;&gt;0,SUMIFS(AN_TME23[[#All],[Claims: Professional, Primary Care (for Monitoring Purposes)]], AN_TME23[[#All],[Insurance Category Code]], B356, AN_TME23[[#All],[Advanced Network/Insurance Carrier Org ID]],100)/G74,"NA")</f>
        <v>NA</v>
      </c>
      <c r="H369" s="56" t="str">
        <f>IF(G74&lt;&gt;0,SUMIFS(AN_TME23[[#All],[Claims: Professional, Specialty]], AN_TME23[[#All],[Insurance Category Code]], B356, AN_TME23[[#All],[Advanced Network/Insurance Carrier Org ID]],100)/G74,"NA")</f>
        <v>NA</v>
      </c>
      <c r="I369" s="56" t="str">
        <f>IF(G74&lt;&gt;0,SUMIFS(AN_TME23[[#All],[Claims: Professional Other]], AN_TME23[[#All],[Insurance Category Code]], B356, AN_TME23[[#All],[Advanced Network/Insurance Carrier Org ID]],100)/G74,"NA")</f>
        <v>NA</v>
      </c>
      <c r="J369" s="55" t="str">
        <f>IF(G74&lt;&gt;0,SUMIFS(AN_TME23[[#All],[Claims: Pharmacy]], AN_TME23[[#All],[Insurance Category Code]], B356, AN_TME23[[#All],[Advanced Network/Insurance Carrier Org ID]],100)/G74,"NA")</f>
        <v>NA</v>
      </c>
      <c r="K369" s="57" t="str">
        <f>IF(G74&lt;&gt;0,SUMIFS(AN_TME23[[#All],[Claims: Long-Term Care]], AN_TME23[[#All],[Insurance Category Code]], B356, AN_TME23[[#All],[Advanced Network/Insurance Carrier Org ID]],100)/G74,"NA")</f>
        <v>NA</v>
      </c>
      <c r="L369" s="57" t="str">
        <f>IF(G74&lt;&gt;0,SUMIFS(AN_TME23[[#All],[Claims: Other]], AN_TME23[[#All],[Insurance Category Code]], B356, AN_TME23[[#All],[Advanced Network/Insurance Carrier Org ID]],100)/G74,"NA")</f>
        <v>NA</v>
      </c>
      <c r="M369" s="57" t="str">
        <f>IF(G74&lt;&gt;0,SUMIFS(AN_TME23[[#All],[TOTAL Non-Claims Expenses]], AN_TME23[[#All],[Insurance Category Code]], B356, AN_TME23[[#All],[Advanced Network/Insurance Carrier Org ID]],100)/G74,"NA")</f>
        <v>NA</v>
      </c>
      <c r="N369" s="241">
        <f>SUMIFS(AN_TME23[[#All],[Claims: Pharmacy]], AN_TME23[[#All],[Insurance Category Code]], B369, AN_TME23[[#All],[Advanced Network/Insurance Carrier Org ID]],100)</f>
        <v>0</v>
      </c>
      <c r="O369" s="241">
        <f>ABS(SUMIF(RX_REBATES23[[#All],[Insurance Category Code]], B369, RX_REBATES23[[#All],[Total Pharmacy Rebates]]))</f>
        <v>0</v>
      </c>
      <c r="P369" s="9" t="str">
        <f t="shared" si="39"/>
        <v>Yes, please resubmit</v>
      </c>
    </row>
    <row r="370" spans="2:16" x14ac:dyDescent="0.25">
      <c r="B370" s="4">
        <v>5</v>
      </c>
      <c r="C370" s="55" t="str">
        <f>IF(G75&lt;&gt;0,SUMIFS(AN_TME23[[#All],[TOTAL Non-Truncated Unadjusted Expenses (A21 + A23)]], AN_TME23[[#All],[Insurance Category Code]], B357, AN_TME23[[#All],[Advanced Network/Insurance Carrier Org ID]],100)/G75,"NA")</f>
        <v>NA</v>
      </c>
      <c r="D370" s="56" t="str">
        <f>IF(G75&lt;&gt;0,SUMIFS(AN_TME23[[#All],[Claims: Hospital Inpatient]], AN_TME23[[#All],[Insurance Category Code]], B357, AN_TME23[[#All],[Advanced Network/Insurance Carrier Org ID]],100)/G75,"NA")</f>
        <v>NA</v>
      </c>
      <c r="E370" s="56" t="str">
        <f>IF(G75&lt;&gt;0,SUMIFS(AN_TME23[[#All],[Claims: Hospital Outpatient]], AN_TME23[[#All],[Insurance Category Code]], B357, AN_TME23[[#All],[Advanced Network/Insurance Carrier Org ID]],100)/G75,"NA")</f>
        <v>NA</v>
      </c>
      <c r="F370" s="56" t="str">
        <f>IF(G75&lt;&gt;0,SUMIFS(AN_TME23[[#All],[Claims: Professional, Primary Care]], AN_TME23[[#All],[Insurance Category Code]], B357, AN_TME23[[#All],[Advanced Network/Insurance Carrier Org ID]],100)/G75,"NA")</f>
        <v>NA</v>
      </c>
      <c r="G370" s="56" t="str">
        <f>IF(G75&lt;&gt;0,SUMIFS(AN_TME23[[#All],[Claims: Professional, Primary Care (for Monitoring Purposes)]], AN_TME23[[#All],[Insurance Category Code]], B357, AN_TME23[[#All],[Advanced Network/Insurance Carrier Org ID]],100)/G75,"NA")</f>
        <v>NA</v>
      </c>
      <c r="H370" s="56" t="str">
        <f>IF(G75&lt;&gt;0,SUMIFS(AN_TME23[[#All],[Claims: Professional, Specialty]], AN_TME23[[#All],[Insurance Category Code]], B357, AN_TME23[[#All],[Advanced Network/Insurance Carrier Org ID]],100)/G75,"NA")</f>
        <v>NA</v>
      </c>
      <c r="I370" s="56" t="str">
        <f>IF(G75&lt;&gt;0,SUMIFS(AN_TME23[[#All],[Claims: Professional Other]], AN_TME23[[#All],[Insurance Category Code]], B357, AN_TME23[[#All],[Advanced Network/Insurance Carrier Org ID]],100)/G75,"NA")</f>
        <v>NA</v>
      </c>
      <c r="J370" s="55" t="str">
        <f>IF(G75&lt;&gt;0,SUMIFS(AN_TME23[[#All],[Claims: Pharmacy]], AN_TME23[[#All],[Insurance Category Code]], B357, AN_TME23[[#All],[Advanced Network/Insurance Carrier Org ID]],100)/G75,"NA")</f>
        <v>NA</v>
      </c>
      <c r="K370" s="57" t="str">
        <f>IF(G75&lt;&gt;0,SUMIFS(AN_TME23[[#All],[Claims: Long-Term Care]], AN_TME23[[#All],[Insurance Category Code]], B357, AN_TME23[[#All],[Advanced Network/Insurance Carrier Org ID]],100)/G75,"NA")</f>
        <v>NA</v>
      </c>
      <c r="L370" s="57" t="str">
        <f>IF(G75&lt;&gt;0,SUMIFS(AN_TME23[[#All],[Claims: Other]], AN_TME23[[#All],[Insurance Category Code]], B357, AN_TME23[[#All],[Advanced Network/Insurance Carrier Org ID]],100)/G75,"NA")</f>
        <v>NA</v>
      </c>
      <c r="M370" s="57" t="str">
        <f>IF(G75&lt;&gt;0,SUMIFS(AN_TME23[[#All],[TOTAL Non-Claims Expenses]], AN_TME23[[#All],[Insurance Category Code]], B357, AN_TME23[[#All],[Advanced Network/Insurance Carrier Org ID]],100)/G75,"NA")</f>
        <v>NA</v>
      </c>
      <c r="N370" s="241">
        <f>SUMIFS(AN_TME23[[#All],[Claims: Pharmacy]], AN_TME23[[#All],[Insurance Category Code]], B370, AN_TME23[[#All],[Advanced Network/Insurance Carrier Org ID]],100)</f>
        <v>0</v>
      </c>
      <c r="O370" s="241">
        <f>ABS(SUMIF(RX_REBATES23[[#All],[Insurance Category Code]], B370, RX_REBATES23[[#All],[Total Pharmacy Rebates]]))</f>
        <v>0</v>
      </c>
      <c r="P370" s="9" t="str">
        <f t="shared" si="39"/>
        <v>Yes, please resubmit</v>
      </c>
    </row>
    <row r="371" spans="2:16" ht="15.75" thickBot="1" x14ac:dyDescent="0.3">
      <c r="B371" s="4">
        <v>6</v>
      </c>
      <c r="C371" s="55" t="str">
        <f>IF(G76&lt;&gt;0,SUMIFS(AN_TME23[[#All],[TOTAL Non-Truncated Unadjusted Expenses (A21 + A23)]], AN_TME23[[#All],[Insurance Category Code]], B358, AN_TME23[[#All],[Advanced Network/Insurance Carrier Org ID]],100)/G76,"NA")</f>
        <v>NA</v>
      </c>
      <c r="D371" s="56" t="str">
        <f>IF(G76&lt;&gt;0,SUMIFS(AN_TME23[[#All],[Claims: Hospital Inpatient]], AN_TME23[[#All],[Insurance Category Code]], B358, AN_TME23[[#All],[Advanced Network/Insurance Carrier Org ID]],100)/G76,"NA")</f>
        <v>NA</v>
      </c>
      <c r="E371" s="56" t="str">
        <f>IF(G76&lt;&gt;0,SUMIFS(AN_TME23[[#All],[Claims: Hospital Outpatient]], AN_TME23[[#All],[Insurance Category Code]], B358, AN_TME23[[#All],[Advanced Network/Insurance Carrier Org ID]],100)/G76,"NA")</f>
        <v>NA</v>
      </c>
      <c r="F371" s="56" t="str">
        <f>IF(G76&lt;&gt;0,SUMIFS(AN_TME23[[#All],[Claims: Professional, Primary Care]], AN_TME23[[#All],[Insurance Category Code]], B358, AN_TME23[[#All],[Advanced Network/Insurance Carrier Org ID]],100)/G76,"NA")</f>
        <v>NA</v>
      </c>
      <c r="G371" s="56" t="str">
        <f>IF(G76&lt;&gt;0,SUMIFS(AN_TME23[[#All],[Claims: Professional, Primary Care (for Monitoring Purposes)]], AN_TME23[[#All],[Insurance Category Code]], B358, AN_TME23[[#All],[Advanced Network/Insurance Carrier Org ID]],100)/G76,"NA")</f>
        <v>NA</v>
      </c>
      <c r="H371" s="56" t="str">
        <f>IF(G76&lt;&gt;0,SUMIFS(AN_TME23[[#All],[Claims: Professional, Specialty]], AN_TME23[[#All],[Insurance Category Code]], B358, AN_TME23[[#All],[Advanced Network/Insurance Carrier Org ID]],100)/G76,"NA")</f>
        <v>NA</v>
      </c>
      <c r="I371" s="56" t="str">
        <f>IF(G76&lt;&gt;0,SUMIFS(AN_TME23[[#All],[Claims: Professional Other]], AN_TME23[[#All],[Insurance Category Code]], B358, AN_TME23[[#All],[Advanced Network/Insurance Carrier Org ID]],100)/G76,"NA")</f>
        <v>NA</v>
      </c>
      <c r="J371" s="55" t="str">
        <f>IF(G76&lt;&gt;0,SUMIFS(AN_TME23[[#All],[Claims: Pharmacy]], AN_TME23[[#All],[Insurance Category Code]], B358, AN_TME23[[#All],[Advanced Network/Insurance Carrier Org ID]],100)/G76,"NA")</f>
        <v>NA</v>
      </c>
      <c r="K371" s="57" t="str">
        <f>IF(G76&lt;&gt;0,SUMIFS(AN_TME23[[#All],[Claims: Long-Term Care]], AN_TME23[[#All],[Insurance Category Code]], B358, AN_TME23[[#All],[Advanced Network/Insurance Carrier Org ID]],100)/G76,"NA")</f>
        <v>NA</v>
      </c>
      <c r="L371" s="57" t="str">
        <f>IF(G76&lt;&gt;0,SUMIFS(AN_TME23[[#All],[Claims: Other]], AN_TME23[[#All],[Insurance Category Code]], B358, AN_TME23[[#All],[Advanced Network/Insurance Carrier Org ID]],100)/G76,"NA")</f>
        <v>NA</v>
      </c>
      <c r="M371" s="57" t="str">
        <f>IF(G76&lt;&gt;0,SUMIFS(AN_TME23[[#All],[TOTAL Non-Claims Expenses]], AN_TME23[[#All],[Insurance Category Code]], B358, AN_TME23[[#All],[Advanced Network/Insurance Carrier Org ID]],100)/G76,"NA")</f>
        <v>NA</v>
      </c>
      <c r="N371" s="316">
        <f>SUMIFS(AN_TME23[[#All],[Claims: Pharmacy]], AN_TME23[[#All],[Insurance Category Code]], B371, AN_TME23[[#All],[Advanced Network/Insurance Carrier Org ID]],100)</f>
        <v>0</v>
      </c>
      <c r="O371" s="316">
        <f>ABS(SUMIF(RX_REBATES23[[#All],[Insurance Category Code]], B371, RX_REBATES23[[#All],[Total Pharmacy Rebates]]))</f>
        <v>0</v>
      </c>
      <c r="P371" s="317" t="str">
        <f t="shared" si="39"/>
        <v>Yes, please resubmit</v>
      </c>
    </row>
    <row r="372" spans="2:16" ht="45.75" thickBot="1" x14ac:dyDescent="0.3">
      <c r="B372" s="34" t="s">
        <v>399</v>
      </c>
      <c r="C372" s="58" t="str">
        <f t="shared" ref="C372:M372" si="40">IFERROR(IF(ABS(C369/C368-1)&lt;10%,"No","Yes"), "NA")</f>
        <v>NA</v>
      </c>
      <c r="D372" s="58" t="str">
        <f t="shared" si="40"/>
        <v>NA</v>
      </c>
      <c r="E372" s="58" t="str">
        <f t="shared" si="40"/>
        <v>NA</v>
      </c>
      <c r="F372" s="58" t="str">
        <f t="shared" si="40"/>
        <v>NA</v>
      </c>
      <c r="G372" s="58" t="str">
        <f t="shared" si="40"/>
        <v>NA</v>
      </c>
      <c r="H372" s="58" t="str">
        <f t="shared" si="40"/>
        <v>NA</v>
      </c>
      <c r="I372" s="58" t="str">
        <f t="shared" si="40"/>
        <v>NA</v>
      </c>
      <c r="J372" s="58" t="str">
        <f t="shared" si="40"/>
        <v>NA</v>
      </c>
      <c r="K372" s="59" t="str">
        <f t="shared" si="40"/>
        <v>NA</v>
      </c>
      <c r="L372" s="59" t="str">
        <f t="shared" si="40"/>
        <v>NA</v>
      </c>
      <c r="M372" s="60" t="str">
        <f t="shared" si="40"/>
        <v>NA</v>
      </c>
      <c r="N372" s="318" t="s">
        <v>28</v>
      </c>
      <c r="O372" s="319" t="s">
        <v>28</v>
      </c>
      <c r="P372" s="320" t="s">
        <v>28</v>
      </c>
    </row>
    <row r="374" spans="2:16" x14ac:dyDescent="0.25">
      <c r="B374" s="363" t="s">
        <v>366</v>
      </c>
    </row>
    <row r="376" spans="2:16" ht="18.75" x14ac:dyDescent="0.3">
      <c r="B376" s="279" t="s">
        <v>401</v>
      </c>
      <c r="D376" s="37"/>
      <c r="F376" s="15" t="s">
        <v>444</v>
      </c>
      <c r="H376" s="37"/>
    </row>
    <row r="377" spans="2:16" x14ac:dyDescent="0.25">
      <c r="B377" s="27" t="s">
        <v>402</v>
      </c>
      <c r="F377" s="27" t="s">
        <v>402</v>
      </c>
    </row>
    <row r="378" spans="2:16" x14ac:dyDescent="0.25">
      <c r="B378" s="5" t="s">
        <v>61</v>
      </c>
      <c r="C378" s="5" t="s">
        <v>403</v>
      </c>
      <c r="D378" s="5" t="s">
        <v>404</v>
      </c>
      <c r="F378" s="5" t="s">
        <v>61</v>
      </c>
      <c r="G378" s="5" t="s">
        <v>403</v>
      </c>
      <c r="H378" s="5" t="s">
        <v>404</v>
      </c>
    </row>
    <row r="379" spans="2:16" ht="45" x14ac:dyDescent="0.25">
      <c r="B379" s="340" t="s">
        <v>405</v>
      </c>
      <c r="C379" s="35" t="s">
        <v>406</v>
      </c>
      <c r="D379" s="36" t="str">
        <f>IF(C71+C75=0,"NA",ABS((C71+C75)/(VLOOKUP(C1,PublicData22[],2,FALSE))-1))</f>
        <v>NA</v>
      </c>
      <c r="F379" s="340" t="s">
        <v>405</v>
      </c>
      <c r="G379" s="35" t="s">
        <v>406</v>
      </c>
      <c r="H379" s="36" t="str">
        <f>IF(G71+G75=0,"NA",ABS((G71+G75)/(VLOOKUP(C1,PublicData23[],2,FALSE))-1))</f>
        <v>NA</v>
      </c>
    </row>
    <row r="381" spans="2:16" x14ac:dyDescent="0.25">
      <c r="B381" s="18"/>
      <c r="C381" s="30"/>
      <c r="D381" s="14"/>
    </row>
    <row r="382" spans="2:16" x14ac:dyDescent="0.25">
      <c r="B382" s="18"/>
      <c r="C382" s="30"/>
      <c r="D382" s="14"/>
    </row>
    <row r="383" spans="2:16" ht="18.75" x14ac:dyDescent="0.3">
      <c r="B383" s="279" t="s">
        <v>407</v>
      </c>
      <c r="C383" s="30"/>
    </row>
    <row r="384" spans="2:16" x14ac:dyDescent="0.25">
      <c r="B384" s="137" t="s">
        <v>408</v>
      </c>
      <c r="C384" s="30"/>
    </row>
    <row r="385" spans="2:6" x14ac:dyDescent="0.25">
      <c r="B385" s="138" t="s">
        <v>409</v>
      </c>
      <c r="C385" s="8" t="s">
        <v>411</v>
      </c>
      <c r="D385" s="8" t="s">
        <v>410</v>
      </c>
      <c r="E385" s="8" t="s">
        <v>445</v>
      </c>
      <c r="F385" s="8" t="s">
        <v>410</v>
      </c>
    </row>
    <row r="386" spans="2:6" ht="30" x14ac:dyDescent="0.25">
      <c r="B386" s="213" t="s">
        <v>248</v>
      </c>
      <c r="C386" s="9">
        <f>'Mandatory Questions'!C12</f>
        <v>0</v>
      </c>
      <c r="D386" s="9" t="str">
        <f>IF(C386=VLOOKUP(B386,MandatoryQ[#All],2,FALSE),"Yes","No")</f>
        <v>No</v>
      </c>
      <c r="E386" s="9">
        <f>'Mandatory Questions'!D12</f>
        <v>0</v>
      </c>
      <c r="F386" s="9" t="str">
        <f>IF(E386=VLOOKUP(B386,MandatoryQ[#All],2,FALSE),"Yes","No")</f>
        <v>No</v>
      </c>
    </row>
    <row r="387" spans="2:6" ht="45" x14ac:dyDescent="0.25">
      <c r="B387" s="213" t="s">
        <v>249</v>
      </c>
      <c r="C387" s="9">
        <f>'Mandatory Questions'!C13</f>
        <v>0</v>
      </c>
      <c r="D387" s="9" t="str">
        <f>IF(C387=VLOOKUP(B387,MandatoryQ[#All],2,FALSE),"Yes","No")</f>
        <v>No</v>
      </c>
      <c r="E387" s="9">
        <f>'Mandatory Questions'!D13</f>
        <v>0</v>
      </c>
      <c r="F387" s="9" t="str">
        <f>IF(E387=VLOOKUP(B387,MandatoryQ[#All],2,FALSE),"Yes","No")</f>
        <v>No</v>
      </c>
    </row>
    <row r="388" spans="2:6" ht="30" x14ac:dyDescent="0.25">
      <c r="B388" s="213" t="s">
        <v>250</v>
      </c>
      <c r="C388" s="9">
        <f>'Mandatory Questions'!C14</f>
        <v>0</v>
      </c>
      <c r="D388" s="9" t="str">
        <f>IF(C388=VLOOKUP(B388,MandatoryQ[#All],2,FALSE),"Yes","No")</f>
        <v>No</v>
      </c>
      <c r="E388" s="9">
        <f>'Mandatory Questions'!D14</f>
        <v>0</v>
      </c>
      <c r="F388" s="9" t="str">
        <f>IF(E388=VLOOKUP(B388,MandatoryQ[#All],2,FALSE),"Yes","No")</f>
        <v>No</v>
      </c>
    </row>
    <row r="389" spans="2:6" ht="30" x14ac:dyDescent="0.25">
      <c r="B389" s="213" t="s">
        <v>251</v>
      </c>
      <c r="C389" s="9">
        <f>'Mandatory Questions'!C15</f>
        <v>0</v>
      </c>
      <c r="D389" s="9" t="str">
        <f>IF(C389=VLOOKUP(B389,MandatoryQ[#All],2,FALSE),"Yes","No")</f>
        <v>No</v>
      </c>
      <c r="E389" s="9">
        <f>'Mandatory Questions'!D15</f>
        <v>0</v>
      </c>
      <c r="F389" s="9" t="str">
        <f>IF(E389=VLOOKUP(B389,MandatoryQ[#All],2,FALSE),"Yes","No")</f>
        <v>No</v>
      </c>
    </row>
    <row r="390" spans="2:6" ht="30" x14ac:dyDescent="0.25">
      <c r="B390" s="213" t="s">
        <v>252</v>
      </c>
      <c r="C390" s="9">
        <f>'Mandatory Questions'!C16</f>
        <v>0</v>
      </c>
      <c r="D390" s="9" t="str">
        <f>IF(C390=VLOOKUP(B390,MandatoryQ[#All],2,FALSE),"Yes","No")</f>
        <v>No</v>
      </c>
      <c r="E390" s="9">
        <f>'Mandatory Questions'!D16</f>
        <v>0</v>
      </c>
      <c r="F390" s="9" t="str">
        <f>IF(E390=VLOOKUP(B390,MandatoryQ[#All],2,FALSE),"Yes","No")</f>
        <v>No</v>
      </c>
    </row>
    <row r="391" spans="2:6" ht="45" x14ac:dyDescent="0.25">
      <c r="B391" s="213" t="s">
        <v>453</v>
      </c>
      <c r="C391" s="9">
        <f>'Mandatory Questions'!C17</f>
        <v>0</v>
      </c>
      <c r="D391" s="9" t="e">
        <f>IF(C391=VLOOKUP(B391,MandatoryQ[#All],2,FALSE),"Yes","No")</f>
        <v>#N/A</v>
      </c>
      <c r="E391" s="9">
        <f>'Mandatory Questions'!D17</f>
        <v>0</v>
      </c>
      <c r="F391" s="9" t="e">
        <f>IF(E391=VLOOKUP(B391,MandatoryQ[#All],2,FALSE),"Yes","No")</f>
        <v>#N/A</v>
      </c>
    </row>
    <row r="392" spans="2:6" ht="60" x14ac:dyDescent="0.25">
      <c r="B392" s="213" t="s">
        <v>412</v>
      </c>
      <c r="C392" s="9">
        <f>'Mandatory Questions'!C18</f>
        <v>0</v>
      </c>
      <c r="D392" s="9" t="str">
        <f>IF(C392=VLOOKUP(B392,MandatoryQ[#All],2,FALSE),"Yes","No")</f>
        <v>No</v>
      </c>
      <c r="E392" s="9">
        <f>'Mandatory Questions'!D18</f>
        <v>0</v>
      </c>
      <c r="F392" s="9" t="str">
        <f>IF(E392=VLOOKUP(B392,MandatoryQ[#All],2,FALSE),"Yes","No")</f>
        <v>No</v>
      </c>
    </row>
    <row r="393" spans="2:6" ht="30" x14ac:dyDescent="0.25">
      <c r="B393" s="213" t="s">
        <v>254</v>
      </c>
      <c r="C393" s="9">
        <f>'Mandatory Questions'!C19</f>
        <v>0</v>
      </c>
      <c r="D393" s="9" t="str">
        <f>IF(C393=VLOOKUP(B393,MandatoryQ[#All],2,FALSE),"Yes","No")</f>
        <v>No</v>
      </c>
      <c r="E393" s="9">
        <f>'Mandatory Questions'!D19</f>
        <v>0</v>
      </c>
      <c r="F393" s="9" t="str">
        <f>IF(E393=VLOOKUP(B393,MandatoryQ[#All],2,FALSE),"Yes","No")</f>
        <v>No</v>
      </c>
    </row>
    <row r="394" spans="2:6" ht="30" x14ac:dyDescent="0.25">
      <c r="B394" s="213" t="s">
        <v>255</v>
      </c>
      <c r="C394" s="9">
        <f>'Mandatory Questions'!C20</f>
        <v>0</v>
      </c>
      <c r="D394" s="9" t="str">
        <f>IF(C394=VLOOKUP(B394,MandatoryQ[#All],2,FALSE),"Yes","No")</f>
        <v>No</v>
      </c>
      <c r="E394" s="9">
        <f>'Mandatory Questions'!D20</f>
        <v>0</v>
      </c>
      <c r="F394" s="9" t="str">
        <f>IF(E394=VLOOKUP(B394,MandatoryQ[#All],2,FALSE),"Yes","No")</f>
        <v>No</v>
      </c>
    </row>
    <row r="395" spans="2:6" ht="30" x14ac:dyDescent="0.25">
      <c r="B395" s="213" t="s">
        <v>256</v>
      </c>
      <c r="C395" s="9">
        <f>'Mandatory Questions'!C21</f>
        <v>0</v>
      </c>
      <c r="D395" s="9" t="str">
        <f>IF(C395=VLOOKUP(B395,MandatoryQ[#All],2,FALSE),"Yes","No")</f>
        <v>No</v>
      </c>
      <c r="E395" s="9">
        <f>'Mandatory Questions'!D21</f>
        <v>0</v>
      </c>
      <c r="F395" s="9" t="str">
        <f>IF(E395=VLOOKUP(B395,MandatoryQ[#All],2,FALSE),"Yes","No")</f>
        <v>No</v>
      </c>
    </row>
    <row r="396" spans="2:6" ht="30" x14ac:dyDescent="0.25">
      <c r="B396" s="213" t="s">
        <v>257</v>
      </c>
      <c r="C396" s="9">
        <f>'Mandatory Questions'!C22</f>
        <v>0</v>
      </c>
      <c r="D396" s="9" t="str">
        <f>IF(C396=VLOOKUP(B396,MandatoryQ[#All],2,FALSE),"Yes","No")</f>
        <v>No</v>
      </c>
      <c r="E396" s="9">
        <f>'Mandatory Questions'!D22</f>
        <v>0</v>
      </c>
      <c r="F396" s="9" t="str">
        <f>IF(E396=VLOOKUP(B396,MandatoryQ[#All],2,FALSE),"Yes","No")</f>
        <v>No</v>
      </c>
    </row>
    <row r="397" spans="2:6" ht="30" x14ac:dyDescent="0.25">
      <c r="B397" s="213" t="s">
        <v>258</v>
      </c>
      <c r="C397" s="9">
        <f>'Mandatory Questions'!C23</f>
        <v>0</v>
      </c>
      <c r="D397" s="9" t="str">
        <f>IF(C397=VLOOKUP(B397,MandatoryQ[#All],2,FALSE),"Yes","No")</f>
        <v>No</v>
      </c>
      <c r="E397" s="9">
        <f>'Mandatory Questions'!D23</f>
        <v>0</v>
      </c>
      <c r="F397" s="9" t="str">
        <f>IF(E397=VLOOKUP(B397,MandatoryQ[#All],2,FALSE),"Yes","No")</f>
        <v>No</v>
      </c>
    </row>
    <row r="398" spans="2:6" ht="45" x14ac:dyDescent="0.25">
      <c r="B398" s="213" t="s">
        <v>259</v>
      </c>
      <c r="C398" s="9">
        <f>'Mandatory Questions'!C24</f>
        <v>0</v>
      </c>
      <c r="D398" s="9" t="str">
        <f>IF(C398=VLOOKUP(B398,MandatoryQ[#All],2,FALSE),"Yes","No")</f>
        <v>No</v>
      </c>
      <c r="E398" s="9">
        <f>'Mandatory Questions'!D24</f>
        <v>0</v>
      </c>
      <c r="F398" s="9" t="str">
        <f>IF(E398=VLOOKUP(B398,MandatoryQ[#All],2,FALSE),"Yes","No")</f>
        <v>No</v>
      </c>
    </row>
    <row r="399" spans="2:6" ht="45" x14ac:dyDescent="0.25">
      <c r="B399" s="213" t="s">
        <v>260</v>
      </c>
      <c r="C399" s="9">
        <f>'Mandatory Questions'!C25</f>
        <v>0</v>
      </c>
      <c r="D399" s="9" t="str">
        <f>IF(C399=VLOOKUP(B399,MandatoryQ[#All],2,FALSE),"Yes","No")</f>
        <v>No</v>
      </c>
      <c r="E399" s="9">
        <f>'Mandatory Questions'!D25</f>
        <v>0</v>
      </c>
      <c r="F399" s="9" t="str">
        <f>IF(E399=VLOOKUP(B399,MandatoryQ[#All],2,FALSE),"Yes","No")</f>
        <v>No</v>
      </c>
    </row>
    <row r="400" spans="2:6" ht="45" x14ac:dyDescent="0.25">
      <c r="B400" s="213" t="s">
        <v>261</v>
      </c>
      <c r="C400" s="9">
        <f>'Mandatory Questions'!C26</f>
        <v>0</v>
      </c>
      <c r="D400" s="9" t="str">
        <f>IF(C400=VLOOKUP(B400,MandatoryQ[#All],2,FALSE),"Yes","No")</f>
        <v>No</v>
      </c>
      <c r="E400" s="9">
        <f>'Mandatory Questions'!D26</f>
        <v>0</v>
      </c>
      <c r="F400" s="9" t="str">
        <f>IF(E400=VLOOKUP(B400,MandatoryQ[#All],2,FALSE),"Yes","No")</f>
        <v>No</v>
      </c>
    </row>
    <row r="401" spans="2:6" ht="30" x14ac:dyDescent="0.25">
      <c r="B401" s="213" t="s">
        <v>262</v>
      </c>
      <c r="C401" s="9">
        <f>'Mandatory Questions'!C27</f>
        <v>0</v>
      </c>
      <c r="D401" s="9" t="str">
        <f>IF(C401=VLOOKUP(B401,MandatoryQ[#All],2,FALSE),"Yes","No")</f>
        <v>No</v>
      </c>
      <c r="E401" s="9">
        <f>'Mandatory Questions'!D27</f>
        <v>0</v>
      </c>
      <c r="F401" s="9" t="str">
        <f>IF(E401=VLOOKUP(B401,MandatoryQ[#All],2,FALSE),"Yes","No")</f>
        <v>No</v>
      </c>
    </row>
    <row r="402" spans="2:6" ht="30" x14ac:dyDescent="0.25">
      <c r="B402" s="213" t="s">
        <v>263</v>
      </c>
      <c r="C402" s="9">
        <f>'Mandatory Questions'!C28</f>
        <v>0</v>
      </c>
      <c r="D402" s="9" t="str">
        <f>IF(C402=VLOOKUP(B402,MandatoryQ[#All],2,FALSE),"Yes","No")</f>
        <v>No</v>
      </c>
      <c r="E402" s="9">
        <f>'Mandatory Questions'!D28</f>
        <v>0</v>
      </c>
      <c r="F402" s="9" t="str">
        <f>IF(E402=VLOOKUP(B402,MandatoryQ[#All],2,FALSE),"Yes","No")</f>
        <v>No</v>
      </c>
    </row>
    <row r="403" spans="2:6" ht="30" x14ac:dyDescent="0.25">
      <c r="B403" s="213" t="s">
        <v>264</v>
      </c>
      <c r="C403" s="9">
        <f>'Mandatory Questions'!C29</f>
        <v>0</v>
      </c>
      <c r="D403" s="9" t="str">
        <f>IF(C403=VLOOKUP(B403,MandatoryQ[#All],2,FALSE),"Yes","No")</f>
        <v>No</v>
      </c>
      <c r="E403" s="9">
        <f>'Mandatory Questions'!D29</f>
        <v>0</v>
      </c>
      <c r="F403" s="9" t="str">
        <f>IF(E403=VLOOKUP(B403,MandatoryQ[#All],2,FALSE),"Yes","No")</f>
        <v>No</v>
      </c>
    </row>
    <row r="404" spans="2:6" ht="30" x14ac:dyDescent="0.25">
      <c r="B404" s="213" t="s">
        <v>265</v>
      </c>
      <c r="C404" s="9">
        <f>'Mandatory Questions'!C30</f>
        <v>0</v>
      </c>
      <c r="D404" s="9" t="str">
        <f>IF(C404=VLOOKUP(B404,MandatoryQ[#All],2,FALSE),"Yes","No")</f>
        <v>Yes</v>
      </c>
      <c r="E404" s="9">
        <f>'Mandatory Questions'!D30</f>
        <v>0</v>
      </c>
      <c r="F404" s="9" t="str">
        <f>IF(E404=VLOOKUP(B404,MandatoryQ[#All],2,FALSE),"Yes","No")</f>
        <v>Yes</v>
      </c>
    </row>
    <row r="405" spans="2:6" ht="30" x14ac:dyDescent="0.25">
      <c r="B405" s="213" t="s">
        <v>491</v>
      </c>
      <c r="C405" s="9">
        <f>'Mandatory Questions'!C31</f>
        <v>0</v>
      </c>
      <c r="D405" s="9" t="e">
        <f>IF(C405=VLOOKUP(B405,MandatoryQ[#All],2,FALSE),"Yes","No")</f>
        <v>#N/A</v>
      </c>
      <c r="E405" s="9">
        <f>'Mandatory Questions'!D31</f>
        <v>0</v>
      </c>
      <c r="F405" s="9" t="e">
        <f>IF(E405=VLOOKUP(B405,MandatoryQ[#All],2,FALSE),"Yes","No")</f>
        <v>#N/A</v>
      </c>
    </row>
    <row r="406" spans="2:6" x14ac:dyDescent="0.25">
      <c r="B406" s="213" t="s">
        <v>492</v>
      </c>
      <c r="C406" s="9">
        <f>'Mandatory Questions'!C32</f>
        <v>0</v>
      </c>
      <c r="D406" s="9" t="e">
        <f>IF(C406=VLOOKUP(B406,MandatoryQ[#All],2,FALSE),"Yes","No")</f>
        <v>#N/A</v>
      </c>
      <c r="E406" s="9">
        <f>'Mandatory Questions'!D32</f>
        <v>0</v>
      </c>
      <c r="F406" s="9" t="e">
        <f>IF(E406=VLOOKUP(B406,MandatoryQ[#All],2,FALSE),"Yes","No")</f>
        <v>#N/A</v>
      </c>
    </row>
    <row r="407" spans="2:6" ht="75" x14ac:dyDescent="0.25">
      <c r="B407" s="213" t="s">
        <v>493</v>
      </c>
      <c r="C407" s="9">
        <f>'Mandatory Questions'!C33</f>
        <v>0</v>
      </c>
      <c r="D407" s="9" t="e">
        <f>IF(C407=VLOOKUP(B407,MandatoryQ[#All],2,FALSE),"Yes","No")</f>
        <v>#N/A</v>
      </c>
      <c r="E407" s="9">
        <f>'Mandatory Questions'!D33</f>
        <v>0</v>
      </c>
      <c r="F407" s="9" t="e">
        <f>IF(E407=VLOOKUP(B407,MandatoryQ[#All],2,FALSE),"Yes","No")</f>
        <v>#N/A</v>
      </c>
    </row>
    <row r="408" spans="2:6" ht="30" x14ac:dyDescent="0.25">
      <c r="B408" s="213" t="s">
        <v>269</v>
      </c>
      <c r="C408" s="9">
        <f>'Mandatory Questions'!C34</f>
        <v>0</v>
      </c>
      <c r="D408" s="9" t="str">
        <f>IF(C408=VLOOKUP(B408,MandatoryQ[#All],2,FALSE),"Yes","No")</f>
        <v>No</v>
      </c>
      <c r="E408" s="9">
        <f>'Mandatory Questions'!D34</f>
        <v>0</v>
      </c>
      <c r="F408" s="9" t="str">
        <f>IF(E408=VLOOKUP(B408,MandatoryQ[#All],2,FALSE),"Yes","No")</f>
        <v>No</v>
      </c>
    </row>
    <row r="409" spans="2:6" ht="30" x14ac:dyDescent="0.25">
      <c r="B409" s="213" t="s">
        <v>494</v>
      </c>
      <c r="C409" s="9">
        <f>'Mandatory Questions'!C35</f>
        <v>0</v>
      </c>
      <c r="D409" s="9" t="e">
        <f>IF(C409=VLOOKUP(B409,MandatoryQ[#All],2,FALSE),"Yes","No")</f>
        <v>#N/A</v>
      </c>
      <c r="E409" s="9">
        <f>'Mandatory Questions'!D35</f>
        <v>0</v>
      </c>
      <c r="F409" s="9" t="e">
        <f>IF(E409=VLOOKUP(B409,MandatoryQ[#All],2,FALSE),"Yes","No")</f>
        <v>#N/A</v>
      </c>
    </row>
    <row r="410" spans="2:6" ht="45" x14ac:dyDescent="0.25">
      <c r="B410" s="213" t="s">
        <v>495</v>
      </c>
      <c r="C410" s="9">
        <f>'Mandatory Questions'!C36</f>
        <v>0</v>
      </c>
      <c r="D410" s="9" t="e">
        <f>IF(C410=VLOOKUP(B410,MandatoryQ[#All],2,FALSE),"Yes","No")</f>
        <v>#N/A</v>
      </c>
      <c r="E410" s="9">
        <f>'Mandatory Questions'!D36</f>
        <v>0</v>
      </c>
      <c r="F410" s="9" t="e">
        <f>IF(E410=VLOOKUP(B410,MandatoryQ[#All],2,FALSE),"Yes","No")</f>
        <v>#N/A</v>
      </c>
    </row>
    <row r="411" spans="2:6" ht="45" x14ac:dyDescent="0.25">
      <c r="B411" s="217" t="s">
        <v>272</v>
      </c>
      <c r="C411" s="9">
        <f>'Mandatory Questions'!C37</f>
        <v>0</v>
      </c>
      <c r="D411" s="9" t="str">
        <f>IF(C411=VLOOKUP(B411,MandatoryQ[#All],2,FALSE),"Yes","No")</f>
        <v>No</v>
      </c>
      <c r="E411" s="9">
        <f>'Mandatory Questions'!D37</f>
        <v>0</v>
      </c>
      <c r="F411" s="9" t="str">
        <f>IF(E411=VLOOKUP(B411,MandatoryQ[#All],2,FALSE),"Yes","No")</f>
        <v>No</v>
      </c>
    </row>
    <row r="412" spans="2:6" ht="60" x14ac:dyDescent="0.25">
      <c r="B412" s="217" t="s">
        <v>273</v>
      </c>
      <c r="C412" s="9">
        <f>'Mandatory Questions'!C38</f>
        <v>0</v>
      </c>
      <c r="D412" s="9" t="str">
        <f>IF(C412=VLOOKUP(B412,MandatoryQ[#All],2,FALSE),"Yes","No")</f>
        <v>No</v>
      </c>
      <c r="E412" s="9">
        <f>'Mandatory Questions'!D38</f>
        <v>0</v>
      </c>
      <c r="F412" s="9" t="str">
        <f>IF(E412=VLOOKUP(B412,MandatoryQ[#All],2,FALSE),"Yes","No")</f>
        <v>No</v>
      </c>
    </row>
    <row r="413" spans="2:6" ht="30" x14ac:dyDescent="0.25">
      <c r="B413" s="217" t="s">
        <v>274</v>
      </c>
      <c r="C413" s="9">
        <f>'Mandatory Questions'!C39</f>
        <v>0</v>
      </c>
      <c r="D413" s="9" t="str">
        <f>IF(C413=VLOOKUP(B413,MandatoryQ[#All],2,FALSE),"Yes","No")</f>
        <v>No</v>
      </c>
      <c r="E413" s="9">
        <f>'Mandatory Questions'!D39</f>
        <v>0</v>
      </c>
      <c r="F413" s="9" t="str">
        <f>IF(E413=VLOOKUP(B413,MandatoryQ[#All],2,FALSE),"Yes","No")</f>
        <v>No</v>
      </c>
    </row>
    <row r="414" spans="2:6" ht="45" x14ac:dyDescent="0.25">
      <c r="B414" s="217" t="s">
        <v>275</v>
      </c>
      <c r="C414" s="9">
        <f>'Mandatory Questions'!C40</f>
        <v>0</v>
      </c>
      <c r="D414" s="9" t="str">
        <f>IF(C414=VLOOKUP(B414,MandatoryQ[#All],2,FALSE),"Yes","No")</f>
        <v>No</v>
      </c>
      <c r="E414" s="9">
        <f>'Mandatory Questions'!D40</f>
        <v>0</v>
      </c>
      <c r="F414" s="9" t="str">
        <f>IF(E414=VLOOKUP(B414,MandatoryQ[#All],2,FALSE),"Yes","No")</f>
        <v>No</v>
      </c>
    </row>
    <row r="415" spans="2:6" ht="60" x14ac:dyDescent="0.25">
      <c r="B415" s="217" t="s">
        <v>276</v>
      </c>
      <c r="C415" s="9">
        <f>'Mandatory Questions'!C41</f>
        <v>0</v>
      </c>
      <c r="D415" s="9" t="str">
        <f>IF(C415=VLOOKUP(B415,MandatoryQ[#All],2,FALSE),"Yes","No")</f>
        <v>No</v>
      </c>
      <c r="E415" s="9">
        <f>'Mandatory Questions'!D41</f>
        <v>0</v>
      </c>
      <c r="F415" s="9" t="str">
        <f>IF(E415=VLOOKUP(B415,MandatoryQ[#All],2,FALSE),"Yes","No")</f>
        <v>No</v>
      </c>
    </row>
    <row r="416" spans="2:6" ht="30" x14ac:dyDescent="0.25">
      <c r="B416" s="213" t="s">
        <v>277</v>
      </c>
      <c r="C416" s="9">
        <f>'Mandatory Questions'!C42</f>
        <v>0</v>
      </c>
      <c r="D416" s="9" t="str">
        <f>IF(C416=VLOOKUP(B416,MandatoryQ[#All],2,FALSE),"Yes","No")</f>
        <v>Yes</v>
      </c>
      <c r="E416" s="9">
        <f>'Mandatory Questions'!D42</f>
        <v>0</v>
      </c>
      <c r="F416" s="9" t="str">
        <f>IF(E416=VLOOKUP(B416,MandatoryQ[#All],2,FALSE),"Yes","No")</f>
        <v>Yes</v>
      </c>
    </row>
  </sheetData>
  <sheetProtection algorithmName="SHA-512" hashValue="LN7ZrFlniGSHa6z8vr4M0dTPvHu58QUgqIz0iBdAZaeulcmyA/IPon0CTVUWoGFipvxf2ZPCBF4POs+O9kPT1A==" saltValue="eQ4sM2cAOkvTdeu7xiEk2A==" spinCount="100000" sheet="1" objects="1" scenarios="1"/>
  <mergeCells count="46">
    <mergeCell ref="C10:H10"/>
    <mergeCell ref="C18:E18"/>
    <mergeCell ref="F18:H18"/>
    <mergeCell ref="I10:N10"/>
    <mergeCell ref="S312:U312"/>
    <mergeCell ref="H81:L81"/>
    <mergeCell ref="K312:M312"/>
    <mergeCell ref="N312:P312"/>
    <mergeCell ref="M81:O81"/>
    <mergeCell ref="C81:G81"/>
    <mergeCell ref="M157:O157"/>
    <mergeCell ref="M271:O271"/>
    <mergeCell ref="M233:O233"/>
    <mergeCell ref="M195:O195"/>
    <mergeCell ref="V312:X312"/>
    <mergeCell ref="C119:G119"/>
    <mergeCell ref="H119:L119"/>
    <mergeCell ref="C157:G157"/>
    <mergeCell ref="H157:L157"/>
    <mergeCell ref="C195:G195"/>
    <mergeCell ref="H195:L195"/>
    <mergeCell ref="C233:G233"/>
    <mergeCell ref="H233:L233"/>
    <mergeCell ref="C271:G271"/>
    <mergeCell ref="H271:L271"/>
    <mergeCell ref="R119:V119"/>
    <mergeCell ref="W119:AA119"/>
    <mergeCell ref="C312:E312"/>
    <mergeCell ref="F312:H312"/>
    <mergeCell ref="M119:O119"/>
    <mergeCell ref="AB195:AD195"/>
    <mergeCell ref="R81:V81"/>
    <mergeCell ref="W81:AA81"/>
    <mergeCell ref="AB233:AD233"/>
    <mergeCell ref="AB271:AD271"/>
    <mergeCell ref="R271:V271"/>
    <mergeCell ref="W271:AA271"/>
    <mergeCell ref="W157:AA157"/>
    <mergeCell ref="R195:V195"/>
    <mergeCell ref="W195:AA195"/>
    <mergeCell ref="R233:V233"/>
    <mergeCell ref="W233:AA233"/>
    <mergeCell ref="R157:V157"/>
    <mergeCell ref="AB81:AD81"/>
    <mergeCell ref="AB119:AD119"/>
    <mergeCell ref="AB157:AD157"/>
  </mergeCells>
  <conditionalFormatting sqref="C386:C416">
    <cfRule type="expression" dxfId="132" priority="446">
      <formula>D386="Yes"</formula>
    </cfRule>
    <cfRule type="expression" dxfId="131" priority="445">
      <formula>D386="No"</formula>
    </cfRule>
    <cfRule type="cellIs" dxfId="130" priority="444" operator="equal">
      <formula>0</formula>
    </cfRule>
  </conditionalFormatting>
  <conditionalFormatting sqref="C5:D7">
    <cfRule type="cellIs" dxfId="129" priority="22" operator="equal">
      <formula>0</formula>
    </cfRule>
    <cfRule type="cellIs" dxfId="128" priority="21" operator="greaterThan">
      <formula>0</formula>
    </cfRule>
  </conditionalFormatting>
  <conditionalFormatting sqref="C367:F371 H367:M371">
    <cfRule type="cellIs" dxfId="127" priority="329" operator="lessThan">
      <formula>10</formula>
    </cfRule>
  </conditionalFormatting>
  <conditionalFormatting sqref="C16:H16">
    <cfRule type="cellIs" dxfId="126" priority="10" operator="equal">
      <formula>0</formula>
    </cfRule>
    <cfRule type="cellIs" dxfId="125" priority="9" operator="greaterThan">
      <formula>0</formula>
    </cfRule>
  </conditionalFormatting>
  <conditionalFormatting sqref="C20:H20">
    <cfRule type="cellIs" dxfId="124" priority="26" operator="equal">
      <formula>0</formula>
    </cfRule>
    <cfRule type="cellIs" dxfId="123" priority="25" operator="greaterThan">
      <formula>0</formula>
    </cfRule>
  </conditionalFormatting>
  <conditionalFormatting sqref="C359:J359">
    <cfRule type="cellIs" dxfId="122" priority="466" operator="equal">
      <formula>"Yes"</formula>
    </cfRule>
    <cfRule type="cellIs" dxfId="121" priority="465" operator="equal">
      <formula>"No"</formula>
    </cfRule>
  </conditionalFormatting>
  <conditionalFormatting sqref="C372:J372">
    <cfRule type="cellIs" dxfId="120" priority="460" operator="equal">
      <formula>"Yes"</formula>
    </cfRule>
    <cfRule type="cellIs" dxfId="119" priority="459" operator="equal">
      <formula>"No"</formula>
    </cfRule>
  </conditionalFormatting>
  <conditionalFormatting sqref="C353:M358">
    <cfRule type="cellIs" dxfId="118" priority="29" operator="lessThan">
      <formula>10</formula>
    </cfRule>
  </conditionalFormatting>
  <conditionalFormatting sqref="C366:M371">
    <cfRule type="cellIs" dxfId="117" priority="397" operator="lessThan">
      <formula>10</formula>
    </cfRule>
  </conditionalFormatting>
  <conditionalFormatting sqref="C12:N12">
    <cfRule type="cellIs" dxfId="116" priority="12" operator="equal">
      <formula>0</formula>
    </cfRule>
    <cfRule type="cellIs" dxfId="115" priority="11" operator="greaterThan">
      <formula>0</formula>
    </cfRule>
  </conditionalFormatting>
  <conditionalFormatting sqref="C13:N14 I15:N16">
    <cfRule type="containsText" dxfId="114" priority="27" operator="containsText" text="No">
      <formula>NOT(ISERROR(SEARCH("No",C13)))</formula>
    </cfRule>
    <cfRule type="containsText" dxfId="113" priority="28" operator="containsText" text="Yes">
      <formula>NOT(ISERROR(SEARCH("Yes",C13)))</formula>
    </cfRule>
  </conditionalFormatting>
  <conditionalFormatting sqref="D40:D45">
    <cfRule type="containsText" dxfId="112" priority="127" operator="containsText" text="No">
      <formula>NOT(ISERROR(SEARCH("No",D40)))</formula>
    </cfRule>
    <cfRule type="containsText" dxfId="111" priority="128" operator="containsText" text="Yes">
      <formula>NOT(ISERROR(SEARCH("Yes",D40)))</formula>
    </cfRule>
  </conditionalFormatting>
  <conditionalFormatting sqref="D379">
    <cfRule type="cellIs" dxfId="110" priority="492" operator="greaterThan">
      <formula>0.1</formula>
    </cfRule>
    <cfRule type="cellIs" dxfId="109" priority="491" operator="lessThanOrEqual">
      <formula>0.1</formula>
    </cfRule>
    <cfRule type="cellIs" dxfId="108" priority="490" stopIfTrue="1" operator="equal">
      <formula>"NA"</formula>
    </cfRule>
  </conditionalFormatting>
  <conditionalFormatting sqref="E32:E33">
    <cfRule type="cellIs" dxfId="107" priority="546" operator="equal">
      <formula>"Yes"</formula>
    </cfRule>
    <cfRule type="cellIs" dxfId="106" priority="547" operator="equal">
      <formula>"No"</formula>
    </cfRule>
  </conditionalFormatting>
  <conditionalFormatting sqref="E52:E56">
    <cfRule type="cellIs" dxfId="104" priority="504" operator="equal">
      <formula>"Yes"</formula>
    </cfRule>
  </conditionalFormatting>
  <conditionalFormatting sqref="E62:E66">
    <cfRule type="cellIs" dxfId="102" priority="297" operator="equal">
      <formula>"Yes"</formula>
    </cfRule>
  </conditionalFormatting>
  <conditionalFormatting sqref="E63:E66">
    <cfRule type="cellIs" dxfId="101" priority="503" operator="equal">
      <formula>"No"</formula>
    </cfRule>
    <cfRule type="cellIs" dxfId="100" priority="502" operator="equal">
      <formula>"Yes"</formula>
    </cfRule>
  </conditionalFormatting>
  <conditionalFormatting sqref="E314">
    <cfRule type="notContainsText" dxfId="99" priority="160" operator="notContains" text="TRUE">
      <formula>ISERROR(SEARCH("TRUE",E314))</formula>
    </cfRule>
  </conditionalFormatting>
  <conditionalFormatting sqref="E314:E346">
    <cfRule type="notContainsText" dxfId="97" priority="156" operator="notContains" text="TRUE">
      <formula>ISERROR(SEARCH("TRUE",E314))</formula>
    </cfRule>
    <cfRule type="notContainsText" dxfId="96" priority="158" operator="notContains" text="TRUE">
      <formula>ISERROR(SEARCH("TRUE",E314))</formula>
    </cfRule>
  </conditionalFormatting>
  <conditionalFormatting sqref="E386:E416">
    <cfRule type="expression" dxfId="94" priority="443">
      <formula>F386="Yes"</formula>
    </cfRule>
    <cfRule type="expression" dxfId="93" priority="442">
      <formula>F386="No"</formula>
    </cfRule>
    <cfRule type="cellIs" dxfId="92" priority="441" operator="equal">
      <formula>0</formula>
    </cfRule>
  </conditionalFormatting>
  <conditionalFormatting sqref="E71:F76">
    <cfRule type="cellIs" dxfId="91" priority="17" operator="equal">
      <formula>"Yes"</formula>
    </cfRule>
  </conditionalFormatting>
  <conditionalFormatting sqref="F40:G45">
    <cfRule type="containsText" dxfId="89" priority="129" operator="containsText" text="No">
      <formula>NOT(ISERROR(SEARCH("No",F40)))</formula>
    </cfRule>
    <cfRule type="containsText" dxfId="88" priority="130" operator="containsText" text="Yes">
      <formula>NOT(ISERROR(SEARCH("Yes",F40)))</formula>
    </cfRule>
  </conditionalFormatting>
  <conditionalFormatting sqref="G52:G56">
    <cfRule type="cellIs" dxfId="86" priority="291" operator="equal">
      <formula>"Yes"</formula>
    </cfRule>
  </conditionalFormatting>
  <conditionalFormatting sqref="G62:G66">
    <cfRule type="cellIs" dxfId="85" priority="316" operator="equal">
      <formula>"No"</formula>
    </cfRule>
    <cfRule type="cellIs" dxfId="84" priority="315" operator="equal">
      <formula>"Yes"</formula>
    </cfRule>
  </conditionalFormatting>
  <conditionalFormatting sqref="H122:H153">
    <cfRule type="notContainsText" dxfId="82" priority="95" operator="notContains" text="TRUE">
      <formula>ISERROR(SEARCH("TRUE",H122))</formula>
    </cfRule>
  </conditionalFormatting>
  <conditionalFormatting sqref="H160:H191">
    <cfRule type="notContainsText" dxfId="80" priority="87" operator="notContains" text="TRUE">
      <formula>ISERROR(SEARCH("TRUE",H160))</formula>
    </cfRule>
  </conditionalFormatting>
  <conditionalFormatting sqref="H198:H229">
    <cfRule type="notContainsText" dxfId="78" priority="79" operator="notContains" text="TRUE">
      <formula>ISERROR(SEARCH("TRUE",H198))</formula>
    </cfRule>
  </conditionalFormatting>
  <conditionalFormatting sqref="H236:H267">
    <cfRule type="notContainsText" dxfId="76" priority="71" operator="notContains" text="TRUE">
      <formula>ISERROR(SEARCH("TRUE",H236))</formula>
    </cfRule>
  </conditionalFormatting>
  <conditionalFormatting sqref="H274:H305">
    <cfRule type="notContainsText" dxfId="74" priority="63" operator="notContains" text="TRUE">
      <formula>ISERROR(SEARCH("TRUE",H274))</formula>
    </cfRule>
  </conditionalFormatting>
  <conditionalFormatting sqref="H314:H346">
    <cfRule type="notContainsText" dxfId="73" priority="155" operator="notContains" text="TRUE">
      <formula>ISERROR(SEARCH("TRUE",H314))</formula>
    </cfRule>
    <cfRule type="notContainsText" dxfId="72" priority="153" operator="notContains" text="TRUE">
      <formula>ISERROR(SEARCH("TRUE",H314))</formula>
    </cfRule>
    <cfRule type="notContainsText" dxfId="69" priority="151" operator="notContains" text="TRUE">
      <formula>ISERROR(SEARCH("TRUE",H314))</formula>
    </cfRule>
  </conditionalFormatting>
  <conditionalFormatting sqref="H379">
    <cfRule type="cellIs" dxfId="68" priority="489" operator="greaterThan">
      <formula>0.1</formula>
    </cfRule>
    <cfRule type="cellIs" dxfId="67" priority="487" stopIfTrue="1" operator="equal">
      <formula>"NA"</formula>
    </cfRule>
    <cfRule type="cellIs" dxfId="66" priority="488" operator="lessThanOrEqual">
      <formula>0.1</formula>
    </cfRule>
  </conditionalFormatting>
  <conditionalFormatting sqref="H84:L115">
    <cfRule type="notContainsText" dxfId="65" priority="194" operator="notContains" text="TRUE">
      <formula>ISERROR(SEARCH("TRUE",H84))</formula>
    </cfRule>
  </conditionalFormatting>
  <conditionalFormatting sqref="H121:L153">
    <cfRule type="notContainsText" dxfId="64" priority="96" operator="notContains" text="TRUE">
      <formula>ISERROR(SEARCH("TRUE",H121))</formula>
    </cfRule>
  </conditionalFormatting>
  <conditionalFormatting sqref="H159:L191">
    <cfRule type="notContainsText" dxfId="63" priority="88" operator="notContains" text="TRUE">
      <formula>ISERROR(SEARCH("TRUE",H159))</formula>
    </cfRule>
  </conditionalFormatting>
  <conditionalFormatting sqref="H197:L229">
    <cfRule type="notContainsText" dxfId="62" priority="80" operator="notContains" text="TRUE">
      <formula>ISERROR(SEARCH("TRUE",H197))</formula>
    </cfRule>
  </conditionalFormatting>
  <conditionalFormatting sqref="H235:L267">
    <cfRule type="notContainsText" dxfId="61" priority="72" operator="notContains" text="TRUE">
      <formula>ISERROR(SEARCH("TRUE",H235))</formula>
    </cfRule>
  </conditionalFormatting>
  <conditionalFormatting sqref="H273:L305">
    <cfRule type="notContainsText" dxfId="60" priority="64" operator="notContains" text="TRUE">
      <formula>ISERROR(SEARCH("TRUE",H273))</formula>
    </cfRule>
  </conditionalFormatting>
  <conditionalFormatting sqref="H354:M358">
    <cfRule type="cellIs" dxfId="59" priority="330" operator="lessThan">
      <formula>10</formula>
    </cfRule>
  </conditionalFormatting>
  <conditionalFormatting sqref="H83:O115">
    <cfRule type="notContainsText" dxfId="57" priority="310" operator="notContains" text="TRUE">
      <formula>ISERROR(SEARCH("TRUE",H83))</formula>
    </cfRule>
  </conditionalFormatting>
  <conditionalFormatting sqref="I52:I54">
    <cfRule type="cellIs" dxfId="56" priority="289" operator="equal">
      <formula>"Yes"</formula>
    </cfRule>
  </conditionalFormatting>
  <conditionalFormatting sqref="I55">
    <cfRule type="expression" dxfId="54" priority="1">
      <formula>"NA"</formula>
    </cfRule>
  </conditionalFormatting>
  <conditionalFormatting sqref="I56">
    <cfRule type="cellIs" dxfId="53" priority="2" operator="equal">
      <formula>"Yes"</formula>
    </cfRule>
  </conditionalFormatting>
  <conditionalFormatting sqref="I62:I64">
    <cfRule type="cellIs" dxfId="51" priority="6" operator="equal">
      <formula>"Yes"</formula>
    </cfRule>
  </conditionalFormatting>
  <conditionalFormatting sqref="I65">
    <cfRule type="expression" dxfId="49" priority="288">
      <formula>"NA"</formula>
    </cfRule>
  </conditionalFormatting>
  <conditionalFormatting sqref="I66">
    <cfRule type="cellIs" dxfId="48" priority="4" operator="equal">
      <formula>"Yes"</formula>
    </cfRule>
  </conditionalFormatting>
  <conditionalFormatting sqref="I153">
    <cfRule type="notContainsText" dxfId="46" priority="7" operator="notContains" text="TRUE">
      <formula>ISERROR(SEARCH("TRUE",I153))</formula>
    </cfRule>
  </conditionalFormatting>
  <conditionalFormatting sqref="I71:J76">
    <cfRule type="cellIs" dxfId="45" priority="13" operator="equal">
      <formula>"Yes"</formula>
    </cfRule>
  </conditionalFormatting>
  <conditionalFormatting sqref="M314">
    <cfRule type="notContainsText" dxfId="42" priority="56" operator="notContains" text="TRUE">
      <formula>ISERROR(SEARCH("TRUE",M314))</formula>
    </cfRule>
  </conditionalFormatting>
  <conditionalFormatting sqref="M314:M346">
    <cfRule type="notContainsText" dxfId="40" priority="54" operator="notContains" text="TRUE">
      <formula>ISERROR(SEARCH("TRUE",M314))</formula>
    </cfRule>
    <cfRule type="notContainsText" dxfId="38" priority="52" operator="notContains" text="TRUE">
      <formula>ISERROR(SEARCH("TRUE",M314))</formula>
    </cfRule>
  </conditionalFormatting>
  <conditionalFormatting sqref="M121:O153 I122:L153 M159:O191 I160:L191 M197:O229 I198:L229 M235:O267 I236:L267 M273:O305 I274:L305">
    <cfRule type="notContainsText" dxfId="37" priority="320" operator="notContains" text="TRUE">
      <formula>ISERROR(SEARCH("TRUE",I121))</formula>
    </cfRule>
  </conditionalFormatting>
  <conditionalFormatting sqref="O347">
    <cfRule type="cellIs" dxfId="36" priority="357" operator="equal">
      <formula>"No"</formula>
    </cfRule>
    <cfRule type="cellIs" dxfId="35" priority="358" operator="equal">
      <formula>"Yes"</formula>
    </cfRule>
  </conditionalFormatting>
  <conditionalFormatting sqref="P314:P346">
    <cfRule type="notContainsText" dxfId="34" priority="51" operator="notContains" text="TRUE">
      <formula>ISERROR(SEARCH("TRUE",P314))</formula>
    </cfRule>
    <cfRule type="notContainsText" dxfId="32" priority="49" operator="notContains" text="TRUE">
      <formula>ISERROR(SEARCH("TRUE",P314))</formula>
    </cfRule>
    <cfRule type="notContainsText" dxfId="30" priority="47" operator="notContains" text="TRUE">
      <formula>ISERROR(SEARCH("TRUE",P314))</formula>
    </cfRule>
  </conditionalFormatting>
  <conditionalFormatting sqref="R347">
    <cfRule type="cellIs" dxfId="29" priority="361" operator="equal">
      <formula>"No"</formula>
    </cfRule>
    <cfRule type="cellIs" dxfId="28" priority="362" operator="equal">
      <formula>"Yes"</formula>
    </cfRule>
  </conditionalFormatting>
  <conditionalFormatting sqref="U314">
    <cfRule type="notContainsText" dxfId="26" priority="46" operator="notContains" text="TRUE">
      <formula>ISERROR(SEARCH("TRUE",U314))</formula>
    </cfRule>
  </conditionalFormatting>
  <conditionalFormatting sqref="U314:U346">
    <cfRule type="notContainsText" dxfId="25" priority="44" operator="notContains" text="TRUE">
      <formula>ISERROR(SEARCH("TRUE",U314))</formula>
    </cfRule>
    <cfRule type="notContainsText" dxfId="23" priority="42" operator="notContains" text="TRUE">
      <formula>ISERROR(SEARCH("TRUE",U314))</formula>
    </cfRule>
  </conditionalFormatting>
  <conditionalFormatting sqref="W84:AA115">
    <cfRule type="notContainsText" dxfId="22" priority="98" operator="notContains" text="TRUE">
      <formula>ISERROR(SEARCH("TRUE",W84))</formula>
    </cfRule>
  </conditionalFormatting>
  <conditionalFormatting sqref="W122:AA153">
    <cfRule type="notContainsText" dxfId="21" priority="90" operator="notContains" text="TRUE">
      <formula>ISERROR(SEARCH("TRUE",W122))</formula>
    </cfRule>
  </conditionalFormatting>
  <conditionalFormatting sqref="W160:AA191">
    <cfRule type="notContainsText" dxfId="20" priority="82" operator="notContains" text="TRUE">
      <formula>ISERROR(SEARCH("TRUE",W160))</formula>
    </cfRule>
  </conditionalFormatting>
  <conditionalFormatting sqref="W198:AA229">
    <cfRule type="notContainsText" dxfId="19" priority="74" operator="notContains" text="TRUE">
      <formula>ISERROR(SEARCH("TRUE",W198))</formula>
    </cfRule>
  </conditionalFormatting>
  <conditionalFormatting sqref="W236:AA267">
    <cfRule type="notContainsText" dxfId="18" priority="66" operator="notContains" text="TRUE">
      <formula>ISERROR(SEARCH("TRUE",W236))</formula>
    </cfRule>
  </conditionalFormatting>
  <conditionalFormatting sqref="W274:AA305">
    <cfRule type="notContainsText" dxfId="17" priority="58" operator="notContains" text="TRUE">
      <formula>ISERROR(SEARCH("TRUE",W274))</formula>
    </cfRule>
  </conditionalFormatting>
  <conditionalFormatting sqref="W83:AD115">
    <cfRule type="notContainsText" dxfId="15" priority="100" operator="notContains" text="TRUE">
      <formula>ISERROR(SEARCH("TRUE",W83))</formula>
    </cfRule>
  </conditionalFormatting>
  <conditionalFormatting sqref="W121:AD153">
    <cfRule type="notContainsText" dxfId="13" priority="92" operator="notContains" text="TRUE">
      <formula>ISERROR(SEARCH("TRUE",W121))</formula>
    </cfRule>
  </conditionalFormatting>
  <conditionalFormatting sqref="W159:AD191">
    <cfRule type="notContainsText" dxfId="12" priority="84" operator="notContains" text="TRUE">
      <formula>ISERROR(SEARCH("TRUE",W159))</formula>
    </cfRule>
  </conditionalFormatting>
  <conditionalFormatting sqref="W197:AD229">
    <cfRule type="notContainsText" dxfId="10" priority="76" operator="notContains" text="TRUE">
      <formula>ISERROR(SEARCH("TRUE",W197))</formula>
    </cfRule>
  </conditionalFormatting>
  <conditionalFormatting sqref="W235:AD267">
    <cfRule type="notContainsText" dxfId="8" priority="68" operator="notContains" text="TRUE">
      <formula>ISERROR(SEARCH("TRUE",W235))</formula>
    </cfRule>
  </conditionalFormatting>
  <conditionalFormatting sqref="W273:AD305">
    <cfRule type="notContainsText" dxfId="5" priority="60" operator="notContains" text="TRUE">
      <formula>ISERROR(SEARCH("TRUE",W273))</formula>
    </cfRule>
  </conditionalFormatting>
  <conditionalFormatting sqref="X314">
    <cfRule type="notContainsText" dxfId="3" priority="36" operator="notContains" text="TRUE">
      <formula>ISERROR(SEARCH("TRUE",X314))</formula>
    </cfRule>
  </conditionalFormatting>
  <conditionalFormatting sqref="X314:X346">
    <cfRule type="notContainsText" dxfId="2" priority="34" operator="notContains" text="TRUE">
      <formula>ISERROR(SEARCH("TRUE",X314))</formula>
    </cfRule>
    <cfRule type="notContainsText" dxfId="1" priority="32" operator="notContains" text="TRUE">
      <formula>ISERROR(SEARCH("TRUE",X314))</formula>
    </cfRule>
  </conditionalFormatting>
  <hyperlinks>
    <hyperlink ref="B5" location="MMConsistencybyMkt" display="Alignment of member months across the Advanced Network, Age/Sex, Line of Business, and Standard Deviation tabs by Market" xr:uid="{7C6BB8A8-92EC-4D50-AC01-0F11B00724A2}"/>
    <hyperlink ref="B6" location="MMConsistencybyICC" display="Alignment of member months across the Advanced Network, Age/Sex, Line of Business, and Standard Deviation tabs by ICC" xr:uid="{18B550E7-EF59-421C-8BAB-AC9A1A703DDD}"/>
    <hyperlink ref="B7" location="ReasonablenessPMPMs" display="Reasonableness of PMPMs - is there a greater than 10% difference between ICCs 3 and 4 for any Claims category?" xr:uid="{C08D837F-4FA5-4DF7-8441-08877661AA70}"/>
    <hyperlink ref="B12" location="TruncSpendMembersbyICC" display="Alignment of truncated and non-truncated spending by Advanced Network Across the Advanced Network and Age/Sex tabs" xr:uid="{3E3DBF04-473D-4861-80CC-BE35FA61F374}"/>
    <hyperlink ref="B20" location="TruncSpendingSDbyMkt" display="Alignment of Truncated Spending by Market between Advanced Network and Standard Deviation" xr:uid="{29318D8D-E928-4501-A8A9-60EE58649169}"/>
    <hyperlink ref="B16" location="AdvNet_MMs" display="For how many Advanced Networks was there a significant (&gt;20%) increase or decrease in member months attributed?" xr:uid="{9263235C-32AF-43AA-8301-7C102C255147}"/>
    <hyperlink ref="B117" location="Backtotop" display="[back to top]" xr:uid="{C0CABB7A-D45F-4EE3-9F4D-477CC3900C36}"/>
    <hyperlink ref="B78" location="Backtotop" display="[back to top]" xr:uid="{30A7B20B-DA44-468C-A987-73248EF8A7DE}"/>
    <hyperlink ref="B68" location="Backtotop" display="[back to top]" xr:uid="{279D58B6-82AC-4CC3-869C-E3938E7A8455}"/>
    <hyperlink ref="Q117" location="Backtotop" display="[back to top]" xr:uid="{0C773ED5-0FC3-4E61-B5E9-51AB9BE9C171}"/>
    <hyperlink ref="B155" location="Backtotop" display="[back to top]" xr:uid="{053036CD-6329-46F8-8798-2063579FEE71}"/>
    <hyperlink ref="Q155" location="Backtotop" display="[back to top]" xr:uid="{0A0CA349-5CA8-4A74-A250-450C32749FC5}"/>
    <hyperlink ref="B193" location="Backtotop" display="[back to top]" xr:uid="{77E0AAD0-16B0-4970-BBBB-42DB649F9517}"/>
    <hyperlink ref="Q193" location="Backtotop" display="[back to top]" xr:uid="{AFD1CDD4-40B1-453E-8FCB-27655A2053BB}"/>
    <hyperlink ref="B231" location="Backtotop" display="[back to top]" xr:uid="{A227D349-9BBF-4615-A368-1B965000D578}"/>
    <hyperlink ref="Q231" location="Backtotop" display="[back to top]" xr:uid="{52B97815-B466-4485-A73F-83A776B272FC}"/>
    <hyperlink ref="B269" location="Backtotop" display="[back to top]" xr:uid="{FA70B231-4EDE-4E57-B868-2E7AC8460FCE}"/>
    <hyperlink ref="Q269" location="Backtotop" display="[back to top]" xr:uid="{978661A0-2102-4663-B715-3A506B8F23A9}"/>
    <hyperlink ref="B308" location="Backtotop" display="[back to top]" xr:uid="{436EA5CD-DA4B-4B0D-B5D3-E4CD11079600}"/>
    <hyperlink ref="Q308" location="Backtotop" display="[back to top]" xr:uid="{B451A694-43D3-4999-BB69-1620157BAC6F}"/>
    <hyperlink ref="B348" location="Backtotop" display="[back to top]" xr:uid="{7EE61A8F-CEC7-4DEB-B543-090C6029A7A7}"/>
    <hyperlink ref="B361" location="Backtotop" display="[back to top]" xr:uid="{AC2689BC-2061-494E-B493-18E29D90FF26}"/>
    <hyperlink ref="B374" location="Backtotop" display="[back to top]" xr:uid="{A0A3F2A8-89C6-4E7A-8C26-1887E2B289B1}"/>
  </hyperlinks>
  <pageMargins left="0.7" right="0.7" top="0.75" bottom="0.75" header="0.3" footer="0.3"/>
  <pageSetup orientation="portrait" r:id="rId1"/>
  <ignoredErrors>
    <ignoredError sqref="D40:D45" formula="1"/>
  </ignoredErrors>
  <extLst>
    <ext xmlns:x14="http://schemas.microsoft.com/office/spreadsheetml/2009/9/main" uri="{78C0D931-6437-407d-A8EE-F0AAD7539E65}">
      <x14:conditionalFormattings>
        <x14:conditionalFormatting xmlns:xm="http://schemas.microsoft.com/office/excel/2006/main">
          <x14:cfRule type="notContainsText" priority="505" operator="notContains" id="{17C91439-E556-415E-BC7D-46D4D09610F2}">
            <xm:f>ISERROR(SEARCH("Yes",E52))</xm:f>
            <xm:f>"Yes"</xm:f>
            <x14:dxf>
              <font>
                <color rgb="FF9C0006"/>
              </font>
              <fill>
                <patternFill>
                  <bgColor rgb="FFFF9999"/>
                </patternFill>
              </fill>
            </x14:dxf>
          </x14:cfRule>
          <xm:sqref>E52:E56</xm:sqref>
        </x14:conditionalFormatting>
        <x14:conditionalFormatting xmlns:xm="http://schemas.microsoft.com/office/excel/2006/main">
          <x14:cfRule type="notContainsText" priority="298" operator="notContains" id="{F3E3DB2C-B6C7-4BD9-916E-4036BBD41E48}">
            <xm:f>ISERROR(SEARCH("Yes",E62))</xm:f>
            <xm:f>"Yes"</xm:f>
            <x14:dxf>
              <font>
                <color rgb="FF9C0006"/>
              </font>
              <fill>
                <patternFill>
                  <bgColor rgb="FFFF9999"/>
                </patternFill>
              </fill>
            </x14:dxf>
          </x14:cfRule>
          <xm:sqref>E62:E66</xm:sqref>
        </x14:conditionalFormatting>
        <x14:conditionalFormatting xmlns:xm="http://schemas.microsoft.com/office/excel/2006/main">
          <x14:cfRule type="containsText" priority="159" operator="containsText" id="{88B540EE-2223-4E25-9833-B82603B94A10}">
            <xm:f>NOT(ISERROR(SEARCH("TRUE",E314)))</xm:f>
            <xm:f>"TRUE"</xm:f>
            <x14:dxf>
              <fill>
                <patternFill>
                  <bgColor rgb="FF92D050"/>
                </patternFill>
              </fill>
            </x14:dxf>
          </x14:cfRule>
          <xm:sqref>E314</xm:sqref>
        </x14:conditionalFormatting>
        <x14:conditionalFormatting xmlns:xm="http://schemas.microsoft.com/office/excel/2006/main">
          <x14:cfRule type="containsText" priority="157" operator="containsText" id="{13E814B1-D899-4FB8-AC97-06334729CEA0}">
            <xm:f>NOT(ISERROR(SEARCH("TRUE",E314)))</xm:f>
            <xm:f>"TRUE"</xm:f>
            <x14:dxf>
              <fill>
                <patternFill>
                  <bgColor theme="6"/>
                </patternFill>
              </fill>
            </x14:dxf>
          </x14:cfRule>
          <xm:sqref>E314:E346</xm:sqref>
        </x14:conditionalFormatting>
        <x14:conditionalFormatting xmlns:xm="http://schemas.microsoft.com/office/excel/2006/main">
          <x14:cfRule type="notContainsText" priority="18" operator="notContains" id="{40FA0CA3-0742-4426-9371-4131CBDC8D4B}">
            <xm:f>ISERROR(SEARCH("Yes",E71))</xm:f>
            <xm:f>"Yes"</xm:f>
            <x14:dxf>
              <font>
                <color rgb="FF9C0006"/>
              </font>
              <fill>
                <patternFill>
                  <bgColor rgb="FFFF9999"/>
                </patternFill>
              </fill>
            </x14:dxf>
          </x14:cfRule>
          <xm:sqref>E71:F76</xm:sqref>
        </x14:conditionalFormatting>
        <x14:conditionalFormatting xmlns:xm="http://schemas.microsoft.com/office/excel/2006/main">
          <x14:cfRule type="notContainsText" priority="292" operator="notContains" id="{D2C2F454-4F33-4B0E-BA47-6722F13B16C5}">
            <xm:f>ISERROR(SEARCH("Yes",G52))</xm:f>
            <xm:f>"Yes"</xm:f>
            <x14:dxf>
              <font>
                <color rgb="FF9C0006"/>
              </font>
              <fill>
                <patternFill>
                  <bgColor rgb="FFFF9999"/>
                </patternFill>
              </fill>
            </x14:dxf>
          </x14:cfRule>
          <xm:sqref>G52:G56</xm:sqref>
        </x14:conditionalFormatting>
        <x14:conditionalFormatting xmlns:xm="http://schemas.microsoft.com/office/excel/2006/main">
          <x14:cfRule type="containsText" priority="94" operator="containsText" id="{718B6BB9-E549-46D8-AAEE-D62E26A0ED4F}">
            <xm:f>NOT(ISERROR(SEARCH("TRUE",H121)))</xm:f>
            <xm:f>"TRUE"</xm:f>
            <x14:dxf>
              <fill>
                <patternFill>
                  <bgColor theme="6"/>
                </patternFill>
              </fill>
            </x14:dxf>
          </x14:cfRule>
          <xm:sqref>H121:H153</xm:sqref>
        </x14:conditionalFormatting>
        <x14:conditionalFormatting xmlns:xm="http://schemas.microsoft.com/office/excel/2006/main">
          <x14:cfRule type="containsText" priority="86" operator="containsText" id="{72A9E734-F16B-4D83-BE3A-03A079BDC72C}">
            <xm:f>NOT(ISERROR(SEARCH("TRUE",H159)))</xm:f>
            <xm:f>"TRUE"</xm:f>
            <x14:dxf>
              <fill>
                <patternFill>
                  <bgColor theme="6"/>
                </patternFill>
              </fill>
            </x14:dxf>
          </x14:cfRule>
          <xm:sqref>H159:H191</xm:sqref>
        </x14:conditionalFormatting>
        <x14:conditionalFormatting xmlns:xm="http://schemas.microsoft.com/office/excel/2006/main">
          <x14:cfRule type="containsText" priority="78" operator="containsText" id="{ED6A553D-7A37-4A9F-819F-A06AFDAA3495}">
            <xm:f>NOT(ISERROR(SEARCH("TRUE",H197)))</xm:f>
            <xm:f>"TRUE"</xm:f>
            <x14:dxf>
              <fill>
                <patternFill>
                  <bgColor theme="6"/>
                </patternFill>
              </fill>
            </x14:dxf>
          </x14:cfRule>
          <xm:sqref>H197:H229</xm:sqref>
        </x14:conditionalFormatting>
        <x14:conditionalFormatting xmlns:xm="http://schemas.microsoft.com/office/excel/2006/main">
          <x14:cfRule type="containsText" priority="70" operator="containsText" id="{1ECDFB94-034C-4863-83A7-78D19B6B1B31}">
            <xm:f>NOT(ISERROR(SEARCH("TRUE",H235)))</xm:f>
            <xm:f>"TRUE"</xm:f>
            <x14:dxf>
              <fill>
                <patternFill>
                  <bgColor theme="6"/>
                </patternFill>
              </fill>
            </x14:dxf>
          </x14:cfRule>
          <xm:sqref>H235:H267</xm:sqref>
        </x14:conditionalFormatting>
        <x14:conditionalFormatting xmlns:xm="http://schemas.microsoft.com/office/excel/2006/main">
          <x14:cfRule type="containsText" priority="62" operator="containsText" id="{18BABF5E-37AB-4599-B6DA-55B6C731CFCD}">
            <xm:f>NOT(ISERROR(SEARCH("TRUE",H273)))</xm:f>
            <xm:f>"TRUE"</xm:f>
            <x14:dxf>
              <fill>
                <patternFill>
                  <bgColor theme="6"/>
                </patternFill>
              </fill>
            </x14:dxf>
          </x14:cfRule>
          <xm:sqref>H273:H305</xm:sqref>
        </x14:conditionalFormatting>
        <x14:conditionalFormatting xmlns:xm="http://schemas.microsoft.com/office/excel/2006/main">
          <x14:cfRule type="containsText" priority="152" operator="containsText" id="{94D24A7C-2B3A-4FC1-BF35-DA3C9F061CF0}">
            <xm:f>NOT(ISERROR(SEARCH("TRUE",H314)))</xm:f>
            <xm:f>"TRUE"</xm:f>
            <x14:dxf>
              <fill>
                <patternFill>
                  <bgColor theme="6"/>
                </patternFill>
              </fill>
            </x14:dxf>
          </x14:cfRule>
          <x14:cfRule type="containsText" priority="154" operator="containsText" id="{17599781-B29F-4DCC-AE2B-D5E8ABABC645}">
            <xm:f>NOT(ISERROR(SEARCH("TRUE",H314)))</xm:f>
            <xm:f>"TRUE"</xm:f>
            <x14:dxf>
              <fill>
                <patternFill>
                  <bgColor rgb="FF92D050"/>
                </patternFill>
              </fill>
            </x14:dxf>
          </x14:cfRule>
          <xm:sqref>H314:H346</xm:sqref>
        </x14:conditionalFormatting>
        <x14:conditionalFormatting xmlns:xm="http://schemas.microsoft.com/office/excel/2006/main">
          <x14:cfRule type="containsText" priority="193" operator="containsText" id="{17EF2E72-25E9-416C-945C-7E9A55F8E05B}">
            <xm:f>NOT(ISERROR(SEARCH("TRUE",H83)))</xm:f>
            <xm:f>"TRUE"</xm:f>
            <x14:dxf>
              <fill>
                <patternFill>
                  <bgColor theme="6"/>
                </patternFill>
              </fill>
            </x14:dxf>
          </x14:cfRule>
          <xm:sqref>H83:O115</xm:sqref>
        </x14:conditionalFormatting>
        <x14:conditionalFormatting xmlns:xm="http://schemas.microsoft.com/office/excel/2006/main">
          <x14:cfRule type="notContainsText" priority="290" operator="notContains" id="{12A743E8-CF8B-46A8-8F58-C30847BCAC57}">
            <xm:f>ISERROR(SEARCH("Yes",I52))</xm:f>
            <xm:f>"Yes"</xm:f>
            <x14:dxf>
              <font>
                <color rgb="FF9C0006"/>
              </font>
              <fill>
                <patternFill>
                  <bgColor rgb="FFFF9999"/>
                </patternFill>
              </fill>
            </x14:dxf>
          </x14:cfRule>
          <xm:sqref>I52:I54</xm:sqref>
        </x14:conditionalFormatting>
        <x14:conditionalFormatting xmlns:xm="http://schemas.microsoft.com/office/excel/2006/main">
          <x14:cfRule type="notContainsText" priority="3" operator="notContains" id="{B0912289-E949-4966-92D8-1FC672F7DA9B}">
            <xm:f>ISERROR(SEARCH("Yes",I56))</xm:f>
            <xm:f>"Yes"</xm:f>
            <x14:dxf>
              <font>
                <color rgb="FF9C0006"/>
              </font>
              <fill>
                <patternFill>
                  <bgColor rgb="FFFF9999"/>
                </patternFill>
              </fill>
            </x14:dxf>
          </x14:cfRule>
          <xm:sqref>I56</xm:sqref>
        </x14:conditionalFormatting>
        <x14:conditionalFormatting xmlns:xm="http://schemas.microsoft.com/office/excel/2006/main">
          <x14:cfRule type="notContainsText" priority="287" operator="notContains" id="{00ED8E87-58EE-4A22-88BB-DB715157FCEE}">
            <xm:f>ISERROR(SEARCH("Yes",I62))</xm:f>
            <xm:f>"Yes"</xm:f>
            <x14:dxf>
              <font>
                <color rgb="FF9C0006"/>
              </font>
              <fill>
                <patternFill>
                  <bgColor rgb="FFFF9999"/>
                </patternFill>
              </fill>
            </x14:dxf>
          </x14:cfRule>
          <xm:sqref>I62:I64</xm:sqref>
        </x14:conditionalFormatting>
        <x14:conditionalFormatting xmlns:xm="http://schemas.microsoft.com/office/excel/2006/main">
          <x14:cfRule type="notContainsText" priority="5" operator="notContains" id="{50D4EDC7-D6C5-41C5-AFDF-5C5C00ECFAA3}">
            <xm:f>ISERROR(SEARCH("Yes",I66))</xm:f>
            <xm:f>"Yes"</xm:f>
            <x14:dxf>
              <font>
                <color rgb="FF9C0006"/>
              </font>
              <fill>
                <patternFill>
                  <bgColor rgb="FFFF9999"/>
                </patternFill>
              </fill>
            </x14:dxf>
          </x14:cfRule>
          <xm:sqref>I66</xm:sqref>
        </x14:conditionalFormatting>
        <x14:conditionalFormatting xmlns:xm="http://schemas.microsoft.com/office/excel/2006/main">
          <x14:cfRule type="notContainsText" priority="14" operator="notContains" id="{A3F50817-C2AD-4361-BE4A-FDFAF18F66F9}">
            <xm:f>ISERROR(SEARCH("Yes",I71))</xm:f>
            <xm:f>"Yes"</xm:f>
            <x14:dxf>
              <font>
                <color rgb="FF9C0006"/>
              </font>
              <fill>
                <patternFill>
                  <bgColor rgb="FFFF9999"/>
                </patternFill>
              </fill>
            </x14:dxf>
          </x14:cfRule>
          <xm:sqref>I71:J76</xm:sqref>
        </x14:conditionalFormatting>
        <x14:conditionalFormatting xmlns:xm="http://schemas.microsoft.com/office/excel/2006/main">
          <x14:cfRule type="containsText" priority="278" operator="containsText" id="{60A06E16-EE46-490D-99F5-5B58ED8DAF10}">
            <xm:f>NOT(ISERROR(SEARCH("TRUE",I121)))</xm:f>
            <xm:f>"TRUE"</xm:f>
            <x14:dxf>
              <fill>
                <patternFill>
                  <bgColor theme="6"/>
                </patternFill>
              </fill>
            </x14:dxf>
          </x14:cfRule>
          <xm:sqref>I121:O153 I159:O191 I197:O229 I235:O267 I273:O305</xm:sqref>
        </x14:conditionalFormatting>
        <x14:conditionalFormatting xmlns:xm="http://schemas.microsoft.com/office/excel/2006/main">
          <x14:cfRule type="containsText" priority="55" operator="containsText" id="{C102CA58-88FC-4E12-94C5-A3F600DAF5AF}">
            <xm:f>NOT(ISERROR(SEARCH("TRUE",M314)))</xm:f>
            <xm:f>"TRUE"</xm:f>
            <x14:dxf>
              <fill>
                <patternFill>
                  <bgColor rgb="FF92D050"/>
                </patternFill>
              </fill>
            </x14:dxf>
          </x14:cfRule>
          <xm:sqref>M314</xm:sqref>
        </x14:conditionalFormatting>
        <x14:conditionalFormatting xmlns:xm="http://schemas.microsoft.com/office/excel/2006/main">
          <x14:cfRule type="containsText" priority="53" operator="containsText" id="{5EE84EED-388C-45A3-BAC2-64FEB6D4C780}">
            <xm:f>NOT(ISERROR(SEARCH("TRUE",M314)))</xm:f>
            <xm:f>"TRUE"</xm:f>
            <x14:dxf>
              <fill>
                <patternFill>
                  <bgColor theme="6"/>
                </patternFill>
              </fill>
            </x14:dxf>
          </x14:cfRule>
          <xm:sqref>M314:M346</xm:sqref>
        </x14:conditionalFormatting>
        <x14:conditionalFormatting xmlns:xm="http://schemas.microsoft.com/office/excel/2006/main">
          <x14:cfRule type="containsText" priority="50" operator="containsText" id="{E3342C40-334B-46E0-AF3C-BC02901AFDAA}">
            <xm:f>NOT(ISERROR(SEARCH("TRUE",P314)))</xm:f>
            <xm:f>"TRUE"</xm:f>
            <x14:dxf>
              <fill>
                <patternFill>
                  <bgColor rgb="FF92D050"/>
                </patternFill>
              </fill>
            </x14:dxf>
          </x14:cfRule>
          <x14:cfRule type="containsText" priority="48" operator="containsText" id="{37079345-7BE8-438A-927A-F40BF54D5039}">
            <xm:f>NOT(ISERROR(SEARCH("TRUE",P314)))</xm:f>
            <xm:f>"TRUE"</xm:f>
            <x14:dxf>
              <fill>
                <patternFill>
                  <bgColor theme="6"/>
                </patternFill>
              </fill>
            </x14:dxf>
          </x14:cfRule>
          <xm:sqref>P314:P346</xm:sqref>
        </x14:conditionalFormatting>
        <x14:conditionalFormatting xmlns:xm="http://schemas.microsoft.com/office/excel/2006/main">
          <x14:cfRule type="containsText" priority="45" operator="containsText" id="{55733DB9-BA37-4DF3-B78F-1C5E4545A6B3}">
            <xm:f>NOT(ISERROR(SEARCH("TRUE",U314)))</xm:f>
            <xm:f>"TRUE"</xm:f>
            <x14:dxf>
              <fill>
                <patternFill>
                  <bgColor rgb="FF92D050"/>
                </patternFill>
              </fill>
            </x14:dxf>
          </x14:cfRule>
          <xm:sqref>U314</xm:sqref>
        </x14:conditionalFormatting>
        <x14:conditionalFormatting xmlns:xm="http://schemas.microsoft.com/office/excel/2006/main">
          <x14:cfRule type="containsText" priority="43" operator="containsText" id="{EB441DE9-E82A-4A2C-A359-FCBE427A9A27}">
            <xm:f>NOT(ISERROR(SEARCH("TRUE",U314)))</xm:f>
            <xm:f>"TRUE"</xm:f>
            <x14:dxf>
              <fill>
                <patternFill>
                  <bgColor theme="6"/>
                </patternFill>
              </fill>
            </x14:dxf>
          </x14:cfRule>
          <xm:sqref>U314:U346</xm:sqref>
        </x14:conditionalFormatting>
        <x14:conditionalFormatting xmlns:xm="http://schemas.microsoft.com/office/excel/2006/main">
          <x14:cfRule type="containsText" priority="97" operator="containsText" id="{0D895690-AEBE-45EF-B61A-DFE76F349E54}">
            <xm:f>NOT(ISERROR(SEARCH("TRUE",W83)))</xm:f>
            <xm:f>"TRUE"</xm:f>
            <x14:dxf>
              <fill>
                <patternFill>
                  <bgColor theme="6"/>
                </patternFill>
              </fill>
            </x14:dxf>
          </x14:cfRule>
          <xm:sqref>W83:AD115</xm:sqref>
        </x14:conditionalFormatting>
        <x14:conditionalFormatting xmlns:xm="http://schemas.microsoft.com/office/excel/2006/main">
          <x14:cfRule type="containsText" priority="89" operator="containsText" id="{7ACFC4FF-50CE-43DC-9EAC-24EAC288DD53}">
            <xm:f>NOT(ISERROR(SEARCH("TRUE",W121)))</xm:f>
            <xm:f>"TRUE"</xm:f>
            <x14:dxf>
              <fill>
                <patternFill>
                  <bgColor theme="6"/>
                </patternFill>
              </fill>
            </x14:dxf>
          </x14:cfRule>
          <xm:sqref>W121:AD153</xm:sqref>
        </x14:conditionalFormatting>
        <x14:conditionalFormatting xmlns:xm="http://schemas.microsoft.com/office/excel/2006/main">
          <x14:cfRule type="containsText" priority="81" operator="containsText" id="{2CB99690-9BDE-4034-A02A-1EF2C674F42D}">
            <xm:f>NOT(ISERROR(SEARCH("TRUE",W159)))</xm:f>
            <xm:f>"TRUE"</xm:f>
            <x14:dxf>
              <fill>
                <patternFill>
                  <bgColor theme="6"/>
                </patternFill>
              </fill>
            </x14:dxf>
          </x14:cfRule>
          <xm:sqref>W159:AD191</xm:sqref>
        </x14:conditionalFormatting>
        <x14:conditionalFormatting xmlns:xm="http://schemas.microsoft.com/office/excel/2006/main">
          <x14:cfRule type="containsText" priority="73" operator="containsText" id="{49685640-DBB0-4C7A-9BE8-59212A6A6505}">
            <xm:f>NOT(ISERROR(SEARCH("TRUE",W197)))</xm:f>
            <xm:f>"TRUE"</xm:f>
            <x14:dxf>
              <fill>
                <patternFill>
                  <bgColor theme="6"/>
                </patternFill>
              </fill>
            </x14:dxf>
          </x14:cfRule>
          <xm:sqref>W197:AD229</xm:sqref>
        </x14:conditionalFormatting>
        <x14:conditionalFormatting xmlns:xm="http://schemas.microsoft.com/office/excel/2006/main">
          <x14:cfRule type="containsText" priority="65" operator="containsText" id="{2B4DA27A-987E-4DED-9137-454DA2CD3DE5}">
            <xm:f>NOT(ISERROR(SEARCH("TRUE",W235)))</xm:f>
            <xm:f>"TRUE"</xm:f>
            <x14:dxf>
              <fill>
                <patternFill>
                  <bgColor theme="6"/>
                </patternFill>
              </fill>
            </x14:dxf>
          </x14:cfRule>
          <xm:sqref>W235:AD267</xm:sqref>
        </x14:conditionalFormatting>
        <x14:conditionalFormatting xmlns:xm="http://schemas.microsoft.com/office/excel/2006/main">
          <x14:cfRule type="containsText" priority="57" operator="containsText" id="{553D01BF-B10A-4F70-8B13-1D1FE35BEA27}">
            <xm:f>NOT(ISERROR(SEARCH("TRUE",W273)))</xm:f>
            <xm:f>"TRUE"</xm:f>
            <x14:dxf>
              <fill>
                <patternFill>
                  <bgColor theme="6"/>
                </patternFill>
              </fill>
            </x14:dxf>
          </x14:cfRule>
          <xm:sqref>W273:AD305</xm:sqref>
        </x14:conditionalFormatting>
        <x14:conditionalFormatting xmlns:xm="http://schemas.microsoft.com/office/excel/2006/main">
          <x14:cfRule type="containsText" priority="35" operator="containsText" id="{712D4E5A-2FD8-47D0-ACB1-EAE4CA0BA89E}">
            <xm:f>NOT(ISERROR(SEARCH("TRUE",X314)))</xm:f>
            <xm:f>"TRUE"</xm:f>
            <x14:dxf>
              <fill>
                <patternFill>
                  <bgColor rgb="FF92D050"/>
                </patternFill>
              </fill>
            </x14:dxf>
          </x14:cfRule>
          <xm:sqref>X314</xm:sqref>
        </x14:conditionalFormatting>
        <x14:conditionalFormatting xmlns:xm="http://schemas.microsoft.com/office/excel/2006/main">
          <x14:cfRule type="containsText" priority="33" operator="containsText" id="{9BFC4F2C-D601-4E83-B8F3-E5533EF53691}">
            <xm:f>NOT(ISERROR(SEARCH("TRUE",X314)))</xm:f>
            <xm:f>"TRUE"</xm:f>
            <x14:dxf>
              <fill>
                <patternFill>
                  <bgColor theme="6"/>
                </patternFill>
              </fill>
            </x14:dxf>
          </x14:cfRule>
          <xm:sqref>X314:X346</xm:sqref>
        </x14:conditionalFormatting>
      </x14:conditionalFormattings>
    </ext>
    <ext xmlns:x14="http://schemas.microsoft.com/office/spreadsheetml/2009/9/main" uri="{CCE6A557-97BC-4b89-ADB6-D9C93CAAB3DF}">
      <x14:dataValidations xmlns:xm="http://schemas.microsoft.com/office/excel/2006/main" count="1">
        <x14:dataValidation type="list" allowBlank="1" showInputMessage="1" showErrorMessage="1" error="Please select an option from the drop down menu." prompt="Please select an option from the drop down menu." xr:uid="{70B49168-C8B3-40E8-A801-5504546A0FE6}">
          <x14:formula1>
            <xm:f>'Reference Tables'!$B$48:$B$54</xm:f>
          </x14:formula1>
          <xm:sqref>C1</xm:sqref>
        </x14:dataValidation>
      </x14:dataValidations>
    </ext>
  </extLst>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43C2D9-82C0-4BEE-BDEE-8854974E3553}">
  <sheetPr codeName="Sheet2"/>
  <dimension ref="A1:I54"/>
  <sheetViews>
    <sheetView zoomScale="115" zoomScaleNormal="115" workbookViewId="0">
      <selection activeCell="B19" sqref="B19"/>
    </sheetView>
  </sheetViews>
  <sheetFormatPr defaultRowHeight="15" x14ac:dyDescent="0.25"/>
  <cols>
    <col min="1" max="1" width="33" bestFit="1" customWidth="1"/>
    <col min="2" max="2" width="23.5703125" customWidth="1"/>
    <col min="3" max="3" width="20.140625" customWidth="1"/>
    <col min="4" max="4" width="28.5703125" bestFit="1" customWidth="1"/>
    <col min="5" max="5" width="27.28515625" customWidth="1"/>
    <col min="6" max="6" width="19" customWidth="1"/>
    <col min="7" max="7" width="28.5703125" bestFit="1" customWidth="1"/>
    <col min="8" max="8" width="34.140625" customWidth="1"/>
    <col min="9" max="9" width="42.5703125" customWidth="1"/>
  </cols>
  <sheetData>
    <row r="1" spans="1:9" x14ac:dyDescent="0.25">
      <c r="A1" s="41"/>
      <c r="B1" s="41"/>
      <c r="C1" s="41"/>
      <c r="D1" s="41"/>
      <c r="E1" s="41"/>
      <c r="F1" s="41"/>
      <c r="G1" s="41"/>
      <c r="H1" s="41"/>
      <c r="I1" s="41"/>
    </row>
    <row r="2" spans="1:9" x14ac:dyDescent="0.25">
      <c r="A2" s="42"/>
      <c r="B2" s="42"/>
      <c r="C2" s="41"/>
      <c r="D2" s="41"/>
      <c r="E2" s="41"/>
      <c r="F2" s="41"/>
      <c r="G2" s="41"/>
      <c r="H2" s="41"/>
      <c r="I2" s="41"/>
    </row>
    <row r="3" spans="1:9" x14ac:dyDescent="0.25">
      <c r="A3" s="43" t="s">
        <v>413</v>
      </c>
      <c r="B3" s="43">
        <v>1</v>
      </c>
      <c r="C3" s="43">
        <v>2</v>
      </c>
      <c r="D3" s="43">
        <v>3</v>
      </c>
      <c r="E3" s="43">
        <v>4</v>
      </c>
      <c r="F3" s="43">
        <v>5</v>
      </c>
      <c r="G3" s="43">
        <v>6</v>
      </c>
      <c r="H3" s="43">
        <v>7</v>
      </c>
      <c r="I3" s="41"/>
    </row>
    <row r="4" spans="1:9" ht="30" x14ac:dyDescent="0.25">
      <c r="A4" s="44" t="s">
        <v>53</v>
      </c>
      <c r="B4" s="45" t="s">
        <v>76</v>
      </c>
      <c r="C4" s="45" t="s">
        <v>414</v>
      </c>
      <c r="D4" s="45" t="s">
        <v>415</v>
      </c>
      <c r="E4" s="46" t="s">
        <v>416</v>
      </c>
      <c r="F4" s="47" t="s">
        <v>417</v>
      </c>
      <c r="G4" s="46" t="s">
        <v>418</v>
      </c>
      <c r="H4" s="46" t="s">
        <v>69</v>
      </c>
      <c r="I4" s="41"/>
    </row>
    <row r="5" spans="1:9" x14ac:dyDescent="0.25">
      <c r="A5" s="48" t="s">
        <v>54</v>
      </c>
      <c r="B5" s="189" t="s">
        <v>419</v>
      </c>
      <c r="C5" s="189"/>
      <c r="D5" s="189" t="s">
        <v>419</v>
      </c>
      <c r="E5" s="189" t="s">
        <v>419</v>
      </c>
      <c r="F5" s="189" t="s">
        <v>419</v>
      </c>
      <c r="G5" s="189"/>
      <c r="H5" s="189"/>
      <c r="I5" s="41"/>
    </row>
    <row r="6" spans="1:9" x14ac:dyDescent="0.25">
      <c r="A6" s="48" t="s">
        <v>55</v>
      </c>
      <c r="B6" s="189" t="s">
        <v>419</v>
      </c>
      <c r="C6" s="189"/>
      <c r="D6" s="189" t="s">
        <v>419</v>
      </c>
      <c r="E6" s="189" t="s">
        <v>419</v>
      </c>
      <c r="F6" s="189" t="s">
        <v>419</v>
      </c>
      <c r="G6" s="189"/>
      <c r="H6" s="189"/>
      <c r="I6" s="41"/>
    </row>
    <row r="7" spans="1:9" x14ac:dyDescent="0.25">
      <c r="A7" s="48" t="s">
        <v>56</v>
      </c>
      <c r="B7" s="189"/>
      <c r="C7" s="189"/>
      <c r="D7" s="189" t="s">
        <v>419</v>
      </c>
      <c r="E7" s="189"/>
      <c r="F7" s="189" t="s">
        <v>419</v>
      </c>
      <c r="G7" s="189"/>
      <c r="H7" s="189"/>
      <c r="I7" s="41"/>
    </row>
    <row r="8" spans="1:9" x14ac:dyDescent="0.25">
      <c r="A8" s="48" t="s">
        <v>57</v>
      </c>
      <c r="B8" s="189" t="s">
        <v>419</v>
      </c>
      <c r="C8" s="189"/>
      <c r="D8" s="189" t="s">
        <v>419</v>
      </c>
      <c r="E8" s="189" t="s">
        <v>419</v>
      </c>
      <c r="F8" s="189" t="s">
        <v>419</v>
      </c>
      <c r="G8" s="189"/>
      <c r="H8" s="189"/>
      <c r="I8" s="41"/>
    </row>
    <row r="9" spans="1:9" x14ac:dyDescent="0.25">
      <c r="A9" s="48" t="s">
        <v>58</v>
      </c>
      <c r="B9" s="189" t="s">
        <v>419</v>
      </c>
      <c r="C9" s="189"/>
      <c r="D9" s="190" t="s">
        <v>419</v>
      </c>
      <c r="E9" s="189" t="s">
        <v>419</v>
      </c>
      <c r="F9" s="189" t="s">
        <v>419</v>
      </c>
      <c r="G9" s="189"/>
      <c r="H9" s="189"/>
      <c r="I9" s="41"/>
    </row>
    <row r="10" spans="1:9" x14ac:dyDescent="0.25">
      <c r="A10" s="49" t="s">
        <v>420</v>
      </c>
      <c r="B10" s="190" t="s">
        <v>419</v>
      </c>
      <c r="C10" s="190"/>
      <c r="D10" s="190" t="s">
        <v>419</v>
      </c>
      <c r="E10" s="189"/>
      <c r="F10" s="189"/>
      <c r="G10" s="189"/>
      <c r="H10" s="189"/>
      <c r="I10" s="41"/>
    </row>
    <row r="11" spans="1:9" x14ac:dyDescent="0.25">
      <c r="A11" s="49" t="s">
        <v>60</v>
      </c>
      <c r="B11" s="190" t="s">
        <v>419</v>
      </c>
      <c r="C11" s="190"/>
      <c r="D11" s="511"/>
      <c r="E11" s="190"/>
      <c r="F11" s="190" t="s">
        <v>419</v>
      </c>
      <c r="G11" s="190"/>
      <c r="H11" s="190"/>
      <c r="I11" s="41"/>
    </row>
    <row r="12" spans="1:9" x14ac:dyDescent="0.25">
      <c r="A12" s="41"/>
      <c r="B12" s="41"/>
      <c r="C12" s="41"/>
      <c r="D12" s="41"/>
      <c r="E12" s="41"/>
      <c r="F12" s="41"/>
      <c r="G12" s="41"/>
      <c r="H12" s="41"/>
      <c r="I12" s="41"/>
    </row>
    <row r="13" spans="1:9" x14ac:dyDescent="0.25">
      <c r="A13" s="41"/>
      <c r="B13" s="41"/>
      <c r="C13" s="41"/>
      <c r="D13" s="41"/>
      <c r="E13" s="41"/>
      <c r="F13" s="41"/>
      <c r="G13" s="41"/>
      <c r="H13" s="41"/>
      <c r="I13" s="41"/>
    </row>
    <row r="14" spans="1:9" ht="75" x14ac:dyDescent="0.25">
      <c r="A14" s="50" t="s">
        <v>280</v>
      </c>
      <c r="B14" s="45" t="s">
        <v>421</v>
      </c>
      <c r="D14" s="50" t="s">
        <v>431</v>
      </c>
      <c r="E14" s="45" t="s">
        <v>421</v>
      </c>
    </row>
    <row r="15" spans="1:9" x14ac:dyDescent="0.25">
      <c r="A15" s="48" t="s">
        <v>54</v>
      </c>
      <c r="B15" s="219">
        <v>828192</v>
      </c>
      <c r="D15" s="48" t="s">
        <v>54</v>
      </c>
      <c r="E15" s="219">
        <v>1630344</v>
      </c>
    </row>
    <row r="16" spans="1:9" x14ac:dyDescent="0.25">
      <c r="A16" s="48" t="s">
        <v>55</v>
      </c>
      <c r="B16" s="219">
        <v>561744</v>
      </c>
      <c r="D16" s="48" t="s">
        <v>55</v>
      </c>
      <c r="E16" s="219">
        <v>574680</v>
      </c>
    </row>
    <row r="17" spans="1:9" x14ac:dyDescent="0.25">
      <c r="A17" s="48" t="s">
        <v>56</v>
      </c>
      <c r="B17" s="219"/>
      <c r="D17" s="48" t="s">
        <v>56</v>
      </c>
      <c r="E17" s="219"/>
    </row>
    <row r="18" spans="1:9" x14ac:dyDescent="0.25">
      <c r="A18" s="48" t="s">
        <v>57</v>
      </c>
      <c r="B18" s="219">
        <v>437940</v>
      </c>
      <c r="D18" s="48" t="s">
        <v>57</v>
      </c>
      <c r="E18" s="219">
        <v>385920</v>
      </c>
    </row>
    <row r="19" spans="1:9" x14ac:dyDescent="0.25">
      <c r="A19" s="49" t="s">
        <v>58</v>
      </c>
      <c r="B19" s="220">
        <v>1476324</v>
      </c>
      <c r="D19" s="49" t="s">
        <v>58</v>
      </c>
      <c r="E19" s="220">
        <v>2101020</v>
      </c>
    </row>
    <row r="20" spans="1:9" x14ac:dyDescent="0.25">
      <c r="A20" s="49" t="s">
        <v>60</v>
      </c>
      <c r="B20" s="220">
        <v>193524</v>
      </c>
      <c r="D20" s="49" t="s">
        <v>60</v>
      </c>
      <c r="E20" s="220">
        <v>144876</v>
      </c>
    </row>
    <row r="21" spans="1:9" x14ac:dyDescent="0.25">
      <c r="A21" s="41"/>
      <c r="B21" s="41"/>
      <c r="D21" s="41"/>
      <c r="E21" s="41"/>
      <c r="G21" s="41"/>
      <c r="H21" s="41"/>
    </row>
    <row r="22" spans="1:9" x14ac:dyDescent="0.25">
      <c r="A22" s="41"/>
      <c r="B22" s="41"/>
      <c r="C22" s="41"/>
      <c r="D22" s="41"/>
      <c r="E22" s="51"/>
      <c r="F22" s="41"/>
      <c r="G22" s="41"/>
      <c r="H22" s="41"/>
      <c r="I22" s="41"/>
    </row>
    <row r="23" spans="1:9" x14ac:dyDescent="0.25">
      <c r="A23" s="120" t="s">
        <v>409</v>
      </c>
      <c r="B23" s="119" t="s">
        <v>422</v>
      </c>
      <c r="C23" s="41"/>
      <c r="F23" s="41"/>
      <c r="I23" s="41"/>
    </row>
    <row r="24" spans="1:9" ht="45" x14ac:dyDescent="0.25">
      <c r="A24" s="212" t="s">
        <v>248</v>
      </c>
      <c r="B24" s="215" t="s">
        <v>7</v>
      </c>
    </row>
    <row r="25" spans="1:9" ht="45" x14ac:dyDescent="0.25">
      <c r="A25" s="212" t="s">
        <v>249</v>
      </c>
      <c r="B25" s="215" t="s">
        <v>7</v>
      </c>
    </row>
    <row r="26" spans="1:9" ht="30" x14ac:dyDescent="0.25">
      <c r="A26" s="212" t="s">
        <v>250</v>
      </c>
      <c r="B26" s="215" t="s">
        <v>7</v>
      </c>
    </row>
    <row r="27" spans="1:9" ht="30" x14ac:dyDescent="0.25">
      <c r="A27" s="212" t="s">
        <v>251</v>
      </c>
      <c r="B27" s="215" t="s">
        <v>5</v>
      </c>
    </row>
    <row r="28" spans="1:9" ht="45" x14ac:dyDescent="0.25">
      <c r="A28" s="212" t="s">
        <v>252</v>
      </c>
      <c r="B28" s="215" t="s">
        <v>7</v>
      </c>
    </row>
    <row r="29" spans="1:9" ht="45" x14ac:dyDescent="0.25">
      <c r="A29" s="212" t="s">
        <v>253</v>
      </c>
      <c r="B29" s="215" t="s">
        <v>7</v>
      </c>
      <c r="D29" s="41"/>
      <c r="E29" s="41"/>
      <c r="G29" s="41"/>
      <c r="H29" s="41"/>
    </row>
    <row r="30" spans="1:9" ht="75" x14ac:dyDescent="0.25">
      <c r="A30" s="212" t="s">
        <v>412</v>
      </c>
      <c r="B30" s="216" t="s">
        <v>7</v>
      </c>
      <c r="C30" s="41"/>
      <c r="D30" s="41"/>
      <c r="E30" s="41"/>
      <c r="F30" s="41"/>
      <c r="G30" s="41"/>
      <c r="H30" s="41"/>
      <c r="I30" s="41"/>
    </row>
    <row r="31" spans="1:9" ht="30" x14ac:dyDescent="0.25">
      <c r="A31" s="212" t="s">
        <v>254</v>
      </c>
      <c r="B31" s="216" t="s">
        <v>7</v>
      </c>
      <c r="C31" s="41"/>
      <c r="D31" s="41"/>
      <c r="E31" s="41"/>
      <c r="F31" s="41"/>
      <c r="G31" s="41"/>
      <c r="H31" s="41"/>
      <c r="I31" s="41"/>
    </row>
    <row r="32" spans="1:9" ht="45" x14ac:dyDescent="0.25">
      <c r="A32" s="212" t="s">
        <v>255</v>
      </c>
      <c r="B32" s="216" t="s">
        <v>7</v>
      </c>
      <c r="C32" s="41"/>
      <c r="F32" s="41"/>
      <c r="I32" s="41"/>
    </row>
    <row r="33" spans="1:2" ht="45" x14ac:dyDescent="0.25">
      <c r="A33" s="212" t="s">
        <v>256</v>
      </c>
      <c r="B33" s="216" t="s">
        <v>7</v>
      </c>
    </row>
    <row r="34" spans="1:2" ht="45" x14ac:dyDescent="0.25">
      <c r="A34" s="212" t="s">
        <v>257</v>
      </c>
      <c r="B34" s="215" t="s">
        <v>7</v>
      </c>
    </row>
    <row r="35" spans="1:2" ht="30" x14ac:dyDescent="0.25">
      <c r="A35" s="212" t="s">
        <v>258</v>
      </c>
      <c r="B35" s="215" t="s">
        <v>7</v>
      </c>
    </row>
    <row r="36" spans="1:2" ht="45" x14ac:dyDescent="0.25">
      <c r="A36" s="212" t="s">
        <v>259</v>
      </c>
      <c r="B36" s="215" t="s">
        <v>7</v>
      </c>
    </row>
    <row r="37" spans="1:2" ht="45" x14ac:dyDescent="0.25">
      <c r="A37" s="212" t="s">
        <v>260</v>
      </c>
      <c r="B37" s="215" t="s">
        <v>7</v>
      </c>
    </row>
    <row r="38" spans="1:2" ht="45" x14ac:dyDescent="0.25">
      <c r="A38" s="212" t="s">
        <v>261</v>
      </c>
      <c r="B38" s="215" t="s">
        <v>7</v>
      </c>
    </row>
    <row r="39" spans="1:2" ht="30" x14ac:dyDescent="0.25">
      <c r="A39" s="212" t="s">
        <v>262</v>
      </c>
      <c r="B39" s="215" t="s">
        <v>7</v>
      </c>
    </row>
    <row r="40" spans="1:2" ht="45" x14ac:dyDescent="0.25">
      <c r="A40" s="213" t="s">
        <v>263</v>
      </c>
      <c r="B40" s="215" t="s">
        <v>423</v>
      </c>
    </row>
    <row r="41" spans="1:2" ht="45" x14ac:dyDescent="0.25">
      <c r="A41" s="212" t="s">
        <v>264</v>
      </c>
      <c r="B41" s="215" t="s">
        <v>423</v>
      </c>
    </row>
    <row r="42" spans="1:2" ht="30" x14ac:dyDescent="0.25">
      <c r="A42" s="212" t="s">
        <v>265</v>
      </c>
      <c r="B42" s="215"/>
    </row>
    <row r="43" spans="1:2" ht="30" x14ac:dyDescent="0.25">
      <c r="A43" s="212" t="s">
        <v>266</v>
      </c>
      <c r="B43" s="215" t="s">
        <v>5</v>
      </c>
    </row>
    <row r="44" spans="1:2" ht="30" x14ac:dyDescent="0.25">
      <c r="A44" s="212" t="s">
        <v>267</v>
      </c>
      <c r="B44" s="215" t="s">
        <v>7</v>
      </c>
    </row>
    <row r="45" spans="1:2" ht="105" x14ac:dyDescent="0.25">
      <c r="A45" s="213" t="s">
        <v>268</v>
      </c>
      <c r="B45" s="191"/>
    </row>
    <row r="46" spans="1:2" ht="30" x14ac:dyDescent="0.25">
      <c r="A46" s="212" t="s">
        <v>269</v>
      </c>
      <c r="B46" s="191" t="s">
        <v>7</v>
      </c>
    </row>
    <row r="47" spans="1:2" ht="30" x14ac:dyDescent="0.25">
      <c r="A47" s="212" t="s">
        <v>270</v>
      </c>
      <c r="B47" s="191"/>
    </row>
    <row r="48" spans="1:2" ht="60" x14ac:dyDescent="0.25">
      <c r="A48" s="212" t="s">
        <v>271</v>
      </c>
      <c r="B48" s="191"/>
    </row>
    <row r="49" spans="1:2" ht="45" x14ac:dyDescent="0.25">
      <c r="A49" s="214" t="s">
        <v>272</v>
      </c>
      <c r="B49" s="191" t="s">
        <v>7</v>
      </c>
    </row>
    <row r="50" spans="1:2" ht="75" x14ac:dyDescent="0.25">
      <c r="A50" s="214" t="s">
        <v>273</v>
      </c>
      <c r="B50" s="191" t="s">
        <v>7</v>
      </c>
    </row>
    <row r="51" spans="1:2" ht="30" x14ac:dyDescent="0.25">
      <c r="A51" s="214" t="s">
        <v>274</v>
      </c>
      <c r="B51" s="191" t="s">
        <v>7</v>
      </c>
    </row>
    <row r="52" spans="1:2" ht="45" x14ac:dyDescent="0.25">
      <c r="A52" s="214" t="s">
        <v>275</v>
      </c>
      <c r="B52" s="191" t="s">
        <v>7</v>
      </c>
    </row>
    <row r="53" spans="1:2" ht="90" x14ac:dyDescent="0.25">
      <c r="A53" s="10" t="s">
        <v>276</v>
      </c>
      <c r="B53" s="510" t="s">
        <v>7</v>
      </c>
    </row>
    <row r="54" spans="1:2" ht="45" x14ac:dyDescent="0.25">
      <c r="A54" s="212" t="s">
        <v>277</v>
      </c>
      <c r="B54" s="192"/>
    </row>
  </sheetData>
  <phoneticPr fontId="21" type="noConversion"/>
  <pageMargins left="0.7" right="0.7" top="0.75" bottom="0.75" header="0.3" footer="0.3"/>
  <tableParts count="4">
    <tablePart r:id="rId1"/>
    <tablePart r:id="rId2"/>
    <tablePart r:id="rId3"/>
    <tablePart r:id="rId4"/>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9DBD31-47B4-49E7-BCF5-08D2BB256923}">
  <sheetPr codeName="Sheet4">
    <tabColor theme="0" tint="-0.249977111117893"/>
  </sheetPr>
  <dimension ref="A1:F99"/>
  <sheetViews>
    <sheetView tabSelected="1" zoomScaleNormal="100" workbookViewId="0">
      <selection activeCell="I7" sqref="I7"/>
    </sheetView>
  </sheetViews>
  <sheetFormatPr defaultRowHeight="15" x14ac:dyDescent="0.25"/>
  <cols>
    <col min="1" max="1" width="46.140625" style="19" customWidth="1"/>
    <col min="2" max="2" width="64.85546875" customWidth="1"/>
    <col min="5" max="5" width="13.140625" customWidth="1"/>
  </cols>
  <sheetData>
    <row r="1" spans="1:5" x14ac:dyDescent="0.25">
      <c r="A1" s="527" t="s">
        <v>14</v>
      </c>
      <c r="B1" s="527"/>
      <c r="C1" s="17"/>
      <c r="D1" s="17"/>
      <c r="E1" s="17"/>
    </row>
    <row r="2" spans="1:5" x14ac:dyDescent="0.25">
      <c r="A2" s="527"/>
      <c r="B2" s="527"/>
      <c r="C2" s="17"/>
      <c r="D2" s="17"/>
      <c r="E2" s="17"/>
    </row>
    <row r="3" spans="1:5" x14ac:dyDescent="0.25">
      <c r="A3"/>
    </row>
    <row r="4" spans="1:5" x14ac:dyDescent="0.25">
      <c r="A4" s="21" t="s">
        <v>15</v>
      </c>
      <c r="B4" s="21" t="s">
        <v>16</v>
      </c>
      <c r="C4" s="1"/>
      <c r="D4" s="1"/>
      <c r="E4" s="1"/>
    </row>
    <row r="5" spans="1:5" x14ac:dyDescent="0.25">
      <c r="A5" s="202">
        <v>44365</v>
      </c>
      <c r="B5" s="20" t="s">
        <v>17</v>
      </c>
    </row>
    <row r="6" spans="1:5" x14ac:dyDescent="0.25">
      <c r="A6" s="202">
        <v>44788</v>
      </c>
      <c r="B6" s="20" t="s">
        <v>18</v>
      </c>
    </row>
    <row r="7" spans="1:5" x14ac:dyDescent="0.25">
      <c r="A7" s="202">
        <v>45153</v>
      </c>
      <c r="B7" s="20" t="s">
        <v>19</v>
      </c>
    </row>
    <row r="8" spans="1:5" x14ac:dyDescent="0.25">
      <c r="A8" s="202">
        <v>45519</v>
      </c>
      <c r="B8" s="20" t="s">
        <v>20</v>
      </c>
    </row>
    <row r="9" spans="1:5" x14ac:dyDescent="0.25">
      <c r="A9" s="202">
        <v>45884</v>
      </c>
      <c r="B9" s="20" t="s">
        <v>21</v>
      </c>
    </row>
    <row r="10" spans="1:5" x14ac:dyDescent="0.25">
      <c r="A10" s="202">
        <v>46249</v>
      </c>
      <c r="B10" s="20" t="s">
        <v>22</v>
      </c>
    </row>
    <row r="11" spans="1:5" x14ac:dyDescent="0.25">
      <c r="A11"/>
    </row>
    <row r="12" spans="1:5" x14ac:dyDescent="0.25">
      <c r="A12" s="53" t="s">
        <v>23</v>
      </c>
      <c r="B12" s="22" t="s">
        <v>24</v>
      </c>
      <c r="D12" s="1"/>
      <c r="E12" s="1"/>
    </row>
    <row r="13" spans="1:5" x14ac:dyDescent="0.25">
      <c r="A13" s="203">
        <v>100</v>
      </c>
      <c r="B13" s="204" t="s">
        <v>25</v>
      </c>
      <c r="D13" s="1"/>
      <c r="E13" s="1"/>
    </row>
    <row r="14" spans="1:5" ht="30" x14ac:dyDescent="0.25">
      <c r="A14" s="203">
        <v>101</v>
      </c>
      <c r="B14" s="204" t="s">
        <v>463</v>
      </c>
    </row>
    <row r="15" spans="1:5" x14ac:dyDescent="0.25">
      <c r="A15" s="203">
        <v>102</v>
      </c>
      <c r="B15" s="204" t="s">
        <v>465</v>
      </c>
    </row>
    <row r="16" spans="1:5" x14ac:dyDescent="0.25">
      <c r="A16" s="203">
        <v>103</v>
      </c>
      <c r="B16" s="204" t="s">
        <v>26</v>
      </c>
    </row>
    <row r="17" spans="1:2" x14ac:dyDescent="0.25">
      <c r="A17" s="203">
        <v>104</v>
      </c>
      <c r="B17" s="204" t="s">
        <v>27</v>
      </c>
    </row>
    <row r="18" spans="1:2" x14ac:dyDescent="0.25">
      <c r="A18" s="203">
        <v>105</v>
      </c>
      <c r="B18" s="204" t="s">
        <v>28</v>
      </c>
    </row>
    <row r="19" spans="1:2" x14ac:dyDescent="0.25">
      <c r="A19" s="203">
        <v>106</v>
      </c>
      <c r="B19" s="204" t="s">
        <v>29</v>
      </c>
    </row>
    <row r="20" spans="1:2" x14ac:dyDescent="0.25">
      <c r="A20" s="205">
        <v>107</v>
      </c>
      <c r="B20" s="204" t="s">
        <v>466</v>
      </c>
    </row>
    <row r="21" spans="1:2" ht="30" x14ac:dyDescent="0.25">
      <c r="A21" s="205">
        <v>108</v>
      </c>
      <c r="B21" s="204" t="s">
        <v>30</v>
      </c>
    </row>
    <row r="22" spans="1:2" ht="30" x14ac:dyDescent="0.25">
      <c r="A22" s="205">
        <v>109</v>
      </c>
      <c r="B22" s="204" t="s">
        <v>31</v>
      </c>
    </row>
    <row r="23" spans="1:2" x14ac:dyDescent="0.25">
      <c r="A23" s="205">
        <v>110</v>
      </c>
      <c r="B23" s="204" t="s">
        <v>32</v>
      </c>
    </row>
    <row r="24" spans="1:2" x14ac:dyDescent="0.25">
      <c r="A24" s="205">
        <v>111</v>
      </c>
      <c r="B24" s="204" t="s">
        <v>28</v>
      </c>
    </row>
    <row r="25" spans="1:2" x14ac:dyDescent="0.25">
      <c r="A25" s="205">
        <v>112</v>
      </c>
      <c r="B25" s="204" t="s">
        <v>33</v>
      </c>
    </row>
    <row r="26" spans="1:2" x14ac:dyDescent="0.25">
      <c r="A26" s="205">
        <v>113</v>
      </c>
      <c r="B26" s="204" t="s">
        <v>34</v>
      </c>
    </row>
    <row r="27" spans="1:2" x14ac:dyDescent="0.25">
      <c r="A27" s="205">
        <v>114</v>
      </c>
      <c r="B27" s="204" t="s">
        <v>35</v>
      </c>
    </row>
    <row r="28" spans="1:2" x14ac:dyDescent="0.25">
      <c r="A28" s="205">
        <v>115</v>
      </c>
      <c r="B28" s="204" t="s">
        <v>36</v>
      </c>
    </row>
    <row r="29" spans="1:2" x14ac:dyDescent="0.25">
      <c r="A29" s="205">
        <v>116</v>
      </c>
      <c r="B29" s="204" t="s">
        <v>37</v>
      </c>
    </row>
    <row r="30" spans="1:2" x14ac:dyDescent="0.25">
      <c r="A30" s="205">
        <v>117</v>
      </c>
      <c r="B30" s="204" t="s">
        <v>38</v>
      </c>
    </row>
    <row r="31" spans="1:2" x14ac:dyDescent="0.25">
      <c r="A31" s="205">
        <v>118</v>
      </c>
      <c r="B31" s="204" t="s">
        <v>39</v>
      </c>
    </row>
    <row r="32" spans="1:2" x14ac:dyDescent="0.25">
      <c r="A32" s="205">
        <v>119</v>
      </c>
      <c r="B32" s="204" t="s">
        <v>40</v>
      </c>
    </row>
    <row r="33" spans="1:5" x14ac:dyDescent="0.25">
      <c r="A33" s="205">
        <v>120</v>
      </c>
      <c r="B33" s="204" t="s">
        <v>41</v>
      </c>
    </row>
    <row r="34" spans="1:5" x14ac:dyDescent="0.25">
      <c r="A34" s="205">
        <v>121</v>
      </c>
      <c r="B34" s="204" t="s">
        <v>42</v>
      </c>
    </row>
    <row r="35" spans="1:5" x14ac:dyDescent="0.25">
      <c r="A35" s="205">
        <v>122</v>
      </c>
      <c r="B35" s="204" t="s">
        <v>43</v>
      </c>
    </row>
    <row r="36" spans="1:5" x14ac:dyDescent="0.25">
      <c r="A36" s="205">
        <v>123</v>
      </c>
      <c r="B36" s="204" t="s">
        <v>44</v>
      </c>
    </row>
    <row r="37" spans="1:5" x14ac:dyDescent="0.25">
      <c r="A37" s="205">
        <v>124</v>
      </c>
      <c r="B37" s="204" t="s">
        <v>45</v>
      </c>
    </row>
    <row r="38" spans="1:5" x14ac:dyDescent="0.25">
      <c r="A38" s="205">
        <v>125</v>
      </c>
      <c r="B38" s="204" t="s">
        <v>500</v>
      </c>
    </row>
    <row r="39" spans="1:5" x14ac:dyDescent="0.25">
      <c r="A39" s="205">
        <v>126</v>
      </c>
      <c r="B39" s="204" t="s">
        <v>46</v>
      </c>
    </row>
    <row r="40" spans="1:5" x14ac:dyDescent="0.25">
      <c r="A40" s="205">
        <v>127</v>
      </c>
      <c r="B40" s="204" t="s">
        <v>47</v>
      </c>
    </row>
    <row r="41" spans="1:5" x14ac:dyDescent="0.25">
      <c r="A41" s="205">
        <v>128</v>
      </c>
      <c r="B41" s="204" t="s">
        <v>48</v>
      </c>
    </row>
    <row r="42" spans="1:5" x14ac:dyDescent="0.25">
      <c r="A42" s="205">
        <v>129</v>
      </c>
      <c r="B42" s="204" t="s">
        <v>464</v>
      </c>
    </row>
    <row r="43" spans="1:5" x14ac:dyDescent="0.25">
      <c r="A43" s="205">
        <v>130</v>
      </c>
      <c r="B43" s="204" t="s">
        <v>49</v>
      </c>
    </row>
    <row r="44" spans="1:5" x14ac:dyDescent="0.25">
      <c r="A44" s="19">
        <v>131</v>
      </c>
      <c r="B44" s="204" t="s">
        <v>50</v>
      </c>
    </row>
    <row r="45" spans="1:5" x14ac:dyDescent="0.25">
      <c r="A45" s="205">
        <v>999</v>
      </c>
      <c r="B45" s="204" t="s">
        <v>51</v>
      </c>
    </row>
    <row r="47" spans="1:5" x14ac:dyDescent="0.25">
      <c r="A47" s="22" t="s">
        <v>52</v>
      </c>
      <c r="B47" s="22" t="s">
        <v>53</v>
      </c>
      <c r="C47" s="2"/>
      <c r="D47" s="1"/>
      <c r="E47" s="1"/>
    </row>
    <row r="48" spans="1:5" x14ac:dyDescent="0.25">
      <c r="A48" s="2">
        <v>201</v>
      </c>
      <c r="B48" s="23" t="s">
        <v>54</v>
      </c>
      <c r="C48" s="2"/>
    </row>
    <row r="49" spans="1:6" x14ac:dyDescent="0.25">
      <c r="A49" s="2">
        <v>202</v>
      </c>
      <c r="B49" s="23" t="s">
        <v>55</v>
      </c>
      <c r="C49" s="2"/>
    </row>
    <row r="50" spans="1:6" x14ac:dyDescent="0.25">
      <c r="A50" s="2">
        <v>203</v>
      </c>
      <c r="B50" s="23" t="s">
        <v>56</v>
      </c>
      <c r="C50" s="2"/>
    </row>
    <row r="51" spans="1:6" x14ac:dyDescent="0.25">
      <c r="A51" s="2">
        <v>204</v>
      </c>
      <c r="B51" s="23" t="s">
        <v>57</v>
      </c>
      <c r="C51" s="2"/>
    </row>
    <row r="52" spans="1:6" x14ac:dyDescent="0.25">
      <c r="A52" s="2">
        <v>206</v>
      </c>
      <c r="B52" s="23" t="s">
        <v>58</v>
      </c>
      <c r="C52" s="2"/>
    </row>
    <row r="53" spans="1:6" x14ac:dyDescent="0.25">
      <c r="A53" s="2">
        <v>207</v>
      </c>
      <c r="B53" s="23" t="s">
        <v>59</v>
      </c>
      <c r="C53" s="2"/>
    </row>
    <row r="54" spans="1:6" x14ac:dyDescent="0.25">
      <c r="A54" s="19">
        <v>208</v>
      </c>
      <c r="B54" s="23" t="s">
        <v>60</v>
      </c>
      <c r="C54" s="2"/>
    </row>
    <row r="56" spans="1:6" x14ac:dyDescent="0.25">
      <c r="A56" s="24" t="s">
        <v>61</v>
      </c>
      <c r="B56" s="22" t="s">
        <v>62</v>
      </c>
      <c r="C56" s="1"/>
      <c r="D56" s="1"/>
      <c r="E56" s="1"/>
      <c r="F56" s="1"/>
    </row>
    <row r="57" spans="1:6" x14ac:dyDescent="0.25">
      <c r="A57" s="19">
        <v>1</v>
      </c>
      <c r="B57" s="13" t="s">
        <v>63</v>
      </c>
    </row>
    <row r="58" spans="1:6" x14ac:dyDescent="0.25">
      <c r="A58" s="19">
        <v>2</v>
      </c>
      <c r="B58" s="13" t="s">
        <v>64</v>
      </c>
    </row>
    <row r="59" spans="1:6" x14ac:dyDescent="0.25">
      <c r="A59" s="19">
        <v>3</v>
      </c>
      <c r="B59" s="13" t="s">
        <v>65</v>
      </c>
    </row>
    <row r="60" spans="1:6" x14ac:dyDescent="0.25">
      <c r="A60" s="19">
        <v>4</v>
      </c>
      <c r="B60" s="13" t="s">
        <v>66</v>
      </c>
    </row>
    <row r="61" spans="1:6" x14ac:dyDescent="0.25">
      <c r="A61" s="19">
        <v>5</v>
      </c>
      <c r="B61" s="13" t="s">
        <v>67</v>
      </c>
    </row>
    <row r="62" spans="1:6" x14ac:dyDescent="0.25">
      <c r="A62" s="19">
        <v>6</v>
      </c>
      <c r="B62" s="13" t="s">
        <v>68</v>
      </c>
      <c r="C62" s="18"/>
      <c r="D62" s="18"/>
      <c r="E62" s="18"/>
    </row>
    <row r="63" spans="1:6" x14ac:dyDescent="0.25">
      <c r="A63" s="19">
        <v>7</v>
      </c>
      <c r="B63" s="13" t="s">
        <v>69</v>
      </c>
    </row>
    <row r="65" spans="1:5" x14ac:dyDescent="0.25">
      <c r="A65" s="24" t="s">
        <v>70</v>
      </c>
      <c r="B65" s="22" t="s">
        <v>62</v>
      </c>
      <c r="C65" s="1"/>
      <c r="D65" s="1"/>
      <c r="E65" s="1"/>
    </row>
    <row r="66" spans="1:5" x14ac:dyDescent="0.25">
      <c r="A66" s="19">
        <v>901</v>
      </c>
      <c r="B66" s="2" t="s">
        <v>71</v>
      </c>
    </row>
    <row r="67" spans="1:5" x14ac:dyDescent="0.25">
      <c r="A67" s="19">
        <v>902</v>
      </c>
      <c r="B67" s="2" t="s">
        <v>72</v>
      </c>
    </row>
    <row r="68" spans="1:5" x14ac:dyDescent="0.25">
      <c r="A68" s="19">
        <v>903</v>
      </c>
      <c r="B68" s="2" t="s">
        <v>73</v>
      </c>
    </row>
    <row r="69" spans="1:5" x14ac:dyDescent="0.25">
      <c r="A69" s="19">
        <v>904</v>
      </c>
      <c r="B69" s="2" t="s">
        <v>74</v>
      </c>
    </row>
    <row r="70" spans="1:5" x14ac:dyDescent="0.25">
      <c r="A70" s="19">
        <v>905</v>
      </c>
      <c r="B70" s="2" t="s">
        <v>75</v>
      </c>
    </row>
    <row r="71" spans="1:5" x14ac:dyDescent="0.25">
      <c r="A71" s="19">
        <v>906</v>
      </c>
      <c r="B71" s="2" t="s">
        <v>76</v>
      </c>
    </row>
    <row r="72" spans="1:5" x14ac:dyDescent="0.25">
      <c r="A72" s="19">
        <v>907</v>
      </c>
      <c r="B72" s="2" t="s">
        <v>77</v>
      </c>
    </row>
    <row r="73" spans="1:5" x14ac:dyDescent="0.25">
      <c r="A73" s="19">
        <v>908</v>
      </c>
      <c r="B73" s="2" t="s">
        <v>78</v>
      </c>
    </row>
    <row r="75" spans="1:5" x14ac:dyDescent="0.25">
      <c r="A75" s="206" t="s">
        <v>79</v>
      </c>
      <c r="B75" s="207" t="s">
        <v>62</v>
      </c>
    </row>
    <row r="76" spans="1:5" x14ac:dyDescent="0.25">
      <c r="A76" s="19">
        <v>1</v>
      </c>
      <c r="B76" s="19" t="s">
        <v>80</v>
      </c>
    </row>
    <row r="77" spans="1:5" x14ac:dyDescent="0.25">
      <c r="A77" s="19">
        <v>2</v>
      </c>
      <c r="B77" s="19" t="s">
        <v>81</v>
      </c>
    </row>
    <row r="78" spans="1:5" x14ac:dyDescent="0.25">
      <c r="A78" s="19">
        <v>3</v>
      </c>
      <c r="B78" s="19" t="s">
        <v>82</v>
      </c>
    </row>
    <row r="80" spans="1:5" x14ac:dyDescent="0.25">
      <c r="A80" s="206" t="s">
        <v>83</v>
      </c>
      <c r="B80" s="207" t="s">
        <v>62</v>
      </c>
    </row>
    <row r="81" spans="1:2" x14ac:dyDescent="0.25">
      <c r="A81" s="19">
        <v>1</v>
      </c>
      <c r="B81" s="19" t="s">
        <v>84</v>
      </c>
    </row>
    <row r="82" spans="1:2" x14ac:dyDescent="0.25">
      <c r="A82" s="19">
        <v>2</v>
      </c>
      <c r="B82" s="19" t="s">
        <v>85</v>
      </c>
    </row>
    <row r="83" spans="1:2" x14ac:dyDescent="0.25">
      <c r="A83" s="19">
        <v>3</v>
      </c>
      <c r="B83" s="19" t="s">
        <v>86</v>
      </c>
    </row>
    <row r="84" spans="1:2" x14ac:dyDescent="0.25">
      <c r="A84" s="19">
        <v>4</v>
      </c>
      <c r="B84" s="19" t="s">
        <v>87</v>
      </c>
    </row>
    <row r="85" spans="1:2" x14ac:dyDescent="0.25">
      <c r="A85" s="19">
        <v>5</v>
      </c>
      <c r="B85" s="19" t="s">
        <v>88</v>
      </c>
    </row>
    <row r="86" spans="1:2" x14ac:dyDescent="0.25">
      <c r="A86" s="19">
        <v>6</v>
      </c>
      <c r="B86" s="19" t="s">
        <v>89</v>
      </c>
    </row>
    <row r="87" spans="1:2" x14ac:dyDescent="0.25">
      <c r="A87" s="19">
        <v>7</v>
      </c>
      <c r="B87" s="19" t="s">
        <v>90</v>
      </c>
    </row>
    <row r="88" spans="1:2" x14ac:dyDescent="0.25">
      <c r="A88" s="19">
        <v>8</v>
      </c>
      <c r="B88" s="19" t="s">
        <v>91</v>
      </c>
    </row>
    <row r="90" spans="1:2" x14ac:dyDescent="0.25">
      <c r="A90" s="208" t="s">
        <v>92</v>
      </c>
      <c r="B90" s="207" t="s">
        <v>62</v>
      </c>
    </row>
    <row r="91" spans="1:2" x14ac:dyDescent="0.25">
      <c r="A91" s="205">
        <v>1</v>
      </c>
      <c r="B91" s="205" t="s">
        <v>93</v>
      </c>
    </row>
    <row r="92" spans="1:2" x14ac:dyDescent="0.25">
      <c r="A92" s="205">
        <v>2</v>
      </c>
      <c r="B92" s="205" t="s">
        <v>94</v>
      </c>
    </row>
    <row r="94" spans="1:2" x14ac:dyDescent="0.25">
      <c r="A94" s="21" t="s">
        <v>469</v>
      </c>
      <c r="B94" s="21" t="s">
        <v>62</v>
      </c>
    </row>
    <row r="95" spans="1:2" x14ac:dyDescent="0.25">
      <c r="A95" s="20">
        <v>1</v>
      </c>
      <c r="B95" s="515" t="s">
        <v>459</v>
      </c>
    </row>
    <row r="96" spans="1:2" x14ac:dyDescent="0.25">
      <c r="A96" s="20">
        <v>2</v>
      </c>
      <c r="B96" s="515" t="s">
        <v>460</v>
      </c>
    </row>
    <row r="97" spans="1:2" x14ac:dyDescent="0.25">
      <c r="A97" s="20">
        <v>3</v>
      </c>
      <c r="B97" s="515" t="s">
        <v>461</v>
      </c>
    </row>
    <row r="98" spans="1:2" x14ac:dyDescent="0.25">
      <c r="A98" s="20">
        <v>4</v>
      </c>
      <c r="B98" s="515" t="s">
        <v>462</v>
      </c>
    </row>
    <row r="99" spans="1:2" x14ac:dyDescent="0.25">
      <c r="A99" s="20">
        <v>5</v>
      </c>
      <c r="B99" s="515" t="s">
        <v>468</v>
      </c>
    </row>
  </sheetData>
  <sheetProtection algorithmName="SHA-512" hashValue="TjJy+yhUYjYamvQUdnR+kjcKIx2P44sYKP7L4RnHBXZ746Bx0SALU6OLxd3jTMFguPl6+bTy2nfS0eLRpgbrwA==" saltValue="t3agYdIhhE41OcFB47pksQ==" spinCount="100000" sheet="1" objects="1" scenarios="1"/>
  <mergeCells count="1">
    <mergeCell ref="A1:B2"/>
  </mergeCells>
  <pageMargins left="0.7" right="0.7" top="0.75" bottom="0.75" header="0.3" footer="0.3"/>
  <pageSetup orientation="portrait" r:id="rId1"/>
  <tableParts count="9">
    <tablePart r:id="rId2"/>
    <tablePart r:id="rId3"/>
    <tablePart r:id="rId4"/>
    <tablePart r:id="rId5"/>
    <tablePart r:id="rId6"/>
    <tablePart r:id="rId7"/>
    <tablePart r:id="rId8"/>
    <tablePart r:id="rId9"/>
    <tablePart r:id="rId10"/>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F03D03-231A-4E1D-BD76-642205510FCE}">
  <sheetPr codeName="Sheet5">
    <tabColor theme="0" tint="-0.249977111117893"/>
  </sheetPr>
  <dimension ref="A1:B61"/>
  <sheetViews>
    <sheetView topLeftCell="A23" zoomScaleNormal="100" workbookViewId="0">
      <selection activeCell="B27" sqref="B27"/>
    </sheetView>
  </sheetViews>
  <sheetFormatPr defaultRowHeight="15" x14ac:dyDescent="0.25"/>
  <cols>
    <col min="1" max="1" width="44.42578125" style="39" customWidth="1"/>
    <col min="2" max="2" width="101" style="38" customWidth="1"/>
  </cols>
  <sheetData>
    <row r="1" spans="1:2" x14ac:dyDescent="0.25">
      <c r="A1" s="32" t="s">
        <v>6</v>
      </c>
    </row>
    <row r="2" spans="1:2" x14ac:dyDescent="0.25">
      <c r="A2" s="52" t="s">
        <v>470</v>
      </c>
    </row>
    <row r="3" spans="1:2" x14ac:dyDescent="0.25">
      <c r="A3" s="40"/>
    </row>
    <row r="4" spans="1:2" x14ac:dyDescent="0.25">
      <c r="A4" s="32" t="s">
        <v>95</v>
      </c>
    </row>
    <row r="5" spans="1:2" x14ac:dyDescent="0.25">
      <c r="A5" s="196" t="s">
        <v>96</v>
      </c>
      <c r="B5" s="197" t="s">
        <v>62</v>
      </c>
    </row>
    <row r="6" spans="1:2" ht="45" x14ac:dyDescent="0.25">
      <c r="A6" s="193" t="s">
        <v>97</v>
      </c>
      <c r="B6" s="194" t="s">
        <v>481</v>
      </c>
    </row>
    <row r="7" spans="1:2" ht="409.5" x14ac:dyDescent="0.25">
      <c r="A7" s="193" t="s">
        <v>61</v>
      </c>
      <c r="B7" s="195" t="s">
        <v>482</v>
      </c>
    </row>
    <row r="8" spans="1:2" ht="60" x14ac:dyDescent="0.25">
      <c r="A8" s="193" t="s">
        <v>469</v>
      </c>
      <c r="B8" s="195" t="s">
        <v>467</v>
      </c>
    </row>
    <row r="9" spans="1:2" ht="45" x14ac:dyDescent="0.25">
      <c r="A9" s="193" t="s">
        <v>98</v>
      </c>
      <c r="B9" s="195" t="s">
        <v>99</v>
      </c>
    </row>
    <row r="10" spans="1:2" ht="75" x14ac:dyDescent="0.25">
      <c r="A10" s="193" t="s">
        <v>100</v>
      </c>
      <c r="B10" s="195" t="s">
        <v>101</v>
      </c>
    </row>
    <row r="11" spans="1:2" ht="90" x14ac:dyDescent="0.25">
      <c r="A11" s="193" t="s">
        <v>102</v>
      </c>
      <c r="B11" s="195" t="s">
        <v>103</v>
      </c>
    </row>
    <row r="12" spans="1:2" ht="75" x14ac:dyDescent="0.25">
      <c r="A12" s="193" t="s">
        <v>104</v>
      </c>
      <c r="B12" s="195" t="s">
        <v>105</v>
      </c>
    </row>
    <row r="13" spans="1:2" ht="225" x14ac:dyDescent="0.25">
      <c r="A13" s="193" t="s">
        <v>106</v>
      </c>
      <c r="B13" s="195" t="s">
        <v>483</v>
      </c>
    </row>
    <row r="14" spans="1:2" ht="285" x14ac:dyDescent="0.25">
      <c r="A14" s="195" t="s">
        <v>107</v>
      </c>
      <c r="B14" s="195" t="s">
        <v>484</v>
      </c>
    </row>
    <row r="15" spans="1:2" ht="75" x14ac:dyDescent="0.25">
      <c r="A15" s="193" t="s">
        <v>108</v>
      </c>
      <c r="B15" s="195" t="s">
        <v>485</v>
      </c>
    </row>
    <row r="16" spans="1:2" ht="90" x14ac:dyDescent="0.25">
      <c r="A16" s="193" t="s">
        <v>109</v>
      </c>
      <c r="B16" s="195" t="s">
        <v>110</v>
      </c>
    </row>
    <row r="17" spans="1:2" ht="105" x14ac:dyDescent="0.25">
      <c r="A17" s="193" t="s">
        <v>111</v>
      </c>
      <c r="B17" s="195" t="s">
        <v>112</v>
      </c>
    </row>
    <row r="18" spans="1:2" ht="120" x14ac:dyDescent="0.25">
      <c r="A18" s="195" t="s">
        <v>113</v>
      </c>
      <c r="B18" s="195" t="s">
        <v>114</v>
      </c>
    </row>
    <row r="19" spans="1:2" ht="165" x14ac:dyDescent="0.25">
      <c r="A19" s="195" t="s">
        <v>115</v>
      </c>
      <c r="B19" s="195" t="s">
        <v>486</v>
      </c>
    </row>
    <row r="20" spans="1:2" ht="135" x14ac:dyDescent="0.25">
      <c r="A20" s="195" t="s">
        <v>116</v>
      </c>
      <c r="B20" s="195" t="s">
        <v>117</v>
      </c>
    </row>
    <row r="21" spans="1:2" ht="105" x14ac:dyDescent="0.25">
      <c r="A21" s="195" t="s">
        <v>118</v>
      </c>
      <c r="B21" s="195" t="s">
        <v>119</v>
      </c>
    </row>
    <row r="22" spans="1:2" ht="75" x14ac:dyDescent="0.25">
      <c r="A22" s="195" t="s">
        <v>120</v>
      </c>
      <c r="B22" s="195" t="s">
        <v>121</v>
      </c>
    </row>
    <row r="23" spans="1:2" ht="30" x14ac:dyDescent="0.25">
      <c r="A23" s="195" t="s">
        <v>122</v>
      </c>
      <c r="B23" s="195" t="s">
        <v>123</v>
      </c>
    </row>
    <row r="24" spans="1:2" ht="60" x14ac:dyDescent="0.25">
      <c r="A24" s="195" t="s">
        <v>124</v>
      </c>
      <c r="B24" s="195" t="s">
        <v>125</v>
      </c>
    </row>
    <row r="25" spans="1:2" ht="90" x14ac:dyDescent="0.25">
      <c r="A25" s="195" t="s">
        <v>126</v>
      </c>
      <c r="B25" s="195" t="s">
        <v>127</v>
      </c>
    </row>
    <row r="26" spans="1:2" ht="60" x14ac:dyDescent="0.25">
      <c r="A26" s="195" t="s">
        <v>128</v>
      </c>
      <c r="B26" s="195" t="s">
        <v>129</v>
      </c>
    </row>
    <row r="27" spans="1:2" ht="150" x14ac:dyDescent="0.25">
      <c r="A27" s="195" t="s">
        <v>130</v>
      </c>
      <c r="B27" s="195" t="s">
        <v>131</v>
      </c>
    </row>
    <row r="28" spans="1:2" ht="45" x14ac:dyDescent="0.25">
      <c r="A28" s="195" t="s">
        <v>132</v>
      </c>
      <c r="B28" s="195" t="s">
        <v>133</v>
      </c>
    </row>
    <row r="29" spans="1:2" x14ac:dyDescent="0.25">
      <c r="A29" s="38"/>
    </row>
    <row r="31" spans="1:2" x14ac:dyDescent="0.25">
      <c r="A31" s="32" t="s">
        <v>134</v>
      </c>
    </row>
    <row r="32" spans="1:2" x14ac:dyDescent="0.25">
      <c r="A32" s="196" t="s">
        <v>96</v>
      </c>
      <c r="B32" s="197" t="s">
        <v>62</v>
      </c>
    </row>
    <row r="33" spans="1:2" ht="45" x14ac:dyDescent="0.25">
      <c r="A33" s="193" t="s">
        <v>61</v>
      </c>
      <c r="B33" s="195" t="s">
        <v>135</v>
      </c>
    </row>
    <row r="34" spans="1:2" ht="180" x14ac:dyDescent="0.25">
      <c r="A34" s="193" t="s">
        <v>136</v>
      </c>
      <c r="B34" s="195" t="s">
        <v>498</v>
      </c>
    </row>
    <row r="35" spans="1:2" ht="409.5" x14ac:dyDescent="0.25">
      <c r="A35" s="193" t="s">
        <v>137</v>
      </c>
      <c r="B35" s="195" t="s">
        <v>499</v>
      </c>
    </row>
    <row r="37" spans="1:2" x14ac:dyDescent="0.25">
      <c r="A37" s="32" t="s">
        <v>138</v>
      </c>
    </row>
    <row r="38" spans="1:2" x14ac:dyDescent="0.25">
      <c r="A38" s="196" t="s">
        <v>96</v>
      </c>
      <c r="B38" s="197" t="s">
        <v>62</v>
      </c>
    </row>
    <row r="39" spans="1:2" ht="75" x14ac:dyDescent="0.25">
      <c r="A39" s="193" t="s">
        <v>139</v>
      </c>
      <c r="B39" s="195" t="s">
        <v>140</v>
      </c>
    </row>
    <row r="40" spans="1:2" ht="45" x14ac:dyDescent="0.25">
      <c r="A40" s="193" t="s">
        <v>98</v>
      </c>
      <c r="B40" s="195" t="s">
        <v>99</v>
      </c>
    </row>
    <row r="41" spans="1:2" ht="60" x14ac:dyDescent="0.25">
      <c r="A41" s="193" t="s">
        <v>141</v>
      </c>
      <c r="B41" s="195" t="s">
        <v>142</v>
      </c>
    </row>
    <row r="43" spans="1:2" x14ac:dyDescent="0.25">
      <c r="A43" s="32" t="s">
        <v>143</v>
      </c>
    </row>
    <row r="44" spans="1:2" x14ac:dyDescent="0.25">
      <c r="A44" s="196" t="s">
        <v>96</v>
      </c>
      <c r="B44" s="197" t="s">
        <v>62</v>
      </c>
    </row>
    <row r="45" spans="1:2" ht="45" x14ac:dyDescent="0.25">
      <c r="A45" s="193" t="s">
        <v>97</v>
      </c>
      <c r="B45" s="194" t="s">
        <v>481</v>
      </c>
    </row>
    <row r="46" spans="1:2" ht="30" x14ac:dyDescent="0.25">
      <c r="A46" s="193" t="s">
        <v>79</v>
      </c>
      <c r="B46" s="195" t="s">
        <v>487</v>
      </c>
    </row>
    <row r="47" spans="1:2" ht="45" x14ac:dyDescent="0.25">
      <c r="A47" s="193" t="s">
        <v>98</v>
      </c>
      <c r="B47" s="195" t="s">
        <v>99</v>
      </c>
    </row>
    <row r="48" spans="1:2" ht="210" x14ac:dyDescent="0.25">
      <c r="A48" s="193" t="s">
        <v>144</v>
      </c>
      <c r="B48" s="195" t="s">
        <v>145</v>
      </c>
    </row>
    <row r="49" spans="1:2" ht="195" x14ac:dyDescent="0.25">
      <c r="A49" s="193" t="s">
        <v>146</v>
      </c>
      <c r="B49" s="195" t="s">
        <v>147</v>
      </c>
    </row>
    <row r="51" spans="1:2" x14ac:dyDescent="0.25">
      <c r="A51" s="32" t="s">
        <v>148</v>
      </c>
    </row>
    <row r="52" spans="1:2" x14ac:dyDescent="0.25">
      <c r="A52" s="196" t="s">
        <v>96</v>
      </c>
      <c r="B52" s="197" t="s">
        <v>62</v>
      </c>
    </row>
    <row r="53" spans="1:2" ht="45" x14ac:dyDescent="0.25">
      <c r="A53" s="195" t="s">
        <v>83</v>
      </c>
      <c r="B53" s="194" t="s">
        <v>488</v>
      </c>
    </row>
    <row r="54" spans="1:2" x14ac:dyDescent="0.25">
      <c r="A54" s="195" t="s">
        <v>149</v>
      </c>
      <c r="B54" s="194" t="s">
        <v>150</v>
      </c>
    </row>
    <row r="55" spans="1:2" ht="60" x14ac:dyDescent="0.25">
      <c r="A55" s="195" t="s">
        <v>151</v>
      </c>
      <c r="B55" s="194" t="s">
        <v>152</v>
      </c>
    </row>
    <row r="56" spans="1:2" ht="60" x14ac:dyDescent="0.25">
      <c r="A56" s="195" t="s">
        <v>153</v>
      </c>
      <c r="B56" s="194" t="s">
        <v>154</v>
      </c>
    </row>
    <row r="57" spans="1:2" ht="45" x14ac:dyDescent="0.25">
      <c r="A57" s="195" t="s">
        <v>155</v>
      </c>
      <c r="B57" s="194" t="s">
        <v>156</v>
      </c>
    </row>
    <row r="58" spans="1:2" ht="210" x14ac:dyDescent="0.25">
      <c r="A58" s="195" t="s">
        <v>157</v>
      </c>
      <c r="B58" s="195" t="s">
        <v>145</v>
      </c>
    </row>
    <row r="59" spans="1:2" ht="30" x14ac:dyDescent="0.25">
      <c r="A59" s="195" t="s">
        <v>158</v>
      </c>
      <c r="B59" s="194" t="s">
        <v>159</v>
      </c>
    </row>
    <row r="60" spans="1:2" x14ac:dyDescent="0.25">
      <c r="A60" s="38"/>
    </row>
    <row r="61" spans="1:2" x14ac:dyDescent="0.25">
      <c r="A61" s="38"/>
    </row>
  </sheetData>
  <sheetProtection algorithmName="SHA-512" hashValue="rkUDdBI7LUFg82gOurZyhU+CkEBkGKygadTQI9BFQNJBzwDcAcKr0beAt+kyqC1LYFq6etQhzHRCqH87nT8hxw==" saltValue="F+1ebbRNMNJv757JHOO7/Q==" spinCount="100000" sheet="1" objects="1" scenarios="1"/>
  <pageMargins left="0.7" right="0.7" top="0.75" bottom="0.75" header="0.3" footer="0.3"/>
  <pageSetup orientation="portrait" horizontalDpi="1200" verticalDpi="120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E81522-AF3A-4753-B4AA-1882630A6F7C}">
  <sheetPr codeName="Sheet6">
    <tabColor theme="4"/>
  </sheetPr>
  <dimension ref="A1:H20"/>
  <sheetViews>
    <sheetView zoomScaleNormal="100" workbookViewId="0">
      <selection activeCell="G11" sqref="G11"/>
    </sheetView>
  </sheetViews>
  <sheetFormatPr defaultColWidth="9.140625" defaultRowHeight="15" x14ac:dyDescent="0.25"/>
  <cols>
    <col min="1" max="6" width="20.5703125" customWidth="1"/>
    <col min="7" max="7" width="13.85546875" customWidth="1"/>
  </cols>
  <sheetData>
    <row r="1" spans="1:8" x14ac:dyDescent="0.25">
      <c r="A1" s="1" t="s">
        <v>160</v>
      </c>
    </row>
    <row r="2" spans="1:8" x14ac:dyDescent="0.25">
      <c r="A2" s="1" t="s">
        <v>176</v>
      </c>
    </row>
    <row r="4" spans="1:8" x14ac:dyDescent="0.25">
      <c r="A4" t="s">
        <v>161</v>
      </c>
    </row>
    <row r="9" spans="1:8" x14ac:dyDescent="0.25">
      <c r="A9" s="4" t="s">
        <v>162</v>
      </c>
      <c r="B9" s="4" t="s">
        <v>163</v>
      </c>
      <c r="C9" s="4" t="s">
        <v>164</v>
      </c>
      <c r="D9" s="4" t="s">
        <v>165</v>
      </c>
      <c r="E9" s="4" t="s">
        <v>166</v>
      </c>
      <c r="F9" s="4" t="s">
        <v>167</v>
      </c>
      <c r="G9" s="4" t="s">
        <v>168</v>
      </c>
    </row>
    <row r="10" spans="1:8" s="183" customFormat="1" ht="30" x14ac:dyDescent="0.25">
      <c r="A10" s="181" t="s">
        <v>169</v>
      </c>
      <c r="B10" s="185" t="s">
        <v>170</v>
      </c>
      <c r="C10" s="185" t="s">
        <v>171</v>
      </c>
      <c r="D10" s="185" t="s">
        <v>172</v>
      </c>
      <c r="E10" s="185" t="s">
        <v>173</v>
      </c>
      <c r="F10" s="185" t="s">
        <v>174</v>
      </c>
      <c r="G10" s="180" t="s">
        <v>175</v>
      </c>
    </row>
    <row r="11" spans="1:8" x14ac:dyDescent="0.25">
      <c r="A11" s="198"/>
      <c r="B11" s="199"/>
      <c r="C11" s="199"/>
      <c r="D11" s="200"/>
      <c r="E11" s="200"/>
      <c r="F11" s="200"/>
      <c r="G11" s="188"/>
      <c r="H11" s="12"/>
    </row>
    <row r="12" spans="1:8" x14ac:dyDescent="0.25">
      <c r="A12" s="12"/>
      <c r="B12" s="12"/>
      <c r="C12" s="12"/>
      <c r="D12" s="12"/>
      <c r="E12" s="12"/>
      <c r="F12" s="12"/>
      <c r="G12" s="12"/>
      <c r="H12" s="12"/>
    </row>
    <row r="13" spans="1:8" x14ac:dyDescent="0.25">
      <c r="A13" s="12"/>
      <c r="B13" s="12"/>
      <c r="C13" s="12"/>
      <c r="D13" s="12"/>
      <c r="E13" s="12"/>
      <c r="F13" s="12"/>
      <c r="G13" s="12"/>
    </row>
    <row r="14" spans="1:8" x14ac:dyDescent="0.25">
      <c r="A14" s="12"/>
      <c r="B14" s="12"/>
      <c r="C14" s="12"/>
      <c r="D14" s="12"/>
      <c r="E14" s="12"/>
      <c r="F14" s="12"/>
      <c r="G14" s="12"/>
    </row>
    <row r="15" spans="1:8" x14ac:dyDescent="0.25">
      <c r="A15" s="12"/>
      <c r="B15" s="12"/>
      <c r="C15" s="12"/>
      <c r="D15" s="12"/>
      <c r="E15" s="12"/>
      <c r="F15" s="12"/>
      <c r="G15" s="12"/>
    </row>
    <row r="16" spans="1:8" x14ac:dyDescent="0.25">
      <c r="A16" s="12"/>
      <c r="B16" s="12"/>
      <c r="C16" s="12"/>
      <c r="D16" s="12"/>
      <c r="E16" s="12"/>
      <c r="F16" s="12"/>
      <c r="G16" s="12"/>
    </row>
    <row r="17" spans="1:7" x14ac:dyDescent="0.25">
      <c r="A17" s="12"/>
      <c r="B17" s="12"/>
      <c r="C17" s="12"/>
      <c r="D17" s="12"/>
      <c r="E17" s="12"/>
      <c r="F17" s="12"/>
      <c r="G17" s="12"/>
    </row>
    <row r="20" spans="1:7" x14ac:dyDescent="0.25">
      <c r="A20" s="2"/>
      <c r="B20" s="3"/>
      <c r="C20" s="186"/>
      <c r="D20" s="187"/>
    </row>
  </sheetData>
  <sheetProtection algorithmName="SHA-512" hashValue="JHUcFGkfjX1ohLbBQUbClTdzki2QSknjI4bPaRl+mvhhTI34eP8oZSucF0WzcH4y14ZSpcB599huBdL8Gv0r5g==" saltValue="NCcJ3+U5AfOvH33NFJTOwA==" spinCount="100000" sheet="1" formatRows="0"/>
  <protectedRanges>
    <protectedRange sqref="A11:G11" name="Range1"/>
  </protectedRanges>
  <dataValidations count="7">
    <dataValidation operator="lessThanOrEqual" allowBlank="1" showInputMessage="1" showErrorMessage="1" error="Insurer’s comments on TME data. (255 characters or less)." prompt="Insurer’s comments on TME data. " sqref="D11" xr:uid="{55DAF8EE-72DB-4F33-8BED-763477F5E473}"/>
    <dataValidation type="textLength" operator="lessThanOrEqual" allowBlank="1" showInputMessage="1" showErrorMessage="1" error="The clinical risk adjustment tool, software or product used to calculate the clinical risk adjustment score required in the TME file (80 characters or less)." prompt="The clinical risk adjustment tool, software or product used to calculate the clinical risk adjustment score required in the TME file (80 characters or less)." sqref="E11" xr:uid="{F7490D0D-EF26-4316-80AD-59385C82C410}">
      <formula1>80</formula1>
    </dataValidation>
    <dataValidation type="textLength" operator="lessThanOrEqual" allowBlank="1" showInputMessage="1" showErrorMessage="1" error="The version number of the clinical risk adjustment tool used to calculate the clinical risk adjustment score required in the TME file (20 characters or less)." prompt="The version number of the clinical risk adjustment tool used to calculate the clinical risk adjustment score required in the TME file (20 characters or less)." sqref="F11" xr:uid="{6C9A34E3-C893-40DB-832E-2AC056C69725}">
      <formula1>20</formula1>
    </dataValidation>
    <dataValidation allowBlank="1" showInputMessage="1" showErrorMessage="1" prompt="Any Medicare Managed Care Organization must submit all names for which it is “doing business as” in the state of Connecticut." sqref="G11" xr:uid="{430B7853-CF0C-4BFE-9A94-19F996ECC762}"/>
    <dataValidation type="textLength" operator="equal" allowBlank="1" showInputMessage="1" showErrorMessage="1" error="Please input the Insurance Carrier Org ID:_x000a_Aetna Health &amp; Life: 201_x000a_Anthem: 202_x000a_Cigna: 203_x000a_ConnectiCare: 204_x000a_Harvard Pilgrim Health Care: 205_x000a_UnitedHealthcare: 206" prompt="Please input the Insurance Carrier Org ID:_x000a_Aetna Health &amp; Life: 201_x000a_Anthem: 202_x000a_Cigna: 203_x000a_ConnectiCare: 204_x000a_UnitedHealthcare: 206" sqref="A11" xr:uid="{356CF8BC-D51D-4867-8F8C-1CECF61E4653}">
      <formula1>3</formula1>
    </dataValidation>
    <dataValidation type="textLength" operator="lessThanOrEqual" allowBlank="1" showInputMessage="1" showErrorMessage="1" error="This is the start date period of the reported period in the submission file (based on date of service). _x000a_MMDDYYYY Or MM/DD/YYYY" prompt="This is the start date of the reported period in the submission file (based on date of service). _x000a_MMDDYYYY Or MM/DD/YYYY" sqref="B11" xr:uid="{02FE95AE-4AB5-49B0-955F-9B147F1ACC1E}">
      <formula1>10</formula1>
    </dataValidation>
    <dataValidation type="textLength" operator="lessThanOrEqual" allowBlank="1" showInputMessage="1" showErrorMessage="1" error="This is the end date period of the reported period in the submission file. MMDDYYYY Or MM/DD/YYYY" prompt="This is the end date of the reported period in the submission file (based on date of service)._x000a_MMDDYYYY or MM/DD/YYYY" sqref="C11" xr:uid="{3CB34E00-B29E-4C6D-99E9-67A63B5D8AA5}">
      <formula1>10</formula1>
    </dataValidation>
  </dataValidations>
  <pageMargins left="0.7" right="0.7" top="0.75" bottom="0.75" header="0.3" footer="0.3"/>
  <pageSetup orientation="portrait" r:id="rId1"/>
  <drawing r:id="rId2"/>
  <tableParts count="1">
    <tablePart r:id="rId3"/>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4698A4-285A-4DC0-88CC-FA52A44AC382}">
  <sheetPr codeName="Sheet7">
    <tabColor theme="3"/>
  </sheetPr>
  <dimension ref="A1:H20"/>
  <sheetViews>
    <sheetView zoomScaleNormal="100" workbookViewId="0">
      <selection activeCell="F11" sqref="F11"/>
    </sheetView>
  </sheetViews>
  <sheetFormatPr defaultColWidth="9.140625" defaultRowHeight="15" x14ac:dyDescent="0.25"/>
  <cols>
    <col min="1" max="6" width="20.5703125" customWidth="1"/>
    <col min="7" max="7" width="13.85546875" customWidth="1"/>
  </cols>
  <sheetData>
    <row r="1" spans="1:8" x14ac:dyDescent="0.25">
      <c r="A1" s="1" t="s">
        <v>160</v>
      </c>
    </row>
    <row r="2" spans="1:8" x14ac:dyDescent="0.25">
      <c r="A2" s="1" t="s">
        <v>433</v>
      </c>
    </row>
    <row r="4" spans="1:8" x14ac:dyDescent="0.25">
      <c r="A4" t="s">
        <v>161</v>
      </c>
    </row>
    <row r="9" spans="1:8" x14ac:dyDescent="0.25">
      <c r="A9" s="4" t="s">
        <v>162</v>
      </c>
      <c r="B9" s="4" t="s">
        <v>163</v>
      </c>
      <c r="C9" s="4" t="s">
        <v>164</v>
      </c>
      <c r="D9" s="4" t="s">
        <v>165</v>
      </c>
      <c r="E9" s="4" t="s">
        <v>166</v>
      </c>
      <c r="F9" s="4" t="s">
        <v>167</v>
      </c>
      <c r="G9" s="4" t="s">
        <v>168</v>
      </c>
    </row>
    <row r="10" spans="1:8" s="183" customFormat="1" ht="30" x14ac:dyDescent="0.25">
      <c r="A10" s="181" t="s">
        <v>169</v>
      </c>
      <c r="B10" s="185" t="s">
        <v>170</v>
      </c>
      <c r="C10" s="185" t="s">
        <v>171</v>
      </c>
      <c r="D10" s="185" t="s">
        <v>172</v>
      </c>
      <c r="E10" s="185" t="s">
        <v>173</v>
      </c>
      <c r="F10" s="185" t="s">
        <v>174</v>
      </c>
      <c r="G10" s="180" t="s">
        <v>175</v>
      </c>
    </row>
    <row r="11" spans="1:8" x14ac:dyDescent="0.25">
      <c r="A11" s="198"/>
      <c r="B11" s="199"/>
      <c r="C11" s="199"/>
      <c r="D11" s="200"/>
      <c r="E11" s="200"/>
      <c r="F11" s="200"/>
      <c r="G11" s="188"/>
      <c r="H11" s="12"/>
    </row>
    <row r="12" spans="1:8" x14ac:dyDescent="0.25">
      <c r="A12" s="12"/>
      <c r="B12" s="12"/>
      <c r="C12" s="12"/>
      <c r="D12" s="12"/>
      <c r="E12" s="12"/>
      <c r="F12" s="12"/>
      <c r="G12" s="12"/>
      <c r="H12" s="12"/>
    </row>
    <row r="13" spans="1:8" x14ac:dyDescent="0.25">
      <c r="A13" s="12"/>
      <c r="B13" s="12"/>
      <c r="C13" s="12"/>
      <c r="D13" s="12"/>
      <c r="E13" s="12"/>
      <c r="F13" s="12"/>
      <c r="G13" s="12"/>
    </row>
    <row r="14" spans="1:8" x14ac:dyDescent="0.25">
      <c r="A14" s="12"/>
      <c r="B14" s="12"/>
      <c r="C14" s="12"/>
      <c r="D14" s="12"/>
      <c r="E14" s="12"/>
      <c r="F14" s="12"/>
      <c r="G14" s="12"/>
    </row>
    <row r="15" spans="1:8" x14ac:dyDescent="0.25">
      <c r="A15" s="12"/>
      <c r="B15" s="12"/>
      <c r="C15" s="12"/>
      <c r="D15" s="12"/>
      <c r="E15" s="12"/>
      <c r="F15" s="12"/>
      <c r="G15" s="12"/>
    </row>
    <row r="16" spans="1:8" x14ac:dyDescent="0.25">
      <c r="A16" s="12"/>
      <c r="B16" s="12"/>
      <c r="C16" s="12"/>
      <c r="D16" s="12"/>
      <c r="E16" s="12"/>
      <c r="F16" s="12"/>
      <c r="G16" s="12"/>
    </row>
    <row r="17" spans="1:7" x14ac:dyDescent="0.25">
      <c r="A17" s="12"/>
      <c r="B17" s="12"/>
      <c r="C17" s="12"/>
      <c r="D17" s="12"/>
      <c r="E17" s="12"/>
      <c r="F17" s="12"/>
      <c r="G17" s="12"/>
    </row>
    <row r="20" spans="1:7" x14ac:dyDescent="0.25">
      <c r="A20" s="2"/>
      <c r="B20" s="3"/>
      <c r="C20" s="186"/>
      <c r="D20" s="187"/>
    </row>
  </sheetData>
  <sheetProtection algorithmName="SHA-512" hashValue="b2FX6CFIpZ73ccP3HvqLVQT3hHN/tC1tZHfy8DvZMDx/oKFOkPcYF+S36BwooPeN6yDVFSa4C4VYUPt0QDJVtQ==" saltValue="ZKYAz40hr9h/5NRmIiIFww==" spinCount="100000" sheet="1" formatRows="0"/>
  <protectedRanges>
    <protectedRange sqref="A11:G11" name="Range1"/>
  </protectedRanges>
  <dataValidations count="7">
    <dataValidation allowBlank="1" showInputMessage="1" showErrorMessage="1" prompt="Any Medicare Managed Care Organization must submit all names for which it is “doing business as” in the state of Connecticut." sqref="G11" xr:uid="{2120DDC4-2968-4B8D-994F-1EFDB216E476}"/>
    <dataValidation type="textLength" operator="lessThanOrEqual" allowBlank="1" showInputMessage="1" showErrorMessage="1" error="The version number of the clinical risk adjustment tool used to calculate the clinical risk adjustment score required in the TME file (20 characters or less)." prompt="The version number of the clinical risk adjustment tool used to calculate the clinical risk adjustment score required in the TME file (20 characters or less)." sqref="F11" xr:uid="{910055D6-9E32-4800-8794-9574EE54F178}">
      <formula1>20</formula1>
    </dataValidation>
    <dataValidation type="textLength" operator="lessThanOrEqual" allowBlank="1" showInputMessage="1" showErrorMessage="1" error="The clinical risk adjustment tool, software or product used to calculate the clinical risk adjustment score required in the TME file (80 characters or less)." prompt="The clinical risk adjustment tool, software or product used to calculate the clinical risk adjustment score required in the TME file (80 characters or less)." sqref="E11" xr:uid="{5C2F2B42-6F3E-4CC6-B3AA-440F08736999}">
      <formula1>80</formula1>
    </dataValidation>
    <dataValidation operator="lessThanOrEqual" allowBlank="1" showInputMessage="1" showErrorMessage="1" error="Insurer’s comments on TME data. (255 characters or less)." prompt="Insurer’s comments on TME data. " sqref="D11" xr:uid="{CD5BEB15-9D18-471D-8904-71AE26745E13}"/>
    <dataValidation type="textLength" operator="equal" allowBlank="1" showInputMessage="1" showErrorMessage="1" error="Please input the Insurance Carrier Org ID:_x000a_Aetna Health &amp; Life: 201_x000a_Anthem: 202_x000a_Cigna: 203_x000a_ConnectiCare: 204_x000a_Harvard Pilgrim Health Care: 205_x000a_UnitedHealthcare: 206" prompt="Please input the Insurance Carrier Org ID:_x000a_Aetna Health &amp; Life: 201_x000a_Anthem: 202_x000a_Cigna: 203_x000a_ConnectiCare: 204_x000a_UnitedHealthcare: 206" sqref="A11" xr:uid="{2B910247-9B5E-424A-A9E6-DD7E0A771148}">
      <formula1>3</formula1>
    </dataValidation>
    <dataValidation type="textLength" operator="lessThanOrEqual" allowBlank="1" showInputMessage="1" showErrorMessage="1" error="This is the start date period of the reported period in the submission file (based on date of service). _x000a_MMDDYYYY Or MM/DD/YYYY" prompt="This is the start date of the reported period in the submission file (based on date of service). _x000a_MMDDYYYY Or MM/DD/YYYY" sqref="B11" xr:uid="{A7A3D968-7624-47C2-8545-91A2654B5123}">
      <formula1>10</formula1>
    </dataValidation>
    <dataValidation type="textLength" operator="lessThanOrEqual" allowBlank="1" showInputMessage="1" showErrorMessage="1" error="This is the end date period of the reported period in the submission file. MMDDYYYY Or MM/DD/YYYY" prompt="This is the end date of the reported period in the submission file (based on date of service)._x000a_MMDDYYYY or MM/DD/YYYY" sqref="C11" xr:uid="{94971056-CA44-4DD2-B4E2-7D42EB48F0AE}">
      <formula1>10</formula1>
    </dataValidation>
  </dataValidations>
  <pageMargins left="0.7" right="0.7" top="0.75" bottom="0.75" header="0.3" footer="0.3"/>
  <pageSetup orientation="portrait" r:id="rId1"/>
  <drawing r:id="rId2"/>
  <tableParts count="1">
    <tablePart r:id="rId3"/>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F278ED-A2ED-4C10-BE38-400F346631F5}">
  <sheetPr codeName="Sheet8">
    <tabColor theme="4"/>
  </sheetPr>
  <dimension ref="A1:AF200"/>
  <sheetViews>
    <sheetView zoomScaleNormal="100" workbookViewId="0">
      <selection activeCell="E10" sqref="E10"/>
    </sheetView>
  </sheetViews>
  <sheetFormatPr defaultColWidth="9.140625" defaultRowHeight="15" x14ac:dyDescent="0.25"/>
  <cols>
    <col min="1" max="1" width="25.5703125" customWidth="1"/>
    <col min="2" max="7" width="16.5703125" customWidth="1"/>
    <col min="8" max="8" width="22.5703125" customWidth="1"/>
    <col min="9" max="13" width="16.5703125" customWidth="1"/>
    <col min="14" max="14" width="34.140625" customWidth="1"/>
    <col min="15" max="16" width="25.5703125" customWidth="1"/>
    <col min="17" max="27" width="16.5703125" customWidth="1"/>
    <col min="28" max="30" width="20.5703125" customWidth="1"/>
    <col min="31" max="32" width="20.42578125" customWidth="1"/>
  </cols>
  <sheetData>
    <row r="1" spans="1:32" x14ac:dyDescent="0.25">
      <c r="A1" s="1" t="s">
        <v>160</v>
      </c>
    </row>
    <row r="2" spans="1:32" ht="32.1" customHeight="1" x14ac:dyDescent="0.25">
      <c r="A2" s="1" t="s">
        <v>220</v>
      </c>
      <c r="F2" s="528" t="s">
        <v>177</v>
      </c>
      <c r="G2" s="528"/>
      <c r="I2" s="530" t="s">
        <v>178</v>
      </c>
      <c r="J2" s="530"/>
      <c r="L2" s="530" t="s">
        <v>179</v>
      </c>
      <c r="M2" s="530"/>
    </row>
    <row r="3" spans="1:32" ht="14.45" customHeight="1" x14ac:dyDescent="0.25">
      <c r="F3" s="529" t="str">
        <f>IF(AND(A11&lt;&gt;"", 'Data Validation'!C5&gt;0),"PLEASE REVIEW - MISALIGNMENT IN MEMBER MONTHS WITH OTHER TABS FOR 2022 - CHECK DATA VALIDATION TAB.", "Good")</f>
        <v>Good</v>
      </c>
      <c r="G3" s="529"/>
      <c r="I3" s="529" t="str">
        <f>IF(AND(A11&lt;&gt;"", OR('Data Validation'!C12&gt;0,'Data Validation'!D12&gt;0,'Data Validation'!E12&gt;0,'Data Validation'!F12&gt;0,'Data Validation'!G12&gt;0,'Data Validation'!H12&gt;0)), "PLEASE REVIEW - MISALIGNMENT OF TRUNCATED OR NON-TRUNCATED SPENDING WITH AGE/SEX TAB FOR 2022. CHECK DATA VALIDATION TAB)", "Good")</f>
        <v>Good</v>
      </c>
      <c r="J3" s="529"/>
      <c r="L3" s="529" t="str">
        <f>IF(COUNTIF(AN_TME22[[#All],[Average Claims Truncated Per Member]], "&gt;250000")+COUNTIF(AN_TME22[[#All],[Total Claims Excluded (A19)/Total Non-Truncated Claims Expenses (A21)]], "&gt;10%")&gt;0, "PLEASE REVIEW - see highlighted cells in A28 or A29", "Good")</f>
        <v>Good</v>
      </c>
      <c r="M3" s="529"/>
    </row>
    <row r="4" spans="1:32" ht="14.45" customHeight="1" x14ac:dyDescent="0.25">
      <c r="A4" t="s">
        <v>161</v>
      </c>
      <c r="F4" s="529"/>
      <c r="G4" s="529"/>
      <c r="I4" s="529"/>
      <c r="J4" s="529"/>
      <c r="L4" s="529"/>
      <c r="M4" s="529"/>
    </row>
    <row r="5" spans="1:32" ht="14.45" customHeight="1" x14ac:dyDescent="0.25">
      <c r="A5" s="176" t="s">
        <v>180</v>
      </c>
      <c r="F5" s="529"/>
      <c r="G5" s="529"/>
      <c r="I5" s="529"/>
      <c r="J5" s="529"/>
      <c r="L5" s="529"/>
      <c r="M5" s="529"/>
    </row>
    <row r="6" spans="1:32" ht="33" customHeight="1" x14ac:dyDescent="0.25">
      <c r="F6" s="529"/>
      <c r="G6" s="529"/>
      <c r="I6" s="529"/>
      <c r="J6" s="529"/>
      <c r="L6" s="529"/>
      <c r="M6" s="529"/>
    </row>
    <row r="9" spans="1:32" x14ac:dyDescent="0.25">
      <c r="D9" s="4" t="s">
        <v>181</v>
      </c>
      <c r="E9" s="4" t="s">
        <v>182</v>
      </c>
      <c r="F9" s="4" t="s">
        <v>183</v>
      </c>
      <c r="G9" s="4" t="s">
        <v>184</v>
      </c>
      <c r="H9" s="4" t="s">
        <v>185</v>
      </c>
      <c r="I9" s="4" t="s">
        <v>186</v>
      </c>
      <c r="J9" s="4" t="s">
        <v>187</v>
      </c>
      <c r="K9" s="4" t="s">
        <v>188</v>
      </c>
      <c r="L9" s="4" t="s">
        <v>189</v>
      </c>
      <c r="M9" s="4" t="s">
        <v>190</v>
      </c>
      <c r="N9" s="4" t="s">
        <v>191</v>
      </c>
      <c r="O9" s="4" t="s">
        <v>192</v>
      </c>
      <c r="P9" s="4" t="s">
        <v>193</v>
      </c>
      <c r="Q9" s="4" t="s">
        <v>194</v>
      </c>
      <c r="R9" s="4" t="s">
        <v>195</v>
      </c>
      <c r="S9" s="4" t="s">
        <v>196</v>
      </c>
      <c r="T9" s="4" t="s">
        <v>197</v>
      </c>
      <c r="U9" s="4" t="s">
        <v>198</v>
      </c>
      <c r="V9" s="4" t="s">
        <v>199</v>
      </c>
      <c r="W9" s="177" t="s">
        <v>200</v>
      </c>
      <c r="X9" s="4" t="s">
        <v>201</v>
      </c>
      <c r="Y9" s="4" t="s">
        <v>202</v>
      </c>
      <c r="Z9" s="177" t="s">
        <v>203</v>
      </c>
      <c r="AA9" s="177" t="s">
        <v>204</v>
      </c>
      <c r="AB9" s="4" t="s">
        <v>205</v>
      </c>
      <c r="AC9" s="4" t="s">
        <v>206</v>
      </c>
      <c r="AD9" s="177" t="s">
        <v>207</v>
      </c>
      <c r="AE9" s="4" t="s">
        <v>208</v>
      </c>
      <c r="AF9" s="4" t="s">
        <v>209</v>
      </c>
    </row>
    <row r="10" spans="1:32" ht="105" x14ac:dyDescent="0.25">
      <c r="A10" s="432" t="s">
        <v>210</v>
      </c>
      <c r="B10" s="433" t="s">
        <v>61</v>
      </c>
      <c r="C10" s="433" t="s">
        <v>469</v>
      </c>
      <c r="D10" s="433" t="s">
        <v>211</v>
      </c>
      <c r="E10" s="433" t="s">
        <v>100</v>
      </c>
      <c r="F10" s="433" t="s">
        <v>102</v>
      </c>
      <c r="G10" s="433" t="s">
        <v>104</v>
      </c>
      <c r="H10" s="433" t="s">
        <v>106</v>
      </c>
      <c r="I10" s="433" t="s">
        <v>107</v>
      </c>
      <c r="J10" s="433" t="s">
        <v>108</v>
      </c>
      <c r="K10" s="433" t="s">
        <v>109</v>
      </c>
      <c r="L10" s="433" t="s">
        <v>111</v>
      </c>
      <c r="M10" s="433" t="s">
        <v>113</v>
      </c>
      <c r="N10" s="433" t="s">
        <v>115</v>
      </c>
      <c r="O10" s="433" t="s">
        <v>116</v>
      </c>
      <c r="P10" s="433" t="s">
        <v>118</v>
      </c>
      <c r="Q10" s="433" t="s">
        <v>120</v>
      </c>
      <c r="R10" s="433" t="s">
        <v>122</v>
      </c>
      <c r="S10" s="433" t="s">
        <v>124</v>
      </c>
      <c r="T10" s="433" t="s">
        <v>126</v>
      </c>
      <c r="U10" s="433" t="s">
        <v>128</v>
      </c>
      <c r="V10" s="433" t="s">
        <v>130</v>
      </c>
      <c r="W10" s="433" t="s">
        <v>132</v>
      </c>
      <c r="X10" s="437" t="s">
        <v>212</v>
      </c>
      <c r="Y10" s="437" t="s">
        <v>213</v>
      </c>
      <c r="Z10" s="437" t="s">
        <v>214</v>
      </c>
      <c r="AA10" s="437" t="s">
        <v>215</v>
      </c>
      <c r="AB10" s="437" t="s">
        <v>489</v>
      </c>
      <c r="AC10" s="437" t="s">
        <v>216</v>
      </c>
      <c r="AD10" s="473" t="s">
        <v>217</v>
      </c>
      <c r="AE10" s="434" t="s">
        <v>218</v>
      </c>
      <c r="AF10" s="440" t="s">
        <v>219</v>
      </c>
    </row>
    <row r="11" spans="1:32" x14ac:dyDescent="0.25">
      <c r="A11" s="420"/>
      <c r="B11" s="421"/>
      <c r="C11" s="421"/>
      <c r="D11" s="422"/>
      <c r="E11" s="516"/>
      <c r="F11" s="423"/>
      <c r="G11" s="423"/>
      <c r="H11" s="423"/>
      <c r="I11" s="423"/>
      <c r="J11" s="423"/>
      <c r="K11" s="423"/>
      <c r="L11" s="423"/>
      <c r="M11" s="423"/>
      <c r="N11" s="423"/>
      <c r="O11" s="423"/>
      <c r="P11" s="423"/>
      <c r="Q11" s="423"/>
      <c r="R11" s="423"/>
      <c r="S11" s="423"/>
      <c r="T11" s="423"/>
      <c r="U11" s="423"/>
      <c r="V11" s="423"/>
      <c r="W11" s="424"/>
      <c r="X11" s="472">
        <f t="shared" ref="X11:X42" si="0">SUM(F11:H11)+SUM(J11:N11)</f>
        <v>0</v>
      </c>
      <c r="Y11" s="472">
        <f>AN_TME22[[#This Row],[TOTAL Non-Truncated Unadjusted Claims Expenses]]-AN_TME22[[#This Row],[Total Claims Excluded because of Truncation]]</f>
        <v>0</v>
      </c>
      <c r="Z11" s="472">
        <f>SUM(O11:T11)</f>
        <v>0</v>
      </c>
      <c r="AA11" s="472">
        <f>AN_TME22[[#This Row],[TOTAL Non-Truncated Unadjusted Claims Expenses]]+AN_TME22[[#This Row],[TOTAL Non-Claims Expenses]]</f>
        <v>0</v>
      </c>
      <c r="AB11" s="472">
        <f>AN_TME22[[#This Row],[TOTAL Truncated Unadjusted Claims Expenses (A21 -A19)]]+AN_TME22[[#This Row],[TOTAL Non-Claims Expenses]]</f>
        <v>0</v>
      </c>
      <c r="AC11" s="474">
        <f>IFERROR(AN_TME22[[#This Row],[TOTAL Non-Truncated Unadjusted Expenses (A21 + A23)]]/AN_TME22[[#This Row],[Member Months]],0)</f>
        <v>0</v>
      </c>
      <c r="AD11" s="474">
        <f>IFERROR(AN_TME22[[#This Row],[TOTAL Truncated Unadjusted Expenses (A22 + A23)]]/AN_TME22[[#This Row],[Member Months]],0)</f>
        <v>0</v>
      </c>
      <c r="AE11" s="474">
        <f>IFERROR(AN_TME22[[#This Row],[Total Claims Excluded because of Truncation]]/AN_TME22[[#This Row],[Count of Members with Claims Truncated]], 0)</f>
        <v>0</v>
      </c>
      <c r="AF11" s="477">
        <f>IFERROR(AN_TME22[[#This Row],[Total Claims Excluded because of Truncation]]/AN_TME22[[#This Row],[TOTAL Non-Truncated Unadjusted Claims Expenses]], 0)</f>
        <v>0</v>
      </c>
    </row>
    <row r="12" spans="1:32" x14ac:dyDescent="0.25">
      <c r="A12" s="426"/>
      <c r="B12" s="427"/>
      <c r="C12" s="427"/>
      <c r="D12" s="428"/>
      <c r="E12" s="516"/>
      <c r="F12" s="429"/>
      <c r="G12" s="429"/>
      <c r="H12" s="429"/>
      <c r="I12" s="429"/>
      <c r="J12" s="429"/>
      <c r="K12" s="429"/>
      <c r="L12" s="429"/>
      <c r="M12" s="429"/>
      <c r="N12" s="429"/>
      <c r="O12" s="429"/>
      <c r="P12" s="429"/>
      <c r="Q12" s="429"/>
      <c r="R12" s="429"/>
      <c r="S12" s="429"/>
      <c r="T12" s="429"/>
      <c r="U12" s="429"/>
      <c r="V12" s="429"/>
      <c r="W12" s="430"/>
      <c r="X12" s="431">
        <f t="shared" si="0"/>
        <v>0</v>
      </c>
      <c r="Y12" s="431">
        <f>AN_TME22[[#This Row],[TOTAL Non-Truncated Unadjusted Claims Expenses]]-AN_TME22[[#This Row],[Total Claims Excluded because of Truncation]]</f>
        <v>0</v>
      </c>
      <c r="Z12" s="431">
        <f t="shared" ref="Z12:Z42" si="1">SUM(O12:T12)</f>
        <v>0</v>
      </c>
      <c r="AA12" s="431">
        <f>AN_TME22[[#This Row],[TOTAL Non-Truncated Unadjusted Claims Expenses]]+AN_TME22[[#This Row],[TOTAL Non-Claims Expenses]]</f>
        <v>0</v>
      </c>
      <c r="AB12" s="431">
        <f>AN_TME22[[#This Row],[TOTAL Truncated Unadjusted Claims Expenses (A21 -A19)]]+AN_TME22[[#This Row],[TOTAL Non-Claims Expenses]]</f>
        <v>0</v>
      </c>
      <c r="AC12" s="475">
        <f>IFERROR(AN_TME22[[#This Row],[TOTAL Non-Truncated Unadjusted Expenses (A21 + A23)]]/AN_TME22[[#This Row],[Member Months]],0)</f>
        <v>0</v>
      </c>
      <c r="AD12" s="475">
        <f>IFERROR(AN_TME22[[#This Row],[TOTAL Truncated Unadjusted Expenses (A22 + A23)]]/AN_TME22[[#This Row],[Member Months]],0)</f>
        <v>0</v>
      </c>
      <c r="AE12" s="475">
        <f>IFERROR(AN_TME22[[#This Row],[Total Claims Excluded because of Truncation]]/AN_TME22[[#This Row],[Count of Members with Claims Truncated]], 0)</f>
        <v>0</v>
      </c>
      <c r="AF12" s="476">
        <f>IFERROR(AN_TME22[[#This Row],[Total Claims Excluded because of Truncation]]/AN_TME22[[#This Row],[TOTAL Non-Truncated Unadjusted Claims Expenses]], 0)</f>
        <v>0</v>
      </c>
    </row>
    <row r="13" spans="1:32" x14ac:dyDescent="0.25">
      <c r="A13" s="420"/>
      <c r="B13" s="421"/>
      <c r="C13" s="421"/>
      <c r="D13" s="422"/>
      <c r="E13" s="517"/>
      <c r="F13" s="423"/>
      <c r="G13" s="423"/>
      <c r="H13" s="423"/>
      <c r="I13" s="423"/>
      <c r="J13" s="423"/>
      <c r="K13" s="423"/>
      <c r="L13" s="423"/>
      <c r="M13" s="423"/>
      <c r="N13" s="423"/>
      <c r="O13" s="423"/>
      <c r="P13" s="423"/>
      <c r="Q13" s="423"/>
      <c r="R13" s="423"/>
      <c r="S13" s="423"/>
      <c r="T13" s="423"/>
      <c r="U13" s="423"/>
      <c r="V13" s="423"/>
      <c r="W13" s="424"/>
      <c r="X13" s="425">
        <f t="shared" si="0"/>
        <v>0</v>
      </c>
      <c r="Y13" s="472">
        <f>AN_TME22[[#This Row],[TOTAL Non-Truncated Unadjusted Claims Expenses]]-AN_TME22[[#This Row],[Total Claims Excluded because of Truncation]]</f>
        <v>0</v>
      </c>
      <c r="Z13" s="425">
        <f t="shared" si="1"/>
        <v>0</v>
      </c>
      <c r="AA13" s="472">
        <f>AN_TME22[[#This Row],[TOTAL Non-Truncated Unadjusted Claims Expenses]]+AN_TME22[[#This Row],[TOTAL Non-Claims Expenses]]</f>
        <v>0</v>
      </c>
      <c r="AB13" s="472">
        <f>AN_TME22[[#This Row],[TOTAL Truncated Unadjusted Claims Expenses (A21 -A19)]]+AN_TME22[[#This Row],[TOTAL Non-Claims Expenses]]</f>
        <v>0</v>
      </c>
      <c r="AC13" s="474">
        <f>IFERROR(AN_TME22[[#This Row],[TOTAL Non-Truncated Unadjusted Expenses (A21 + A23)]]/AN_TME22[[#This Row],[Member Months]],0)</f>
        <v>0</v>
      </c>
      <c r="AD13" s="474">
        <f>IFERROR(AN_TME22[[#This Row],[TOTAL Truncated Unadjusted Expenses (A22 + A23)]]/AN_TME22[[#This Row],[Member Months]],0)</f>
        <v>0</v>
      </c>
      <c r="AE13" s="474">
        <f>IFERROR(AN_TME22[[#This Row],[Total Claims Excluded because of Truncation]]/AN_TME22[[#This Row],[Count of Members with Claims Truncated]], 0)</f>
        <v>0</v>
      </c>
      <c r="AF13" s="476">
        <f>IFERROR(AN_TME22[[#This Row],[Total Claims Excluded because of Truncation]]/AN_TME22[[#This Row],[TOTAL Non-Truncated Unadjusted Claims Expenses]], 0)</f>
        <v>0</v>
      </c>
    </row>
    <row r="14" spans="1:32" x14ac:dyDescent="0.25">
      <c r="A14" s="426"/>
      <c r="B14" s="427"/>
      <c r="C14" s="427"/>
      <c r="D14" s="428"/>
      <c r="E14" s="517"/>
      <c r="F14" s="429"/>
      <c r="G14" s="429"/>
      <c r="H14" s="429"/>
      <c r="I14" s="429"/>
      <c r="J14" s="429"/>
      <c r="K14" s="429"/>
      <c r="L14" s="429"/>
      <c r="M14" s="429"/>
      <c r="N14" s="429"/>
      <c r="O14" s="429"/>
      <c r="P14" s="429"/>
      <c r="Q14" s="429"/>
      <c r="R14" s="429"/>
      <c r="S14" s="429"/>
      <c r="T14" s="429"/>
      <c r="U14" s="429"/>
      <c r="V14" s="429"/>
      <c r="W14" s="430"/>
      <c r="X14" s="431">
        <f t="shared" si="0"/>
        <v>0</v>
      </c>
      <c r="Y14" s="431">
        <f>AN_TME22[[#This Row],[TOTAL Non-Truncated Unadjusted Claims Expenses]]-AN_TME22[[#This Row],[Total Claims Excluded because of Truncation]]</f>
        <v>0</v>
      </c>
      <c r="Z14" s="431">
        <f t="shared" si="1"/>
        <v>0</v>
      </c>
      <c r="AA14" s="431">
        <f>AN_TME22[[#This Row],[TOTAL Non-Truncated Unadjusted Claims Expenses]]+AN_TME22[[#This Row],[TOTAL Non-Claims Expenses]]</f>
        <v>0</v>
      </c>
      <c r="AB14" s="431">
        <f>AN_TME22[[#This Row],[TOTAL Truncated Unadjusted Claims Expenses (A21 -A19)]]+AN_TME22[[#This Row],[TOTAL Non-Claims Expenses]]</f>
        <v>0</v>
      </c>
      <c r="AC14" s="475">
        <f>IFERROR(AN_TME22[[#This Row],[TOTAL Non-Truncated Unadjusted Expenses (A21 + A23)]]/AN_TME22[[#This Row],[Member Months]],0)</f>
        <v>0</v>
      </c>
      <c r="AD14" s="475">
        <f>IFERROR(AN_TME22[[#This Row],[TOTAL Truncated Unadjusted Expenses (A22 + A23)]]/AN_TME22[[#This Row],[Member Months]],0)</f>
        <v>0</v>
      </c>
      <c r="AE14" s="475">
        <f>IFERROR(AN_TME22[[#This Row],[Total Claims Excluded because of Truncation]]/AN_TME22[[#This Row],[Count of Members with Claims Truncated]], 0)</f>
        <v>0</v>
      </c>
      <c r="AF14" s="476">
        <f>IFERROR(AN_TME22[[#This Row],[Total Claims Excluded because of Truncation]]/AN_TME22[[#This Row],[TOTAL Non-Truncated Unadjusted Claims Expenses]], 0)</f>
        <v>0</v>
      </c>
    </row>
    <row r="15" spans="1:32" x14ac:dyDescent="0.25">
      <c r="A15" s="420"/>
      <c r="B15" s="421"/>
      <c r="C15" s="421"/>
      <c r="D15" s="422"/>
      <c r="E15" s="517"/>
      <c r="F15" s="423"/>
      <c r="G15" s="423"/>
      <c r="H15" s="423"/>
      <c r="I15" s="423"/>
      <c r="J15" s="423"/>
      <c r="K15" s="423"/>
      <c r="L15" s="423"/>
      <c r="M15" s="423"/>
      <c r="N15" s="423"/>
      <c r="O15" s="423"/>
      <c r="P15" s="423"/>
      <c r="Q15" s="423"/>
      <c r="R15" s="423"/>
      <c r="S15" s="423"/>
      <c r="T15" s="423"/>
      <c r="U15" s="423"/>
      <c r="V15" s="423"/>
      <c r="W15" s="424"/>
      <c r="X15" s="425">
        <f t="shared" si="0"/>
        <v>0</v>
      </c>
      <c r="Y15" s="472">
        <f>AN_TME22[[#This Row],[TOTAL Non-Truncated Unadjusted Claims Expenses]]-AN_TME22[[#This Row],[Total Claims Excluded because of Truncation]]</f>
        <v>0</v>
      </c>
      <c r="Z15" s="425">
        <f t="shared" si="1"/>
        <v>0</v>
      </c>
      <c r="AA15" s="472">
        <f>AN_TME22[[#This Row],[TOTAL Non-Truncated Unadjusted Claims Expenses]]+AN_TME22[[#This Row],[TOTAL Non-Claims Expenses]]</f>
        <v>0</v>
      </c>
      <c r="AB15" s="472">
        <f>AN_TME22[[#This Row],[TOTAL Truncated Unadjusted Claims Expenses (A21 -A19)]]+AN_TME22[[#This Row],[TOTAL Non-Claims Expenses]]</f>
        <v>0</v>
      </c>
      <c r="AC15" s="474">
        <f>IFERROR(AN_TME22[[#This Row],[TOTAL Non-Truncated Unadjusted Expenses (A21 + A23)]]/AN_TME22[[#This Row],[Member Months]],0)</f>
        <v>0</v>
      </c>
      <c r="AD15" s="474">
        <f>IFERROR(AN_TME22[[#This Row],[TOTAL Truncated Unadjusted Expenses (A22 + A23)]]/AN_TME22[[#This Row],[Member Months]],0)</f>
        <v>0</v>
      </c>
      <c r="AE15" s="474">
        <f>IFERROR(AN_TME22[[#This Row],[Total Claims Excluded because of Truncation]]/AN_TME22[[#This Row],[Count of Members with Claims Truncated]], 0)</f>
        <v>0</v>
      </c>
      <c r="AF15" s="476">
        <f>IFERROR(AN_TME22[[#This Row],[Total Claims Excluded because of Truncation]]/AN_TME22[[#This Row],[TOTAL Non-Truncated Unadjusted Claims Expenses]], 0)</f>
        <v>0</v>
      </c>
    </row>
    <row r="16" spans="1:32" x14ac:dyDescent="0.25">
      <c r="A16" s="426"/>
      <c r="B16" s="427"/>
      <c r="C16" s="427"/>
      <c r="D16" s="428"/>
      <c r="E16" s="517"/>
      <c r="F16" s="429"/>
      <c r="G16" s="429"/>
      <c r="H16" s="429"/>
      <c r="I16" s="429"/>
      <c r="J16" s="429"/>
      <c r="K16" s="429"/>
      <c r="L16" s="429"/>
      <c r="M16" s="429"/>
      <c r="N16" s="429"/>
      <c r="O16" s="429"/>
      <c r="P16" s="429"/>
      <c r="Q16" s="429"/>
      <c r="R16" s="429"/>
      <c r="S16" s="429"/>
      <c r="T16" s="429"/>
      <c r="U16" s="429"/>
      <c r="V16" s="429"/>
      <c r="W16" s="430"/>
      <c r="X16" s="431">
        <f t="shared" si="0"/>
        <v>0</v>
      </c>
      <c r="Y16" s="431">
        <f>AN_TME22[[#This Row],[TOTAL Non-Truncated Unadjusted Claims Expenses]]-AN_TME22[[#This Row],[Total Claims Excluded because of Truncation]]</f>
        <v>0</v>
      </c>
      <c r="Z16" s="431">
        <f t="shared" si="1"/>
        <v>0</v>
      </c>
      <c r="AA16" s="431">
        <f>AN_TME22[[#This Row],[TOTAL Non-Truncated Unadjusted Claims Expenses]]+AN_TME22[[#This Row],[TOTAL Non-Claims Expenses]]</f>
        <v>0</v>
      </c>
      <c r="AB16" s="431">
        <f>AN_TME22[[#This Row],[TOTAL Truncated Unadjusted Claims Expenses (A21 -A19)]]+AN_TME22[[#This Row],[TOTAL Non-Claims Expenses]]</f>
        <v>0</v>
      </c>
      <c r="AC16" s="475">
        <f>IFERROR(AN_TME22[[#This Row],[TOTAL Non-Truncated Unadjusted Expenses (A21 + A23)]]/AN_TME22[[#This Row],[Member Months]],0)</f>
        <v>0</v>
      </c>
      <c r="AD16" s="475">
        <f>IFERROR(AN_TME22[[#This Row],[TOTAL Truncated Unadjusted Expenses (A22 + A23)]]/AN_TME22[[#This Row],[Member Months]],0)</f>
        <v>0</v>
      </c>
      <c r="AE16" s="475">
        <f>IFERROR(AN_TME22[[#This Row],[Total Claims Excluded because of Truncation]]/AN_TME22[[#This Row],[Count of Members with Claims Truncated]], 0)</f>
        <v>0</v>
      </c>
      <c r="AF16" s="476">
        <f>IFERROR(AN_TME22[[#This Row],[Total Claims Excluded because of Truncation]]/AN_TME22[[#This Row],[TOTAL Non-Truncated Unadjusted Claims Expenses]], 0)</f>
        <v>0</v>
      </c>
    </row>
    <row r="17" spans="1:32" x14ac:dyDescent="0.25">
      <c r="A17" s="420"/>
      <c r="B17" s="421"/>
      <c r="C17" s="421"/>
      <c r="D17" s="422"/>
      <c r="E17" s="517"/>
      <c r="F17" s="423"/>
      <c r="G17" s="423"/>
      <c r="H17" s="423"/>
      <c r="I17" s="423"/>
      <c r="J17" s="423"/>
      <c r="K17" s="423"/>
      <c r="L17" s="423"/>
      <c r="M17" s="423"/>
      <c r="N17" s="423"/>
      <c r="O17" s="423"/>
      <c r="P17" s="423"/>
      <c r="Q17" s="423"/>
      <c r="R17" s="423"/>
      <c r="S17" s="423"/>
      <c r="T17" s="423"/>
      <c r="U17" s="423"/>
      <c r="V17" s="423"/>
      <c r="W17" s="424"/>
      <c r="X17" s="425">
        <f t="shared" si="0"/>
        <v>0</v>
      </c>
      <c r="Y17" s="472">
        <f>AN_TME22[[#This Row],[TOTAL Non-Truncated Unadjusted Claims Expenses]]-AN_TME22[[#This Row],[Total Claims Excluded because of Truncation]]</f>
        <v>0</v>
      </c>
      <c r="Z17" s="425">
        <f t="shared" si="1"/>
        <v>0</v>
      </c>
      <c r="AA17" s="472">
        <f>AN_TME22[[#This Row],[TOTAL Non-Truncated Unadjusted Claims Expenses]]+AN_TME22[[#This Row],[TOTAL Non-Claims Expenses]]</f>
        <v>0</v>
      </c>
      <c r="AB17" s="472">
        <f>AN_TME22[[#This Row],[TOTAL Truncated Unadjusted Claims Expenses (A21 -A19)]]+AN_TME22[[#This Row],[TOTAL Non-Claims Expenses]]</f>
        <v>0</v>
      </c>
      <c r="AC17" s="474">
        <f>IFERROR(AN_TME22[[#This Row],[TOTAL Non-Truncated Unadjusted Expenses (A21 + A23)]]/AN_TME22[[#This Row],[Member Months]],0)</f>
        <v>0</v>
      </c>
      <c r="AD17" s="474">
        <f>IFERROR(AN_TME22[[#This Row],[TOTAL Truncated Unadjusted Expenses (A22 + A23)]]/AN_TME22[[#This Row],[Member Months]],0)</f>
        <v>0</v>
      </c>
      <c r="AE17" s="474">
        <f>IFERROR(AN_TME22[[#This Row],[Total Claims Excluded because of Truncation]]/AN_TME22[[#This Row],[Count of Members with Claims Truncated]], 0)</f>
        <v>0</v>
      </c>
      <c r="AF17" s="476">
        <f>IFERROR(AN_TME22[[#This Row],[Total Claims Excluded because of Truncation]]/AN_TME22[[#This Row],[TOTAL Non-Truncated Unadjusted Claims Expenses]], 0)</f>
        <v>0</v>
      </c>
    </row>
    <row r="18" spans="1:32" x14ac:dyDescent="0.25">
      <c r="A18" s="426"/>
      <c r="B18" s="427"/>
      <c r="C18" s="427"/>
      <c r="D18" s="428"/>
      <c r="E18" s="517"/>
      <c r="F18" s="429"/>
      <c r="G18" s="429"/>
      <c r="H18" s="429"/>
      <c r="I18" s="429"/>
      <c r="J18" s="429"/>
      <c r="K18" s="429"/>
      <c r="L18" s="429"/>
      <c r="M18" s="429"/>
      <c r="N18" s="429"/>
      <c r="O18" s="429"/>
      <c r="P18" s="429"/>
      <c r="Q18" s="429"/>
      <c r="R18" s="429"/>
      <c r="S18" s="429"/>
      <c r="T18" s="429"/>
      <c r="U18" s="429"/>
      <c r="V18" s="429"/>
      <c r="W18" s="430"/>
      <c r="X18" s="431">
        <f t="shared" si="0"/>
        <v>0</v>
      </c>
      <c r="Y18" s="431">
        <f>AN_TME22[[#This Row],[TOTAL Non-Truncated Unadjusted Claims Expenses]]-AN_TME22[[#This Row],[Total Claims Excluded because of Truncation]]</f>
        <v>0</v>
      </c>
      <c r="Z18" s="431">
        <f t="shared" si="1"/>
        <v>0</v>
      </c>
      <c r="AA18" s="431">
        <f>AN_TME22[[#This Row],[TOTAL Non-Truncated Unadjusted Claims Expenses]]+AN_TME22[[#This Row],[TOTAL Non-Claims Expenses]]</f>
        <v>0</v>
      </c>
      <c r="AB18" s="431">
        <f>AN_TME22[[#This Row],[TOTAL Truncated Unadjusted Claims Expenses (A21 -A19)]]+AN_TME22[[#This Row],[TOTAL Non-Claims Expenses]]</f>
        <v>0</v>
      </c>
      <c r="AC18" s="475">
        <f>IFERROR(AN_TME22[[#This Row],[TOTAL Non-Truncated Unadjusted Expenses (A21 + A23)]]/AN_TME22[[#This Row],[Member Months]],0)</f>
        <v>0</v>
      </c>
      <c r="AD18" s="475">
        <f>IFERROR(AN_TME22[[#This Row],[TOTAL Truncated Unadjusted Expenses (A22 + A23)]]/AN_TME22[[#This Row],[Member Months]],0)</f>
        <v>0</v>
      </c>
      <c r="AE18" s="475">
        <f>IFERROR(AN_TME22[[#This Row],[Total Claims Excluded because of Truncation]]/AN_TME22[[#This Row],[Count of Members with Claims Truncated]], 0)</f>
        <v>0</v>
      </c>
      <c r="AF18" s="476">
        <f>IFERROR(AN_TME22[[#This Row],[Total Claims Excluded because of Truncation]]/AN_TME22[[#This Row],[TOTAL Non-Truncated Unadjusted Claims Expenses]], 0)</f>
        <v>0</v>
      </c>
    </row>
    <row r="19" spans="1:32" x14ac:dyDescent="0.25">
      <c r="A19" s="420"/>
      <c r="B19" s="421"/>
      <c r="C19" s="421"/>
      <c r="D19" s="422"/>
      <c r="E19" s="517"/>
      <c r="F19" s="423"/>
      <c r="G19" s="423"/>
      <c r="H19" s="423"/>
      <c r="I19" s="423"/>
      <c r="J19" s="423"/>
      <c r="K19" s="423"/>
      <c r="L19" s="423"/>
      <c r="M19" s="423"/>
      <c r="N19" s="423"/>
      <c r="O19" s="423"/>
      <c r="P19" s="423"/>
      <c r="Q19" s="423"/>
      <c r="R19" s="423"/>
      <c r="S19" s="423"/>
      <c r="T19" s="423"/>
      <c r="U19" s="423"/>
      <c r="V19" s="423"/>
      <c r="W19" s="424"/>
      <c r="X19" s="425">
        <f t="shared" si="0"/>
        <v>0</v>
      </c>
      <c r="Y19" s="472">
        <f>AN_TME22[[#This Row],[TOTAL Non-Truncated Unadjusted Claims Expenses]]-AN_TME22[[#This Row],[Total Claims Excluded because of Truncation]]</f>
        <v>0</v>
      </c>
      <c r="Z19" s="425">
        <f t="shared" si="1"/>
        <v>0</v>
      </c>
      <c r="AA19" s="472">
        <f>AN_TME22[[#This Row],[TOTAL Non-Truncated Unadjusted Claims Expenses]]+AN_TME22[[#This Row],[TOTAL Non-Claims Expenses]]</f>
        <v>0</v>
      </c>
      <c r="AB19" s="472">
        <f>AN_TME22[[#This Row],[TOTAL Truncated Unadjusted Claims Expenses (A21 -A19)]]+AN_TME22[[#This Row],[TOTAL Non-Claims Expenses]]</f>
        <v>0</v>
      </c>
      <c r="AC19" s="474">
        <f>IFERROR(AN_TME22[[#This Row],[TOTAL Non-Truncated Unadjusted Expenses (A21 + A23)]]/AN_TME22[[#This Row],[Member Months]],0)</f>
        <v>0</v>
      </c>
      <c r="AD19" s="474">
        <f>IFERROR(AN_TME22[[#This Row],[TOTAL Truncated Unadjusted Expenses (A22 + A23)]]/AN_TME22[[#This Row],[Member Months]],0)</f>
        <v>0</v>
      </c>
      <c r="AE19" s="474">
        <f>IFERROR(AN_TME22[[#This Row],[Total Claims Excluded because of Truncation]]/AN_TME22[[#This Row],[Count of Members with Claims Truncated]], 0)</f>
        <v>0</v>
      </c>
      <c r="AF19" s="476">
        <f>IFERROR(AN_TME22[[#This Row],[Total Claims Excluded because of Truncation]]/AN_TME22[[#This Row],[TOTAL Non-Truncated Unadjusted Claims Expenses]], 0)</f>
        <v>0</v>
      </c>
    </row>
    <row r="20" spans="1:32" x14ac:dyDescent="0.25">
      <c r="A20" s="426"/>
      <c r="B20" s="427"/>
      <c r="C20" s="427"/>
      <c r="D20" s="428"/>
      <c r="E20" s="517"/>
      <c r="F20" s="429"/>
      <c r="G20" s="429"/>
      <c r="H20" s="429"/>
      <c r="I20" s="429"/>
      <c r="J20" s="429"/>
      <c r="K20" s="429"/>
      <c r="L20" s="429"/>
      <c r="M20" s="429"/>
      <c r="N20" s="429"/>
      <c r="O20" s="429"/>
      <c r="P20" s="429"/>
      <c r="Q20" s="429"/>
      <c r="R20" s="429"/>
      <c r="S20" s="429"/>
      <c r="T20" s="429"/>
      <c r="U20" s="429"/>
      <c r="V20" s="429"/>
      <c r="W20" s="430"/>
      <c r="X20" s="431">
        <f t="shared" si="0"/>
        <v>0</v>
      </c>
      <c r="Y20" s="431">
        <f>AN_TME22[[#This Row],[TOTAL Non-Truncated Unadjusted Claims Expenses]]-AN_TME22[[#This Row],[Total Claims Excluded because of Truncation]]</f>
        <v>0</v>
      </c>
      <c r="Z20" s="431">
        <f t="shared" si="1"/>
        <v>0</v>
      </c>
      <c r="AA20" s="431">
        <f>AN_TME22[[#This Row],[TOTAL Non-Truncated Unadjusted Claims Expenses]]+AN_TME22[[#This Row],[TOTAL Non-Claims Expenses]]</f>
        <v>0</v>
      </c>
      <c r="AB20" s="431">
        <f>AN_TME22[[#This Row],[TOTAL Truncated Unadjusted Claims Expenses (A21 -A19)]]+AN_TME22[[#This Row],[TOTAL Non-Claims Expenses]]</f>
        <v>0</v>
      </c>
      <c r="AC20" s="475">
        <f>IFERROR(AN_TME22[[#This Row],[TOTAL Non-Truncated Unadjusted Expenses (A21 + A23)]]/AN_TME22[[#This Row],[Member Months]],0)</f>
        <v>0</v>
      </c>
      <c r="AD20" s="475">
        <f>IFERROR(AN_TME22[[#This Row],[TOTAL Truncated Unadjusted Expenses (A22 + A23)]]/AN_TME22[[#This Row],[Member Months]],0)</f>
        <v>0</v>
      </c>
      <c r="AE20" s="475">
        <f>IFERROR(AN_TME22[[#This Row],[Total Claims Excluded because of Truncation]]/AN_TME22[[#This Row],[Count of Members with Claims Truncated]], 0)</f>
        <v>0</v>
      </c>
      <c r="AF20" s="476">
        <f>IFERROR(AN_TME22[[#This Row],[Total Claims Excluded because of Truncation]]/AN_TME22[[#This Row],[TOTAL Non-Truncated Unadjusted Claims Expenses]], 0)</f>
        <v>0</v>
      </c>
    </row>
    <row r="21" spans="1:32" x14ac:dyDescent="0.25">
      <c r="A21" s="420"/>
      <c r="B21" s="421"/>
      <c r="C21" s="421"/>
      <c r="D21" s="422"/>
      <c r="E21" s="517"/>
      <c r="F21" s="423"/>
      <c r="G21" s="423"/>
      <c r="H21" s="423"/>
      <c r="I21" s="423"/>
      <c r="J21" s="423"/>
      <c r="K21" s="423"/>
      <c r="L21" s="423"/>
      <c r="M21" s="423"/>
      <c r="N21" s="423"/>
      <c r="O21" s="423"/>
      <c r="P21" s="423"/>
      <c r="Q21" s="423"/>
      <c r="R21" s="423"/>
      <c r="S21" s="423"/>
      <c r="T21" s="423"/>
      <c r="U21" s="423"/>
      <c r="V21" s="423"/>
      <c r="W21" s="424"/>
      <c r="X21" s="425">
        <f t="shared" si="0"/>
        <v>0</v>
      </c>
      <c r="Y21" s="472">
        <f>AN_TME22[[#This Row],[TOTAL Non-Truncated Unadjusted Claims Expenses]]-AN_TME22[[#This Row],[Total Claims Excluded because of Truncation]]</f>
        <v>0</v>
      </c>
      <c r="Z21" s="425">
        <f t="shared" si="1"/>
        <v>0</v>
      </c>
      <c r="AA21" s="472">
        <f>AN_TME22[[#This Row],[TOTAL Non-Truncated Unadjusted Claims Expenses]]+AN_TME22[[#This Row],[TOTAL Non-Claims Expenses]]</f>
        <v>0</v>
      </c>
      <c r="AB21" s="472">
        <f>AN_TME22[[#This Row],[TOTAL Truncated Unadjusted Claims Expenses (A21 -A19)]]+AN_TME22[[#This Row],[TOTAL Non-Claims Expenses]]</f>
        <v>0</v>
      </c>
      <c r="AC21" s="474">
        <f>IFERROR(AN_TME22[[#This Row],[TOTAL Non-Truncated Unadjusted Expenses (A21 + A23)]]/AN_TME22[[#This Row],[Member Months]],0)</f>
        <v>0</v>
      </c>
      <c r="AD21" s="474">
        <f>IFERROR(AN_TME22[[#This Row],[TOTAL Truncated Unadjusted Expenses (A22 + A23)]]/AN_TME22[[#This Row],[Member Months]],0)</f>
        <v>0</v>
      </c>
      <c r="AE21" s="474">
        <f>IFERROR(AN_TME22[[#This Row],[Total Claims Excluded because of Truncation]]/AN_TME22[[#This Row],[Count of Members with Claims Truncated]], 0)</f>
        <v>0</v>
      </c>
      <c r="AF21" s="476">
        <f>IFERROR(AN_TME22[[#This Row],[Total Claims Excluded because of Truncation]]/AN_TME22[[#This Row],[TOTAL Non-Truncated Unadjusted Claims Expenses]], 0)</f>
        <v>0</v>
      </c>
    </row>
    <row r="22" spans="1:32" x14ac:dyDescent="0.25">
      <c r="A22" s="426"/>
      <c r="B22" s="427"/>
      <c r="C22" s="427"/>
      <c r="D22" s="428"/>
      <c r="E22" s="517"/>
      <c r="F22" s="429"/>
      <c r="G22" s="429"/>
      <c r="H22" s="429"/>
      <c r="I22" s="429"/>
      <c r="J22" s="429"/>
      <c r="K22" s="429"/>
      <c r="L22" s="429"/>
      <c r="M22" s="429"/>
      <c r="N22" s="429"/>
      <c r="O22" s="429"/>
      <c r="P22" s="429"/>
      <c r="Q22" s="429"/>
      <c r="R22" s="429"/>
      <c r="S22" s="429"/>
      <c r="T22" s="429"/>
      <c r="U22" s="429"/>
      <c r="V22" s="429"/>
      <c r="W22" s="430"/>
      <c r="X22" s="431">
        <f t="shared" si="0"/>
        <v>0</v>
      </c>
      <c r="Y22" s="431">
        <f>AN_TME22[[#This Row],[TOTAL Non-Truncated Unadjusted Claims Expenses]]-AN_TME22[[#This Row],[Total Claims Excluded because of Truncation]]</f>
        <v>0</v>
      </c>
      <c r="Z22" s="431">
        <f t="shared" si="1"/>
        <v>0</v>
      </c>
      <c r="AA22" s="431">
        <f>AN_TME22[[#This Row],[TOTAL Non-Truncated Unadjusted Claims Expenses]]+AN_TME22[[#This Row],[TOTAL Non-Claims Expenses]]</f>
        <v>0</v>
      </c>
      <c r="AB22" s="431">
        <f>AN_TME22[[#This Row],[TOTAL Truncated Unadjusted Claims Expenses (A21 -A19)]]+AN_TME22[[#This Row],[TOTAL Non-Claims Expenses]]</f>
        <v>0</v>
      </c>
      <c r="AC22" s="475">
        <f>IFERROR(AN_TME22[[#This Row],[TOTAL Non-Truncated Unadjusted Expenses (A21 + A23)]]/AN_TME22[[#This Row],[Member Months]],0)</f>
        <v>0</v>
      </c>
      <c r="AD22" s="475">
        <f>IFERROR(AN_TME22[[#This Row],[TOTAL Truncated Unadjusted Expenses (A22 + A23)]]/AN_TME22[[#This Row],[Member Months]],0)</f>
        <v>0</v>
      </c>
      <c r="AE22" s="475">
        <f>IFERROR(AN_TME22[[#This Row],[Total Claims Excluded because of Truncation]]/AN_TME22[[#This Row],[Count of Members with Claims Truncated]], 0)</f>
        <v>0</v>
      </c>
      <c r="AF22" s="476">
        <f>IFERROR(AN_TME22[[#This Row],[Total Claims Excluded because of Truncation]]/AN_TME22[[#This Row],[TOTAL Non-Truncated Unadjusted Claims Expenses]], 0)</f>
        <v>0</v>
      </c>
    </row>
    <row r="23" spans="1:32" x14ac:dyDescent="0.25">
      <c r="A23" s="420"/>
      <c r="B23" s="421"/>
      <c r="C23" s="421"/>
      <c r="D23" s="422"/>
      <c r="E23" s="517"/>
      <c r="F23" s="423"/>
      <c r="G23" s="423"/>
      <c r="H23" s="423"/>
      <c r="I23" s="423"/>
      <c r="J23" s="423"/>
      <c r="K23" s="423"/>
      <c r="L23" s="423"/>
      <c r="M23" s="423"/>
      <c r="N23" s="423"/>
      <c r="O23" s="423"/>
      <c r="P23" s="423"/>
      <c r="Q23" s="423"/>
      <c r="R23" s="423"/>
      <c r="S23" s="423"/>
      <c r="T23" s="423"/>
      <c r="U23" s="423"/>
      <c r="V23" s="423"/>
      <c r="W23" s="424"/>
      <c r="X23" s="425">
        <f t="shared" si="0"/>
        <v>0</v>
      </c>
      <c r="Y23" s="472">
        <f>AN_TME22[[#This Row],[TOTAL Non-Truncated Unadjusted Claims Expenses]]-AN_TME22[[#This Row],[Total Claims Excluded because of Truncation]]</f>
        <v>0</v>
      </c>
      <c r="Z23" s="425">
        <f t="shared" si="1"/>
        <v>0</v>
      </c>
      <c r="AA23" s="472">
        <f>AN_TME22[[#This Row],[TOTAL Non-Truncated Unadjusted Claims Expenses]]+AN_TME22[[#This Row],[TOTAL Non-Claims Expenses]]</f>
        <v>0</v>
      </c>
      <c r="AB23" s="472">
        <f>AN_TME22[[#This Row],[TOTAL Truncated Unadjusted Claims Expenses (A21 -A19)]]+AN_TME22[[#This Row],[TOTAL Non-Claims Expenses]]</f>
        <v>0</v>
      </c>
      <c r="AC23" s="474">
        <f>IFERROR(AN_TME22[[#This Row],[TOTAL Non-Truncated Unadjusted Expenses (A21 + A23)]]/AN_TME22[[#This Row],[Member Months]],0)</f>
        <v>0</v>
      </c>
      <c r="AD23" s="474">
        <f>IFERROR(AN_TME22[[#This Row],[TOTAL Truncated Unadjusted Expenses (A22 + A23)]]/AN_TME22[[#This Row],[Member Months]],0)</f>
        <v>0</v>
      </c>
      <c r="AE23" s="474">
        <f>IFERROR(AN_TME22[[#This Row],[Total Claims Excluded because of Truncation]]/AN_TME22[[#This Row],[Count of Members with Claims Truncated]], 0)</f>
        <v>0</v>
      </c>
      <c r="AF23" s="476">
        <f>IFERROR(AN_TME22[[#This Row],[Total Claims Excluded because of Truncation]]/AN_TME22[[#This Row],[TOTAL Non-Truncated Unadjusted Claims Expenses]], 0)</f>
        <v>0</v>
      </c>
    </row>
    <row r="24" spans="1:32" x14ac:dyDescent="0.25">
      <c r="A24" s="426"/>
      <c r="B24" s="427"/>
      <c r="C24" s="427"/>
      <c r="D24" s="428"/>
      <c r="E24" s="517"/>
      <c r="F24" s="429"/>
      <c r="G24" s="429"/>
      <c r="H24" s="429"/>
      <c r="I24" s="429"/>
      <c r="J24" s="429"/>
      <c r="K24" s="429"/>
      <c r="L24" s="429"/>
      <c r="M24" s="429"/>
      <c r="N24" s="429"/>
      <c r="O24" s="429"/>
      <c r="P24" s="429"/>
      <c r="Q24" s="429"/>
      <c r="R24" s="429"/>
      <c r="S24" s="429"/>
      <c r="T24" s="429"/>
      <c r="U24" s="429"/>
      <c r="V24" s="429"/>
      <c r="W24" s="430"/>
      <c r="X24" s="431">
        <f t="shared" si="0"/>
        <v>0</v>
      </c>
      <c r="Y24" s="431">
        <f>AN_TME22[[#This Row],[TOTAL Non-Truncated Unadjusted Claims Expenses]]-AN_TME22[[#This Row],[Total Claims Excluded because of Truncation]]</f>
        <v>0</v>
      </c>
      <c r="Z24" s="431">
        <f t="shared" si="1"/>
        <v>0</v>
      </c>
      <c r="AA24" s="431">
        <f>AN_TME22[[#This Row],[TOTAL Non-Truncated Unadjusted Claims Expenses]]+AN_TME22[[#This Row],[TOTAL Non-Claims Expenses]]</f>
        <v>0</v>
      </c>
      <c r="AB24" s="431">
        <f>AN_TME22[[#This Row],[TOTAL Truncated Unadjusted Claims Expenses (A21 -A19)]]+AN_TME22[[#This Row],[TOTAL Non-Claims Expenses]]</f>
        <v>0</v>
      </c>
      <c r="AC24" s="475">
        <f>IFERROR(AN_TME22[[#This Row],[TOTAL Non-Truncated Unadjusted Expenses (A21 + A23)]]/AN_TME22[[#This Row],[Member Months]],0)</f>
        <v>0</v>
      </c>
      <c r="AD24" s="475">
        <f>IFERROR(AN_TME22[[#This Row],[TOTAL Truncated Unadjusted Expenses (A22 + A23)]]/AN_TME22[[#This Row],[Member Months]],0)</f>
        <v>0</v>
      </c>
      <c r="AE24" s="475">
        <f>IFERROR(AN_TME22[[#This Row],[Total Claims Excluded because of Truncation]]/AN_TME22[[#This Row],[Count of Members with Claims Truncated]], 0)</f>
        <v>0</v>
      </c>
      <c r="AF24" s="476">
        <f>IFERROR(AN_TME22[[#This Row],[Total Claims Excluded because of Truncation]]/AN_TME22[[#This Row],[TOTAL Non-Truncated Unadjusted Claims Expenses]], 0)</f>
        <v>0</v>
      </c>
    </row>
    <row r="25" spans="1:32" x14ac:dyDescent="0.25">
      <c r="A25" s="420"/>
      <c r="B25" s="421"/>
      <c r="C25" s="421"/>
      <c r="D25" s="422"/>
      <c r="E25" s="517"/>
      <c r="F25" s="423"/>
      <c r="G25" s="423"/>
      <c r="H25" s="423"/>
      <c r="I25" s="423"/>
      <c r="J25" s="423"/>
      <c r="K25" s="423"/>
      <c r="L25" s="423"/>
      <c r="M25" s="423"/>
      <c r="N25" s="423"/>
      <c r="O25" s="423"/>
      <c r="P25" s="423"/>
      <c r="Q25" s="423"/>
      <c r="R25" s="423"/>
      <c r="S25" s="423"/>
      <c r="T25" s="423"/>
      <c r="U25" s="423"/>
      <c r="V25" s="423"/>
      <c r="W25" s="424"/>
      <c r="X25" s="425">
        <f t="shared" si="0"/>
        <v>0</v>
      </c>
      <c r="Y25" s="472">
        <f>AN_TME22[[#This Row],[TOTAL Non-Truncated Unadjusted Claims Expenses]]-AN_TME22[[#This Row],[Total Claims Excluded because of Truncation]]</f>
        <v>0</v>
      </c>
      <c r="Z25" s="425">
        <f t="shared" si="1"/>
        <v>0</v>
      </c>
      <c r="AA25" s="472">
        <f>AN_TME22[[#This Row],[TOTAL Non-Truncated Unadjusted Claims Expenses]]+AN_TME22[[#This Row],[TOTAL Non-Claims Expenses]]</f>
        <v>0</v>
      </c>
      <c r="AB25" s="472">
        <f>AN_TME22[[#This Row],[TOTAL Truncated Unadjusted Claims Expenses (A21 -A19)]]+AN_TME22[[#This Row],[TOTAL Non-Claims Expenses]]</f>
        <v>0</v>
      </c>
      <c r="AC25" s="474">
        <f>IFERROR(AN_TME22[[#This Row],[TOTAL Non-Truncated Unadjusted Expenses (A21 + A23)]]/AN_TME22[[#This Row],[Member Months]],0)</f>
        <v>0</v>
      </c>
      <c r="AD25" s="474">
        <f>IFERROR(AN_TME22[[#This Row],[TOTAL Truncated Unadjusted Expenses (A22 + A23)]]/AN_TME22[[#This Row],[Member Months]],0)</f>
        <v>0</v>
      </c>
      <c r="AE25" s="474">
        <f>IFERROR(AN_TME22[[#This Row],[Total Claims Excluded because of Truncation]]/AN_TME22[[#This Row],[Count of Members with Claims Truncated]], 0)</f>
        <v>0</v>
      </c>
      <c r="AF25" s="476">
        <f>IFERROR(AN_TME22[[#This Row],[Total Claims Excluded because of Truncation]]/AN_TME22[[#This Row],[TOTAL Non-Truncated Unadjusted Claims Expenses]], 0)</f>
        <v>0</v>
      </c>
    </row>
    <row r="26" spans="1:32" x14ac:dyDescent="0.25">
      <c r="A26" s="426"/>
      <c r="B26" s="427"/>
      <c r="C26" s="427"/>
      <c r="D26" s="428"/>
      <c r="E26" s="517"/>
      <c r="F26" s="429"/>
      <c r="G26" s="429"/>
      <c r="H26" s="429"/>
      <c r="I26" s="429"/>
      <c r="J26" s="429"/>
      <c r="K26" s="429"/>
      <c r="L26" s="429"/>
      <c r="M26" s="429"/>
      <c r="N26" s="429"/>
      <c r="O26" s="429"/>
      <c r="P26" s="429"/>
      <c r="Q26" s="429"/>
      <c r="R26" s="429"/>
      <c r="S26" s="429"/>
      <c r="T26" s="429"/>
      <c r="U26" s="429"/>
      <c r="V26" s="429"/>
      <c r="W26" s="430"/>
      <c r="X26" s="431">
        <f t="shared" si="0"/>
        <v>0</v>
      </c>
      <c r="Y26" s="431">
        <f>AN_TME22[[#This Row],[TOTAL Non-Truncated Unadjusted Claims Expenses]]-AN_TME22[[#This Row],[Total Claims Excluded because of Truncation]]</f>
        <v>0</v>
      </c>
      <c r="Z26" s="431">
        <f t="shared" si="1"/>
        <v>0</v>
      </c>
      <c r="AA26" s="431">
        <f>AN_TME22[[#This Row],[TOTAL Non-Truncated Unadjusted Claims Expenses]]+AN_TME22[[#This Row],[TOTAL Non-Claims Expenses]]</f>
        <v>0</v>
      </c>
      <c r="AB26" s="431">
        <f>AN_TME22[[#This Row],[TOTAL Truncated Unadjusted Claims Expenses (A21 -A19)]]+AN_TME22[[#This Row],[TOTAL Non-Claims Expenses]]</f>
        <v>0</v>
      </c>
      <c r="AC26" s="475">
        <f>IFERROR(AN_TME22[[#This Row],[TOTAL Non-Truncated Unadjusted Expenses (A21 + A23)]]/AN_TME22[[#This Row],[Member Months]],0)</f>
        <v>0</v>
      </c>
      <c r="AD26" s="475">
        <f>IFERROR(AN_TME22[[#This Row],[TOTAL Truncated Unadjusted Expenses (A22 + A23)]]/AN_TME22[[#This Row],[Member Months]],0)</f>
        <v>0</v>
      </c>
      <c r="AE26" s="475">
        <f>IFERROR(AN_TME22[[#This Row],[Total Claims Excluded because of Truncation]]/AN_TME22[[#This Row],[Count of Members with Claims Truncated]], 0)</f>
        <v>0</v>
      </c>
      <c r="AF26" s="476">
        <f>IFERROR(AN_TME22[[#This Row],[Total Claims Excluded because of Truncation]]/AN_TME22[[#This Row],[TOTAL Non-Truncated Unadjusted Claims Expenses]], 0)</f>
        <v>0</v>
      </c>
    </row>
    <row r="27" spans="1:32" x14ac:dyDescent="0.25">
      <c r="A27" s="420"/>
      <c r="B27" s="421"/>
      <c r="C27" s="421"/>
      <c r="D27" s="422"/>
      <c r="E27" s="517"/>
      <c r="F27" s="423"/>
      <c r="G27" s="423"/>
      <c r="H27" s="423"/>
      <c r="I27" s="423"/>
      <c r="J27" s="423"/>
      <c r="K27" s="423"/>
      <c r="L27" s="423"/>
      <c r="M27" s="423"/>
      <c r="N27" s="423"/>
      <c r="O27" s="423"/>
      <c r="P27" s="423"/>
      <c r="Q27" s="423"/>
      <c r="R27" s="423"/>
      <c r="S27" s="423"/>
      <c r="T27" s="423"/>
      <c r="U27" s="423"/>
      <c r="V27" s="423"/>
      <c r="W27" s="424"/>
      <c r="X27" s="425">
        <f t="shared" si="0"/>
        <v>0</v>
      </c>
      <c r="Y27" s="472">
        <f>AN_TME22[[#This Row],[TOTAL Non-Truncated Unadjusted Claims Expenses]]-AN_TME22[[#This Row],[Total Claims Excluded because of Truncation]]</f>
        <v>0</v>
      </c>
      <c r="Z27" s="425">
        <f t="shared" si="1"/>
        <v>0</v>
      </c>
      <c r="AA27" s="472">
        <f>AN_TME22[[#This Row],[TOTAL Non-Truncated Unadjusted Claims Expenses]]+AN_TME22[[#This Row],[TOTAL Non-Claims Expenses]]</f>
        <v>0</v>
      </c>
      <c r="AB27" s="472">
        <f>AN_TME22[[#This Row],[TOTAL Truncated Unadjusted Claims Expenses (A21 -A19)]]+AN_TME22[[#This Row],[TOTAL Non-Claims Expenses]]</f>
        <v>0</v>
      </c>
      <c r="AC27" s="474">
        <f>IFERROR(AN_TME22[[#This Row],[TOTAL Non-Truncated Unadjusted Expenses (A21 + A23)]]/AN_TME22[[#This Row],[Member Months]],0)</f>
        <v>0</v>
      </c>
      <c r="AD27" s="474">
        <f>IFERROR(AN_TME22[[#This Row],[TOTAL Truncated Unadjusted Expenses (A22 + A23)]]/AN_TME22[[#This Row],[Member Months]],0)</f>
        <v>0</v>
      </c>
      <c r="AE27" s="474">
        <f>IFERROR(AN_TME22[[#This Row],[Total Claims Excluded because of Truncation]]/AN_TME22[[#This Row],[Count of Members with Claims Truncated]], 0)</f>
        <v>0</v>
      </c>
      <c r="AF27" s="476">
        <f>IFERROR(AN_TME22[[#This Row],[Total Claims Excluded because of Truncation]]/AN_TME22[[#This Row],[TOTAL Non-Truncated Unadjusted Claims Expenses]], 0)</f>
        <v>0</v>
      </c>
    </row>
    <row r="28" spans="1:32" x14ac:dyDescent="0.25">
      <c r="A28" s="426"/>
      <c r="B28" s="427"/>
      <c r="C28" s="427"/>
      <c r="D28" s="428"/>
      <c r="E28" s="517"/>
      <c r="F28" s="429"/>
      <c r="G28" s="429"/>
      <c r="H28" s="429"/>
      <c r="I28" s="429"/>
      <c r="J28" s="429"/>
      <c r="K28" s="429"/>
      <c r="L28" s="429"/>
      <c r="M28" s="429"/>
      <c r="N28" s="429"/>
      <c r="O28" s="429"/>
      <c r="P28" s="429"/>
      <c r="Q28" s="429"/>
      <c r="R28" s="429"/>
      <c r="S28" s="429"/>
      <c r="T28" s="429"/>
      <c r="U28" s="429"/>
      <c r="V28" s="429"/>
      <c r="W28" s="430"/>
      <c r="X28" s="431">
        <f t="shared" si="0"/>
        <v>0</v>
      </c>
      <c r="Y28" s="431">
        <f>AN_TME22[[#This Row],[TOTAL Non-Truncated Unadjusted Claims Expenses]]-AN_TME22[[#This Row],[Total Claims Excluded because of Truncation]]</f>
        <v>0</v>
      </c>
      <c r="Z28" s="431">
        <f t="shared" si="1"/>
        <v>0</v>
      </c>
      <c r="AA28" s="431">
        <f>AN_TME22[[#This Row],[TOTAL Non-Truncated Unadjusted Claims Expenses]]+AN_TME22[[#This Row],[TOTAL Non-Claims Expenses]]</f>
        <v>0</v>
      </c>
      <c r="AB28" s="431">
        <f>AN_TME22[[#This Row],[TOTAL Truncated Unadjusted Claims Expenses (A21 -A19)]]+AN_TME22[[#This Row],[TOTAL Non-Claims Expenses]]</f>
        <v>0</v>
      </c>
      <c r="AC28" s="475">
        <f>IFERROR(AN_TME22[[#This Row],[TOTAL Non-Truncated Unadjusted Expenses (A21 + A23)]]/AN_TME22[[#This Row],[Member Months]],0)</f>
        <v>0</v>
      </c>
      <c r="AD28" s="475">
        <f>IFERROR(AN_TME22[[#This Row],[TOTAL Truncated Unadjusted Expenses (A22 + A23)]]/AN_TME22[[#This Row],[Member Months]],0)</f>
        <v>0</v>
      </c>
      <c r="AE28" s="475">
        <f>IFERROR(AN_TME22[[#This Row],[Total Claims Excluded because of Truncation]]/AN_TME22[[#This Row],[Count of Members with Claims Truncated]], 0)</f>
        <v>0</v>
      </c>
      <c r="AF28" s="476">
        <f>IFERROR(AN_TME22[[#This Row],[Total Claims Excluded because of Truncation]]/AN_TME22[[#This Row],[TOTAL Non-Truncated Unadjusted Claims Expenses]], 0)</f>
        <v>0</v>
      </c>
    </row>
    <row r="29" spans="1:32" x14ac:dyDescent="0.25">
      <c r="A29" s="420"/>
      <c r="B29" s="421"/>
      <c r="C29" s="421"/>
      <c r="D29" s="422"/>
      <c r="E29" s="517"/>
      <c r="F29" s="423"/>
      <c r="G29" s="423"/>
      <c r="H29" s="423"/>
      <c r="I29" s="423"/>
      <c r="J29" s="423"/>
      <c r="K29" s="423"/>
      <c r="L29" s="423"/>
      <c r="M29" s="423"/>
      <c r="N29" s="423"/>
      <c r="O29" s="423"/>
      <c r="P29" s="423"/>
      <c r="Q29" s="423"/>
      <c r="R29" s="423"/>
      <c r="S29" s="423"/>
      <c r="T29" s="423"/>
      <c r="U29" s="423"/>
      <c r="V29" s="423"/>
      <c r="W29" s="424"/>
      <c r="X29" s="425">
        <f t="shared" si="0"/>
        <v>0</v>
      </c>
      <c r="Y29" s="472">
        <f>AN_TME22[[#This Row],[TOTAL Non-Truncated Unadjusted Claims Expenses]]-AN_TME22[[#This Row],[Total Claims Excluded because of Truncation]]</f>
        <v>0</v>
      </c>
      <c r="Z29" s="425">
        <f t="shared" si="1"/>
        <v>0</v>
      </c>
      <c r="AA29" s="472">
        <f>AN_TME22[[#This Row],[TOTAL Non-Truncated Unadjusted Claims Expenses]]+AN_TME22[[#This Row],[TOTAL Non-Claims Expenses]]</f>
        <v>0</v>
      </c>
      <c r="AB29" s="472">
        <f>AN_TME22[[#This Row],[TOTAL Truncated Unadjusted Claims Expenses (A21 -A19)]]+AN_TME22[[#This Row],[TOTAL Non-Claims Expenses]]</f>
        <v>0</v>
      </c>
      <c r="AC29" s="474">
        <f>IFERROR(AN_TME22[[#This Row],[TOTAL Non-Truncated Unadjusted Expenses (A21 + A23)]]/AN_TME22[[#This Row],[Member Months]],0)</f>
        <v>0</v>
      </c>
      <c r="AD29" s="474">
        <f>IFERROR(AN_TME22[[#This Row],[TOTAL Truncated Unadjusted Expenses (A22 + A23)]]/AN_TME22[[#This Row],[Member Months]],0)</f>
        <v>0</v>
      </c>
      <c r="AE29" s="474">
        <f>IFERROR(AN_TME22[[#This Row],[Total Claims Excluded because of Truncation]]/AN_TME22[[#This Row],[Count of Members with Claims Truncated]], 0)</f>
        <v>0</v>
      </c>
      <c r="AF29" s="476">
        <f>IFERROR(AN_TME22[[#This Row],[Total Claims Excluded because of Truncation]]/AN_TME22[[#This Row],[TOTAL Non-Truncated Unadjusted Claims Expenses]], 0)</f>
        <v>0</v>
      </c>
    </row>
    <row r="30" spans="1:32" x14ac:dyDescent="0.25">
      <c r="A30" s="426"/>
      <c r="B30" s="427"/>
      <c r="C30" s="427"/>
      <c r="D30" s="428"/>
      <c r="E30" s="517"/>
      <c r="F30" s="429"/>
      <c r="G30" s="429"/>
      <c r="H30" s="429"/>
      <c r="I30" s="429"/>
      <c r="J30" s="429"/>
      <c r="K30" s="429"/>
      <c r="L30" s="429"/>
      <c r="M30" s="429"/>
      <c r="N30" s="429"/>
      <c r="O30" s="429"/>
      <c r="P30" s="429"/>
      <c r="Q30" s="429"/>
      <c r="R30" s="429"/>
      <c r="S30" s="429"/>
      <c r="T30" s="429"/>
      <c r="U30" s="429"/>
      <c r="V30" s="429"/>
      <c r="W30" s="430"/>
      <c r="X30" s="431">
        <f t="shared" si="0"/>
        <v>0</v>
      </c>
      <c r="Y30" s="431">
        <f>AN_TME22[[#This Row],[TOTAL Non-Truncated Unadjusted Claims Expenses]]-AN_TME22[[#This Row],[Total Claims Excluded because of Truncation]]</f>
        <v>0</v>
      </c>
      <c r="Z30" s="431">
        <f t="shared" si="1"/>
        <v>0</v>
      </c>
      <c r="AA30" s="431">
        <f>AN_TME22[[#This Row],[TOTAL Non-Truncated Unadjusted Claims Expenses]]+AN_TME22[[#This Row],[TOTAL Non-Claims Expenses]]</f>
        <v>0</v>
      </c>
      <c r="AB30" s="431">
        <f>AN_TME22[[#This Row],[TOTAL Truncated Unadjusted Claims Expenses (A21 -A19)]]+AN_TME22[[#This Row],[TOTAL Non-Claims Expenses]]</f>
        <v>0</v>
      </c>
      <c r="AC30" s="475">
        <f>IFERROR(AN_TME22[[#This Row],[TOTAL Non-Truncated Unadjusted Expenses (A21 + A23)]]/AN_TME22[[#This Row],[Member Months]],0)</f>
        <v>0</v>
      </c>
      <c r="AD30" s="475">
        <f>IFERROR(AN_TME22[[#This Row],[TOTAL Truncated Unadjusted Expenses (A22 + A23)]]/AN_TME22[[#This Row],[Member Months]],0)</f>
        <v>0</v>
      </c>
      <c r="AE30" s="475">
        <f>IFERROR(AN_TME22[[#This Row],[Total Claims Excluded because of Truncation]]/AN_TME22[[#This Row],[Count of Members with Claims Truncated]], 0)</f>
        <v>0</v>
      </c>
      <c r="AF30" s="476">
        <f>IFERROR(AN_TME22[[#This Row],[Total Claims Excluded because of Truncation]]/AN_TME22[[#This Row],[TOTAL Non-Truncated Unadjusted Claims Expenses]], 0)</f>
        <v>0</v>
      </c>
    </row>
    <row r="31" spans="1:32" x14ac:dyDescent="0.25">
      <c r="A31" s="420"/>
      <c r="B31" s="421"/>
      <c r="C31" s="421"/>
      <c r="D31" s="422"/>
      <c r="E31" s="517"/>
      <c r="F31" s="423"/>
      <c r="G31" s="423"/>
      <c r="H31" s="423"/>
      <c r="I31" s="423"/>
      <c r="J31" s="423"/>
      <c r="K31" s="423"/>
      <c r="L31" s="423"/>
      <c r="M31" s="423"/>
      <c r="N31" s="423"/>
      <c r="O31" s="423"/>
      <c r="P31" s="423"/>
      <c r="Q31" s="423"/>
      <c r="R31" s="423"/>
      <c r="S31" s="423"/>
      <c r="T31" s="423"/>
      <c r="U31" s="423"/>
      <c r="V31" s="423"/>
      <c r="W31" s="424"/>
      <c r="X31" s="425">
        <f t="shared" si="0"/>
        <v>0</v>
      </c>
      <c r="Y31" s="472">
        <f>AN_TME22[[#This Row],[TOTAL Non-Truncated Unadjusted Claims Expenses]]-AN_TME22[[#This Row],[Total Claims Excluded because of Truncation]]</f>
        <v>0</v>
      </c>
      <c r="Z31" s="425">
        <f t="shared" si="1"/>
        <v>0</v>
      </c>
      <c r="AA31" s="472">
        <f>AN_TME22[[#This Row],[TOTAL Non-Truncated Unadjusted Claims Expenses]]+AN_TME22[[#This Row],[TOTAL Non-Claims Expenses]]</f>
        <v>0</v>
      </c>
      <c r="AB31" s="472">
        <f>AN_TME22[[#This Row],[TOTAL Truncated Unadjusted Claims Expenses (A21 -A19)]]+AN_TME22[[#This Row],[TOTAL Non-Claims Expenses]]</f>
        <v>0</v>
      </c>
      <c r="AC31" s="474">
        <f>IFERROR(AN_TME22[[#This Row],[TOTAL Non-Truncated Unadjusted Expenses (A21 + A23)]]/AN_TME22[[#This Row],[Member Months]],0)</f>
        <v>0</v>
      </c>
      <c r="AD31" s="474">
        <f>IFERROR(AN_TME22[[#This Row],[TOTAL Truncated Unadjusted Expenses (A22 + A23)]]/AN_TME22[[#This Row],[Member Months]],0)</f>
        <v>0</v>
      </c>
      <c r="AE31" s="474">
        <f>IFERROR(AN_TME22[[#This Row],[Total Claims Excluded because of Truncation]]/AN_TME22[[#This Row],[Count of Members with Claims Truncated]], 0)</f>
        <v>0</v>
      </c>
      <c r="AF31" s="476">
        <f>IFERROR(AN_TME22[[#This Row],[Total Claims Excluded because of Truncation]]/AN_TME22[[#This Row],[TOTAL Non-Truncated Unadjusted Claims Expenses]], 0)</f>
        <v>0</v>
      </c>
    </row>
    <row r="32" spans="1:32" x14ac:dyDescent="0.25">
      <c r="A32" s="426"/>
      <c r="B32" s="427"/>
      <c r="C32" s="427"/>
      <c r="D32" s="428"/>
      <c r="E32" s="517"/>
      <c r="F32" s="429"/>
      <c r="G32" s="429"/>
      <c r="H32" s="429"/>
      <c r="I32" s="429"/>
      <c r="J32" s="429"/>
      <c r="K32" s="429"/>
      <c r="L32" s="429"/>
      <c r="M32" s="429"/>
      <c r="N32" s="429"/>
      <c r="O32" s="429"/>
      <c r="P32" s="429"/>
      <c r="Q32" s="429"/>
      <c r="R32" s="429"/>
      <c r="S32" s="429"/>
      <c r="T32" s="429"/>
      <c r="U32" s="429"/>
      <c r="V32" s="429"/>
      <c r="W32" s="430"/>
      <c r="X32" s="431">
        <f t="shared" si="0"/>
        <v>0</v>
      </c>
      <c r="Y32" s="431">
        <f>AN_TME22[[#This Row],[TOTAL Non-Truncated Unadjusted Claims Expenses]]-AN_TME22[[#This Row],[Total Claims Excluded because of Truncation]]</f>
        <v>0</v>
      </c>
      <c r="Z32" s="431">
        <f t="shared" si="1"/>
        <v>0</v>
      </c>
      <c r="AA32" s="431">
        <f>AN_TME22[[#This Row],[TOTAL Non-Truncated Unadjusted Claims Expenses]]+AN_TME22[[#This Row],[TOTAL Non-Claims Expenses]]</f>
        <v>0</v>
      </c>
      <c r="AB32" s="431">
        <f>AN_TME22[[#This Row],[TOTAL Truncated Unadjusted Claims Expenses (A21 -A19)]]+AN_TME22[[#This Row],[TOTAL Non-Claims Expenses]]</f>
        <v>0</v>
      </c>
      <c r="AC32" s="475">
        <f>IFERROR(AN_TME22[[#This Row],[TOTAL Non-Truncated Unadjusted Expenses (A21 + A23)]]/AN_TME22[[#This Row],[Member Months]],0)</f>
        <v>0</v>
      </c>
      <c r="AD32" s="475">
        <f>IFERROR(AN_TME22[[#This Row],[TOTAL Truncated Unadjusted Expenses (A22 + A23)]]/AN_TME22[[#This Row],[Member Months]],0)</f>
        <v>0</v>
      </c>
      <c r="AE32" s="475">
        <f>IFERROR(AN_TME22[[#This Row],[Total Claims Excluded because of Truncation]]/AN_TME22[[#This Row],[Count of Members with Claims Truncated]], 0)</f>
        <v>0</v>
      </c>
      <c r="AF32" s="476">
        <f>IFERROR(AN_TME22[[#This Row],[Total Claims Excluded because of Truncation]]/AN_TME22[[#This Row],[TOTAL Non-Truncated Unadjusted Claims Expenses]], 0)</f>
        <v>0</v>
      </c>
    </row>
    <row r="33" spans="1:32" x14ac:dyDescent="0.25">
      <c r="A33" s="420"/>
      <c r="B33" s="421"/>
      <c r="C33" s="421"/>
      <c r="D33" s="422"/>
      <c r="E33" s="517"/>
      <c r="F33" s="423"/>
      <c r="G33" s="423"/>
      <c r="H33" s="423"/>
      <c r="I33" s="423"/>
      <c r="J33" s="423"/>
      <c r="K33" s="423"/>
      <c r="L33" s="423"/>
      <c r="M33" s="423"/>
      <c r="N33" s="423"/>
      <c r="O33" s="423"/>
      <c r="P33" s="423"/>
      <c r="Q33" s="423"/>
      <c r="R33" s="423"/>
      <c r="S33" s="423"/>
      <c r="T33" s="423"/>
      <c r="U33" s="423"/>
      <c r="V33" s="423"/>
      <c r="W33" s="424"/>
      <c r="X33" s="425">
        <f t="shared" si="0"/>
        <v>0</v>
      </c>
      <c r="Y33" s="472">
        <f>AN_TME22[[#This Row],[TOTAL Non-Truncated Unadjusted Claims Expenses]]-AN_TME22[[#This Row],[Total Claims Excluded because of Truncation]]</f>
        <v>0</v>
      </c>
      <c r="Z33" s="425">
        <f t="shared" si="1"/>
        <v>0</v>
      </c>
      <c r="AA33" s="472">
        <f>AN_TME22[[#This Row],[TOTAL Non-Truncated Unadjusted Claims Expenses]]+AN_TME22[[#This Row],[TOTAL Non-Claims Expenses]]</f>
        <v>0</v>
      </c>
      <c r="AB33" s="472">
        <f>AN_TME22[[#This Row],[TOTAL Truncated Unadjusted Claims Expenses (A21 -A19)]]+AN_TME22[[#This Row],[TOTAL Non-Claims Expenses]]</f>
        <v>0</v>
      </c>
      <c r="AC33" s="474">
        <f>IFERROR(AN_TME22[[#This Row],[TOTAL Non-Truncated Unadjusted Expenses (A21 + A23)]]/AN_TME22[[#This Row],[Member Months]],0)</f>
        <v>0</v>
      </c>
      <c r="AD33" s="474">
        <f>IFERROR(AN_TME22[[#This Row],[TOTAL Truncated Unadjusted Expenses (A22 + A23)]]/AN_TME22[[#This Row],[Member Months]],0)</f>
        <v>0</v>
      </c>
      <c r="AE33" s="474">
        <f>IFERROR(AN_TME22[[#This Row],[Total Claims Excluded because of Truncation]]/AN_TME22[[#This Row],[Count of Members with Claims Truncated]], 0)</f>
        <v>0</v>
      </c>
      <c r="AF33" s="476">
        <f>IFERROR(AN_TME22[[#This Row],[Total Claims Excluded because of Truncation]]/AN_TME22[[#This Row],[TOTAL Non-Truncated Unadjusted Claims Expenses]], 0)</f>
        <v>0</v>
      </c>
    </row>
    <row r="34" spans="1:32" x14ac:dyDescent="0.25">
      <c r="A34" s="426"/>
      <c r="B34" s="427"/>
      <c r="C34" s="427"/>
      <c r="D34" s="428"/>
      <c r="E34" s="517"/>
      <c r="F34" s="429"/>
      <c r="G34" s="429"/>
      <c r="H34" s="429"/>
      <c r="I34" s="429"/>
      <c r="J34" s="429"/>
      <c r="K34" s="429"/>
      <c r="L34" s="429"/>
      <c r="M34" s="429"/>
      <c r="N34" s="429"/>
      <c r="O34" s="429"/>
      <c r="P34" s="429"/>
      <c r="Q34" s="429"/>
      <c r="R34" s="429"/>
      <c r="S34" s="429"/>
      <c r="T34" s="429"/>
      <c r="U34" s="429"/>
      <c r="V34" s="429"/>
      <c r="W34" s="430"/>
      <c r="X34" s="431">
        <f t="shared" si="0"/>
        <v>0</v>
      </c>
      <c r="Y34" s="431">
        <f>AN_TME22[[#This Row],[TOTAL Non-Truncated Unadjusted Claims Expenses]]-AN_TME22[[#This Row],[Total Claims Excluded because of Truncation]]</f>
        <v>0</v>
      </c>
      <c r="Z34" s="431">
        <f t="shared" si="1"/>
        <v>0</v>
      </c>
      <c r="AA34" s="431">
        <f>AN_TME22[[#This Row],[TOTAL Non-Truncated Unadjusted Claims Expenses]]+AN_TME22[[#This Row],[TOTAL Non-Claims Expenses]]</f>
        <v>0</v>
      </c>
      <c r="AB34" s="431">
        <f>AN_TME22[[#This Row],[TOTAL Truncated Unadjusted Claims Expenses (A21 -A19)]]+AN_TME22[[#This Row],[TOTAL Non-Claims Expenses]]</f>
        <v>0</v>
      </c>
      <c r="AC34" s="475">
        <f>IFERROR(AN_TME22[[#This Row],[TOTAL Non-Truncated Unadjusted Expenses (A21 + A23)]]/AN_TME22[[#This Row],[Member Months]],0)</f>
        <v>0</v>
      </c>
      <c r="AD34" s="475">
        <f>IFERROR(AN_TME22[[#This Row],[TOTAL Truncated Unadjusted Expenses (A22 + A23)]]/AN_TME22[[#This Row],[Member Months]],0)</f>
        <v>0</v>
      </c>
      <c r="AE34" s="475">
        <f>IFERROR(AN_TME22[[#This Row],[Total Claims Excluded because of Truncation]]/AN_TME22[[#This Row],[Count of Members with Claims Truncated]], 0)</f>
        <v>0</v>
      </c>
      <c r="AF34" s="476">
        <f>IFERROR(AN_TME22[[#This Row],[Total Claims Excluded because of Truncation]]/AN_TME22[[#This Row],[TOTAL Non-Truncated Unadjusted Claims Expenses]], 0)</f>
        <v>0</v>
      </c>
    </row>
    <row r="35" spans="1:32" x14ac:dyDescent="0.25">
      <c r="A35" s="420"/>
      <c r="B35" s="421"/>
      <c r="C35" s="421"/>
      <c r="D35" s="422"/>
      <c r="E35" s="517"/>
      <c r="F35" s="423"/>
      <c r="G35" s="423"/>
      <c r="H35" s="423"/>
      <c r="I35" s="423"/>
      <c r="J35" s="423"/>
      <c r="K35" s="423"/>
      <c r="L35" s="423"/>
      <c r="M35" s="423"/>
      <c r="N35" s="423"/>
      <c r="O35" s="423"/>
      <c r="P35" s="423"/>
      <c r="Q35" s="423"/>
      <c r="R35" s="423"/>
      <c r="S35" s="423"/>
      <c r="T35" s="423"/>
      <c r="U35" s="423"/>
      <c r="V35" s="423"/>
      <c r="W35" s="424"/>
      <c r="X35" s="425">
        <f t="shared" si="0"/>
        <v>0</v>
      </c>
      <c r="Y35" s="472">
        <f>AN_TME22[[#This Row],[TOTAL Non-Truncated Unadjusted Claims Expenses]]-AN_TME22[[#This Row],[Total Claims Excluded because of Truncation]]</f>
        <v>0</v>
      </c>
      <c r="Z35" s="425">
        <f t="shared" si="1"/>
        <v>0</v>
      </c>
      <c r="AA35" s="472">
        <f>AN_TME22[[#This Row],[TOTAL Non-Truncated Unadjusted Claims Expenses]]+AN_TME22[[#This Row],[TOTAL Non-Claims Expenses]]</f>
        <v>0</v>
      </c>
      <c r="AB35" s="472">
        <f>AN_TME22[[#This Row],[TOTAL Truncated Unadjusted Claims Expenses (A21 -A19)]]+AN_TME22[[#This Row],[TOTAL Non-Claims Expenses]]</f>
        <v>0</v>
      </c>
      <c r="AC35" s="474">
        <f>IFERROR(AN_TME22[[#This Row],[TOTAL Non-Truncated Unadjusted Expenses (A21 + A23)]]/AN_TME22[[#This Row],[Member Months]],0)</f>
        <v>0</v>
      </c>
      <c r="AD35" s="474">
        <f>IFERROR(AN_TME22[[#This Row],[TOTAL Truncated Unadjusted Expenses (A22 + A23)]]/AN_TME22[[#This Row],[Member Months]],0)</f>
        <v>0</v>
      </c>
      <c r="AE35" s="474">
        <f>IFERROR(AN_TME22[[#This Row],[Total Claims Excluded because of Truncation]]/AN_TME22[[#This Row],[Count of Members with Claims Truncated]], 0)</f>
        <v>0</v>
      </c>
      <c r="AF35" s="476">
        <f>IFERROR(AN_TME22[[#This Row],[Total Claims Excluded because of Truncation]]/AN_TME22[[#This Row],[TOTAL Non-Truncated Unadjusted Claims Expenses]], 0)</f>
        <v>0</v>
      </c>
    </row>
    <row r="36" spans="1:32" x14ac:dyDescent="0.25">
      <c r="A36" s="426"/>
      <c r="B36" s="427"/>
      <c r="C36" s="427"/>
      <c r="D36" s="428"/>
      <c r="E36" s="517"/>
      <c r="F36" s="429"/>
      <c r="G36" s="429"/>
      <c r="H36" s="429"/>
      <c r="I36" s="429"/>
      <c r="J36" s="429"/>
      <c r="K36" s="429"/>
      <c r="L36" s="429"/>
      <c r="M36" s="429"/>
      <c r="N36" s="429"/>
      <c r="O36" s="429"/>
      <c r="P36" s="429"/>
      <c r="Q36" s="429"/>
      <c r="R36" s="429"/>
      <c r="S36" s="429"/>
      <c r="T36" s="429"/>
      <c r="U36" s="429"/>
      <c r="V36" s="429"/>
      <c r="W36" s="430"/>
      <c r="X36" s="431">
        <f t="shared" si="0"/>
        <v>0</v>
      </c>
      <c r="Y36" s="431">
        <f>AN_TME22[[#This Row],[TOTAL Non-Truncated Unadjusted Claims Expenses]]-AN_TME22[[#This Row],[Total Claims Excluded because of Truncation]]</f>
        <v>0</v>
      </c>
      <c r="Z36" s="431">
        <f t="shared" si="1"/>
        <v>0</v>
      </c>
      <c r="AA36" s="431">
        <f>AN_TME22[[#This Row],[TOTAL Non-Truncated Unadjusted Claims Expenses]]+AN_TME22[[#This Row],[TOTAL Non-Claims Expenses]]</f>
        <v>0</v>
      </c>
      <c r="AB36" s="431">
        <f>AN_TME22[[#This Row],[TOTAL Truncated Unadjusted Claims Expenses (A21 -A19)]]+AN_TME22[[#This Row],[TOTAL Non-Claims Expenses]]</f>
        <v>0</v>
      </c>
      <c r="AC36" s="475">
        <f>IFERROR(AN_TME22[[#This Row],[TOTAL Non-Truncated Unadjusted Expenses (A21 + A23)]]/AN_TME22[[#This Row],[Member Months]],0)</f>
        <v>0</v>
      </c>
      <c r="AD36" s="475">
        <f>IFERROR(AN_TME22[[#This Row],[TOTAL Truncated Unadjusted Expenses (A22 + A23)]]/AN_TME22[[#This Row],[Member Months]],0)</f>
        <v>0</v>
      </c>
      <c r="AE36" s="475">
        <f>IFERROR(AN_TME22[[#This Row],[Total Claims Excluded because of Truncation]]/AN_TME22[[#This Row],[Count of Members with Claims Truncated]], 0)</f>
        <v>0</v>
      </c>
      <c r="AF36" s="476">
        <f>IFERROR(AN_TME22[[#This Row],[Total Claims Excluded because of Truncation]]/AN_TME22[[#This Row],[TOTAL Non-Truncated Unadjusted Claims Expenses]], 0)</f>
        <v>0</v>
      </c>
    </row>
    <row r="37" spans="1:32" x14ac:dyDescent="0.25">
      <c r="A37" s="420"/>
      <c r="B37" s="421"/>
      <c r="C37" s="421"/>
      <c r="D37" s="422"/>
      <c r="E37" s="517"/>
      <c r="F37" s="423"/>
      <c r="G37" s="423"/>
      <c r="H37" s="423"/>
      <c r="I37" s="423"/>
      <c r="J37" s="423"/>
      <c r="K37" s="423"/>
      <c r="L37" s="423"/>
      <c r="M37" s="423"/>
      <c r="N37" s="423"/>
      <c r="O37" s="423"/>
      <c r="P37" s="423"/>
      <c r="Q37" s="423"/>
      <c r="R37" s="423"/>
      <c r="S37" s="423"/>
      <c r="T37" s="423"/>
      <c r="U37" s="423"/>
      <c r="V37" s="423"/>
      <c r="W37" s="424"/>
      <c r="X37" s="425">
        <f t="shared" si="0"/>
        <v>0</v>
      </c>
      <c r="Y37" s="472">
        <f>AN_TME22[[#This Row],[TOTAL Non-Truncated Unadjusted Claims Expenses]]-AN_TME22[[#This Row],[Total Claims Excluded because of Truncation]]</f>
        <v>0</v>
      </c>
      <c r="Z37" s="425">
        <f t="shared" si="1"/>
        <v>0</v>
      </c>
      <c r="AA37" s="472">
        <f>AN_TME22[[#This Row],[TOTAL Non-Truncated Unadjusted Claims Expenses]]+AN_TME22[[#This Row],[TOTAL Non-Claims Expenses]]</f>
        <v>0</v>
      </c>
      <c r="AB37" s="472">
        <f>AN_TME22[[#This Row],[TOTAL Truncated Unadjusted Claims Expenses (A21 -A19)]]+AN_TME22[[#This Row],[TOTAL Non-Claims Expenses]]</f>
        <v>0</v>
      </c>
      <c r="AC37" s="474">
        <f>IFERROR(AN_TME22[[#This Row],[TOTAL Non-Truncated Unadjusted Expenses (A21 + A23)]]/AN_TME22[[#This Row],[Member Months]],0)</f>
        <v>0</v>
      </c>
      <c r="AD37" s="474">
        <f>IFERROR(AN_TME22[[#This Row],[TOTAL Truncated Unadjusted Expenses (A22 + A23)]]/AN_TME22[[#This Row],[Member Months]],0)</f>
        <v>0</v>
      </c>
      <c r="AE37" s="474">
        <f>IFERROR(AN_TME22[[#This Row],[Total Claims Excluded because of Truncation]]/AN_TME22[[#This Row],[Count of Members with Claims Truncated]], 0)</f>
        <v>0</v>
      </c>
      <c r="AF37" s="476">
        <f>IFERROR(AN_TME22[[#This Row],[Total Claims Excluded because of Truncation]]/AN_TME22[[#This Row],[TOTAL Non-Truncated Unadjusted Claims Expenses]], 0)</f>
        <v>0</v>
      </c>
    </row>
    <row r="38" spans="1:32" x14ac:dyDescent="0.25">
      <c r="A38" s="426"/>
      <c r="B38" s="427"/>
      <c r="C38" s="427"/>
      <c r="D38" s="428"/>
      <c r="E38" s="517"/>
      <c r="F38" s="429"/>
      <c r="G38" s="429"/>
      <c r="H38" s="429"/>
      <c r="I38" s="429"/>
      <c r="J38" s="429"/>
      <c r="K38" s="429"/>
      <c r="L38" s="429"/>
      <c r="M38" s="429"/>
      <c r="N38" s="429"/>
      <c r="O38" s="429"/>
      <c r="P38" s="429"/>
      <c r="Q38" s="429"/>
      <c r="R38" s="429"/>
      <c r="S38" s="429"/>
      <c r="T38" s="429"/>
      <c r="U38" s="429"/>
      <c r="V38" s="429"/>
      <c r="W38" s="430"/>
      <c r="X38" s="431">
        <f t="shared" si="0"/>
        <v>0</v>
      </c>
      <c r="Y38" s="431">
        <f>AN_TME22[[#This Row],[TOTAL Non-Truncated Unadjusted Claims Expenses]]-AN_TME22[[#This Row],[Total Claims Excluded because of Truncation]]</f>
        <v>0</v>
      </c>
      <c r="Z38" s="431">
        <f t="shared" si="1"/>
        <v>0</v>
      </c>
      <c r="AA38" s="431">
        <f>AN_TME22[[#This Row],[TOTAL Non-Truncated Unadjusted Claims Expenses]]+AN_TME22[[#This Row],[TOTAL Non-Claims Expenses]]</f>
        <v>0</v>
      </c>
      <c r="AB38" s="431">
        <f>AN_TME22[[#This Row],[TOTAL Truncated Unadjusted Claims Expenses (A21 -A19)]]+AN_TME22[[#This Row],[TOTAL Non-Claims Expenses]]</f>
        <v>0</v>
      </c>
      <c r="AC38" s="475">
        <f>IFERROR(AN_TME22[[#This Row],[TOTAL Non-Truncated Unadjusted Expenses (A21 + A23)]]/AN_TME22[[#This Row],[Member Months]],0)</f>
        <v>0</v>
      </c>
      <c r="AD38" s="475">
        <f>IFERROR(AN_TME22[[#This Row],[TOTAL Truncated Unadjusted Expenses (A22 + A23)]]/AN_TME22[[#This Row],[Member Months]],0)</f>
        <v>0</v>
      </c>
      <c r="AE38" s="475">
        <f>IFERROR(AN_TME22[[#This Row],[Total Claims Excluded because of Truncation]]/AN_TME22[[#This Row],[Count of Members with Claims Truncated]], 0)</f>
        <v>0</v>
      </c>
      <c r="AF38" s="476">
        <f>IFERROR(AN_TME22[[#This Row],[Total Claims Excluded because of Truncation]]/AN_TME22[[#This Row],[TOTAL Non-Truncated Unadjusted Claims Expenses]], 0)</f>
        <v>0</v>
      </c>
    </row>
    <row r="39" spans="1:32" x14ac:dyDescent="0.25">
      <c r="A39" s="420"/>
      <c r="B39" s="421"/>
      <c r="C39" s="421"/>
      <c r="D39" s="422"/>
      <c r="E39" s="517"/>
      <c r="F39" s="423"/>
      <c r="G39" s="423"/>
      <c r="H39" s="423"/>
      <c r="I39" s="423"/>
      <c r="J39" s="423"/>
      <c r="K39" s="423"/>
      <c r="L39" s="423"/>
      <c r="M39" s="423"/>
      <c r="N39" s="423"/>
      <c r="O39" s="423"/>
      <c r="P39" s="423"/>
      <c r="Q39" s="423"/>
      <c r="R39" s="423"/>
      <c r="S39" s="423"/>
      <c r="T39" s="423"/>
      <c r="U39" s="423"/>
      <c r="V39" s="423"/>
      <c r="W39" s="424"/>
      <c r="X39" s="425">
        <f t="shared" si="0"/>
        <v>0</v>
      </c>
      <c r="Y39" s="472">
        <f>AN_TME22[[#This Row],[TOTAL Non-Truncated Unadjusted Claims Expenses]]-AN_TME22[[#This Row],[Total Claims Excluded because of Truncation]]</f>
        <v>0</v>
      </c>
      <c r="Z39" s="425">
        <f t="shared" si="1"/>
        <v>0</v>
      </c>
      <c r="AA39" s="472">
        <f>AN_TME22[[#This Row],[TOTAL Non-Truncated Unadjusted Claims Expenses]]+AN_TME22[[#This Row],[TOTAL Non-Claims Expenses]]</f>
        <v>0</v>
      </c>
      <c r="AB39" s="472">
        <f>AN_TME22[[#This Row],[TOTAL Truncated Unadjusted Claims Expenses (A21 -A19)]]+AN_TME22[[#This Row],[TOTAL Non-Claims Expenses]]</f>
        <v>0</v>
      </c>
      <c r="AC39" s="474">
        <f>IFERROR(AN_TME22[[#This Row],[TOTAL Non-Truncated Unadjusted Expenses (A21 + A23)]]/AN_TME22[[#This Row],[Member Months]],0)</f>
        <v>0</v>
      </c>
      <c r="AD39" s="474">
        <f>IFERROR(AN_TME22[[#This Row],[TOTAL Truncated Unadjusted Expenses (A22 + A23)]]/AN_TME22[[#This Row],[Member Months]],0)</f>
        <v>0</v>
      </c>
      <c r="AE39" s="474">
        <f>IFERROR(AN_TME22[[#This Row],[Total Claims Excluded because of Truncation]]/AN_TME22[[#This Row],[Count of Members with Claims Truncated]], 0)</f>
        <v>0</v>
      </c>
      <c r="AF39" s="476">
        <f>IFERROR(AN_TME22[[#This Row],[Total Claims Excluded because of Truncation]]/AN_TME22[[#This Row],[TOTAL Non-Truncated Unadjusted Claims Expenses]], 0)</f>
        <v>0</v>
      </c>
    </row>
    <row r="40" spans="1:32" x14ac:dyDescent="0.25">
      <c r="A40" s="426"/>
      <c r="B40" s="427"/>
      <c r="C40" s="427"/>
      <c r="D40" s="428"/>
      <c r="E40" s="517"/>
      <c r="F40" s="429"/>
      <c r="G40" s="429"/>
      <c r="H40" s="429"/>
      <c r="I40" s="429"/>
      <c r="J40" s="429"/>
      <c r="K40" s="429"/>
      <c r="L40" s="429"/>
      <c r="M40" s="429"/>
      <c r="N40" s="429"/>
      <c r="O40" s="429"/>
      <c r="P40" s="429"/>
      <c r="Q40" s="429"/>
      <c r="R40" s="429"/>
      <c r="S40" s="429"/>
      <c r="T40" s="429"/>
      <c r="U40" s="429"/>
      <c r="V40" s="429"/>
      <c r="W40" s="430"/>
      <c r="X40" s="431">
        <f t="shared" si="0"/>
        <v>0</v>
      </c>
      <c r="Y40" s="431">
        <f>AN_TME22[[#This Row],[TOTAL Non-Truncated Unadjusted Claims Expenses]]-AN_TME22[[#This Row],[Total Claims Excluded because of Truncation]]</f>
        <v>0</v>
      </c>
      <c r="Z40" s="431">
        <f t="shared" si="1"/>
        <v>0</v>
      </c>
      <c r="AA40" s="431">
        <f>AN_TME22[[#This Row],[TOTAL Non-Truncated Unadjusted Claims Expenses]]+AN_TME22[[#This Row],[TOTAL Non-Claims Expenses]]</f>
        <v>0</v>
      </c>
      <c r="AB40" s="431">
        <f>AN_TME22[[#This Row],[TOTAL Truncated Unadjusted Claims Expenses (A21 -A19)]]+AN_TME22[[#This Row],[TOTAL Non-Claims Expenses]]</f>
        <v>0</v>
      </c>
      <c r="AC40" s="475">
        <f>IFERROR(AN_TME22[[#This Row],[TOTAL Non-Truncated Unadjusted Expenses (A21 + A23)]]/AN_TME22[[#This Row],[Member Months]],0)</f>
        <v>0</v>
      </c>
      <c r="AD40" s="475">
        <f>IFERROR(AN_TME22[[#This Row],[TOTAL Truncated Unadjusted Expenses (A22 + A23)]]/AN_TME22[[#This Row],[Member Months]],0)</f>
        <v>0</v>
      </c>
      <c r="AE40" s="475">
        <f>IFERROR(AN_TME22[[#This Row],[Total Claims Excluded because of Truncation]]/AN_TME22[[#This Row],[Count of Members with Claims Truncated]], 0)</f>
        <v>0</v>
      </c>
      <c r="AF40" s="476">
        <f>IFERROR(AN_TME22[[#This Row],[Total Claims Excluded because of Truncation]]/AN_TME22[[#This Row],[TOTAL Non-Truncated Unadjusted Claims Expenses]], 0)</f>
        <v>0</v>
      </c>
    </row>
    <row r="41" spans="1:32" x14ac:dyDescent="0.25">
      <c r="A41" s="420"/>
      <c r="B41" s="421"/>
      <c r="C41" s="421"/>
      <c r="D41" s="422"/>
      <c r="E41" s="516"/>
      <c r="F41" s="423"/>
      <c r="G41" s="423"/>
      <c r="H41" s="423"/>
      <c r="I41" s="423"/>
      <c r="J41" s="423"/>
      <c r="K41" s="423"/>
      <c r="L41" s="423"/>
      <c r="M41" s="423"/>
      <c r="N41" s="423"/>
      <c r="O41" s="423"/>
      <c r="P41" s="423"/>
      <c r="Q41" s="423"/>
      <c r="R41" s="423"/>
      <c r="S41" s="423"/>
      <c r="T41" s="423"/>
      <c r="U41" s="423"/>
      <c r="V41" s="423"/>
      <c r="W41" s="424"/>
      <c r="X41" s="425">
        <f t="shared" si="0"/>
        <v>0</v>
      </c>
      <c r="Y41" s="472">
        <f>AN_TME22[[#This Row],[TOTAL Non-Truncated Unadjusted Claims Expenses]]-AN_TME22[[#This Row],[Total Claims Excluded because of Truncation]]</f>
        <v>0</v>
      </c>
      <c r="Z41" s="425">
        <f t="shared" si="1"/>
        <v>0</v>
      </c>
      <c r="AA41" s="472">
        <f>AN_TME22[[#This Row],[TOTAL Non-Truncated Unadjusted Claims Expenses]]+AN_TME22[[#This Row],[TOTAL Non-Claims Expenses]]</f>
        <v>0</v>
      </c>
      <c r="AB41" s="472">
        <f>AN_TME22[[#This Row],[TOTAL Truncated Unadjusted Claims Expenses (A21 -A19)]]+AN_TME22[[#This Row],[TOTAL Non-Claims Expenses]]</f>
        <v>0</v>
      </c>
      <c r="AC41" s="474">
        <f>IFERROR(AN_TME22[[#This Row],[TOTAL Non-Truncated Unadjusted Expenses (A21 + A23)]]/AN_TME22[[#This Row],[Member Months]],0)</f>
        <v>0</v>
      </c>
      <c r="AD41" s="474">
        <f>IFERROR(AN_TME22[[#This Row],[TOTAL Truncated Unadjusted Expenses (A22 + A23)]]/AN_TME22[[#This Row],[Member Months]],0)</f>
        <v>0</v>
      </c>
      <c r="AE41" s="474">
        <f>IFERROR(AN_TME22[[#This Row],[Total Claims Excluded because of Truncation]]/AN_TME22[[#This Row],[Count of Members with Claims Truncated]], 0)</f>
        <v>0</v>
      </c>
      <c r="AF41" s="476">
        <f>IFERROR(AN_TME22[[#This Row],[Total Claims Excluded because of Truncation]]/AN_TME22[[#This Row],[TOTAL Non-Truncated Unadjusted Claims Expenses]], 0)</f>
        <v>0</v>
      </c>
    </row>
    <row r="42" spans="1:32" x14ac:dyDescent="0.25">
      <c r="A42" s="426"/>
      <c r="B42" s="427"/>
      <c r="C42" s="427"/>
      <c r="D42" s="428"/>
      <c r="E42" s="517"/>
      <c r="F42" s="429"/>
      <c r="G42" s="429"/>
      <c r="H42" s="429"/>
      <c r="I42" s="429"/>
      <c r="J42" s="429"/>
      <c r="K42" s="429"/>
      <c r="L42" s="429"/>
      <c r="M42" s="429"/>
      <c r="N42" s="429"/>
      <c r="O42" s="429"/>
      <c r="P42" s="429"/>
      <c r="Q42" s="429"/>
      <c r="R42" s="429"/>
      <c r="S42" s="429"/>
      <c r="T42" s="429"/>
      <c r="U42" s="429"/>
      <c r="V42" s="429"/>
      <c r="W42" s="430"/>
      <c r="X42" s="431">
        <f t="shared" si="0"/>
        <v>0</v>
      </c>
      <c r="Y42" s="431">
        <f>AN_TME22[[#This Row],[TOTAL Non-Truncated Unadjusted Claims Expenses]]-AN_TME22[[#This Row],[Total Claims Excluded because of Truncation]]</f>
        <v>0</v>
      </c>
      <c r="Z42" s="431">
        <f t="shared" si="1"/>
        <v>0</v>
      </c>
      <c r="AA42" s="431">
        <f>AN_TME22[[#This Row],[TOTAL Non-Truncated Unadjusted Claims Expenses]]+AN_TME22[[#This Row],[TOTAL Non-Claims Expenses]]</f>
        <v>0</v>
      </c>
      <c r="AB42" s="431">
        <f>AN_TME22[[#This Row],[TOTAL Truncated Unadjusted Claims Expenses (A21 -A19)]]+AN_TME22[[#This Row],[TOTAL Non-Claims Expenses]]</f>
        <v>0</v>
      </c>
      <c r="AC42" s="475">
        <f>IFERROR(AN_TME22[[#This Row],[TOTAL Non-Truncated Unadjusted Expenses (A21 + A23)]]/AN_TME22[[#This Row],[Member Months]],0)</f>
        <v>0</v>
      </c>
      <c r="AD42" s="475">
        <f>IFERROR(AN_TME22[[#This Row],[TOTAL Truncated Unadjusted Expenses (A22 + A23)]]/AN_TME22[[#This Row],[Member Months]],0)</f>
        <v>0</v>
      </c>
      <c r="AE42" s="475">
        <f>IFERROR(AN_TME22[[#This Row],[Total Claims Excluded because of Truncation]]/AN_TME22[[#This Row],[Count of Members with Claims Truncated]], 0)</f>
        <v>0</v>
      </c>
      <c r="AF42" s="476">
        <f>IFERROR(AN_TME22[[#This Row],[Total Claims Excluded because of Truncation]]/AN_TME22[[#This Row],[TOTAL Non-Truncated Unadjusted Claims Expenses]], 0)</f>
        <v>0</v>
      </c>
    </row>
    <row r="43" spans="1:32" x14ac:dyDescent="0.25">
      <c r="A43" s="420"/>
      <c r="B43" s="421"/>
      <c r="C43" s="421"/>
      <c r="D43" s="422"/>
      <c r="E43" s="517"/>
      <c r="F43" s="423"/>
      <c r="G43" s="423"/>
      <c r="H43" s="423"/>
      <c r="I43" s="423"/>
      <c r="J43" s="423"/>
      <c r="K43" s="423"/>
      <c r="L43" s="423"/>
      <c r="M43" s="423"/>
      <c r="N43" s="423"/>
      <c r="O43" s="423"/>
      <c r="P43" s="423"/>
      <c r="Q43" s="423"/>
      <c r="R43" s="423"/>
      <c r="S43" s="423"/>
      <c r="T43" s="423"/>
      <c r="U43" s="423"/>
      <c r="V43" s="423"/>
      <c r="W43" s="424"/>
      <c r="X43" s="425">
        <f t="shared" ref="X43:X74" si="2">SUM(F43:H43)+SUM(J43:N43)</f>
        <v>0</v>
      </c>
      <c r="Y43" s="472">
        <f>AN_TME22[[#This Row],[TOTAL Non-Truncated Unadjusted Claims Expenses]]-AN_TME22[[#This Row],[Total Claims Excluded because of Truncation]]</f>
        <v>0</v>
      </c>
      <c r="Z43" s="425">
        <f t="shared" ref="Z43:Z74" si="3">SUM(O43:T43)</f>
        <v>0</v>
      </c>
      <c r="AA43" s="472">
        <f>AN_TME22[[#This Row],[TOTAL Non-Truncated Unadjusted Claims Expenses]]+AN_TME22[[#This Row],[TOTAL Non-Claims Expenses]]</f>
        <v>0</v>
      </c>
      <c r="AB43" s="472">
        <f>AN_TME22[[#This Row],[TOTAL Truncated Unadjusted Claims Expenses (A21 -A19)]]+AN_TME22[[#This Row],[TOTAL Non-Claims Expenses]]</f>
        <v>0</v>
      </c>
      <c r="AC43" s="474">
        <f>IFERROR(AN_TME22[[#This Row],[TOTAL Non-Truncated Unadjusted Expenses (A21 + A23)]]/AN_TME22[[#This Row],[Member Months]],0)</f>
        <v>0</v>
      </c>
      <c r="AD43" s="474">
        <f>IFERROR(AN_TME22[[#This Row],[TOTAL Truncated Unadjusted Expenses (A22 + A23)]]/AN_TME22[[#This Row],[Member Months]],0)</f>
        <v>0</v>
      </c>
      <c r="AE43" s="474">
        <f>IFERROR(AN_TME22[[#This Row],[Total Claims Excluded because of Truncation]]/AN_TME22[[#This Row],[Count of Members with Claims Truncated]], 0)</f>
        <v>0</v>
      </c>
      <c r="AF43" s="476">
        <f>IFERROR(AN_TME22[[#This Row],[Total Claims Excluded because of Truncation]]/AN_TME22[[#This Row],[TOTAL Non-Truncated Unadjusted Claims Expenses]], 0)</f>
        <v>0</v>
      </c>
    </row>
    <row r="44" spans="1:32" x14ac:dyDescent="0.25">
      <c r="A44" s="426"/>
      <c r="B44" s="427"/>
      <c r="C44" s="427"/>
      <c r="D44" s="428"/>
      <c r="E44" s="517"/>
      <c r="F44" s="429"/>
      <c r="G44" s="429"/>
      <c r="H44" s="429"/>
      <c r="I44" s="429"/>
      <c r="J44" s="429"/>
      <c r="K44" s="429"/>
      <c r="L44" s="429"/>
      <c r="M44" s="429"/>
      <c r="N44" s="429"/>
      <c r="O44" s="429"/>
      <c r="P44" s="429"/>
      <c r="Q44" s="429"/>
      <c r="R44" s="429"/>
      <c r="S44" s="429"/>
      <c r="T44" s="429"/>
      <c r="U44" s="429"/>
      <c r="V44" s="429"/>
      <c r="W44" s="430"/>
      <c r="X44" s="431">
        <f t="shared" si="2"/>
        <v>0</v>
      </c>
      <c r="Y44" s="431">
        <f>AN_TME22[[#This Row],[TOTAL Non-Truncated Unadjusted Claims Expenses]]-AN_TME22[[#This Row],[Total Claims Excluded because of Truncation]]</f>
        <v>0</v>
      </c>
      <c r="Z44" s="431">
        <f t="shared" si="3"/>
        <v>0</v>
      </c>
      <c r="AA44" s="431">
        <f>AN_TME22[[#This Row],[TOTAL Non-Truncated Unadjusted Claims Expenses]]+AN_TME22[[#This Row],[TOTAL Non-Claims Expenses]]</f>
        <v>0</v>
      </c>
      <c r="AB44" s="431">
        <f>AN_TME22[[#This Row],[TOTAL Truncated Unadjusted Claims Expenses (A21 -A19)]]+AN_TME22[[#This Row],[TOTAL Non-Claims Expenses]]</f>
        <v>0</v>
      </c>
      <c r="AC44" s="475">
        <f>IFERROR(AN_TME22[[#This Row],[TOTAL Non-Truncated Unadjusted Expenses (A21 + A23)]]/AN_TME22[[#This Row],[Member Months]],0)</f>
        <v>0</v>
      </c>
      <c r="AD44" s="475">
        <f>IFERROR(AN_TME22[[#This Row],[TOTAL Truncated Unadjusted Expenses (A22 + A23)]]/AN_TME22[[#This Row],[Member Months]],0)</f>
        <v>0</v>
      </c>
      <c r="AE44" s="475">
        <f>IFERROR(AN_TME22[[#This Row],[Total Claims Excluded because of Truncation]]/AN_TME22[[#This Row],[Count of Members with Claims Truncated]], 0)</f>
        <v>0</v>
      </c>
      <c r="AF44" s="476">
        <f>IFERROR(AN_TME22[[#This Row],[Total Claims Excluded because of Truncation]]/AN_TME22[[#This Row],[TOTAL Non-Truncated Unadjusted Claims Expenses]], 0)</f>
        <v>0</v>
      </c>
    </row>
    <row r="45" spans="1:32" x14ac:dyDescent="0.25">
      <c r="A45" s="420"/>
      <c r="B45" s="421"/>
      <c r="C45" s="421"/>
      <c r="D45" s="422"/>
      <c r="E45" s="517"/>
      <c r="F45" s="423"/>
      <c r="G45" s="423"/>
      <c r="H45" s="423"/>
      <c r="I45" s="423"/>
      <c r="J45" s="423"/>
      <c r="K45" s="423"/>
      <c r="L45" s="423"/>
      <c r="M45" s="423"/>
      <c r="N45" s="423"/>
      <c r="O45" s="423"/>
      <c r="P45" s="423"/>
      <c r="Q45" s="423"/>
      <c r="R45" s="423"/>
      <c r="S45" s="423"/>
      <c r="T45" s="423"/>
      <c r="U45" s="423"/>
      <c r="V45" s="423"/>
      <c r="W45" s="424"/>
      <c r="X45" s="425">
        <f t="shared" si="2"/>
        <v>0</v>
      </c>
      <c r="Y45" s="472">
        <f>AN_TME22[[#This Row],[TOTAL Non-Truncated Unadjusted Claims Expenses]]-AN_TME22[[#This Row],[Total Claims Excluded because of Truncation]]</f>
        <v>0</v>
      </c>
      <c r="Z45" s="425">
        <f t="shared" si="3"/>
        <v>0</v>
      </c>
      <c r="AA45" s="472">
        <f>AN_TME22[[#This Row],[TOTAL Non-Truncated Unadjusted Claims Expenses]]+AN_TME22[[#This Row],[TOTAL Non-Claims Expenses]]</f>
        <v>0</v>
      </c>
      <c r="AB45" s="472">
        <f>AN_TME22[[#This Row],[TOTAL Truncated Unadjusted Claims Expenses (A21 -A19)]]+AN_TME22[[#This Row],[TOTAL Non-Claims Expenses]]</f>
        <v>0</v>
      </c>
      <c r="AC45" s="474">
        <f>IFERROR(AN_TME22[[#This Row],[TOTAL Non-Truncated Unadjusted Expenses (A21 + A23)]]/AN_TME22[[#This Row],[Member Months]],0)</f>
        <v>0</v>
      </c>
      <c r="AD45" s="474">
        <f>IFERROR(AN_TME22[[#This Row],[TOTAL Truncated Unadjusted Expenses (A22 + A23)]]/AN_TME22[[#This Row],[Member Months]],0)</f>
        <v>0</v>
      </c>
      <c r="AE45" s="474">
        <f>IFERROR(AN_TME22[[#This Row],[Total Claims Excluded because of Truncation]]/AN_TME22[[#This Row],[Count of Members with Claims Truncated]], 0)</f>
        <v>0</v>
      </c>
      <c r="AF45" s="476">
        <f>IFERROR(AN_TME22[[#This Row],[Total Claims Excluded because of Truncation]]/AN_TME22[[#This Row],[TOTAL Non-Truncated Unadjusted Claims Expenses]], 0)</f>
        <v>0</v>
      </c>
    </row>
    <row r="46" spans="1:32" x14ac:dyDescent="0.25">
      <c r="A46" s="426"/>
      <c r="B46" s="427"/>
      <c r="C46" s="427"/>
      <c r="D46" s="428"/>
      <c r="E46" s="517"/>
      <c r="F46" s="429"/>
      <c r="G46" s="429"/>
      <c r="H46" s="429"/>
      <c r="I46" s="429"/>
      <c r="J46" s="429"/>
      <c r="K46" s="429"/>
      <c r="L46" s="429"/>
      <c r="M46" s="429"/>
      <c r="N46" s="429"/>
      <c r="O46" s="429"/>
      <c r="P46" s="429"/>
      <c r="Q46" s="429"/>
      <c r="R46" s="429"/>
      <c r="S46" s="429"/>
      <c r="T46" s="429"/>
      <c r="U46" s="429"/>
      <c r="V46" s="429"/>
      <c r="W46" s="430"/>
      <c r="X46" s="431">
        <f t="shared" si="2"/>
        <v>0</v>
      </c>
      <c r="Y46" s="431">
        <f>AN_TME22[[#This Row],[TOTAL Non-Truncated Unadjusted Claims Expenses]]-AN_TME22[[#This Row],[Total Claims Excluded because of Truncation]]</f>
        <v>0</v>
      </c>
      <c r="Z46" s="431">
        <f t="shared" si="3"/>
        <v>0</v>
      </c>
      <c r="AA46" s="431">
        <f>AN_TME22[[#This Row],[TOTAL Non-Truncated Unadjusted Claims Expenses]]+AN_TME22[[#This Row],[TOTAL Non-Claims Expenses]]</f>
        <v>0</v>
      </c>
      <c r="AB46" s="431">
        <f>AN_TME22[[#This Row],[TOTAL Truncated Unadjusted Claims Expenses (A21 -A19)]]+AN_TME22[[#This Row],[TOTAL Non-Claims Expenses]]</f>
        <v>0</v>
      </c>
      <c r="AC46" s="475">
        <f>IFERROR(AN_TME22[[#This Row],[TOTAL Non-Truncated Unadjusted Expenses (A21 + A23)]]/AN_TME22[[#This Row],[Member Months]],0)</f>
        <v>0</v>
      </c>
      <c r="AD46" s="475">
        <f>IFERROR(AN_TME22[[#This Row],[TOTAL Truncated Unadjusted Expenses (A22 + A23)]]/AN_TME22[[#This Row],[Member Months]],0)</f>
        <v>0</v>
      </c>
      <c r="AE46" s="475">
        <f>IFERROR(AN_TME22[[#This Row],[Total Claims Excluded because of Truncation]]/AN_TME22[[#This Row],[Count of Members with Claims Truncated]], 0)</f>
        <v>0</v>
      </c>
      <c r="AF46" s="476">
        <f>IFERROR(AN_TME22[[#This Row],[Total Claims Excluded because of Truncation]]/AN_TME22[[#This Row],[TOTAL Non-Truncated Unadjusted Claims Expenses]], 0)</f>
        <v>0</v>
      </c>
    </row>
    <row r="47" spans="1:32" x14ac:dyDescent="0.25">
      <c r="A47" s="420"/>
      <c r="B47" s="421"/>
      <c r="C47" s="421"/>
      <c r="D47" s="422"/>
      <c r="E47" s="517"/>
      <c r="F47" s="423"/>
      <c r="G47" s="423"/>
      <c r="H47" s="423"/>
      <c r="I47" s="423"/>
      <c r="J47" s="423"/>
      <c r="K47" s="423"/>
      <c r="L47" s="423"/>
      <c r="M47" s="423"/>
      <c r="N47" s="423"/>
      <c r="O47" s="423"/>
      <c r="P47" s="423"/>
      <c r="Q47" s="423"/>
      <c r="R47" s="423"/>
      <c r="S47" s="423"/>
      <c r="T47" s="423"/>
      <c r="U47" s="423"/>
      <c r="V47" s="423"/>
      <c r="W47" s="424"/>
      <c r="X47" s="425">
        <f t="shared" si="2"/>
        <v>0</v>
      </c>
      <c r="Y47" s="472">
        <f>AN_TME22[[#This Row],[TOTAL Non-Truncated Unadjusted Claims Expenses]]-AN_TME22[[#This Row],[Total Claims Excluded because of Truncation]]</f>
        <v>0</v>
      </c>
      <c r="Z47" s="425">
        <f t="shared" si="3"/>
        <v>0</v>
      </c>
      <c r="AA47" s="472">
        <f>AN_TME22[[#This Row],[TOTAL Non-Truncated Unadjusted Claims Expenses]]+AN_TME22[[#This Row],[TOTAL Non-Claims Expenses]]</f>
        <v>0</v>
      </c>
      <c r="AB47" s="472">
        <f>AN_TME22[[#This Row],[TOTAL Truncated Unadjusted Claims Expenses (A21 -A19)]]+AN_TME22[[#This Row],[TOTAL Non-Claims Expenses]]</f>
        <v>0</v>
      </c>
      <c r="AC47" s="474">
        <f>IFERROR(AN_TME22[[#This Row],[TOTAL Non-Truncated Unadjusted Expenses (A21 + A23)]]/AN_TME22[[#This Row],[Member Months]],0)</f>
        <v>0</v>
      </c>
      <c r="AD47" s="474">
        <f>IFERROR(AN_TME22[[#This Row],[TOTAL Truncated Unadjusted Expenses (A22 + A23)]]/AN_TME22[[#This Row],[Member Months]],0)</f>
        <v>0</v>
      </c>
      <c r="AE47" s="474">
        <f>IFERROR(AN_TME22[[#This Row],[Total Claims Excluded because of Truncation]]/AN_TME22[[#This Row],[Count of Members with Claims Truncated]], 0)</f>
        <v>0</v>
      </c>
      <c r="AF47" s="476">
        <f>IFERROR(AN_TME22[[#This Row],[Total Claims Excluded because of Truncation]]/AN_TME22[[#This Row],[TOTAL Non-Truncated Unadjusted Claims Expenses]], 0)</f>
        <v>0</v>
      </c>
    </row>
    <row r="48" spans="1:32" x14ac:dyDescent="0.25">
      <c r="A48" s="426"/>
      <c r="B48" s="427"/>
      <c r="C48" s="427"/>
      <c r="D48" s="428"/>
      <c r="E48" s="517"/>
      <c r="F48" s="429"/>
      <c r="G48" s="429"/>
      <c r="H48" s="429"/>
      <c r="I48" s="429"/>
      <c r="J48" s="429"/>
      <c r="K48" s="429"/>
      <c r="L48" s="429"/>
      <c r="M48" s="429"/>
      <c r="N48" s="429"/>
      <c r="O48" s="429"/>
      <c r="P48" s="429"/>
      <c r="Q48" s="429"/>
      <c r="R48" s="429"/>
      <c r="S48" s="429"/>
      <c r="T48" s="429"/>
      <c r="U48" s="429"/>
      <c r="V48" s="429"/>
      <c r="W48" s="430"/>
      <c r="X48" s="431">
        <f t="shared" si="2"/>
        <v>0</v>
      </c>
      <c r="Y48" s="431">
        <f>AN_TME22[[#This Row],[TOTAL Non-Truncated Unadjusted Claims Expenses]]-AN_TME22[[#This Row],[Total Claims Excluded because of Truncation]]</f>
        <v>0</v>
      </c>
      <c r="Z48" s="431">
        <f t="shared" si="3"/>
        <v>0</v>
      </c>
      <c r="AA48" s="431">
        <f>AN_TME22[[#This Row],[TOTAL Non-Truncated Unadjusted Claims Expenses]]+AN_TME22[[#This Row],[TOTAL Non-Claims Expenses]]</f>
        <v>0</v>
      </c>
      <c r="AB48" s="431">
        <f>AN_TME22[[#This Row],[TOTAL Truncated Unadjusted Claims Expenses (A21 -A19)]]+AN_TME22[[#This Row],[TOTAL Non-Claims Expenses]]</f>
        <v>0</v>
      </c>
      <c r="AC48" s="475">
        <f>IFERROR(AN_TME22[[#This Row],[TOTAL Non-Truncated Unadjusted Expenses (A21 + A23)]]/AN_TME22[[#This Row],[Member Months]],0)</f>
        <v>0</v>
      </c>
      <c r="AD48" s="475">
        <f>IFERROR(AN_TME22[[#This Row],[TOTAL Truncated Unadjusted Expenses (A22 + A23)]]/AN_TME22[[#This Row],[Member Months]],0)</f>
        <v>0</v>
      </c>
      <c r="AE48" s="475">
        <f>IFERROR(AN_TME22[[#This Row],[Total Claims Excluded because of Truncation]]/AN_TME22[[#This Row],[Count of Members with Claims Truncated]], 0)</f>
        <v>0</v>
      </c>
      <c r="AF48" s="476">
        <f>IFERROR(AN_TME22[[#This Row],[Total Claims Excluded because of Truncation]]/AN_TME22[[#This Row],[TOTAL Non-Truncated Unadjusted Claims Expenses]], 0)</f>
        <v>0</v>
      </c>
    </row>
    <row r="49" spans="1:32" x14ac:dyDescent="0.25">
      <c r="A49" s="420"/>
      <c r="B49" s="421"/>
      <c r="C49" s="421"/>
      <c r="D49" s="422"/>
      <c r="E49" s="517"/>
      <c r="F49" s="423"/>
      <c r="G49" s="423"/>
      <c r="H49" s="423"/>
      <c r="I49" s="423"/>
      <c r="J49" s="423"/>
      <c r="K49" s="423"/>
      <c r="L49" s="423"/>
      <c r="M49" s="423"/>
      <c r="N49" s="423"/>
      <c r="O49" s="423"/>
      <c r="P49" s="423"/>
      <c r="Q49" s="423"/>
      <c r="R49" s="423"/>
      <c r="S49" s="423"/>
      <c r="T49" s="423"/>
      <c r="U49" s="423"/>
      <c r="V49" s="423"/>
      <c r="W49" s="424"/>
      <c r="X49" s="425">
        <f t="shared" si="2"/>
        <v>0</v>
      </c>
      <c r="Y49" s="472">
        <f>AN_TME22[[#This Row],[TOTAL Non-Truncated Unadjusted Claims Expenses]]-AN_TME22[[#This Row],[Total Claims Excluded because of Truncation]]</f>
        <v>0</v>
      </c>
      <c r="Z49" s="425">
        <f t="shared" si="3"/>
        <v>0</v>
      </c>
      <c r="AA49" s="472">
        <f>AN_TME22[[#This Row],[TOTAL Non-Truncated Unadjusted Claims Expenses]]+AN_TME22[[#This Row],[TOTAL Non-Claims Expenses]]</f>
        <v>0</v>
      </c>
      <c r="AB49" s="472">
        <f>AN_TME22[[#This Row],[TOTAL Truncated Unadjusted Claims Expenses (A21 -A19)]]+AN_TME22[[#This Row],[TOTAL Non-Claims Expenses]]</f>
        <v>0</v>
      </c>
      <c r="AC49" s="474">
        <f>IFERROR(AN_TME22[[#This Row],[TOTAL Non-Truncated Unadjusted Expenses (A21 + A23)]]/AN_TME22[[#This Row],[Member Months]],0)</f>
        <v>0</v>
      </c>
      <c r="AD49" s="474">
        <f>IFERROR(AN_TME22[[#This Row],[TOTAL Truncated Unadjusted Expenses (A22 + A23)]]/AN_TME22[[#This Row],[Member Months]],0)</f>
        <v>0</v>
      </c>
      <c r="AE49" s="474">
        <f>IFERROR(AN_TME22[[#This Row],[Total Claims Excluded because of Truncation]]/AN_TME22[[#This Row],[Count of Members with Claims Truncated]], 0)</f>
        <v>0</v>
      </c>
      <c r="AF49" s="476">
        <f>IFERROR(AN_TME22[[#This Row],[Total Claims Excluded because of Truncation]]/AN_TME22[[#This Row],[TOTAL Non-Truncated Unadjusted Claims Expenses]], 0)</f>
        <v>0</v>
      </c>
    </row>
    <row r="50" spans="1:32" x14ac:dyDescent="0.25">
      <c r="A50" s="426"/>
      <c r="B50" s="427"/>
      <c r="C50" s="427"/>
      <c r="D50" s="428"/>
      <c r="E50" s="517"/>
      <c r="F50" s="429"/>
      <c r="G50" s="429"/>
      <c r="H50" s="429"/>
      <c r="I50" s="429"/>
      <c r="J50" s="429"/>
      <c r="K50" s="429"/>
      <c r="L50" s="429"/>
      <c r="M50" s="429"/>
      <c r="N50" s="429"/>
      <c r="O50" s="429"/>
      <c r="P50" s="429"/>
      <c r="Q50" s="429"/>
      <c r="R50" s="429"/>
      <c r="S50" s="429"/>
      <c r="T50" s="429"/>
      <c r="U50" s="429"/>
      <c r="V50" s="429"/>
      <c r="W50" s="430"/>
      <c r="X50" s="431">
        <f t="shared" si="2"/>
        <v>0</v>
      </c>
      <c r="Y50" s="431">
        <f>AN_TME22[[#This Row],[TOTAL Non-Truncated Unadjusted Claims Expenses]]-AN_TME22[[#This Row],[Total Claims Excluded because of Truncation]]</f>
        <v>0</v>
      </c>
      <c r="Z50" s="431">
        <f t="shared" si="3"/>
        <v>0</v>
      </c>
      <c r="AA50" s="431">
        <f>AN_TME22[[#This Row],[TOTAL Non-Truncated Unadjusted Claims Expenses]]+AN_TME22[[#This Row],[TOTAL Non-Claims Expenses]]</f>
        <v>0</v>
      </c>
      <c r="AB50" s="431">
        <f>AN_TME22[[#This Row],[TOTAL Truncated Unadjusted Claims Expenses (A21 -A19)]]+AN_TME22[[#This Row],[TOTAL Non-Claims Expenses]]</f>
        <v>0</v>
      </c>
      <c r="AC50" s="475">
        <f>IFERROR(AN_TME22[[#This Row],[TOTAL Non-Truncated Unadjusted Expenses (A21 + A23)]]/AN_TME22[[#This Row],[Member Months]],0)</f>
        <v>0</v>
      </c>
      <c r="AD50" s="475">
        <f>IFERROR(AN_TME22[[#This Row],[TOTAL Truncated Unadjusted Expenses (A22 + A23)]]/AN_TME22[[#This Row],[Member Months]],0)</f>
        <v>0</v>
      </c>
      <c r="AE50" s="475">
        <f>IFERROR(AN_TME22[[#This Row],[Total Claims Excluded because of Truncation]]/AN_TME22[[#This Row],[Count of Members with Claims Truncated]], 0)</f>
        <v>0</v>
      </c>
      <c r="AF50" s="476">
        <f>IFERROR(AN_TME22[[#This Row],[Total Claims Excluded because of Truncation]]/AN_TME22[[#This Row],[TOTAL Non-Truncated Unadjusted Claims Expenses]], 0)</f>
        <v>0</v>
      </c>
    </row>
    <row r="51" spans="1:32" x14ac:dyDescent="0.25">
      <c r="A51" s="420"/>
      <c r="B51" s="421"/>
      <c r="C51" s="421"/>
      <c r="D51" s="422"/>
      <c r="E51" s="517"/>
      <c r="F51" s="423"/>
      <c r="G51" s="423"/>
      <c r="H51" s="423"/>
      <c r="I51" s="423"/>
      <c r="J51" s="423"/>
      <c r="K51" s="423"/>
      <c r="L51" s="423"/>
      <c r="M51" s="423"/>
      <c r="N51" s="423"/>
      <c r="O51" s="423"/>
      <c r="P51" s="423"/>
      <c r="Q51" s="423"/>
      <c r="R51" s="423"/>
      <c r="S51" s="423"/>
      <c r="T51" s="423"/>
      <c r="U51" s="423"/>
      <c r="V51" s="423"/>
      <c r="W51" s="424"/>
      <c r="X51" s="425">
        <f t="shared" si="2"/>
        <v>0</v>
      </c>
      <c r="Y51" s="472">
        <f>AN_TME22[[#This Row],[TOTAL Non-Truncated Unadjusted Claims Expenses]]-AN_TME22[[#This Row],[Total Claims Excluded because of Truncation]]</f>
        <v>0</v>
      </c>
      <c r="Z51" s="425">
        <f t="shared" si="3"/>
        <v>0</v>
      </c>
      <c r="AA51" s="472">
        <f>AN_TME22[[#This Row],[TOTAL Non-Truncated Unadjusted Claims Expenses]]+AN_TME22[[#This Row],[TOTAL Non-Claims Expenses]]</f>
        <v>0</v>
      </c>
      <c r="AB51" s="472">
        <f>AN_TME22[[#This Row],[TOTAL Truncated Unadjusted Claims Expenses (A21 -A19)]]+AN_TME22[[#This Row],[TOTAL Non-Claims Expenses]]</f>
        <v>0</v>
      </c>
      <c r="AC51" s="474">
        <f>IFERROR(AN_TME22[[#This Row],[TOTAL Non-Truncated Unadjusted Expenses (A21 + A23)]]/AN_TME22[[#This Row],[Member Months]],0)</f>
        <v>0</v>
      </c>
      <c r="AD51" s="474">
        <f>IFERROR(AN_TME22[[#This Row],[TOTAL Truncated Unadjusted Expenses (A22 + A23)]]/AN_TME22[[#This Row],[Member Months]],0)</f>
        <v>0</v>
      </c>
      <c r="AE51" s="474">
        <f>IFERROR(AN_TME22[[#This Row],[Total Claims Excluded because of Truncation]]/AN_TME22[[#This Row],[Count of Members with Claims Truncated]], 0)</f>
        <v>0</v>
      </c>
      <c r="AF51" s="476">
        <f>IFERROR(AN_TME22[[#This Row],[Total Claims Excluded because of Truncation]]/AN_TME22[[#This Row],[TOTAL Non-Truncated Unadjusted Claims Expenses]], 0)</f>
        <v>0</v>
      </c>
    </row>
    <row r="52" spans="1:32" x14ac:dyDescent="0.25">
      <c r="A52" s="426"/>
      <c r="B52" s="427"/>
      <c r="C52" s="427"/>
      <c r="D52" s="428"/>
      <c r="E52" s="517"/>
      <c r="F52" s="429"/>
      <c r="G52" s="429"/>
      <c r="H52" s="429"/>
      <c r="I52" s="429"/>
      <c r="J52" s="429"/>
      <c r="K52" s="429"/>
      <c r="L52" s="429"/>
      <c r="M52" s="429"/>
      <c r="N52" s="429"/>
      <c r="O52" s="429"/>
      <c r="P52" s="429"/>
      <c r="Q52" s="429"/>
      <c r="R52" s="429"/>
      <c r="S52" s="429"/>
      <c r="T52" s="429"/>
      <c r="U52" s="429"/>
      <c r="V52" s="429"/>
      <c r="W52" s="430"/>
      <c r="X52" s="431">
        <f t="shared" si="2"/>
        <v>0</v>
      </c>
      <c r="Y52" s="431">
        <f>AN_TME22[[#This Row],[TOTAL Non-Truncated Unadjusted Claims Expenses]]-AN_TME22[[#This Row],[Total Claims Excluded because of Truncation]]</f>
        <v>0</v>
      </c>
      <c r="Z52" s="431">
        <f t="shared" si="3"/>
        <v>0</v>
      </c>
      <c r="AA52" s="431">
        <f>AN_TME22[[#This Row],[TOTAL Non-Truncated Unadjusted Claims Expenses]]+AN_TME22[[#This Row],[TOTAL Non-Claims Expenses]]</f>
        <v>0</v>
      </c>
      <c r="AB52" s="431">
        <f>AN_TME22[[#This Row],[TOTAL Truncated Unadjusted Claims Expenses (A21 -A19)]]+AN_TME22[[#This Row],[TOTAL Non-Claims Expenses]]</f>
        <v>0</v>
      </c>
      <c r="AC52" s="475">
        <f>IFERROR(AN_TME22[[#This Row],[TOTAL Non-Truncated Unadjusted Expenses (A21 + A23)]]/AN_TME22[[#This Row],[Member Months]],0)</f>
        <v>0</v>
      </c>
      <c r="AD52" s="475">
        <f>IFERROR(AN_TME22[[#This Row],[TOTAL Truncated Unadjusted Expenses (A22 + A23)]]/AN_TME22[[#This Row],[Member Months]],0)</f>
        <v>0</v>
      </c>
      <c r="AE52" s="475">
        <f>IFERROR(AN_TME22[[#This Row],[Total Claims Excluded because of Truncation]]/AN_TME22[[#This Row],[Count of Members with Claims Truncated]], 0)</f>
        <v>0</v>
      </c>
      <c r="AF52" s="476">
        <f>IFERROR(AN_TME22[[#This Row],[Total Claims Excluded because of Truncation]]/AN_TME22[[#This Row],[TOTAL Non-Truncated Unadjusted Claims Expenses]], 0)</f>
        <v>0</v>
      </c>
    </row>
    <row r="53" spans="1:32" x14ac:dyDescent="0.25">
      <c r="A53" s="420"/>
      <c r="B53" s="421"/>
      <c r="C53" s="421"/>
      <c r="D53" s="422"/>
      <c r="E53" s="517"/>
      <c r="F53" s="423"/>
      <c r="G53" s="423"/>
      <c r="H53" s="423"/>
      <c r="I53" s="423"/>
      <c r="J53" s="423"/>
      <c r="K53" s="423"/>
      <c r="L53" s="423"/>
      <c r="M53" s="423"/>
      <c r="N53" s="423"/>
      <c r="O53" s="423"/>
      <c r="P53" s="423"/>
      <c r="Q53" s="423"/>
      <c r="R53" s="423"/>
      <c r="S53" s="423"/>
      <c r="T53" s="423"/>
      <c r="U53" s="423"/>
      <c r="V53" s="423"/>
      <c r="W53" s="424"/>
      <c r="X53" s="425">
        <f t="shared" si="2"/>
        <v>0</v>
      </c>
      <c r="Y53" s="472">
        <f>AN_TME22[[#This Row],[TOTAL Non-Truncated Unadjusted Claims Expenses]]-AN_TME22[[#This Row],[Total Claims Excluded because of Truncation]]</f>
        <v>0</v>
      </c>
      <c r="Z53" s="425">
        <f t="shared" si="3"/>
        <v>0</v>
      </c>
      <c r="AA53" s="472">
        <f>AN_TME22[[#This Row],[TOTAL Non-Truncated Unadjusted Claims Expenses]]+AN_TME22[[#This Row],[TOTAL Non-Claims Expenses]]</f>
        <v>0</v>
      </c>
      <c r="AB53" s="472">
        <f>AN_TME22[[#This Row],[TOTAL Truncated Unadjusted Claims Expenses (A21 -A19)]]+AN_TME22[[#This Row],[TOTAL Non-Claims Expenses]]</f>
        <v>0</v>
      </c>
      <c r="AC53" s="474">
        <f>IFERROR(AN_TME22[[#This Row],[TOTAL Non-Truncated Unadjusted Expenses (A21 + A23)]]/AN_TME22[[#This Row],[Member Months]],0)</f>
        <v>0</v>
      </c>
      <c r="AD53" s="474">
        <f>IFERROR(AN_TME22[[#This Row],[TOTAL Truncated Unadjusted Expenses (A22 + A23)]]/AN_TME22[[#This Row],[Member Months]],0)</f>
        <v>0</v>
      </c>
      <c r="AE53" s="474">
        <f>IFERROR(AN_TME22[[#This Row],[Total Claims Excluded because of Truncation]]/AN_TME22[[#This Row],[Count of Members with Claims Truncated]], 0)</f>
        <v>0</v>
      </c>
      <c r="AF53" s="476">
        <f>IFERROR(AN_TME22[[#This Row],[Total Claims Excluded because of Truncation]]/AN_TME22[[#This Row],[TOTAL Non-Truncated Unadjusted Claims Expenses]], 0)</f>
        <v>0</v>
      </c>
    </row>
    <row r="54" spans="1:32" x14ac:dyDescent="0.25">
      <c r="A54" s="426"/>
      <c r="B54" s="427"/>
      <c r="C54" s="427"/>
      <c r="D54" s="428"/>
      <c r="E54" s="517"/>
      <c r="F54" s="429"/>
      <c r="G54" s="429"/>
      <c r="H54" s="429"/>
      <c r="I54" s="429"/>
      <c r="J54" s="429"/>
      <c r="K54" s="429"/>
      <c r="L54" s="429"/>
      <c r="M54" s="429"/>
      <c r="N54" s="429"/>
      <c r="O54" s="429"/>
      <c r="P54" s="429"/>
      <c r="Q54" s="429"/>
      <c r="R54" s="429"/>
      <c r="S54" s="429"/>
      <c r="T54" s="429"/>
      <c r="U54" s="429"/>
      <c r="V54" s="429"/>
      <c r="W54" s="430"/>
      <c r="X54" s="431">
        <f t="shared" si="2"/>
        <v>0</v>
      </c>
      <c r="Y54" s="431">
        <f>AN_TME22[[#This Row],[TOTAL Non-Truncated Unadjusted Claims Expenses]]-AN_TME22[[#This Row],[Total Claims Excluded because of Truncation]]</f>
        <v>0</v>
      </c>
      <c r="Z54" s="431">
        <f t="shared" si="3"/>
        <v>0</v>
      </c>
      <c r="AA54" s="431">
        <f>AN_TME22[[#This Row],[TOTAL Non-Truncated Unadjusted Claims Expenses]]+AN_TME22[[#This Row],[TOTAL Non-Claims Expenses]]</f>
        <v>0</v>
      </c>
      <c r="AB54" s="431">
        <f>AN_TME22[[#This Row],[TOTAL Truncated Unadjusted Claims Expenses (A21 -A19)]]+AN_TME22[[#This Row],[TOTAL Non-Claims Expenses]]</f>
        <v>0</v>
      </c>
      <c r="AC54" s="475">
        <f>IFERROR(AN_TME22[[#This Row],[TOTAL Non-Truncated Unadjusted Expenses (A21 + A23)]]/AN_TME22[[#This Row],[Member Months]],0)</f>
        <v>0</v>
      </c>
      <c r="AD54" s="475">
        <f>IFERROR(AN_TME22[[#This Row],[TOTAL Truncated Unadjusted Expenses (A22 + A23)]]/AN_TME22[[#This Row],[Member Months]],0)</f>
        <v>0</v>
      </c>
      <c r="AE54" s="475">
        <f>IFERROR(AN_TME22[[#This Row],[Total Claims Excluded because of Truncation]]/AN_TME22[[#This Row],[Count of Members with Claims Truncated]], 0)</f>
        <v>0</v>
      </c>
      <c r="AF54" s="476">
        <f>IFERROR(AN_TME22[[#This Row],[Total Claims Excluded because of Truncation]]/AN_TME22[[#This Row],[TOTAL Non-Truncated Unadjusted Claims Expenses]], 0)</f>
        <v>0</v>
      </c>
    </row>
    <row r="55" spans="1:32" x14ac:dyDescent="0.25">
      <c r="A55" s="420"/>
      <c r="B55" s="421"/>
      <c r="C55" s="421"/>
      <c r="D55" s="422"/>
      <c r="E55" s="517"/>
      <c r="F55" s="423"/>
      <c r="G55" s="423"/>
      <c r="H55" s="423"/>
      <c r="I55" s="423"/>
      <c r="J55" s="423"/>
      <c r="K55" s="423"/>
      <c r="L55" s="423"/>
      <c r="M55" s="423"/>
      <c r="N55" s="423"/>
      <c r="O55" s="423"/>
      <c r="P55" s="423"/>
      <c r="Q55" s="423"/>
      <c r="R55" s="423"/>
      <c r="S55" s="423"/>
      <c r="T55" s="423"/>
      <c r="U55" s="423"/>
      <c r="V55" s="423"/>
      <c r="W55" s="424"/>
      <c r="X55" s="425">
        <f t="shared" si="2"/>
        <v>0</v>
      </c>
      <c r="Y55" s="472">
        <f>AN_TME22[[#This Row],[TOTAL Non-Truncated Unadjusted Claims Expenses]]-AN_TME22[[#This Row],[Total Claims Excluded because of Truncation]]</f>
        <v>0</v>
      </c>
      <c r="Z55" s="425">
        <f t="shared" si="3"/>
        <v>0</v>
      </c>
      <c r="AA55" s="472">
        <f>AN_TME22[[#This Row],[TOTAL Non-Truncated Unadjusted Claims Expenses]]+AN_TME22[[#This Row],[TOTAL Non-Claims Expenses]]</f>
        <v>0</v>
      </c>
      <c r="AB55" s="472">
        <f>AN_TME22[[#This Row],[TOTAL Truncated Unadjusted Claims Expenses (A21 -A19)]]+AN_TME22[[#This Row],[TOTAL Non-Claims Expenses]]</f>
        <v>0</v>
      </c>
      <c r="AC55" s="474">
        <f>IFERROR(AN_TME22[[#This Row],[TOTAL Non-Truncated Unadjusted Expenses (A21 + A23)]]/AN_TME22[[#This Row],[Member Months]],0)</f>
        <v>0</v>
      </c>
      <c r="AD55" s="474">
        <f>IFERROR(AN_TME22[[#This Row],[TOTAL Truncated Unadjusted Expenses (A22 + A23)]]/AN_TME22[[#This Row],[Member Months]],0)</f>
        <v>0</v>
      </c>
      <c r="AE55" s="474">
        <f>IFERROR(AN_TME22[[#This Row],[Total Claims Excluded because of Truncation]]/AN_TME22[[#This Row],[Count of Members with Claims Truncated]], 0)</f>
        <v>0</v>
      </c>
      <c r="AF55" s="476">
        <f>IFERROR(AN_TME22[[#This Row],[Total Claims Excluded because of Truncation]]/AN_TME22[[#This Row],[TOTAL Non-Truncated Unadjusted Claims Expenses]], 0)</f>
        <v>0</v>
      </c>
    </row>
    <row r="56" spans="1:32" x14ac:dyDescent="0.25">
      <c r="A56" s="426"/>
      <c r="B56" s="427"/>
      <c r="C56" s="427"/>
      <c r="D56" s="428"/>
      <c r="E56" s="517"/>
      <c r="F56" s="429"/>
      <c r="G56" s="429"/>
      <c r="H56" s="429"/>
      <c r="I56" s="429"/>
      <c r="J56" s="429"/>
      <c r="K56" s="429"/>
      <c r="L56" s="429"/>
      <c r="M56" s="429"/>
      <c r="N56" s="429"/>
      <c r="O56" s="429"/>
      <c r="P56" s="429"/>
      <c r="Q56" s="429"/>
      <c r="R56" s="429"/>
      <c r="S56" s="429"/>
      <c r="T56" s="429"/>
      <c r="U56" s="429"/>
      <c r="V56" s="429"/>
      <c r="W56" s="430"/>
      <c r="X56" s="431">
        <f t="shared" si="2"/>
        <v>0</v>
      </c>
      <c r="Y56" s="431">
        <f>AN_TME22[[#This Row],[TOTAL Non-Truncated Unadjusted Claims Expenses]]-AN_TME22[[#This Row],[Total Claims Excluded because of Truncation]]</f>
        <v>0</v>
      </c>
      <c r="Z56" s="431">
        <f t="shared" si="3"/>
        <v>0</v>
      </c>
      <c r="AA56" s="431">
        <f>AN_TME22[[#This Row],[TOTAL Non-Truncated Unadjusted Claims Expenses]]+AN_TME22[[#This Row],[TOTAL Non-Claims Expenses]]</f>
        <v>0</v>
      </c>
      <c r="AB56" s="431">
        <f>AN_TME22[[#This Row],[TOTAL Truncated Unadjusted Claims Expenses (A21 -A19)]]+AN_TME22[[#This Row],[TOTAL Non-Claims Expenses]]</f>
        <v>0</v>
      </c>
      <c r="AC56" s="475">
        <f>IFERROR(AN_TME22[[#This Row],[TOTAL Non-Truncated Unadjusted Expenses (A21 + A23)]]/AN_TME22[[#This Row],[Member Months]],0)</f>
        <v>0</v>
      </c>
      <c r="AD56" s="475">
        <f>IFERROR(AN_TME22[[#This Row],[TOTAL Truncated Unadjusted Expenses (A22 + A23)]]/AN_TME22[[#This Row],[Member Months]],0)</f>
        <v>0</v>
      </c>
      <c r="AE56" s="475">
        <f>IFERROR(AN_TME22[[#This Row],[Total Claims Excluded because of Truncation]]/AN_TME22[[#This Row],[Count of Members with Claims Truncated]], 0)</f>
        <v>0</v>
      </c>
      <c r="AF56" s="476">
        <f>IFERROR(AN_TME22[[#This Row],[Total Claims Excluded because of Truncation]]/AN_TME22[[#This Row],[TOTAL Non-Truncated Unadjusted Claims Expenses]], 0)</f>
        <v>0</v>
      </c>
    </row>
    <row r="57" spans="1:32" x14ac:dyDescent="0.25">
      <c r="A57" s="420"/>
      <c r="B57" s="421"/>
      <c r="C57" s="421"/>
      <c r="D57" s="422"/>
      <c r="E57" s="517"/>
      <c r="F57" s="423"/>
      <c r="G57" s="423"/>
      <c r="H57" s="423"/>
      <c r="I57" s="423"/>
      <c r="J57" s="423"/>
      <c r="K57" s="423"/>
      <c r="L57" s="423"/>
      <c r="M57" s="423"/>
      <c r="N57" s="423"/>
      <c r="O57" s="423"/>
      <c r="P57" s="423"/>
      <c r="Q57" s="423"/>
      <c r="R57" s="423"/>
      <c r="S57" s="423"/>
      <c r="T57" s="423"/>
      <c r="U57" s="423"/>
      <c r="V57" s="423"/>
      <c r="W57" s="424"/>
      <c r="X57" s="425">
        <f t="shared" si="2"/>
        <v>0</v>
      </c>
      <c r="Y57" s="472">
        <f>AN_TME22[[#This Row],[TOTAL Non-Truncated Unadjusted Claims Expenses]]-AN_TME22[[#This Row],[Total Claims Excluded because of Truncation]]</f>
        <v>0</v>
      </c>
      <c r="Z57" s="425">
        <f t="shared" si="3"/>
        <v>0</v>
      </c>
      <c r="AA57" s="472">
        <f>AN_TME22[[#This Row],[TOTAL Non-Truncated Unadjusted Claims Expenses]]+AN_TME22[[#This Row],[TOTAL Non-Claims Expenses]]</f>
        <v>0</v>
      </c>
      <c r="AB57" s="472">
        <f>AN_TME22[[#This Row],[TOTAL Truncated Unadjusted Claims Expenses (A21 -A19)]]+AN_TME22[[#This Row],[TOTAL Non-Claims Expenses]]</f>
        <v>0</v>
      </c>
      <c r="AC57" s="474">
        <f>IFERROR(AN_TME22[[#This Row],[TOTAL Non-Truncated Unadjusted Expenses (A21 + A23)]]/AN_TME22[[#This Row],[Member Months]],0)</f>
        <v>0</v>
      </c>
      <c r="AD57" s="474">
        <f>IFERROR(AN_TME22[[#This Row],[TOTAL Truncated Unadjusted Expenses (A22 + A23)]]/AN_TME22[[#This Row],[Member Months]],0)</f>
        <v>0</v>
      </c>
      <c r="AE57" s="474">
        <f>IFERROR(AN_TME22[[#This Row],[Total Claims Excluded because of Truncation]]/AN_TME22[[#This Row],[Count of Members with Claims Truncated]], 0)</f>
        <v>0</v>
      </c>
      <c r="AF57" s="476">
        <f>IFERROR(AN_TME22[[#This Row],[Total Claims Excluded because of Truncation]]/AN_TME22[[#This Row],[TOTAL Non-Truncated Unadjusted Claims Expenses]], 0)</f>
        <v>0</v>
      </c>
    </row>
    <row r="58" spans="1:32" x14ac:dyDescent="0.25">
      <c r="A58" s="426"/>
      <c r="B58" s="427"/>
      <c r="C58" s="427"/>
      <c r="D58" s="428"/>
      <c r="E58" s="517"/>
      <c r="F58" s="429"/>
      <c r="G58" s="429"/>
      <c r="H58" s="429"/>
      <c r="I58" s="429"/>
      <c r="J58" s="429"/>
      <c r="K58" s="429"/>
      <c r="L58" s="429"/>
      <c r="M58" s="429"/>
      <c r="N58" s="429"/>
      <c r="O58" s="429"/>
      <c r="P58" s="429"/>
      <c r="Q58" s="429"/>
      <c r="R58" s="429"/>
      <c r="S58" s="429"/>
      <c r="T58" s="429"/>
      <c r="U58" s="429"/>
      <c r="V58" s="429"/>
      <c r="W58" s="430"/>
      <c r="X58" s="431">
        <f t="shared" si="2"/>
        <v>0</v>
      </c>
      <c r="Y58" s="431">
        <f>AN_TME22[[#This Row],[TOTAL Non-Truncated Unadjusted Claims Expenses]]-AN_TME22[[#This Row],[Total Claims Excluded because of Truncation]]</f>
        <v>0</v>
      </c>
      <c r="Z58" s="431">
        <f t="shared" si="3"/>
        <v>0</v>
      </c>
      <c r="AA58" s="431">
        <f>AN_TME22[[#This Row],[TOTAL Non-Truncated Unadjusted Claims Expenses]]+AN_TME22[[#This Row],[TOTAL Non-Claims Expenses]]</f>
        <v>0</v>
      </c>
      <c r="AB58" s="431">
        <f>AN_TME22[[#This Row],[TOTAL Truncated Unadjusted Claims Expenses (A21 -A19)]]+AN_TME22[[#This Row],[TOTAL Non-Claims Expenses]]</f>
        <v>0</v>
      </c>
      <c r="AC58" s="475">
        <f>IFERROR(AN_TME22[[#This Row],[TOTAL Non-Truncated Unadjusted Expenses (A21 + A23)]]/AN_TME22[[#This Row],[Member Months]],0)</f>
        <v>0</v>
      </c>
      <c r="AD58" s="475">
        <f>IFERROR(AN_TME22[[#This Row],[TOTAL Truncated Unadjusted Expenses (A22 + A23)]]/AN_TME22[[#This Row],[Member Months]],0)</f>
        <v>0</v>
      </c>
      <c r="AE58" s="475">
        <f>IFERROR(AN_TME22[[#This Row],[Total Claims Excluded because of Truncation]]/AN_TME22[[#This Row],[Count of Members with Claims Truncated]], 0)</f>
        <v>0</v>
      </c>
      <c r="AF58" s="476">
        <f>IFERROR(AN_TME22[[#This Row],[Total Claims Excluded because of Truncation]]/AN_TME22[[#This Row],[TOTAL Non-Truncated Unadjusted Claims Expenses]], 0)</f>
        <v>0</v>
      </c>
    </row>
    <row r="59" spans="1:32" x14ac:dyDescent="0.25">
      <c r="A59" s="420"/>
      <c r="B59" s="421"/>
      <c r="C59" s="421"/>
      <c r="D59" s="422"/>
      <c r="E59" s="517"/>
      <c r="F59" s="423"/>
      <c r="G59" s="423"/>
      <c r="H59" s="423"/>
      <c r="I59" s="423"/>
      <c r="J59" s="423"/>
      <c r="K59" s="423"/>
      <c r="L59" s="423"/>
      <c r="M59" s="423"/>
      <c r="N59" s="423"/>
      <c r="O59" s="423"/>
      <c r="P59" s="423"/>
      <c r="Q59" s="423"/>
      <c r="R59" s="423"/>
      <c r="S59" s="423"/>
      <c r="T59" s="423"/>
      <c r="U59" s="423"/>
      <c r="V59" s="423"/>
      <c r="W59" s="424"/>
      <c r="X59" s="425">
        <f t="shared" si="2"/>
        <v>0</v>
      </c>
      <c r="Y59" s="472">
        <f>AN_TME22[[#This Row],[TOTAL Non-Truncated Unadjusted Claims Expenses]]-AN_TME22[[#This Row],[Total Claims Excluded because of Truncation]]</f>
        <v>0</v>
      </c>
      <c r="Z59" s="425">
        <f t="shared" si="3"/>
        <v>0</v>
      </c>
      <c r="AA59" s="472">
        <f>AN_TME22[[#This Row],[TOTAL Non-Truncated Unadjusted Claims Expenses]]+AN_TME22[[#This Row],[TOTAL Non-Claims Expenses]]</f>
        <v>0</v>
      </c>
      <c r="AB59" s="472">
        <f>AN_TME22[[#This Row],[TOTAL Truncated Unadjusted Claims Expenses (A21 -A19)]]+AN_TME22[[#This Row],[TOTAL Non-Claims Expenses]]</f>
        <v>0</v>
      </c>
      <c r="AC59" s="474">
        <f>IFERROR(AN_TME22[[#This Row],[TOTAL Non-Truncated Unadjusted Expenses (A21 + A23)]]/AN_TME22[[#This Row],[Member Months]],0)</f>
        <v>0</v>
      </c>
      <c r="AD59" s="474">
        <f>IFERROR(AN_TME22[[#This Row],[TOTAL Truncated Unadjusted Expenses (A22 + A23)]]/AN_TME22[[#This Row],[Member Months]],0)</f>
        <v>0</v>
      </c>
      <c r="AE59" s="474">
        <f>IFERROR(AN_TME22[[#This Row],[Total Claims Excluded because of Truncation]]/AN_TME22[[#This Row],[Count of Members with Claims Truncated]], 0)</f>
        <v>0</v>
      </c>
      <c r="AF59" s="476">
        <f>IFERROR(AN_TME22[[#This Row],[Total Claims Excluded because of Truncation]]/AN_TME22[[#This Row],[TOTAL Non-Truncated Unadjusted Claims Expenses]], 0)</f>
        <v>0</v>
      </c>
    </row>
    <row r="60" spans="1:32" x14ac:dyDescent="0.25">
      <c r="A60" s="426"/>
      <c r="B60" s="427"/>
      <c r="C60" s="427"/>
      <c r="D60" s="428"/>
      <c r="E60" s="517"/>
      <c r="F60" s="429"/>
      <c r="G60" s="429"/>
      <c r="H60" s="429"/>
      <c r="I60" s="429"/>
      <c r="J60" s="429"/>
      <c r="K60" s="429"/>
      <c r="L60" s="429"/>
      <c r="M60" s="429"/>
      <c r="N60" s="429"/>
      <c r="O60" s="429"/>
      <c r="P60" s="429"/>
      <c r="Q60" s="429"/>
      <c r="R60" s="429"/>
      <c r="S60" s="429"/>
      <c r="T60" s="429"/>
      <c r="U60" s="429"/>
      <c r="V60" s="429"/>
      <c r="W60" s="430"/>
      <c r="X60" s="431">
        <f t="shared" si="2"/>
        <v>0</v>
      </c>
      <c r="Y60" s="431">
        <f>AN_TME22[[#This Row],[TOTAL Non-Truncated Unadjusted Claims Expenses]]-AN_TME22[[#This Row],[Total Claims Excluded because of Truncation]]</f>
        <v>0</v>
      </c>
      <c r="Z60" s="431">
        <f t="shared" si="3"/>
        <v>0</v>
      </c>
      <c r="AA60" s="431">
        <f>AN_TME22[[#This Row],[TOTAL Non-Truncated Unadjusted Claims Expenses]]+AN_TME22[[#This Row],[TOTAL Non-Claims Expenses]]</f>
        <v>0</v>
      </c>
      <c r="AB60" s="431">
        <f>AN_TME22[[#This Row],[TOTAL Truncated Unadjusted Claims Expenses (A21 -A19)]]+AN_TME22[[#This Row],[TOTAL Non-Claims Expenses]]</f>
        <v>0</v>
      </c>
      <c r="AC60" s="475">
        <f>IFERROR(AN_TME22[[#This Row],[TOTAL Non-Truncated Unadjusted Expenses (A21 + A23)]]/AN_TME22[[#This Row],[Member Months]],0)</f>
        <v>0</v>
      </c>
      <c r="AD60" s="475">
        <f>IFERROR(AN_TME22[[#This Row],[TOTAL Truncated Unadjusted Expenses (A22 + A23)]]/AN_TME22[[#This Row],[Member Months]],0)</f>
        <v>0</v>
      </c>
      <c r="AE60" s="475">
        <f>IFERROR(AN_TME22[[#This Row],[Total Claims Excluded because of Truncation]]/AN_TME22[[#This Row],[Count of Members with Claims Truncated]], 0)</f>
        <v>0</v>
      </c>
      <c r="AF60" s="476">
        <f>IFERROR(AN_TME22[[#This Row],[Total Claims Excluded because of Truncation]]/AN_TME22[[#This Row],[TOTAL Non-Truncated Unadjusted Claims Expenses]], 0)</f>
        <v>0</v>
      </c>
    </row>
    <row r="61" spans="1:32" x14ac:dyDescent="0.25">
      <c r="A61" s="420"/>
      <c r="B61" s="421"/>
      <c r="C61" s="421"/>
      <c r="D61" s="422"/>
      <c r="E61" s="517"/>
      <c r="F61" s="423"/>
      <c r="G61" s="423"/>
      <c r="H61" s="423"/>
      <c r="I61" s="423"/>
      <c r="J61" s="423"/>
      <c r="K61" s="423"/>
      <c r="L61" s="423"/>
      <c r="M61" s="423"/>
      <c r="N61" s="423"/>
      <c r="O61" s="423"/>
      <c r="P61" s="423"/>
      <c r="Q61" s="423"/>
      <c r="R61" s="423"/>
      <c r="S61" s="423"/>
      <c r="T61" s="423"/>
      <c r="U61" s="423"/>
      <c r="V61" s="423"/>
      <c r="W61" s="424"/>
      <c r="X61" s="425">
        <f t="shared" si="2"/>
        <v>0</v>
      </c>
      <c r="Y61" s="472">
        <f>AN_TME22[[#This Row],[TOTAL Non-Truncated Unadjusted Claims Expenses]]-AN_TME22[[#This Row],[Total Claims Excluded because of Truncation]]</f>
        <v>0</v>
      </c>
      <c r="Z61" s="425">
        <f t="shared" si="3"/>
        <v>0</v>
      </c>
      <c r="AA61" s="472">
        <f>AN_TME22[[#This Row],[TOTAL Non-Truncated Unadjusted Claims Expenses]]+AN_TME22[[#This Row],[TOTAL Non-Claims Expenses]]</f>
        <v>0</v>
      </c>
      <c r="AB61" s="472">
        <f>AN_TME22[[#This Row],[TOTAL Truncated Unadjusted Claims Expenses (A21 -A19)]]+AN_TME22[[#This Row],[TOTAL Non-Claims Expenses]]</f>
        <v>0</v>
      </c>
      <c r="AC61" s="474">
        <f>IFERROR(AN_TME22[[#This Row],[TOTAL Non-Truncated Unadjusted Expenses (A21 + A23)]]/AN_TME22[[#This Row],[Member Months]],0)</f>
        <v>0</v>
      </c>
      <c r="AD61" s="474">
        <f>IFERROR(AN_TME22[[#This Row],[TOTAL Truncated Unadjusted Expenses (A22 + A23)]]/AN_TME22[[#This Row],[Member Months]],0)</f>
        <v>0</v>
      </c>
      <c r="AE61" s="474">
        <f>IFERROR(AN_TME22[[#This Row],[Total Claims Excluded because of Truncation]]/AN_TME22[[#This Row],[Count of Members with Claims Truncated]], 0)</f>
        <v>0</v>
      </c>
      <c r="AF61" s="476">
        <f>IFERROR(AN_TME22[[#This Row],[Total Claims Excluded because of Truncation]]/AN_TME22[[#This Row],[TOTAL Non-Truncated Unadjusted Claims Expenses]], 0)</f>
        <v>0</v>
      </c>
    </row>
    <row r="62" spans="1:32" x14ac:dyDescent="0.25">
      <c r="A62" s="426"/>
      <c r="B62" s="427"/>
      <c r="C62" s="427"/>
      <c r="D62" s="428"/>
      <c r="E62" s="517"/>
      <c r="F62" s="429"/>
      <c r="G62" s="429"/>
      <c r="H62" s="429"/>
      <c r="I62" s="429"/>
      <c r="J62" s="429"/>
      <c r="K62" s="429"/>
      <c r="L62" s="429"/>
      <c r="M62" s="429"/>
      <c r="N62" s="429"/>
      <c r="O62" s="429"/>
      <c r="P62" s="429"/>
      <c r="Q62" s="429"/>
      <c r="R62" s="429"/>
      <c r="S62" s="429"/>
      <c r="T62" s="429"/>
      <c r="U62" s="429"/>
      <c r="V62" s="429"/>
      <c r="W62" s="430"/>
      <c r="X62" s="431">
        <f t="shared" si="2"/>
        <v>0</v>
      </c>
      <c r="Y62" s="431">
        <f>AN_TME22[[#This Row],[TOTAL Non-Truncated Unadjusted Claims Expenses]]-AN_TME22[[#This Row],[Total Claims Excluded because of Truncation]]</f>
        <v>0</v>
      </c>
      <c r="Z62" s="431">
        <f t="shared" si="3"/>
        <v>0</v>
      </c>
      <c r="AA62" s="431">
        <f>AN_TME22[[#This Row],[TOTAL Non-Truncated Unadjusted Claims Expenses]]+AN_TME22[[#This Row],[TOTAL Non-Claims Expenses]]</f>
        <v>0</v>
      </c>
      <c r="AB62" s="431">
        <f>AN_TME22[[#This Row],[TOTAL Truncated Unadjusted Claims Expenses (A21 -A19)]]+AN_TME22[[#This Row],[TOTAL Non-Claims Expenses]]</f>
        <v>0</v>
      </c>
      <c r="AC62" s="475">
        <f>IFERROR(AN_TME22[[#This Row],[TOTAL Non-Truncated Unadjusted Expenses (A21 + A23)]]/AN_TME22[[#This Row],[Member Months]],0)</f>
        <v>0</v>
      </c>
      <c r="AD62" s="475">
        <f>IFERROR(AN_TME22[[#This Row],[TOTAL Truncated Unadjusted Expenses (A22 + A23)]]/AN_TME22[[#This Row],[Member Months]],0)</f>
        <v>0</v>
      </c>
      <c r="AE62" s="475">
        <f>IFERROR(AN_TME22[[#This Row],[Total Claims Excluded because of Truncation]]/AN_TME22[[#This Row],[Count of Members with Claims Truncated]], 0)</f>
        <v>0</v>
      </c>
      <c r="AF62" s="476">
        <f>IFERROR(AN_TME22[[#This Row],[Total Claims Excluded because of Truncation]]/AN_TME22[[#This Row],[TOTAL Non-Truncated Unadjusted Claims Expenses]], 0)</f>
        <v>0</v>
      </c>
    </row>
    <row r="63" spans="1:32" x14ac:dyDescent="0.25">
      <c r="A63" s="420"/>
      <c r="B63" s="421"/>
      <c r="C63" s="421"/>
      <c r="D63" s="422"/>
      <c r="E63" s="517"/>
      <c r="F63" s="423"/>
      <c r="G63" s="423"/>
      <c r="H63" s="423"/>
      <c r="I63" s="423"/>
      <c r="J63" s="423"/>
      <c r="K63" s="423"/>
      <c r="L63" s="423"/>
      <c r="M63" s="423"/>
      <c r="N63" s="423"/>
      <c r="O63" s="423"/>
      <c r="P63" s="423"/>
      <c r="Q63" s="423"/>
      <c r="R63" s="423"/>
      <c r="S63" s="423"/>
      <c r="T63" s="423"/>
      <c r="U63" s="423"/>
      <c r="V63" s="423"/>
      <c r="W63" s="424"/>
      <c r="X63" s="425">
        <f t="shared" si="2"/>
        <v>0</v>
      </c>
      <c r="Y63" s="472">
        <f>AN_TME22[[#This Row],[TOTAL Non-Truncated Unadjusted Claims Expenses]]-AN_TME22[[#This Row],[Total Claims Excluded because of Truncation]]</f>
        <v>0</v>
      </c>
      <c r="Z63" s="425">
        <f t="shared" si="3"/>
        <v>0</v>
      </c>
      <c r="AA63" s="472">
        <f>AN_TME22[[#This Row],[TOTAL Non-Truncated Unadjusted Claims Expenses]]+AN_TME22[[#This Row],[TOTAL Non-Claims Expenses]]</f>
        <v>0</v>
      </c>
      <c r="AB63" s="472">
        <f>AN_TME22[[#This Row],[TOTAL Truncated Unadjusted Claims Expenses (A21 -A19)]]+AN_TME22[[#This Row],[TOTAL Non-Claims Expenses]]</f>
        <v>0</v>
      </c>
      <c r="AC63" s="474">
        <f>IFERROR(AN_TME22[[#This Row],[TOTAL Non-Truncated Unadjusted Expenses (A21 + A23)]]/AN_TME22[[#This Row],[Member Months]],0)</f>
        <v>0</v>
      </c>
      <c r="AD63" s="474">
        <f>IFERROR(AN_TME22[[#This Row],[TOTAL Truncated Unadjusted Expenses (A22 + A23)]]/AN_TME22[[#This Row],[Member Months]],0)</f>
        <v>0</v>
      </c>
      <c r="AE63" s="474">
        <f>IFERROR(AN_TME22[[#This Row],[Total Claims Excluded because of Truncation]]/AN_TME22[[#This Row],[Count of Members with Claims Truncated]], 0)</f>
        <v>0</v>
      </c>
      <c r="AF63" s="476">
        <f>IFERROR(AN_TME22[[#This Row],[Total Claims Excluded because of Truncation]]/AN_TME22[[#This Row],[TOTAL Non-Truncated Unadjusted Claims Expenses]], 0)</f>
        <v>0</v>
      </c>
    </row>
    <row r="64" spans="1:32" x14ac:dyDescent="0.25">
      <c r="A64" s="426"/>
      <c r="B64" s="427"/>
      <c r="C64" s="427"/>
      <c r="D64" s="428"/>
      <c r="E64" s="517"/>
      <c r="F64" s="429"/>
      <c r="G64" s="429"/>
      <c r="H64" s="429"/>
      <c r="I64" s="429"/>
      <c r="J64" s="429"/>
      <c r="K64" s="429"/>
      <c r="L64" s="429"/>
      <c r="M64" s="429"/>
      <c r="N64" s="429"/>
      <c r="O64" s="429"/>
      <c r="P64" s="429"/>
      <c r="Q64" s="429"/>
      <c r="R64" s="429"/>
      <c r="S64" s="429"/>
      <c r="T64" s="429"/>
      <c r="U64" s="429"/>
      <c r="V64" s="429"/>
      <c r="W64" s="430"/>
      <c r="X64" s="431">
        <f t="shared" si="2"/>
        <v>0</v>
      </c>
      <c r="Y64" s="431">
        <f>AN_TME22[[#This Row],[TOTAL Non-Truncated Unadjusted Claims Expenses]]-AN_TME22[[#This Row],[Total Claims Excluded because of Truncation]]</f>
        <v>0</v>
      </c>
      <c r="Z64" s="431">
        <f t="shared" si="3"/>
        <v>0</v>
      </c>
      <c r="AA64" s="431">
        <f>AN_TME22[[#This Row],[TOTAL Non-Truncated Unadjusted Claims Expenses]]+AN_TME22[[#This Row],[TOTAL Non-Claims Expenses]]</f>
        <v>0</v>
      </c>
      <c r="AB64" s="431">
        <f>AN_TME22[[#This Row],[TOTAL Truncated Unadjusted Claims Expenses (A21 -A19)]]+AN_TME22[[#This Row],[TOTAL Non-Claims Expenses]]</f>
        <v>0</v>
      </c>
      <c r="AC64" s="475">
        <f>IFERROR(AN_TME22[[#This Row],[TOTAL Non-Truncated Unadjusted Expenses (A21 + A23)]]/AN_TME22[[#This Row],[Member Months]],0)</f>
        <v>0</v>
      </c>
      <c r="AD64" s="475">
        <f>IFERROR(AN_TME22[[#This Row],[TOTAL Truncated Unadjusted Expenses (A22 + A23)]]/AN_TME22[[#This Row],[Member Months]],0)</f>
        <v>0</v>
      </c>
      <c r="AE64" s="475">
        <f>IFERROR(AN_TME22[[#This Row],[Total Claims Excluded because of Truncation]]/AN_TME22[[#This Row],[Count of Members with Claims Truncated]], 0)</f>
        <v>0</v>
      </c>
      <c r="AF64" s="476">
        <f>IFERROR(AN_TME22[[#This Row],[Total Claims Excluded because of Truncation]]/AN_TME22[[#This Row],[TOTAL Non-Truncated Unadjusted Claims Expenses]], 0)</f>
        <v>0</v>
      </c>
    </row>
    <row r="65" spans="1:32" x14ac:dyDescent="0.25">
      <c r="A65" s="420"/>
      <c r="B65" s="421"/>
      <c r="C65" s="421"/>
      <c r="D65" s="422"/>
      <c r="E65" s="517"/>
      <c r="F65" s="423"/>
      <c r="G65" s="423"/>
      <c r="H65" s="423"/>
      <c r="I65" s="423"/>
      <c r="J65" s="423"/>
      <c r="K65" s="423"/>
      <c r="L65" s="423"/>
      <c r="M65" s="423"/>
      <c r="N65" s="423"/>
      <c r="O65" s="423"/>
      <c r="P65" s="423"/>
      <c r="Q65" s="423"/>
      <c r="R65" s="423"/>
      <c r="S65" s="423"/>
      <c r="T65" s="423"/>
      <c r="U65" s="423"/>
      <c r="V65" s="423"/>
      <c r="W65" s="424"/>
      <c r="X65" s="425">
        <f t="shared" si="2"/>
        <v>0</v>
      </c>
      <c r="Y65" s="472">
        <f>AN_TME22[[#This Row],[TOTAL Non-Truncated Unadjusted Claims Expenses]]-AN_TME22[[#This Row],[Total Claims Excluded because of Truncation]]</f>
        <v>0</v>
      </c>
      <c r="Z65" s="425">
        <f t="shared" si="3"/>
        <v>0</v>
      </c>
      <c r="AA65" s="472">
        <f>AN_TME22[[#This Row],[TOTAL Non-Truncated Unadjusted Claims Expenses]]+AN_TME22[[#This Row],[TOTAL Non-Claims Expenses]]</f>
        <v>0</v>
      </c>
      <c r="AB65" s="472">
        <f>AN_TME22[[#This Row],[TOTAL Truncated Unadjusted Claims Expenses (A21 -A19)]]+AN_TME22[[#This Row],[TOTAL Non-Claims Expenses]]</f>
        <v>0</v>
      </c>
      <c r="AC65" s="474">
        <f>IFERROR(AN_TME22[[#This Row],[TOTAL Non-Truncated Unadjusted Expenses (A21 + A23)]]/AN_TME22[[#This Row],[Member Months]],0)</f>
        <v>0</v>
      </c>
      <c r="AD65" s="474">
        <f>IFERROR(AN_TME22[[#This Row],[TOTAL Truncated Unadjusted Expenses (A22 + A23)]]/AN_TME22[[#This Row],[Member Months]],0)</f>
        <v>0</v>
      </c>
      <c r="AE65" s="474">
        <f>IFERROR(AN_TME22[[#This Row],[Total Claims Excluded because of Truncation]]/AN_TME22[[#This Row],[Count of Members with Claims Truncated]], 0)</f>
        <v>0</v>
      </c>
      <c r="AF65" s="476">
        <f>IFERROR(AN_TME22[[#This Row],[Total Claims Excluded because of Truncation]]/AN_TME22[[#This Row],[TOTAL Non-Truncated Unadjusted Claims Expenses]], 0)</f>
        <v>0</v>
      </c>
    </row>
    <row r="66" spans="1:32" x14ac:dyDescent="0.25">
      <c r="A66" s="426"/>
      <c r="B66" s="427"/>
      <c r="C66" s="427"/>
      <c r="D66" s="428"/>
      <c r="E66" s="517"/>
      <c r="F66" s="429"/>
      <c r="G66" s="429"/>
      <c r="H66" s="429"/>
      <c r="I66" s="429"/>
      <c r="J66" s="429"/>
      <c r="K66" s="429"/>
      <c r="L66" s="429"/>
      <c r="M66" s="429"/>
      <c r="N66" s="429"/>
      <c r="O66" s="429"/>
      <c r="P66" s="429"/>
      <c r="Q66" s="429"/>
      <c r="R66" s="429"/>
      <c r="S66" s="429"/>
      <c r="T66" s="429"/>
      <c r="U66" s="429"/>
      <c r="V66" s="429"/>
      <c r="W66" s="430"/>
      <c r="X66" s="431">
        <f t="shared" si="2"/>
        <v>0</v>
      </c>
      <c r="Y66" s="431">
        <f>AN_TME22[[#This Row],[TOTAL Non-Truncated Unadjusted Claims Expenses]]-AN_TME22[[#This Row],[Total Claims Excluded because of Truncation]]</f>
        <v>0</v>
      </c>
      <c r="Z66" s="431">
        <f t="shared" si="3"/>
        <v>0</v>
      </c>
      <c r="AA66" s="431">
        <f>AN_TME22[[#This Row],[TOTAL Non-Truncated Unadjusted Claims Expenses]]+AN_TME22[[#This Row],[TOTAL Non-Claims Expenses]]</f>
        <v>0</v>
      </c>
      <c r="AB66" s="431">
        <f>AN_TME22[[#This Row],[TOTAL Truncated Unadjusted Claims Expenses (A21 -A19)]]+AN_TME22[[#This Row],[TOTAL Non-Claims Expenses]]</f>
        <v>0</v>
      </c>
      <c r="AC66" s="475">
        <f>IFERROR(AN_TME22[[#This Row],[TOTAL Non-Truncated Unadjusted Expenses (A21 + A23)]]/AN_TME22[[#This Row],[Member Months]],0)</f>
        <v>0</v>
      </c>
      <c r="AD66" s="475">
        <f>IFERROR(AN_TME22[[#This Row],[TOTAL Truncated Unadjusted Expenses (A22 + A23)]]/AN_TME22[[#This Row],[Member Months]],0)</f>
        <v>0</v>
      </c>
      <c r="AE66" s="475">
        <f>IFERROR(AN_TME22[[#This Row],[Total Claims Excluded because of Truncation]]/AN_TME22[[#This Row],[Count of Members with Claims Truncated]], 0)</f>
        <v>0</v>
      </c>
      <c r="AF66" s="476">
        <f>IFERROR(AN_TME22[[#This Row],[Total Claims Excluded because of Truncation]]/AN_TME22[[#This Row],[TOTAL Non-Truncated Unadjusted Claims Expenses]], 0)</f>
        <v>0</v>
      </c>
    </row>
    <row r="67" spans="1:32" x14ac:dyDescent="0.25">
      <c r="A67" s="420"/>
      <c r="B67" s="421"/>
      <c r="C67" s="421"/>
      <c r="D67" s="422"/>
      <c r="E67" s="517"/>
      <c r="F67" s="423"/>
      <c r="G67" s="423"/>
      <c r="H67" s="423"/>
      <c r="I67" s="423"/>
      <c r="J67" s="423"/>
      <c r="K67" s="423"/>
      <c r="L67" s="423"/>
      <c r="M67" s="423"/>
      <c r="N67" s="423"/>
      <c r="O67" s="423"/>
      <c r="P67" s="423"/>
      <c r="Q67" s="423"/>
      <c r="R67" s="423"/>
      <c r="S67" s="423"/>
      <c r="T67" s="423"/>
      <c r="U67" s="423"/>
      <c r="V67" s="423"/>
      <c r="W67" s="424"/>
      <c r="X67" s="425">
        <f t="shared" si="2"/>
        <v>0</v>
      </c>
      <c r="Y67" s="472">
        <f>AN_TME22[[#This Row],[TOTAL Non-Truncated Unadjusted Claims Expenses]]-AN_TME22[[#This Row],[Total Claims Excluded because of Truncation]]</f>
        <v>0</v>
      </c>
      <c r="Z67" s="425">
        <f t="shared" si="3"/>
        <v>0</v>
      </c>
      <c r="AA67" s="472">
        <f>AN_TME22[[#This Row],[TOTAL Non-Truncated Unadjusted Claims Expenses]]+AN_TME22[[#This Row],[TOTAL Non-Claims Expenses]]</f>
        <v>0</v>
      </c>
      <c r="AB67" s="472">
        <f>AN_TME22[[#This Row],[TOTAL Truncated Unadjusted Claims Expenses (A21 -A19)]]+AN_TME22[[#This Row],[TOTAL Non-Claims Expenses]]</f>
        <v>0</v>
      </c>
      <c r="AC67" s="474">
        <f>IFERROR(AN_TME22[[#This Row],[TOTAL Non-Truncated Unadjusted Expenses (A21 + A23)]]/AN_TME22[[#This Row],[Member Months]],0)</f>
        <v>0</v>
      </c>
      <c r="AD67" s="474">
        <f>IFERROR(AN_TME22[[#This Row],[TOTAL Truncated Unadjusted Expenses (A22 + A23)]]/AN_TME22[[#This Row],[Member Months]],0)</f>
        <v>0</v>
      </c>
      <c r="AE67" s="474">
        <f>IFERROR(AN_TME22[[#This Row],[Total Claims Excluded because of Truncation]]/AN_TME22[[#This Row],[Count of Members with Claims Truncated]], 0)</f>
        <v>0</v>
      </c>
      <c r="AF67" s="476">
        <f>IFERROR(AN_TME22[[#This Row],[Total Claims Excluded because of Truncation]]/AN_TME22[[#This Row],[TOTAL Non-Truncated Unadjusted Claims Expenses]], 0)</f>
        <v>0</v>
      </c>
    </row>
    <row r="68" spans="1:32" x14ac:dyDescent="0.25">
      <c r="A68" s="426"/>
      <c r="B68" s="427"/>
      <c r="C68" s="427"/>
      <c r="D68" s="428"/>
      <c r="E68" s="517"/>
      <c r="F68" s="429"/>
      <c r="G68" s="429"/>
      <c r="H68" s="429"/>
      <c r="I68" s="429"/>
      <c r="J68" s="429"/>
      <c r="K68" s="429"/>
      <c r="L68" s="429"/>
      <c r="M68" s="429"/>
      <c r="N68" s="429"/>
      <c r="O68" s="429"/>
      <c r="P68" s="429"/>
      <c r="Q68" s="429"/>
      <c r="R68" s="429"/>
      <c r="S68" s="429"/>
      <c r="T68" s="429"/>
      <c r="U68" s="429"/>
      <c r="V68" s="429"/>
      <c r="W68" s="430"/>
      <c r="X68" s="431">
        <f t="shared" si="2"/>
        <v>0</v>
      </c>
      <c r="Y68" s="431">
        <f>AN_TME22[[#This Row],[TOTAL Non-Truncated Unadjusted Claims Expenses]]-AN_TME22[[#This Row],[Total Claims Excluded because of Truncation]]</f>
        <v>0</v>
      </c>
      <c r="Z68" s="431">
        <f t="shared" si="3"/>
        <v>0</v>
      </c>
      <c r="AA68" s="431">
        <f>AN_TME22[[#This Row],[TOTAL Non-Truncated Unadjusted Claims Expenses]]+AN_TME22[[#This Row],[TOTAL Non-Claims Expenses]]</f>
        <v>0</v>
      </c>
      <c r="AB68" s="431">
        <f>AN_TME22[[#This Row],[TOTAL Truncated Unadjusted Claims Expenses (A21 -A19)]]+AN_TME22[[#This Row],[TOTAL Non-Claims Expenses]]</f>
        <v>0</v>
      </c>
      <c r="AC68" s="475">
        <f>IFERROR(AN_TME22[[#This Row],[TOTAL Non-Truncated Unadjusted Expenses (A21 + A23)]]/AN_TME22[[#This Row],[Member Months]],0)</f>
        <v>0</v>
      </c>
      <c r="AD68" s="475">
        <f>IFERROR(AN_TME22[[#This Row],[TOTAL Truncated Unadjusted Expenses (A22 + A23)]]/AN_TME22[[#This Row],[Member Months]],0)</f>
        <v>0</v>
      </c>
      <c r="AE68" s="475">
        <f>IFERROR(AN_TME22[[#This Row],[Total Claims Excluded because of Truncation]]/AN_TME22[[#This Row],[Count of Members with Claims Truncated]], 0)</f>
        <v>0</v>
      </c>
      <c r="AF68" s="476">
        <f>IFERROR(AN_TME22[[#This Row],[Total Claims Excluded because of Truncation]]/AN_TME22[[#This Row],[TOTAL Non-Truncated Unadjusted Claims Expenses]], 0)</f>
        <v>0</v>
      </c>
    </row>
    <row r="69" spans="1:32" x14ac:dyDescent="0.25">
      <c r="A69" s="420"/>
      <c r="B69" s="421"/>
      <c r="C69" s="421"/>
      <c r="D69" s="422"/>
      <c r="E69" s="517"/>
      <c r="F69" s="423"/>
      <c r="G69" s="423"/>
      <c r="H69" s="423"/>
      <c r="I69" s="423"/>
      <c r="J69" s="423"/>
      <c r="K69" s="423"/>
      <c r="L69" s="423"/>
      <c r="M69" s="423"/>
      <c r="N69" s="423"/>
      <c r="O69" s="423"/>
      <c r="P69" s="423"/>
      <c r="Q69" s="423"/>
      <c r="R69" s="423"/>
      <c r="S69" s="423"/>
      <c r="T69" s="423"/>
      <c r="U69" s="423"/>
      <c r="V69" s="423"/>
      <c r="W69" s="424"/>
      <c r="X69" s="425">
        <f t="shared" si="2"/>
        <v>0</v>
      </c>
      <c r="Y69" s="472">
        <f>AN_TME22[[#This Row],[TOTAL Non-Truncated Unadjusted Claims Expenses]]-AN_TME22[[#This Row],[Total Claims Excluded because of Truncation]]</f>
        <v>0</v>
      </c>
      <c r="Z69" s="425">
        <f t="shared" si="3"/>
        <v>0</v>
      </c>
      <c r="AA69" s="472">
        <f>AN_TME22[[#This Row],[TOTAL Non-Truncated Unadjusted Claims Expenses]]+AN_TME22[[#This Row],[TOTAL Non-Claims Expenses]]</f>
        <v>0</v>
      </c>
      <c r="AB69" s="472">
        <f>AN_TME22[[#This Row],[TOTAL Truncated Unadjusted Claims Expenses (A21 -A19)]]+AN_TME22[[#This Row],[TOTAL Non-Claims Expenses]]</f>
        <v>0</v>
      </c>
      <c r="AC69" s="474">
        <f>IFERROR(AN_TME22[[#This Row],[TOTAL Non-Truncated Unadjusted Expenses (A21 + A23)]]/AN_TME22[[#This Row],[Member Months]],0)</f>
        <v>0</v>
      </c>
      <c r="AD69" s="474">
        <f>IFERROR(AN_TME22[[#This Row],[TOTAL Truncated Unadjusted Expenses (A22 + A23)]]/AN_TME22[[#This Row],[Member Months]],0)</f>
        <v>0</v>
      </c>
      <c r="AE69" s="474">
        <f>IFERROR(AN_TME22[[#This Row],[Total Claims Excluded because of Truncation]]/AN_TME22[[#This Row],[Count of Members with Claims Truncated]], 0)</f>
        <v>0</v>
      </c>
      <c r="AF69" s="476">
        <f>IFERROR(AN_TME22[[#This Row],[Total Claims Excluded because of Truncation]]/AN_TME22[[#This Row],[TOTAL Non-Truncated Unadjusted Claims Expenses]], 0)</f>
        <v>0</v>
      </c>
    </row>
    <row r="70" spans="1:32" x14ac:dyDescent="0.25">
      <c r="A70" s="426"/>
      <c r="B70" s="427"/>
      <c r="C70" s="427"/>
      <c r="D70" s="428"/>
      <c r="E70" s="517"/>
      <c r="F70" s="429"/>
      <c r="G70" s="429"/>
      <c r="H70" s="429"/>
      <c r="I70" s="429"/>
      <c r="J70" s="429"/>
      <c r="K70" s="429"/>
      <c r="L70" s="429"/>
      <c r="M70" s="429"/>
      <c r="N70" s="429"/>
      <c r="O70" s="429"/>
      <c r="P70" s="429"/>
      <c r="Q70" s="429"/>
      <c r="R70" s="429"/>
      <c r="S70" s="429"/>
      <c r="T70" s="429"/>
      <c r="U70" s="429"/>
      <c r="V70" s="429"/>
      <c r="W70" s="430"/>
      <c r="X70" s="431">
        <f t="shared" si="2"/>
        <v>0</v>
      </c>
      <c r="Y70" s="431">
        <f>AN_TME22[[#This Row],[TOTAL Non-Truncated Unadjusted Claims Expenses]]-AN_TME22[[#This Row],[Total Claims Excluded because of Truncation]]</f>
        <v>0</v>
      </c>
      <c r="Z70" s="431">
        <f t="shared" si="3"/>
        <v>0</v>
      </c>
      <c r="AA70" s="431">
        <f>AN_TME22[[#This Row],[TOTAL Non-Truncated Unadjusted Claims Expenses]]+AN_TME22[[#This Row],[TOTAL Non-Claims Expenses]]</f>
        <v>0</v>
      </c>
      <c r="AB70" s="431">
        <f>AN_TME22[[#This Row],[TOTAL Truncated Unadjusted Claims Expenses (A21 -A19)]]+AN_TME22[[#This Row],[TOTAL Non-Claims Expenses]]</f>
        <v>0</v>
      </c>
      <c r="AC70" s="475">
        <f>IFERROR(AN_TME22[[#This Row],[TOTAL Non-Truncated Unadjusted Expenses (A21 + A23)]]/AN_TME22[[#This Row],[Member Months]],0)</f>
        <v>0</v>
      </c>
      <c r="AD70" s="475">
        <f>IFERROR(AN_TME22[[#This Row],[TOTAL Truncated Unadjusted Expenses (A22 + A23)]]/AN_TME22[[#This Row],[Member Months]],0)</f>
        <v>0</v>
      </c>
      <c r="AE70" s="475">
        <f>IFERROR(AN_TME22[[#This Row],[Total Claims Excluded because of Truncation]]/AN_TME22[[#This Row],[Count of Members with Claims Truncated]], 0)</f>
        <v>0</v>
      </c>
      <c r="AF70" s="476">
        <f>IFERROR(AN_TME22[[#This Row],[Total Claims Excluded because of Truncation]]/AN_TME22[[#This Row],[TOTAL Non-Truncated Unadjusted Claims Expenses]], 0)</f>
        <v>0</v>
      </c>
    </row>
    <row r="71" spans="1:32" x14ac:dyDescent="0.25">
      <c r="A71" s="420"/>
      <c r="B71" s="421"/>
      <c r="C71" s="421"/>
      <c r="D71" s="422"/>
      <c r="E71" s="517"/>
      <c r="F71" s="423"/>
      <c r="G71" s="423"/>
      <c r="H71" s="423"/>
      <c r="I71" s="423"/>
      <c r="J71" s="423"/>
      <c r="K71" s="423"/>
      <c r="L71" s="423"/>
      <c r="M71" s="423"/>
      <c r="N71" s="423"/>
      <c r="O71" s="423"/>
      <c r="P71" s="423"/>
      <c r="Q71" s="423"/>
      <c r="R71" s="423"/>
      <c r="S71" s="423"/>
      <c r="T71" s="423"/>
      <c r="U71" s="423"/>
      <c r="V71" s="423"/>
      <c r="W71" s="424"/>
      <c r="X71" s="425">
        <f t="shared" si="2"/>
        <v>0</v>
      </c>
      <c r="Y71" s="472">
        <f>AN_TME22[[#This Row],[TOTAL Non-Truncated Unadjusted Claims Expenses]]-AN_TME22[[#This Row],[Total Claims Excluded because of Truncation]]</f>
        <v>0</v>
      </c>
      <c r="Z71" s="425">
        <f t="shared" si="3"/>
        <v>0</v>
      </c>
      <c r="AA71" s="472">
        <f>AN_TME22[[#This Row],[TOTAL Non-Truncated Unadjusted Claims Expenses]]+AN_TME22[[#This Row],[TOTAL Non-Claims Expenses]]</f>
        <v>0</v>
      </c>
      <c r="AB71" s="472">
        <f>AN_TME22[[#This Row],[TOTAL Truncated Unadjusted Claims Expenses (A21 -A19)]]+AN_TME22[[#This Row],[TOTAL Non-Claims Expenses]]</f>
        <v>0</v>
      </c>
      <c r="AC71" s="474">
        <f>IFERROR(AN_TME22[[#This Row],[TOTAL Non-Truncated Unadjusted Expenses (A21 + A23)]]/AN_TME22[[#This Row],[Member Months]],0)</f>
        <v>0</v>
      </c>
      <c r="AD71" s="474">
        <f>IFERROR(AN_TME22[[#This Row],[TOTAL Truncated Unadjusted Expenses (A22 + A23)]]/AN_TME22[[#This Row],[Member Months]],0)</f>
        <v>0</v>
      </c>
      <c r="AE71" s="474">
        <f>IFERROR(AN_TME22[[#This Row],[Total Claims Excluded because of Truncation]]/AN_TME22[[#This Row],[Count of Members with Claims Truncated]], 0)</f>
        <v>0</v>
      </c>
      <c r="AF71" s="476">
        <f>IFERROR(AN_TME22[[#This Row],[Total Claims Excluded because of Truncation]]/AN_TME22[[#This Row],[TOTAL Non-Truncated Unadjusted Claims Expenses]], 0)</f>
        <v>0</v>
      </c>
    </row>
    <row r="72" spans="1:32" x14ac:dyDescent="0.25">
      <c r="A72" s="426"/>
      <c r="B72" s="427"/>
      <c r="C72" s="427"/>
      <c r="D72" s="428"/>
      <c r="E72" s="517"/>
      <c r="F72" s="429"/>
      <c r="G72" s="429"/>
      <c r="H72" s="429"/>
      <c r="I72" s="429"/>
      <c r="J72" s="429"/>
      <c r="K72" s="429"/>
      <c r="L72" s="429"/>
      <c r="M72" s="429"/>
      <c r="N72" s="429"/>
      <c r="O72" s="429"/>
      <c r="P72" s="429"/>
      <c r="Q72" s="429"/>
      <c r="R72" s="429"/>
      <c r="S72" s="429"/>
      <c r="T72" s="429"/>
      <c r="U72" s="429"/>
      <c r="V72" s="429"/>
      <c r="W72" s="430"/>
      <c r="X72" s="431">
        <f t="shared" si="2"/>
        <v>0</v>
      </c>
      <c r="Y72" s="431">
        <f>AN_TME22[[#This Row],[TOTAL Non-Truncated Unadjusted Claims Expenses]]-AN_TME22[[#This Row],[Total Claims Excluded because of Truncation]]</f>
        <v>0</v>
      </c>
      <c r="Z72" s="431">
        <f t="shared" si="3"/>
        <v>0</v>
      </c>
      <c r="AA72" s="431">
        <f>AN_TME22[[#This Row],[TOTAL Non-Truncated Unadjusted Claims Expenses]]+AN_TME22[[#This Row],[TOTAL Non-Claims Expenses]]</f>
        <v>0</v>
      </c>
      <c r="AB72" s="431">
        <f>AN_TME22[[#This Row],[TOTAL Truncated Unadjusted Claims Expenses (A21 -A19)]]+AN_TME22[[#This Row],[TOTAL Non-Claims Expenses]]</f>
        <v>0</v>
      </c>
      <c r="AC72" s="475">
        <f>IFERROR(AN_TME22[[#This Row],[TOTAL Non-Truncated Unadjusted Expenses (A21 + A23)]]/AN_TME22[[#This Row],[Member Months]],0)</f>
        <v>0</v>
      </c>
      <c r="AD72" s="475">
        <f>IFERROR(AN_TME22[[#This Row],[TOTAL Truncated Unadjusted Expenses (A22 + A23)]]/AN_TME22[[#This Row],[Member Months]],0)</f>
        <v>0</v>
      </c>
      <c r="AE72" s="475">
        <f>IFERROR(AN_TME22[[#This Row],[Total Claims Excluded because of Truncation]]/AN_TME22[[#This Row],[Count of Members with Claims Truncated]], 0)</f>
        <v>0</v>
      </c>
      <c r="AF72" s="476">
        <f>IFERROR(AN_TME22[[#This Row],[Total Claims Excluded because of Truncation]]/AN_TME22[[#This Row],[TOTAL Non-Truncated Unadjusted Claims Expenses]], 0)</f>
        <v>0</v>
      </c>
    </row>
    <row r="73" spans="1:32" x14ac:dyDescent="0.25">
      <c r="A73" s="420"/>
      <c r="B73" s="421"/>
      <c r="C73" s="421"/>
      <c r="D73" s="422"/>
      <c r="E73" s="517"/>
      <c r="F73" s="423"/>
      <c r="G73" s="423"/>
      <c r="H73" s="423"/>
      <c r="I73" s="423"/>
      <c r="J73" s="423"/>
      <c r="K73" s="423"/>
      <c r="L73" s="423"/>
      <c r="M73" s="423"/>
      <c r="N73" s="423"/>
      <c r="O73" s="423"/>
      <c r="P73" s="423"/>
      <c r="Q73" s="423"/>
      <c r="R73" s="423"/>
      <c r="S73" s="423"/>
      <c r="T73" s="423"/>
      <c r="U73" s="423"/>
      <c r="V73" s="423"/>
      <c r="W73" s="424"/>
      <c r="X73" s="425">
        <f t="shared" si="2"/>
        <v>0</v>
      </c>
      <c r="Y73" s="472">
        <f>AN_TME22[[#This Row],[TOTAL Non-Truncated Unadjusted Claims Expenses]]-AN_TME22[[#This Row],[Total Claims Excluded because of Truncation]]</f>
        <v>0</v>
      </c>
      <c r="Z73" s="425">
        <f t="shared" si="3"/>
        <v>0</v>
      </c>
      <c r="AA73" s="472">
        <f>AN_TME22[[#This Row],[TOTAL Non-Truncated Unadjusted Claims Expenses]]+AN_TME22[[#This Row],[TOTAL Non-Claims Expenses]]</f>
        <v>0</v>
      </c>
      <c r="AB73" s="472">
        <f>AN_TME22[[#This Row],[TOTAL Truncated Unadjusted Claims Expenses (A21 -A19)]]+AN_TME22[[#This Row],[TOTAL Non-Claims Expenses]]</f>
        <v>0</v>
      </c>
      <c r="AC73" s="474">
        <f>IFERROR(AN_TME22[[#This Row],[TOTAL Non-Truncated Unadjusted Expenses (A21 + A23)]]/AN_TME22[[#This Row],[Member Months]],0)</f>
        <v>0</v>
      </c>
      <c r="AD73" s="474">
        <f>IFERROR(AN_TME22[[#This Row],[TOTAL Truncated Unadjusted Expenses (A22 + A23)]]/AN_TME22[[#This Row],[Member Months]],0)</f>
        <v>0</v>
      </c>
      <c r="AE73" s="474">
        <f>IFERROR(AN_TME22[[#This Row],[Total Claims Excluded because of Truncation]]/AN_TME22[[#This Row],[Count of Members with Claims Truncated]], 0)</f>
        <v>0</v>
      </c>
      <c r="AF73" s="476">
        <f>IFERROR(AN_TME22[[#This Row],[Total Claims Excluded because of Truncation]]/AN_TME22[[#This Row],[TOTAL Non-Truncated Unadjusted Claims Expenses]], 0)</f>
        <v>0</v>
      </c>
    </row>
    <row r="74" spans="1:32" x14ac:dyDescent="0.25">
      <c r="A74" s="426"/>
      <c r="B74" s="427"/>
      <c r="C74" s="427"/>
      <c r="D74" s="428"/>
      <c r="E74" s="517"/>
      <c r="F74" s="429"/>
      <c r="G74" s="429"/>
      <c r="H74" s="429"/>
      <c r="I74" s="429"/>
      <c r="J74" s="429"/>
      <c r="K74" s="429"/>
      <c r="L74" s="429"/>
      <c r="M74" s="429"/>
      <c r="N74" s="429"/>
      <c r="O74" s="429"/>
      <c r="P74" s="429"/>
      <c r="Q74" s="429"/>
      <c r="R74" s="429"/>
      <c r="S74" s="429"/>
      <c r="T74" s="429"/>
      <c r="U74" s="429"/>
      <c r="V74" s="429"/>
      <c r="W74" s="430"/>
      <c r="X74" s="431">
        <f t="shared" si="2"/>
        <v>0</v>
      </c>
      <c r="Y74" s="431">
        <f>AN_TME22[[#This Row],[TOTAL Non-Truncated Unadjusted Claims Expenses]]-AN_TME22[[#This Row],[Total Claims Excluded because of Truncation]]</f>
        <v>0</v>
      </c>
      <c r="Z74" s="431">
        <f t="shared" si="3"/>
        <v>0</v>
      </c>
      <c r="AA74" s="431">
        <f>AN_TME22[[#This Row],[TOTAL Non-Truncated Unadjusted Claims Expenses]]+AN_TME22[[#This Row],[TOTAL Non-Claims Expenses]]</f>
        <v>0</v>
      </c>
      <c r="AB74" s="431">
        <f>AN_TME22[[#This Row],[TOTAL Truncated Unadjusted Claims Expenses (A21 -A19)]]+AN_TME22[[#This Row],[TOTAL Non-Claims Expenses]]</f>
        <v>0</v>
      </c>
      <c r="AC74" s="475">
        <f>IFERROR(AN_TME22[[#This Row],[TOTAL Non-Truncated Unadjusted Expenses (A21 + A23)]]/AN_TME22[[#This Row],[Member Months]],0)</f>
        <v>0</v>
      </c>
      <c r="AD74" s="475">
        <f>IFERROR(AN_TME22[[#This Row],[TOTAL Truncated Unadjusted Expenses (A22 + A23)]]/AN_TME22[[#This Row],[Member Months]],0)</f>
        <v>0</v>
      </c>
      <c r="AE74" s="475">
        <f>IFERROR(AN_TME22[[#This Row],[Total Claims Excluded because of Truncation]]/AN_TME22[[#This Row],[Count of Members with Claims Truncated]], 0)</f>
        <v>0</v>
      </c>
      <c r="AF74" s="476">
        <f>IFERROR(AN_TME22[[#This Row],[Total Claims Excluded because of Truncation]]/AN_TME22[[#This Row],[TOTAL Non-Truncated Unadjusted Claims Expenses]], 0)</f>
        <v>0</v>
      </c>
    </row>
    <row r="75" spans="1:32" x14ac:dyDescent="0.25">
      <c r="A75" s="420"/>
      <c r="B75" s="421"/>
      <c r="C75" s="421"/>
      <c r="D75" s="422"/>
      <c r="E75" s="517"/>
      <c r="F75" s="423"/>
      <c r="G75" s="423"/>
      <c r="H75" s="423"/>
      <c r="I75" s="423"/>
      <c r="J75" s="423"/>
      <c r="K75" s="423"/>
      <c r="L75" s="423"/>
      <c r="M75" s="423"/>
      <c r="N75" s="423"/>
      <c r="O75" s="423"/>
      <c r="P75" s="423"/>
      <c r="Q75" s="423"/>
      <c r="R75" s="423"/>
      <c r="S75" s="423"/>
      <c r="T75" s="423"/>
      <c r="U75" s="423"/>
      <c r="V75" s="423"/>
      <c r="W75" s="424"/>
      <c r="X75" s="425">
        <f t="shared" ref="X75:X106" si="4">SUM(F75:H75)+SUM(J75:N75)</f>
        <v>0</v>
      </c>
      <c r="Y75" s="472">
        <f>AN_TME22[[#This Row],[TOTAL Non-Truncated Unadjusted Claims Expenses]]-AN_TME22[[#This Row],[Total Claims Excluded because of Truncation]]</f>
        <v>0</v>
      </c>
      <c r="Z75" s="425">
        <f t="shared" ref="Z75:Z106" si="5">SUM(O75:T75)</f>
        <v>0</v>
      </c>
      <c r="AA75" s="472">
        <f>AN_TME22[[#This Row],[TOTAL Non-Truncated Unadjusted Claims Expenses]]+AN_TME22[[#This Row],[TOTAL Non-Claims Expenses]]</f>
        <v>0</v>
      </c>
      <c r="AB75" s="472">
        <f>AN_TME22[[#This Row],[TOTAL Truncated Unadjusted Claims Expenses (A21 -A19)]]+AN_TME22[[#This Row],[TOTAL Non-Claims Expenses]]</f>
        <v>0</v>
      </c>
      <c r="AC75" s="474">
        <f>IFERROR(AN_TME22[[#This Row],[TOTAL Non-Truncated Unadjusted Expenses (A21 + A23)]]/AN_TME22[[#This Row],[Member Months]],0)</f>
        <v>0</v>
      </c>
      <c r="AD75" s="474">
        <f>IFERROR(AN_TME22[[#This Row],[TOTAL Truncated Unadjusted Expenses (A22 + A23)]]/AN_TME22[[#This Row],[Member Months]],0)</f>
        <v>0</v>
      </c>
      <c r="AE75" s="474">
        <f>IFERROR(AN_TME22[[#This Row],[Total Claims Excluded because of Truncation]]/AN_TME22[[#This Row],[Count of Members with Claims Truncated]], 0)</f>
        <v>0</v>
      </c>
      <c r="AF75" s="476">
        <f>IFERROR(AN_TME22[[#This Row],[Total Claims Excluded because of Truncation]]/AN_TME22[[#This Row],[TOTAL Non-Truncated Unadjusted Claims Expenses]], 0)</f>
        <v>0</v>
      </c>
    </row>
    <row r="76" spans="1:32" x14ac:dyDescent="0.25">
      <c r="A76" s="426"/>
      <c r="B76" s="427"/>
      <c r="C76" s="427"/>
      <c r="D76" s="428"/>
      <c r="E76" s="517"/>
      <c r="F76" s="429"/>
      <c r="G76" s="429"/>
      <c r="H76" s="429"/>
      <c r="I76" s="429"/>
      <c r="J76" s="429"/>
      <c r="K76" s="429"/>
      <c r="L76" s="429"/>
      <c r="M76" s="429"/>
      <c r="N76" s="429"/>
      <c r="O76" s="429"/>
      <c r="P76" s="429"/>
      <c r="Q76" s="429"/>
      <c r="R76" s="429"/>
      <c r="S76" s="429"/>
      <c r="T76" s="429"/>
      <c r="U76" s="429"/>
      <c r="V76" s="429"/>
      <c r="W76" s="430"/>
      <c r="X76" s="431">
        <f t="shared" si="4"/>
        <v>0</v>
      </c>
      <c r="Y76" s="431">
        <f>AN_TME22[[#This Row],[TOTAL Non-Truncated Unadjusted Claims Expenses]]-AN_TME22[[#This Row],[Total Claims Excluded because of Truncation]]</f>
        <v>0</v>
      </c>
      <c r="Z76" s="431">
        <f t="shared" si="5"/>
        <v>0</v>
      </c>
      <c r="AA76" s="431">
        <f>AN_TME22[[#This Row],[TOTAL Non-Truncated Unadjusted Claims Expenses]]+AN_TME22[[#This Row],[TOTAL Non-Claims Expenses]]</f>
        <v>0</v>
      </c>
      <c r="AB76" s="431">
        <f>AN_TME22[[#This Row],[TOTAL Truncated Unadjusted Claims Expenses (A21 -A19)]]+AN_TME22[[#This Row],[TOTAL Non-Claims Expenses]]</f>
        <v>0</v>
      </c>
      <c r="AC76" s="475">
        <f>IFERROR(AN_TME22[[#This Row],[TOTAL Non-Truncated Unadjusted Expenses (A21 + A23)]]/AN_TME22[[#This Row],[Member Months]],0)</f>
        <v>0</v>
      </c>
      <c r="AD76" s="475">
        <f>IFERROR(AN_TME22[[#This Row],[TOTAL Truncated Unadjusted Expenses (A22 + A23)]]/AN_TME22[[#This Row],[Member Months]],0)</f>
        <v>0</v>
      </c>
      <c r="AE76" s="475">
        <f>IFERROR(AN_TME22[[#This Row],[Total Claims Excluded because of Truncation]]/AN_TME22[[#This Row],[Count of Members with Claims Truncated]], 0)</f>
        <v>0</v>
      </c>
      <c r="AF76" s="476">
        <f>IFERROR(AN_TME22[[#This Row],[Total Claims Excluded because of Truncation]]/AN_TME22[[#This Row],[TOTAL Non-Truncated Unadjusted Claims Expenses]], 0)</f>
        <v>0</v>
      </c>
    </row>
    <row r="77" spans="1:32" x14ac:dyDescent="0.25">
      <c r="A77" s="420"/>
      <c r="B77" s="421"/>
      <c r="C77" s="421"/>
      <c r="D77" s="422"/>
      <c r="E77" s="517"/>
      <c r="F77" s="423"/>
      <c r="G77" s="423"/>
      <c r="H77" s="423"/>
      <c r="I77" s="423"/>
      <c r="J77" s="423"/>
      <c r="K77" s="423"/>
      <c r="L77" s="423"/>
      <c r="M77" s="423"/>
      <c r="N77" s="423"/>
      <c r="O77" s="423"/>
      <c r="P77" s="423"/>
      <c r="Q77" s="423"/>
      <c r="R77" s="423"/>
      <c r="S77" s="423"/>
      <c r="T77" s="423"/>
      <c r="U77" s="423"/>
      <c r="V77" s="423"/>
      <c r="W77" s="424"/>
      <c r="X77" s="425">
        <f t="shared" si="4"/>
        <v>0</v>
      </c>
      <c r="Y77" s="472">
        <f>AN_TME22[[#This Row],[TOTAL Non-Truncated Unadjusted Claims Expenses]]-AN_TME22[[#This Row],[Total Claims Excluded because of Truncation]]</f>
        <v>0</v>
      </c>
      <c r="Z77" s="425">
        <f t="shared" si="5"/>
        <v>0</v>
      </c>
      <c r="AA77" s="472">
        <f>AN_TME22[[#This Row],[TOTAL Non-Truncated Unadjusted Claims Expenses]]+AN_TME22[[#This Row],[TOTAL Non-Claims Expenses]]</f>
        <v>0</v>
      </c>
      <c r="AB77" s="472">
        <f>AN_TME22[[#This Row],[TOTAL Truncated Unadjusted Claims Expenses (A21 -A19)]]+AN_TME22[[#This Row],[TOTAL Non-Claims Expenses]]</f>
        <v>0</v>
      </c>
      <c r="AC77" s="474">
        <f>IFERROR(AN_TME22[[#This Row],[TOTAL Non-Truncated Unadjusted Expenses (A21 + A23)]]/AN_TME22[[#This Row],[Member Months]],0)</f>
        <v>0</v>
      </c>
      <c r="AD77" s="474">
        <f>IFERROR(AN_TME22[[#This Row],[TOTAL Truncated Unadjusted Expenses (A22 + A23)]]/AN_TME22[[#This Row],[Member Months]],0)</f>
        <v>0</v>
      </c>
      <c r="AE77" s="474">
        <f>IFERROR(AN_TME22[[#This Row],[Total Claims Excluded because of Truncation]]/AN_TME22[[#This Row],[Count of Members with Claims Truncated]], 0)</f>
        <v>0</v>
      </c>
      <c r="AF77" s="476">
        <f>IFERROR(AN_TME22[[#This Row],[Total Claims Excluded because of Truncation]]/AN_TME22[[#This Row],[TOTAL Non-Truncated Unadjusted Claims Expenses]], 0)</f>
        <v>0</v>
      </c>
    </row>
    <row r="78" spans="1:32" x14ac:dyDescent="0.25">
      <c r="A78" s="426"/>
      <c r="B78" s="427"/>
      <c r="C78" s="427"/>
      <c r="D78" s="428"/>
      <c r="E78" s="517"/>
      <c r="F78" s="429"/>
      <c r="G78" s="429"/>
      <c r="H78" s="429"/>
      <c r="I78" s="429"/>
      <c r="J78" s="429"/>
      <c r="K78" s="429"/>
      <c r="L78" s="429"/>
      <c r="M78" s="429"/>
      <c r="N78" s="429"/>
      <c r="O78" s="429"/>
      <c r="P78" s="429"/>
      <c r="Q78" s="429"/>
      <c r="R78" s="429"/>
      <c r="S78" s="429"/>
      <c r="T78" s="429"/>
      <c r="U78" s="429"/>
      <c r="V78" s="429"/>
      <c r="W78" s="430"/>
      <c r="X78" s="431">
        <f t="shared" si="4"/>
        <v>0</v>
      </c>
      <c r="Y78" s="431">
        <f>AN_TME22[[#This Row],[TOTAL Non-Truncated Unadjusted Claims Expenses]]-AN_TME22[[#This Row],[Total Claims Excluded because of Truncation]]</f>
        <v>0</v>
      </c>
      <c r="Z78" s="431">
        <f t="shared" si="5"/>
        <v>0</v>
      </c>
      <c r="AA78" s="431">
        <f>AN_TME22[[#This Row],[TOTAL Non-Truncated Unadjusted Claims Expenses]]+AN_TME22[[#This Row],[TOTAL Non-Claims Expenses]]</f>
        <v>0</v>
      </c>
      <c r="AB78" s="431">
        <f>AN_TME22[[#This Row],[TOTAL Truncated Unadjusted Claims Expenses (A21 -A19)]]+AN_TME22[[#This Row],[TOTAL Non-Claims Expenses]]</f>
        <v>0</v>
      </c>
      <c r="AC78" s="475">
        <f>IFERROR(AN_TME22[[#This Row],[TOTAL Non-Truncated Unadjusted Expenses (A21 + A23)]]/AN_TME22[[#This Row],[Member Months]],0)</f>
        <v>0</v>
      </c>
      <c r="AD78" s="475">
        <f>IFERROR(AN_TME22[[#This Row],[TOTAL Truncated Unadjusted Expenses (A22 + A23)]]/AN_TME22[[#This Row],[Member Months]],0)</f>
        <v>0</v>
      </c>
      <c r="AE78" s="475">
        <f>IFERROR(AN_TME22[[#This Row],[Total Claims Excluded because of Truncation]]/AN_TME22[[#This Row],[Count of Members with Claims Truncated]], 0)</f>
        <v>0</v>
      </c>
      <c r="AF78" s="476">
        <f>IFERROR(AN_TME22[[#This Row],[Total Claims Excluded because of Truncation]]/AN_TME22[[#This Row],[TOTAL Non-Truncated Unadjusted Claims Expenses]], 0)</f>
        <v>0</v>
      </c>
    </row>
    <row r="79" spans="1:32" x14ac:dyDescent="0.25">
      <c r="A79" s="420"/>
      <c r="B79" s="421"/>
      <c r="C79" s="421"/>
      <c r="D79" s="422"/>
      <c r="E79" s="517"/>
      <c r="F79" s="423"/>
      <c r="G79" s="423"/>
      <c r="H79" s="423"/>
      <c r="I79" s="423"/>
      <c r="J79" s="423"/>
      <c r="K79" s="423"/>
      <c r="L79" s="423"/>
      <c r="M79" s="423"/>
      <c r="N79" s="423"/>
      <c r="O79" s="423"/>
      <c r="P79" s="423"/>
      <c r="Q79" s="423"/>
      <c r="R79" s="423"/>
      <c r="S79" s="423"/>
      <c r="T79" s="423"/>
      <c r="U79" s="423"/>
      <c r="V79" s="423"/>
      <c r="W79" s="424"/>
      <c r="X79" s="425">
        <f t="shared" si="4"/>
        <v>0</v>
      </c>
      <c r="Y79" s="472">
        <f>AN_TME22[[#This Row],[TOTAL Non-Truncated Unadjusted Claims Expenses]]-AN_TME22[[#This Row],[Total Claims Excluded because of Truncation]]</f>
        <v>0</v>
      </c>
      <c r="Z79" s="425">
        <f t="shared" si="5"/>
        <v>0</v>
      </c>
      <c r="AA79" s="472">
        <f>AN_TME22[[#This Row],[TOTAL Non-Truncated Unadjusted Claims Expenses]]+AN_TME22[[#This Row],[TOTAL Non-Claims Expenses]]</f>
        <v>0</v>
      </c>
      <c r="AB79" s="472">
        <f>AN_TME22[[#This Row],[TOTAL Truncated Unadjusted Claims Expenses (A21 -A19)]]+AN_TME22[[#This Row],[TOTAL Non-Claims Expenses]]</f>
        <v>0</v>
      </c>
      <c r="AC79" s="474">
        <f>IFERROR(AN_TME22[[#This Row],[TOTAL Non-Truncated Unadjusted Expenses (A21 + A23)]]/AN_TME22[[#This Row],[Member Months]],0)</f>
        <v>0</v>
      </c>
      <c r="AD79" s="474">
        <f>IFERROR(AN_TME22[[#This Row],[TOTAL Truncated Unadjusted Expenses (A22 + A23)]]/AN_TME22[[#This Row],[Member Months]],0)</f>
        <v>0</v>
      </c>
      <c r="AE79" s="474">
        <f>IFERROR(AN_TME22[[#This Row],[Total Claims Excluded because of Truncation]]/AN_TME22[[#This Row],[Count of Members with Claims Truncated]], 0)</f>
        <v>0</v>
      </c>
      <c r="AF79" s="476">
        <f>IFERROR(AN_TME22[[#This Row],[Total Claims Excluded because of Truncation]]/AN_TME22[[#This Row],[TOTAL Non-Truncated Unadjusted Claims Expenses]], 0)</f>
        <v>0</v>
      </c>
    </row>
    <row r="80" spans="1:32" x14ac:dyDescent="0.25">
      <c r="A80" s="426"/>
      <c r="B80" s="427"/>
      <c r="C80" s="427"/>
      <c r="D80" s="428"/>
      <c r="E80" s="517"/>
      <c r="F80" s="429"/>
      <c r="G80" s="429"/>
      <c r="H80" s="429"/>
      <c r="I80" s="429"/>
      <c r="J80" s="429"/>
      <c r="K80" s="429"/>
      <c r="L80" s="429"/>
      <c r="M80" s="429"/>
      <c r="N80" s="429"/>
      <c r="O80" s="429"/>
      <c r="P80" s="429"/>
      <c r="Q80" s="429"/>
      <c r="R80" s="429"/>
      <c r="S80" s="429"/>
      <c r="T80" s="429"/>
      <c r="U80" s="429"/>
      <c r="V80" s="429"/>
      <c r="W80" s="430"/>
      <c r="X80" s="431">
        <f t="shared" si="4"/>
        <v>0</v>
      </c>
      <c r="Y80" s="431">
        <f>AN_TME22[[#This Row],[TOTAL Non-Truncated Unadjusted Claims Expenses]]-AN_TME22[[#This Row],[Total Claims Excluded because of Truncation]]</f>
        <v>0</v>
      </c>
      <c r="Z80" s="431">
        <f t="shared" si="5"/>
        <v>0</v>
      </c>
      <c r="AA80" s="431">
        <f>AN_TME22[[#This Row],[TOTAL Non-Truncated Unadjusted Claims Expenses]]+AN_TME22[[#This Row],[TOTAL Non-Claims Expenses]]</f>
        <v>0</v>
      </c>
      <c r="AB80" s="431">
        <f>AN_TME22[[#This Row],[TOTAL Truncated Unadjusted Claims Expenses (A21 -A19)]]+AN_TME22[[#This Row],[TOTAL Non-Claims Expenses]]</f>
        <v>0</v>
      </c>
      <c r="AC80" s="475">
        <f>IFERROR(AN_TME22[[#This Row],[TOTAL Non-Truncated Unadjusted Expenses (A21 + A23)]]/AN_TME22[[#This Row],[Member Months]],0)</f>
        <v>0</v>
      </c>
      <c r="AD80" s="475">
        <f>IFERROR(AN_TME22[[#This Row],[TOTAL Truncated Unadjusted Expenses (A22 + A23)]]/AN_TME22[[#This Row],[Member Months]],0)</f>
        <v>0</v>
      </c>
      <c r="AE80" s="475">
        <f>IFERROR(AN_TME22[[#This Row],[Total Claims Excluded because of Truncation]]/AN_TME22[[#This Row],[Count of Members with Claims Truncated]], 0)</f>
        <v>0</v>
      </c>
      <c r="AF80" s="476">
        <f>IFERROR(AN_TME22[[#This Row],[Total Claims Excluded because of Truncation]]/AN_TME22[[#This Row],[TOTAL Non-Truncated Unadjusted Claims Expenses]], 0)</f>
        <v>0</v>
      </c>
    </row>
    <row r="81" spans="1:32" x14ac:dyDescent="0.25">
      <c r="A81" s="420"/>
      <c r="B81" s="421"/>
      <c r="C81" s="421"/>
      <c r="D81" s="422"/>
      <c r="E81" s="517"/>
      <c r="F81" s="423"/>
      <c r="G81" s="423"/>
      <c r="H81" s="423"/>
      <c r="I81" s="423"/>
      <c r="J81" s="423"/>
      <c r="K81" s="423"/>
      <c r="L81" s="423"/>
      <c r="M81" s="423"/>
      <c r="N81" s="423"/>
      <c r="O81" s="423"/>
      <c r="P81" s="423"/>
      <c r="Q81" s="423"/>
      <c r="R81" s="423"/>
      <c r="S81" s="423"/>
      <c r="T81" s="423"/>
      <c r="U81" s="423"/>
      <c r="V81" s="423"/>
      <c r="W81" s="424"/>
      <c r="X81" s="425">
        <f t="shared" si="4"/>
        <v>0</v>
      </c>
      <c r="Y81" s="472">
        <f>AN_TME22[[#This Row],[TOTAL Non-Truncated Unadjusted Claims Expenses]]-AN_TME22[[#This Row],[Total Claims Excluded because of Truncation]]</f>
        <v>0</v>
      </c>
      <c r="Z81" s="425">
        <f t="shared" si="5"/>
        <v>0</v>
      </c>
      <c r="AA81" s="472">
        <f>AN_TME22[[#This Row],[TOTAL Non-Truncated Unadjusted Claims Expenses]]+AN_TME22[[#This Row],[TOTAL Non-Claims Expenses]]</f>
        <v>0</v>
      </c>
      <c r="AB81" s="472">
        <f>AN_TME22[[#This Row],[TOTAL Truncated Unadjusted Claims Expenses (A21 -A19)]]+AN_TME22[[#This Row],[TOTAL Non-Claims Expenses]]</f>
        <v>0</v>
      </c>
      <c r="AC81" s="474">
        <f>IFERROR(AN_TME22[[#This Row],[TOTAL Non-Truncated Unadjusted Expenses (A21 + A23)]]/AN_TME22[[#This Row],[Member Months]],0)</f>
        <v>0</v>
      </c>
      <c r="AD81" s="474">
        <f>IFERROR(AN_TME22[[#This Row],[TOTAL Truncated Unadjusted Expenses (A22 + A23)]]/AN_TME22[[#This Row],[Member Months]],0)</f>
        <v>0</v>
      </c>
      <c r="AE81" s="474">
        <f>IFERROR(AN_TME22[[#This Row],[Total Claims Excluded because of Truncation]]/AN_TME22[[#This Row],[Count of Members with Claims Truncated]], 0)</f>
        <v>0</v>
      </c>
      <c r="AF81" s="476">
        <f>IFERROR(AN_TME22[[#This Row],[Total Claims Excluded because of Truncation]]/AN_TME22[[#This Row],[TOTAL Non-Truncated Unadjusted Claims Expenses]], 0)</f>
        <v>0</v>
      </c>
    </row>
    <row r="82" spans="1:32" x14ac:dyDescent="0.25">
      <c r="A82" s="426"/>
      <c r="B82" s="427"/>
      <c r="C82" s="427"/>
      <c r="D82" s="428"/>
      <c r="E82" s="517"/>
      <c r="F82" s="429"/>
      <c r="G82" s="429"/>
      <c r="H82" s="429"/>
      <c r="I82" s="429"/>
      <c r="J82" s="429"/>
      <c r="K82" s="429"/>
      <c r="L82" s="429"/>
      <c r="M82" s="429"/>
      <c r="N82" s="429"/>
      <c r="O82" s="429"/>
      <c r="P82" s="429"/>
      <c r="Q82" s="429"/>
      <c r="R82" s="429"/>
      <c r="S82" s="429"/>
      <c r="T82" s="429"/>
      <c r="U82" s="429"/>
      <c r="V82" s="429"/>
      <c r="W82" s="430"/>
      <c r="X82" s="431">
        <f t="shared" si="4"/>
        <v>0</v>
      </c>
      <c r="Y82" s="431">
        <f>AN_TME22[[#This Row],[TOTAL Non-Truncated Unadjusted Claims Expenses]]-AN_TME22[[#This Row],[Total Claims Excluded because of Truncation]]</f>
        <v>0</v>
      </c>
      <c r="Z82" s="431">
        <f t="shared" si="5"/>
        <v>0</v>
      </c>
      <c r="AA82" s="431">
        <f>AN_TME22[[#This Row],[TOTAL Non-Truncated Unadjusted Claims Expenses]]+AN_TME22[[#This Row],[TOTAL Non-Claims Expenses]]</f>
        <v>0</v>
      </c>
      <c r="AB82" s="431">
        <f>AN_TME22[[#This Row],[TOTAL Truncated Unadjusted Claims Expenses (A21 -A19)]]+AN_TME22[[#This Row],[TOTAL Non-Claims Expenses]]</f>
        <v>0</v>
      </c>
      <c r="AC82" s="475">
        <f>IFERROR(AN_TME22[[#This Row],[TOTAL Non-Truncated Unadjusted Expenses (A21 + A23)]]/AN_TME22[[#This Row],[Member Months]],0)</f>
        <v>0</v>
      </c>
      <c r="AD82" s="475">
        <f>IFERROR(AN_TME22[[#This Row],[TOTAL Truncated Unadjusted Expenses (A22 + A23)]]/AN_TME22[[#This Row],[Member Months]],0)</f>
        <v>0</v>
      </c>
      <c r="AE82" s="475">
        <f>IFERROR(AN_TME22[[#This Row],[Total Claims Excluded because of Truncation]]/AN_TME22[[#This Row],[Count of Members with Claims Truncated]], 0)</f>
        <v>0</v>
      </c>
      <c r="AF82" s="476">
        <f>IFERROR(AN_TME22[[#This Row],[Total Claims Excluded because of Truncation]]/AN_TME22[[#This Row],[TOTAL Non-Truncated Unadjusted Claims Expenses]], 0)</f>
        <v>0</v>
      </c>
    </row>
    <row r="83" spans="1:32" x14ac:dyDescent="0.25">
      <c r="A83" s="420"/>
      <c r="B83" s="421"/>
      <c r="C83" s="421"/>
      <c r="D83" s="422"/>
      <c r="E83" s="517"/>
      <c r="F83" s="423"/>
      <c r="G83" s="423"/>
      <c r="H83" s="423"/>
      <c r="I83" s="423"/>
      <c r="J83" s="423"/>
      <c r="K83" s="423"/>
      <c r="L83" s="423"/>
      <c r="M83" s="423"/>
      <c r="N83" s="423"/>
      <c r="O83" s="423"/>
      <c r="P83" s="423"/>
      <c r="Q83" s="423"/>
      <c r="R83" s="423"/>
      <c r="S83" s="423"/>
      <c r="T83" s="423"/>
      <c r="U83" s="423"/>
      <c r="V83" s="423"/>
      <c r="W83" s="424"/>
      <c r="X83" s="425">
        <f t="shared" si="4"/>
        <v>0</v>
      </c>
      <c r="Y83" s="472">
        <f>AN_TME22[[#This Row],[TOTAL Non-Truncated Unadjusted Claims Expenses]]-AN_TME22[[#This Row],[Total Claims Excluded because of Truncation]]</f>
        <v>0</v>
      </c>
      <c r="Z83" s="425">
        <f t="shared" si="5"/>
        <v>0</v>
      </c>
      <c r="AA83" s="472">
        <f>AN_TME22[[#This Row],[TOTAL Non-Truncated Unadjusted Claims Expenses]]+AN_TME22[[#This Row],[TOTAL Non-Claims Expenses]]</f>
        <v>0</v>
      </c>
      <c r="AB83" s="472">
        <f>AN_TME22[[#This Row],[TOTAL Truncated Unadjusted Claims Expenses (A21 -A19)]]+AN_TME22[[#This Row],[TOTAL Non-Claims Expenses]]</f>
        <v>0</v>
      </c>
      <c r="AC83" s="474">
        <f>IFERROR(AN_TME22[[#This Row],[TOTAL Non-Truncated Unadjusted Expenses (A21 + A23)]]/AN_TME22[[#This Row],[Member Months]],0)</f>
        <v>0</v>
      </c>
      <c r="AD83" s="474">
        <f>IFERROR(AN_TME22[[#This Row],[TOTAL Truncated Unadjusted Expenses (A22 + A23)]]/AN_TME22[[#This Row],[Member Months]],0)</f>
        <v>0</v>
      </c>
      <c r="AE83" s="474">
        <f>IFERROR(AN_TME22[[#This Row],[Total Claims Excluded because of Truncation]]/AN_TME22[[#This Row],[Count of Members with Claims Truncated]], 0)</f>
        <v>0</v>
      </c>
      <c r="AF83" s="476">
        <f>IFERROR(AN_TME22[[#This Row],[Total Claims Excluded because of Truncation]]/AN_TME22[[#This Row],[TOTAL Non-Truncated Unadjusted Claims Expenses]], 0)</f>
        <v>0</v>
      </c>
    </row>
    <row r="84" spans="1:32" x14ac:dyDescent="0.25">
      <c r="A84" s="426"/>
      <c r="B84" s="427"/>
      <c r="C84" s="427"/>
      <c r="D84" s="428"/>
      <c r="E84" s="517"/>
      <c r="F84" s="429"/>
      <c r="G84" s="429"/>
      <c r="H84" s="429"/>
      <c r="I84" s="429"/>
      <c r="J84" s="429"/>
      <c r="K84" s="429"/>
      <c r="L84" s="429"/>
      <c r="M84" s="429"/>
      <c r="N84" s="429"/>
      <c r="O84" s="429"/>
      <c r="P84" s="429"/>
      <c r="Q84" s="429"/>
      <c r="R84" s="429"/>
      <c r="S84" s="429"/>
      <c r="T84" s="429"/>
      <c r="U84" s="429"/>
      <c r="V84" s="429"/>
      <c r="W84" s="430"/>
      <c r="X84" s="431">
        <f t="shared" si="4"/>
        <v>0</v>
      </c>
      <c r="Y84" s="431">
        <f>AN_TME22[[#This Row],[TOTAL Non-Truncated Unadjusted Claims Expenses]]-AN_TME22[[#This Row],[Total Claims Excluded because of Truncation]]</f>
        <v>0</v>
      </c>
      <c r="Z84" s="431">
        <f t="shared" si="5"/>
        <v>0</v>
      </c>
      <c r="AA84" s="431">
        <f>AN_TME22[[#This Row],[TOTAL Non-Truncated Unadjusted Claims Expenses]]+AN_TME22[[#This Row],[TOTAL Non-Claims Expenses]]</f>
        <v>0</v>
      </c>
      <c r="AB84" s="431">
        <f>AN_TME22[[#This Row],[TOTAL Truncated Unadjusted Claims Expenses (A21 -A19)]]+AN_TME22[[#This Row],[TOTAL Non-Claims Expenses]]</f>
        <v>0</v>
      </c>
      <c r="AC84" s="475">
        <f>IFERROR(AN_TME22[[#This Row],[TOTAL Non-Truncated Unadjusted Expenses (A21 + A23)]]/AN_TME22[[#This Row],[Member Months]],0)</f>
        <v>0</v>
      </c>
      <c r="AD84" s="475">
        <f>IFERROR(AN_TME22[[#This Row],[TOTAL Truncated Unadjusted Expenses (A22 + A23)]]/AN_TME22[[#This Row],[Member Months]],0)</f>
        <v>0</v>
      </c>
      <c r="AE84" s="475">
        <f>IFERROR(AN_TME22[[#This Row],[Total Claims Excluded because of Truncation]]/AN_TME22[[#This Row],[Count of Members with Claims Truncated]], 0)</f>
        <v>0</v>
      </c>
      <c r="AF84" s="476">
        <f>IFERROR(AN_TME22[[#This Row],[Total Claims Excluded because of Truncation]]/AN_TME22[[#This Row],[TOTAL Non-Truncated Unadjusted Claims Expenses]], 0)</f>
        <v>0</v>
      </c>
    </row>
    <row r="85" spans="1:32" x14ac:dyDescent="0.25">
      <c r="A85" s="420"/>
      <c r="B85" s="421"/>
      <c r="C85" s="421"/>
      <c r="D85" s="422"/>
      <c r="E85" s="517"/>
      <c r="F85" s="423"/>
      <c r="G85" s="423"/>
      <c r="H85" s="423"/>
      <c r="I85" s="423"/>
      <c r="J85" s="423"/>
      <c r="K85" s="423"/>
      <c r="L85" s="423"/>
      <c r="M85" s="423"/>
      <c r="N85" s="423"/>
      <c r="O85" s="423"/>
      <c r="P85" s="423"/>
      <c r="Q85" s="423"/>
      <c r="R85" s="423"/>
      <c r="S85" s="423"/>
      <c r="T85" s="423"/>
      <c r="U85" s="423"/>
      <c r="V85" s="423"/>
      <c r="W85" s="424"/>
      <c r="X85" s="425">
        <f t="shared" si="4"/>
        <v>0</v>
      </c>
      <c r="Y85" s="472">
        <f>AN_TME22[[#This Row],[TOTAL Non-Truncated Unadjusted Claims Expenses]]-AN_TME22[[#This Row],[Total Claims Excluded because of Truncation]]</f>
        <v>0</v>
      </c>
      <c r="Z85" s="425">
        <f t="shared" si="5"/>
        <v>0</v>
      </c>
      <c r="AA85" s="472">
        <f>AN_TME22[[#This Row],[TOTAL Non-Truncated Unadjusted Claims Expenses]]+AN_TME22[[#This Row],[TOTAL Non-Claims Expenses]]</f>
        <v>0</v>
      </c>
      <c r="AB85" s="472">
        <f>AN_TME22[[#This Row],[TOTAL Truncated Unadjusted Claims Expenses (A21 -A19)]]+AN_TME22[[#This Row],[TOTAL Non-Claims Expenses]]</f>
        <v>0</v>
      </c>
      <c r="AC85" s="474">
        <f>IFERROR(AN_TME22[[#This Row],[TOTAL Non-Truncated Unadjusted Expenses (A21 + A23)]]/AN_TME22[[#This Row],[Member Months]],0)</f>
        <v>0</v>
      </c>
      <c r="AD85" s="474">
        <f>IFERROR(AN_TME22[[#This Row],[TOTAL Truncated Unadjusted Expenses (A22 + A23)]]/AN_TME22[[#This Row],[Member Months]],0)</f>
        <v>0</v>
      </c>
      <c r="AE85" s="474">
        <f>IFERROR(AN_TME22[[#This Row],[Total Claims Excluded because of Truncation]]/AN_TME22[[#This Row],[Count of Members with Claims Truncated]], 0)</f>
        <v>0</v>
      </c>
      <c r="AF85" s="476">
        <f>IFERROR(AN_TME22[[#This Row],[Total Claims Excluded because of Truncation]]/AN_TME22[[#This Row],[TOTAL Non-Truncated Unadjusted Claims Expenses]], 0)</f>
        <v>0</v>
      </c>
    </row>
    <row r="86" spans="1:32" x14ac:dyDescent="0.25">
      <c r="A86" s="426"/>
      <c r="B86" s="427"/>
      <c r="C86" s="427"/>
      <c r="D86" s="428"/>
      <c r="E86" s="517"/>
      <c r="F86" s="429"/>
      <c r="G86" s="429"/>
      <c r="H86" s="429"/>
      <c r="I86" s="429"/>
      <c r="J86" s="429"/>
      <c r="K86" s="429"/>
      <c r="L86" s="429"/>
      <c r="M86" s="429"/>
      <c r="N86" s="429"/>
      <c r="O86" s="429"/>
      <c r="P86" s="429"/>
      <c r="Q86" s="429"/>
      <c r="R86" s="429"/>
      <c r="S86" s="429"/>
      <c r="T86" s="429"/>
      <c r="U86" s="429"/>
      <c r="V86" s="429"/>
      <c r="W86" s="430"/>
      <c r="X86" s="431">
        <f t="shared" si="4"/>
        <v>0</v>
      </c>
      <c r="Y86" s="431">
        <f>AN_TME22[[#This Row],[TOTAL Non-Truncated Unadjusted Claims Expenses]]-AN_TME22[[#This Row],[Total Claims Excluded because of Truncation]]</f>
        <v>0</v>
      </c>
      <c r="Z86" s="431">
        <f t="shared" si="5"/>
        <v>0</v>
      </c>
      <c r="AA86" s="431">
        <f>AN_TME22[[#This Row],[TOTAL Non-Truncated Unadjusted Claims Expenses]]+AN_TME22[[#This Row],[TOTAL Non-Claims Expenses]]</f>
        <v>0</v>
      </c>
      <c r="AB86" s="431">
        <f>AN_TME22[[#This Row],[TOTAL Truncated Unadjusted Claims Expenses (A21 -A19)]]+AN_TME22[[#This Row],[TOTAL Non-Claims Expenses]]</f>
        <v>0</v>
      </c>
      <c r="AC86" s="475">
        <f>IFERROR(AN_TME22[[#This Row],[TOTAL Non-Truncated Unadjusted Expenses (A21 + A23)]]/AN_TME22[[#This Row],[Member Months]],0)</f>
        <v>0</v>
      </c>
      <c r="AD86" s="475">
        <f>IFERROR(AN_TME22[[#This Row],[TOTAL Truncated Unadjusted Expenses (A22 + A23)]]/AN_TME22[[#This Row],[Member Months]],0)</f>
        <v>0</v>
      </c>
      <c r="AE86" s="475">
        <f>IFERROR(AN_TME22[[#This Row],[Total Claims Excluded because of Truncation]]/AN_TME22[[#This Row],[Count of Members with Claims Truncated]], 0)</f>
        <v>0</v>
      </c>
      <c r="AF86" s="476">
        <f>IFERROR(AN_TME22[[#This Row],[Total Claims Excluded because of Truncation]]/AN_TME22[[#This Row],[TOTAL Non-Truncated Unadjusted Claims Expenses]], 0)</f>
        <v>0</v>
      </c>
    </row>
    <row r="87" spans="1:32" x14ac:dyDescent="0.25">
      <c r="A87" s="420"/>
      <c r="B87" s="421"/>
      <c r="C87" s="421"/>
      <c r="D87" s="422"/>
      <c r="E87" s="517"/>
      <c r="F87" s="423"/>
      <c r="G87" s="423"/>
      <c r="H87" s="423"/>
      <c r="I87" s="423"/>
      <c r="J87" s="423"/>
      <c r="K87" s="423"/>
      <c r="L87" s="423"/>
      <c r="M87" s="423"/>
      <c r="N87" s="423"/>
      <c r="O87" s="423"/>
      <c r="P87" s="423"/>
      <c r="Q87" s="423"/>
      <c r="R87" s="423"/>
      <c r="S87" s="423"/>
      <c r="T87" s="423"/>
      <c r="U87" s="423"/>
      <c r="V87" s="423"/>
      <c r="W87" s="424"/>
      <c r="X87" s="425">
        <f t="shared" si="4"/>
        <v>0</v>
      </c>
      <c r="Y87" s="472">
        <f>AN_TME22[[#This Row],[TOTAL Non-Truncated Unadjusted Claims Expenses]]-AN_TME22[[#This Row],[Total Claims Excluded because of Truncation]]</f>
        <v>0</v>
      </c>
      <c r="Z87" s="425">
        <f t="shared" si="5"/>
        <v>0</v>
      </c>
      <c r="AA87" s="472">
        <f>AN_TME22[[#This Row],[TOTAL Non-Truncated Unadjusted Claims Expenses]]+AN_TME22[[#This Row],[TOTAL Non-Claims Expenses]]</f>
        <v>0</v>
      </c>
      <c r="AB87" s="472">
        <f>AN_TME22[[#This Row],[TOTAL Truncated Unadjusted Claims Expenses (A21 -A19)]]+AN_TME22[[#This Row],[TOTAL Non-Claims Expenses]]</f>
        <v>0</v>
      </c>
      <c r="AC87" s="474">
        <f>IFERROR(AN_TME22[[#This Row],[TOTAL Non-Truncated Unadjusted Expenses (A21 + A23)]]/AN_TME22[[#This Row],[Member Months]],0)</f>
        <v>0</v>
      </c>
      <c r="AD87" s="474">
        <f>IFERROR(AN_TME22[[#This Row],[TOTAL Truncated Unadjusted Expenses (A22 + A23)]]/AN_TME22[[#This Row],[Member Months]],0)</f>
        <v>0</v>
      </c>
      <c r="AE87" s="474">
        <f>IFERROR(AN_TME22[[#This Row],[Total Claims Excluded because of Truncation]]/AN_TME22[[#This Row],[Count of Members with Claims Truncated]], 0)</f>
        <v>0</v>
      </c>
      <c r="AF87" s="476">
        <f>IFERROR(AN_TME22[[#This Row],[Total Claims Excluded because of Truncation]]/AN_TME22[[#This Row],[TOTAL Non-Truncated Unadjusted Claims Expenses]], 0)</f>
        <v>0</v>
      </c>
    </row>
    <row r="88" spans="1:32" x14ac:dyDescent="0.25">
      <c r="A88" s="426"/>
      <c r="B88" s="427"/>
      <c r="C88" s="427"/>
      <c r="D88" s="428"/>
      <c r="E88" s="517"/>
      <c r="F88" s="429"/>
      <c r="G88" s="429"/>
      <c r="H88" s="429"/>
      <c r="I88" s="429"/>
      <c r="J88" s="429"/>
      <c r="K88" s="429"/>
      <c r="L88" s="429"/>
      <c r="M88" s="429"/>
      <c r="N88" s="429"/>
      <c r="O88" s="429"/>
      <c r="P88" s="429"/>
      <c r="Q88" s="429"/>
      <c r="R88" s="429"/>
      <c r="S88" s="429"/>
      <c r="T88" s="429"/>
      <c r="U88" s="429"/>
      <c r="V88" s="429"/>
      <c r="W88" s="430"/>
      <c r="X88" s="431">
        <f t="shared" si="4"/>
        <v>0</v>
      </c>
      <c r="Y88" s="431">
        <f>AN_TME22[[#This Row],[TOTAL Non-Truncated Unadjusted Claims Expenses]]-AN_TME22[[#This Row],[Total Claims Excluded because of Truncation]]</f>
        <v>0</v>
      </c>
      <c r="Z88" s="431">
        <f t="shared" si="5"/>
        <v>0</v>
      </c>
      <c r="AA88" s="431">
        <f>AN_TME22[[#This Row],[TOTAL Non-Truncated Unadjusted Claims Expenses]]+AN_TME22[[#This Row],[TOTAL Non-Claims Expenses]]</f>
        <v>0</v>
      </c>
      <c r="AB88" s="431">
        <f>AN_TME22[[#This Row],[TOTAL Truncated Unadjusted Claims Expenses (A21 -A19)]]+AN_TME22[[#This Row],[TOTAL Non-Claims Expenses]]</f>
        <v>0</v>
      </c>
      <c r="AC88" s="475">
        <f>IFERROR(AN_TME22[[#This Row],[TOTAL Non-Truncated Unadjusted Expenses (A21 + A23)]]/AN_TME22[[#This Row],[Member Months]],0)</f>
        <v>0</v>
      </c>
      <c r="AD88" s="475">
        <f>IFERROR(AN_TME22[[#This Row],[TOTAL Truncated Unadjusted Expenses (A22 + A23)]]/AN_TME22[[#This Row],[Member Months]],0)</f>
        <v>0</v>
      </c>
      <c r="AE88" s="475">
        <f>IFERROR(AN_TME22[[#This Row],[Total Claims Excluded because of Truncation]]/AN_TME22[[#This Row],[Count of Members with Claims Truncated]], 0)</f>
        <v>0</v>
      </c>
      <c r="AF88" s="476">
        <f>IFERROR(AN_TME22[[#This Row],[Total Claims Excluded because of Truncation]]/AN_TME22[[#This Row],[TOTAL Non-Truncated Unadjusted Claims Expenses]], 0)</f>
        <v>0</v>
      </c>
    </row>
    <row r="89" spans="1:32" x14ac:dyDescent="0.25">
      <c r="A89" s="420"/>
      <c r="B89" s="421"/>
      <c r="C89" s="421"/>
      <c r="D89" s="422"/>
      <c r="E89" s="517"/>
      <c r="F89" s="423"/>
      <c r="G89" s="423"/>
      <c r="H89" s="423"/>
      <c r="I89" s="423"/>
      <c r="J89" s="423"/>
      <c r="K89" s="423"/>
      <c r="L89" s="423"/>
      <c r="M89" s="423"/>
      <c r="N89" s="423"/>
      <c r="O89" s="423"/>
      <c r="P89" s="423"/>
      <c r="Q89" s="423"/>
      <c r="R89" s="423"/>
      <c r="S89" s="423"/>
      <c r="T89" s="423"/>
      <c r="U89" s="423"/>
      <c r="V89" s="423"/>
      <c r="W89" s="424"/>
      <c r="X89" s="425">
        <f t="shared" si="4"/>
        <v>0</v>
      </c>
      <c r="Y89" s="472">
        <f>AN_TME22[[#This Row],[TOTAL Non-Truncated Unadjusted Claims Expenses]]-AN_TME22[[#This Row],[Total Claims Excluded because of Truncation]]</f>
        <v>0</v>
      </c>
      <c r="Z89" s="425">
        <f t="shared" si="5"/>
        <v>0</v>
      </c>
      <c r="AA89" s="472">
        <f>AN_TME22[[#This Row],[TOTAL Non-Truncated Unadjusted Claims Expenses]]+AN_TME22[[#This Row],[TOTAL Non-Claims Expenses]]</f>
        <v>0</v>
      </c>
      <c r="AB89" s="472">
        <f>AN_TME22[[#This Row],[TOTAL Truncated Unadjusted Claims Expenses (A21 -A19)]]+AN_TME22[[#This Row],[TOTAL Non-Claims Expenses]]</f>
        <v>0</v>
      </c>
      <c r="AC89" s="474">
        <f>IFERROR(AN_TME22[[#This Row],[TOTAL Non-Truncated Unadjusted Expenses (A21 + A23)]]/AN_TME22[[#This Row],[Member Months]],0)</f>
        <v>0</v>
      </c>
      <c r="AD89" s="474">
        <f>IFERROR(AN_TME22[[#This Row],[TOTAL Truncated Unadjusted Expenses (A22 + A23)]]/AN_TME22[[#This Row],[Member Months]],0)</f>
        <v>0</v>
      </c>
      <c r="AE89" s="474">
        <f>IFERROR(AN_TME22[[#This Row],[Total Claims Excluded because of Truncation]]/AN_TME22[[#This Row],[Count of Members with Claims Truncated]], 0)</f>
        <v>0</v>
      </c>
      <c r="AF89" s="476">
        <f>IFERROR(AN_TME22[[#This Row],[Total Claims Excluded because of Truncation]]/AN_TME22[[#This Row],[TOTAL Non-Truncated Unadjusted Claims Expenses]], 0)</f>
        <v>0</v>
      </c>
    </row>
    <row r="90" spans="1:32" x14ac:dyDescent="0.25">
      <c r="A90" s="426"/>
      <c r="B90" s="427"/>
      <c r="C90" s="427"/>
      <c r="D90" s="428"/>
      <c r="E90" s="517"/>
      <c r="F90" s="429"/>
      <c r="G90" s="429"/>
      <c r="H90" s="429"/>
      <c r="I90" s="429"/>
      <c r="J90" s="429"/>
      <c r="K90" s="429"/>
      <c r="L90" s="429"/>
      <c r="M90" s="429"/>
      <c r="N90" s="429"/>
      <c r="O90" s="429"/>
      <c r="P90" s="429"/>
      <c r="Q90" s="429"/>
      <c r="R90" s="429"/>
      <c r="S90" s="429"/>
      <c r="T90" s="429"/>
      <c r="U90" s="429"/>
      <c r="V90" s="429"/>
      <c r="W90" s="430"/>
      <c r="X90" s="431">
        <f t="shared" si="4"/>
        <v>0</v>
      </c>
      <c r="Y90" s="431">
        <f>AN_TME22[[#This Row],[TOTAL Non-Truncated Unadjusted Claims Expenses]]-AN_TME22[[#This Row],[Total Claims Excluded because of Truncation]]</f>
        <v>0</v>
      </c>
      <c r="Z90" s="431">
        <f t="shared" si="5"/>
        <v>0</v>
      </c>
      <c r="AA90" s="431">
        <f>AN_TME22[[#This Row],[TOTAL Non-Truncated Unadjusted Claims Expenses]]+AN_TME22[[#This Row],[TOTAL Non-Claims Expenses]]</f>
        <v>0</v>
      </c>
      <c r="AB90" s="431">
        <f>AN_TME22[[#This Row],[TOTAL Truncated Unadjusted Claims Expenses (A21 -A19)]]+AN_TME22[[#This Row],[TOTAL Non-Claims Expenses]]</f>
        <v>0</v>
      </c>
      <c r="AC90" s="475">
        <f>IFERROR(AN_TME22[[#This Row],[TOTAL Non-Truncated Unadjusted Expenses (A21 + A23)]]/AN_TME22[[#This Row],[Member Months]],0)</f>
        <v>0</v>
      </c>
      <c r="AD90" s="475">
        <f>IFERROR(AN_TME22[[#This Row],[TOTAL Truncated Unadjusted Expenses (A22 + A23)]]/AN_TME22[[#This Row],[Member Months]],0)</f>
        <v>0</v>
      </c>
      <c r="AE90" s="475">
        <f>IFERROR(AN_TME22[[#This Row],[Total Claims Excluded because of Truncation]]/AN_TME22[[#This Row],[Count of Members with Claims Truncated]], 0)</f>
        <v>0</v>
      </c>
      <c r="AF90" s="476">
        <f>IFERROR(AN_TME22[[#This Row],[Total Claims Excluded because of Truncation]]/AN_TME22[[#This Row],[TOTAL Non-Truncated Unadjusted Claims Expenses]], 0)</f>
        <v>0</v>
      </c>
    </row>
    <row r="91" spans="1:32" x14ac:dyDescent="0.25">
      <c r="A91" s="420"/>
      <c r="B91" s="421"/>
      <c r="C91" s="421"/>
      <c r="D91" s="422"/>
      <c r="E91" s="517"/>
      <c r="F91" s="423"/>
      <c r="G91" s="423"/>
      <c r="H91" s="423"/>
      <c r="I91" s="423"/>
      <c r="J91" s="423"/>
      <c r="K91" s="423"/>
      <c r="L91" s="423"/>
      <c r="M91" s="423"/>
      <c r="N91" s="423"/>
      <c r="O91" s="423"/>
      <c r="P91" s="423"/>
      <c r="Q91" s="423"/>
      <c r="R91" s="423"/>
      <c r="S91" s="423"/>
      <c r="T91" s="423"/>
      <c r="U91" s="423"/>
      <c r="V91" s="423"/>
      <c r="W91" s="424"/>
      <c r="X91" s="425">
        <f t="shared" si="4"/>
        <v>0</v>
      </c>
      <c r="Y91" s="472">
        <f>AN_TME22[[#This Row],[TOTAL Non-Truncated Unadjusted Claims Expenses]]-AN_TME22[[#This Row],[Total Claims Excluded because of Truncation]]</f>
        <v>0</v>
      </c>
      <c r="Z91" s="425">
        <f t="shared" si="5"/>
        <v>0</v>
      </c>
      <c r="AA91" s="472">
        <f>AN_TME22[[#This Row],[TOTAL Non-Truncated Unadjusted Claims Expenses]]+AN_TME22[[#This Row],[TOTAL Non-Claims Expenses]]</f>
        <v>0</v>
      </c>
      <c r="AB91" s="472">
        <f>AN_TME22[[#This Row],[TOTAL Truncated Unadjusted Claims Expenses (A21 -A19)]]+AN_TME22[[#This Row],[TOTAL Non-Claims Expenses]]</f>
        <v>0</v>
      </c>
      <c r="AC91" s="474">
        <f>IFERROR(AN_TME22[[#This Row],[TOTAL Non-Truncated Unadjusted Expenses (A21 + A23)]]/AN_TME22[[#This Row],[Member Months]],0)</f>
        <v>0</v>
      </c>
      <c r="AD91" s="474">
        <f>IFERROR(AN_TME22[[#This Row],[TOTAL Truncated Unadjusted Expenses (A22 + A23)]]/AN_TME22[[#This Row],[Member Months]],0)</f>
        <v>0</v>
      </c>
      <c r="AE91" s="474">
        <f>IFERROR(AN_TME22[[#This Row],[Total Claims Excluded because of Truncation]]/AN_TME22[[#This Row],[Count of Members with Claims Truncated]], 0)</f>
        <v>0</v>
      </c>
      <c r="AF91" s="476">
        <f>IFERROR(AN_TME22[[#This Row],[Total Claims Excluded because of Truncation]]/AN_TME22[[#This Row],[TOTAL Non-Truncated Unadjusted Claims Expenses]], 0)</f>
        <v>0</v>
      </c>
    </row>
    <row r="92" spans="1:32" x14ac:dyDescent="0.25">
      <c r="A92" s="426"/>
      <c r="B92" s="427"/>
      <c r="C92" s="427"/>
      <c r="D92" s="428"/>
      <c r="E92" s="517"/>
      <c r="F92" s="429"/>
      <c r="G92" s="429"/>
      <c r="H92" s="429"/>
      <c r="I92" s="429"/>
      <c r="J92" s="429"/>
      <c r="K92" s="429"/>
      <c r="L92" s="429"/>
      <c r="M92" s="429"/>
      <c r="N92" s="429"/>
      <c r="O92" s="429"/>
      <c r="P92" s="429"/>
      <c r="Q92" s="429"/>
      <c r="R92" s="429"/>
      <c r="S92" s="429"/>
      <c r="T92" s="429"/>
      <c r="U92" s="429"/>
      <c r="V92" s="429"/>
      <c r="W92" s="430"/>
      <c r="X92" s="431">
        <f t="shared" si="4"/>
        <v>0</v>
      </c>
      <c r="Y92" s="431">
        <f>AN_TME22[[#This Row],[TOTAL Non-Truncated Unadjusted Claims Expenses]]-AN_TME22[[#This Row],[Total Claims Excluded because of Truncation]]</f>
        <v>0</v>
      </c>
      <c r="Z92" s="431">
        <f t="shared" si="5"/>
        <v>0</v>
      </c>
      <c r="AA92" s="431">
        <f>AN_TME22[[#This Row],[TOTAL Non-Truncated Unadjusted Claims Expenses]]+AN_TME22[[#This Row],[TOTAL Non-Claims Expenses]]</f>
        <v>0</v>
      </c>
      <c r="AB92" s="431">
        <f>AN_TME22[[#This Row],[TOTAL Truncated Unadjusted Claims Expenses (A21 -A19)]]+AN_TME22[[#This Row],[TOTAL Non-Claims Expenses]]</f>
        <v>0</v>
      </c>
      <c r="AC92" s="475">
        <f>IFERROR(AN_TME22[[#This Row],[TOTAL Non-Truncated Unadjusted Expenses (A21 + A23)]]/AN_TME22[[#This Row],[Member Months]],0)</f>
        <v>0</v>
      </c>
      <c r="AD92" s="475">
        <f>IFERROR(AN_TME22[[#This Row],[TOTAL Truncated Unadjusted Expenses (A22 + A23)]]/AN_TME22[[#This Row],[Member Months]],0)</f>
        <v>0</v>
      </c>
      <c r="AE92" s="475">
        <f>IFERROR(AN_TME22[[#This Row],[Total Claims Excluded because of Truncation]]/AN_TME22[[#This Row],[Count of Members with Claims Truncated]], 0)</f>
        <v>0</v>
      </c>
      <c r="AF92" s="476">
        <f>IFERROR(AN_TME22[[#This Row],[Total Claims Excluded because of Truncation]]/AN_TME22[[#This Row],[TOTAL Non-Truncated Unadjusted Claims Expenses]], 0)</f>
        <v>0</v>
      </c>
    </row>
    <row r="93" spans="1:32" x14ac:dyDescent="0.25">
      <c r="A93" s="420"/>
      <c r="B93" s="421"/>
      <c r="C93" s="421"/>
      <c r="D93" s="422"/>
      <c r="E93" s="517"/>
      <c r="F93" s="423"/>
      <c r="G93" s="423"/>
      <c r="H93" s="423"/>
      <c r="I93" s="423"/>
      <c r="J93" s="423"/>
      <c r="K93" s="423"/>
      <c r="L93" s="423"/>
      <c r="M93" s="423"/>
      <c r="N93" s="423"/>
      <c r="O93" s="423"/>
      <c r="P93" s="423"/>
      <c r="Q93" s="423"/>
      <c r="R93" s="423"/>
      <c r="S93" s="423"/>
      <c r="T93" s="423"/>
      <c r="U93" s="423"/>
      <c r="V93" s="423"/>
      <c r="W93" s="424"/>
      <c r="X93" s="425">
        <f t="shared" si="4"/>
        <v>0</v>
      </c>
      <c r="Y93" s="472">
        <f>AN_TME22[[#This Row],[TOTAL Non-Truncated Unadjusted Claims Expenses]]-AN_TME22[[#This Row],[Total Claims Excluded because of Truncation]]</f>
        <v>0</v>
      </c>
      <c r="Z93" s="425">
        <f t="shared" si="5"/>
        <v>0</v>
      </c>
      <c r="AA93" s="472">
        <f>AN_TME22[[#This Row],[TOTAL Non-Truncated Unadjusted Claims Expenses]]+AN_TME22[[#This Row],[TOTAL Non-Claims Expenses]]</f>
        <v>0</v>
      </c>
      <c r="AB93" s="472">
        <f>AN_TME22[[#This Row],[TOTAL Truncated Unadjusted Claims Expenses (A21 -A19)]]+AN_TME22[[#This Row],[TOTAL Non-Claims Expenses]]</f>
        <v>0</v>
      </c>
      <c r="AC93" s="474">
        <f>IFERROR(AN_TME22[[#This Row],[TOTAL Non-Truncated Unadjusted Expenses (A21 + A23)]]/AN_TME22[[#This Row],[Member Months]],0)</f>
        <v>0</v>
      </c>
      <c r="AD93" s="474">
        <f>IFERROR(AN_TME22[[#This Row],[TOTAL Truncated Unadjusted Expenses (A22 + A23)]]/AN_TME22[[#This Row],[Member Months]],0)</f>
        <v>0</v>
      </c>
      <c r="AE93" s="474">
        <f>IFERROR(AN_TME22[[#This Row],[Total Claims Excluded because of Truncation]]/AN_TME22[[#This Row],[Count of Members with Claims Truncated]], 0)</f>
        <v>0</v>
      </c>
      <c r="AF93" s="476">
        <f>IFERROR(AN_TME22[[#This Row],[Total Claims Excluded because of Truncation]]/AN_TME22[[#This Row],[TOTAL Non-Truncated Unadjusted Claims Expenses]], 0)</f>
        <v>0</v>
      </c>
    </row>
    <row r="94" spans="1:32" x14ac:dyDescent="0.25">
      <c r="A94" s="426"/>
      <c r="B94" s="427"/>
      <c r="C94" s="427"/>
      <c r="D94" s="428"/>
      <c r="E94" s="517"/>
      <c r="F94" s="429"/>
      <c r="G94" s="429"/>
      <c r="H94" s="429"/>
      <c r="I94" s="429"/>
      <c r="J94" s="429"/>
      <c r="K94" s="429"/>
      <c r="L94" s="429"/>
      <c r="M94" s="429"/>
      <c r="N94" s="429"/>
      <c r="O94" s="429"/>
      <c r="P94" s="429"/>
      <c r="Q94" s="429"/>
      <c r="R94" s="429"/>
      <c r="S94" s="429"/>
      <c r="T94" s="429"/>
      <c r="U94" s="429"/>
      <c r="V94" s="429"/>
      <c r="W94" s="430"/>
      <c r="X94" s="431">
        <f t="shared" si="4"/>
        <v>0</v>
      </c>
      <c r="Y94" s="431">
        <f>AN_TME22[[#This Row],[TOTAL Non-Truncated Unadjusted Claims Expenses]]-AN_TME22[[#This Row],[Total Claims Excluded because of Truncation]]</f>
        <v>0</v>
      </c>
      <c r="Z94" s="431">
        <f t="shared" si="5"/>
        <v>0</v>
      </c>
      <c r="AA94" s="431">
        <f>AN_TME22[[#This Row],[TOTAL Non-Truncated Unadjusted Claims Expenses]]+AN_TME22[[#This Row],[TOTAL Non-Claims Expenses]]</f>
        <v>0</v>
      </c>
      <c r="AB94" s="431">
        <f>AN_TME22[[#This Row],[TOTAL Truncated Unadjusted Claims Expenses (A21 -A19)]]+AN_TME22[[#This Row],[TOTAL Non-Claims Expenses]]</f>
        <v>0</v>
      </c>
      <c r="AC94" s="475">
        <f>IFERROR(AN_TME22[[#This Row],[TOTAL Non-Truncated Unadjusted Expenses (A21 + A23)]]/AN_TME22[[#This Row],[Member Months]],0)</f>
        <v>0</v>
      </c>
      <c r="AD94" s="475">
        <f>IFERROR(AN_TME22[[#This Row],[TOTAL Truncated Unadjusted Expenses (A22 + A23)]]/AN_TME22[[#This Row],[Member Months]],0)</f>
        <v>0</v>
      </c>
      <c r="AE94" s="475">
        <f>IFERROR(AN_TME22[[#This Row],[Total Claims Excluded because of Truncation]]/AN_TME22[[#This Row],[Count of Members with Claims Truncated]], 0)</f>
        <v>0</v>
      </c>
      <c r="AF94" s="476">
        <f>IFERROR(AN_TME22[[#This Row],[Total Claims Excluded because of Truncation]]/AN_TME22[[#This Row],[TOTAL Non-Truncated Unadjusted Claims Expenses]], 0)</f>
        <v>0</v>
      </c>
    </row>
    <row r="95" spans="1:32" x14ac:dyDescent="0.25">
      <c r="A95" s="420"/>
      <c r="B95" s="421"/>
      <c r="C95" s="421"/>
      <c r="D95" s="422"/>
      <c r="E95" s="517"/>
      <c r="F95" s="423"/>
      <c r="G95" s="423"/>
      <c r="H95" s="423"/>
      <c r="I95" s="423"/>
      <c r="J95" s="423"/>
      <c r="K95" s="423"/>
      <c r="L95" s="423"/>
      <c r="M95" s="423"/>
      <c r="N95" s="423"/>
      <c r="O95" s="423"/>
      <c r="P95" s="423"/>
      <c r="Q95" s="423"/>
      <c r="R95" s="423"/>
      <c r="S95" s="423"/>
      <c r="T95" s="423"/>
      <c r="U95" s="423"/>
      <c r="V95" s="423"/>
      <c r="W95" s="424"/>
      <c r="X95" s="425">
        <f t="shared" si="4"/>
        <v>0</v>
      </c>
      <c r="Y95" s="472">
        <f>AN_TME22[[#This Row],[TOTAL Non-Truncated Unadjusted Claims Expenses]]-AN_TME22[[#This Row],[Total Claims Excluded because of Truncation]]</f>
        <v>0</v>
      </c>
      <c r="Z95" s="425">
        <f t="shared" si="5"/>
        <v>0</v>
      </c>
      <c r="AA95" s="472">
        <f>AN_TME22[[#This Row],[TOTAL Non-Truncated Unadjusted Claims Expenses]]+AN_TME22[[#This Row],[TOTAL Non-Claims Expenses]]</f>
        <v>0</v>
      </c>
      <c r="AB95" s="472">
        <f>AN_TME22[[#This Row],[TOTAL Truncated Unadjusted Claims Expenses (A21 -A19)]]+AN_TME22[[#This Row],[TOTAL Non-Claims Expenses]]</f>
        <v>0</v>
      </c>
      <c r="AC95" s="474">
        <f>IFERROR(AN_TME22[[#This Row],[TOTAL Non-Truncated Unadjusted Expenses (A21 + A23)]]/AN_TME22[[#This Row],[Member Months]],0)</f>
        <v>0</v>
      </c>
      <c r="AD95" s="474">
        <f>IFERROR(AN_TME22[[#This Row],[TOTAL Truncated Unadjusted Expenses (A22 + A23)]]/AN_TME22[[#This Row],[Member Months]],0)</f>
        <v>0</v>
      </c>
      <c r="AE95" s="474">
        <f>IFERROR(AN_TME22[[#This Row],[Total Claims Excluded because of Truncation]]/AN_TME22[[#This Row],[Count of Members with Claims Truncated]], 0)</f>
        <v>0</v>
      </c>
      <c r="AF95" s="476">
        <f>IFERROR(AN_TME22[[#This Row],[Total Claims Excluded because of Truncation]]/AN_TME22[[#This Row],[TOTAL Non-Truncated Unadjusted Claims Expenses]], 0)</f>
        <v>0</v>
      </c>
    </row>
    <row r="96" spans="1:32" x14ac:dyDescent="0.25">
      <c r="A96" s="426"/>
      <c r="B96" s="427"/>
      <c r="C96" s="427"/>
      <c r="D96" s="428"/>
      <c r="E96" s="517"/>
      <c r="F96" s="429"/>
      <c r="G96" s="429"/>
      <c r="H96" s="429"/>
      <c r="I96" s="429"/>
      <c r="J96" s="429"/>
      <c r="K96" s="429"/>
      <c r="L96" s="429"/>
      <c r="M96" s="429"/>
      <c r="N96" s="429"/>
      <c r="O96" s="429"/>
      <c r="P96" s="429"/>
      <c r="Q96" s="429"/>
      <c r="R96" s="429"/>
      <c r="S96" s="429"/>
      <c r="T96" s="429"/>
      <c r="U96" s="429"/>
      <c r="V96" s="429"/>
      <c r="W96" s="430"/>
      <c r="X96" s="431">
        <f t="shared" si="4"/>
        <v>0</v>
      </c>
      <c r="Y96" s="431">
        <f>AN_TME22[[#This Row],[TOTAL Non-Truncated Unadjusted Claims Expenses]]-AN_TME22[[#This Row],[Total Claims Excluded because of Truncation]]</f>
        <v>0</v>
      </c>
      <c r="Z96" s="431">
        <f t="shared" si="5"/>
        <v>0</v>
      </c>
      <c r="AA96" s="431">
        <f>AN_TME22[[#This Row],[TOTAL Non-Truncated Unadjusted Claims Expenses]]+AN_TME22[[#This Row],[TOTAL Non-Claims Expenses]]</f>
        <v>0</v>
      </c>
      <c r="AB96" s="431">
        <f>AN_TME22[[#This Row],[TOTAL Truncated Unadjusted Claims Expenses (A21 -A19)]]+AN_TME22[[#This Row],[TOTAL Non-Claims Expenses]]</f>
        <v>0</v>
      </c>
      <c r="AC96" s="475">
        <f>IFERROR(AN_TME22[[#This Row],[TOTAL Non-Truncated Unadjusted Expenses (A21 + A23)]]/AN_TME22[[#This Row],[Member Months]],0)</f>
        <v>0</v>
      </c>
      <c r="AD96" s="475">
        <f>IFERROR(AN_TME22[[#This Row],[TOTAL Truncated Unadjusted Expenses (A22 + A23)]]/AN_TME22[[#This Row],[Member Months]],0)</f>
        <v>0</v>
      </c>
      <c r="AE96" s="475">
        <f>IFERROR(AN_TME22[[#This Row],[Total Claims Excluded because of Truncation]]/AN_TME22[[#This Row],[Count of Members with Claims Truncated]], 0)</f>
        <v>0</v>
      </c>
      <c r="AF96" s="476">
        <f>IFERROR(AN_TME22[[#This Row],[Total Claims Excluded because of Truncation]]/AN_TME22[[#This Row],[TOTAL Non-Truncated Unadjusted Claims Expenses]], 0)</f>
        <v>0</v>
      </c>
    </row>
    <row r="97" spans="1:32" x14ac:dyDescent="0.25">
      <c r="A97" s="420"/>
      <c r="B97" s="421"/>
      <c r="C97" s="421"/>
      <c r="D97" s="422"/>
      <c r="E97" s="517"/>
      <c r="F97" s="423"/>
      <c r="G97" s="423"/>
      <c r="H97" s="423"/>
      <c r="I97" s="423"/>
      <c r="J97" s="423"/>
      <c r="K97" s="423"/>
      <c r="L97" s="423"/>
      <c r="M97" s="423"/>
      <c r="N97" s="423"/>
      <c r="O97" s="423"/>
      <c r="P97" s="423"/>
      <c r="Q97" s="423"/>
      <c r="R97" s="423"/>
      <c r="S97" s="423"/>
      <c r="T97" s="423"/>
      <c r="U97" s="423"/>
      <c r="V97" s="423"/>
      <c r="W97" s="424"/>
      <c r="X97" s="425">
        <f t="shared" si="4"/>
        <v>0</v>
      </c>
      <c r="Y97" s="472">
        <f>AN_TME22[[#This Row],[TOTAL Non-Truncated Unadjusted Claims Expenses]]-AN_TME22[[#This Row],[Total Claims Excluded because of Truncation]]</f>
        <v>0</v>
      </c>
      <c r="Z97" s="425">
        <f t="shared" si="5"/>
        <v>0</v>
      </c>
      <c r="AA97" s="472">
        <f>AN_TME22[[#This Row],[TOTAL Non-Truncated Unadjusted Claims Expenses]]+AN_TME22[[#This Row],[TOTAL Non-Claims Expenses]]</f>
        <v>0</v>
      </c>
      <c r="AB97" s="472">
        <f>AN_TME22[[#This Row],[TOTAL Truncated Unadjusted Claims Expenses (A21 -A19)]]+AN_TME22[[#This Row],[TOTAL Non-Claims Expenses]]</f>
        <v>0</v>
      </c>
      <c r="AC97" s="474">
        <f>IFERROR(AN_TME22[[#This Row],[TOTAL Non-Truncated Unadjusted Expenses (A21 + A23)]]/AN_TME22[[#This Row],[Member Months]],0)</f>
        <v>0</v>
      </c>
      <c r="AD97" s="474">
        <f>IFERROR(AN_TME22[[#This Row],[TOTAL Truncated Unadjusted Expenses (A22 + A23)]]/AN_TME22[[#This Row],[Member Months]],0)</f>
        <v>0</v>
      </c>
      <c r="AE97" s="474">
        <f>IFERROR(AN_TME22[[#This Row],[Total Claims Excluded because of Truncation]]/AN_TME22[[#This Row],[Count of Members with Claims Truncated]], 0)</f>
        <v>0</v>
      </c>
      <c r="AF97" s="476">
        <f>IFERROR(AN_TME22[[#This Row],[Total Claims Excluded because of Truncation]]/AN_TME22[[#This Row],[TOTAL Non-Truncated Unadjusted Claims Expenses]], 0)</f>
        <v>0</v>
      </c>
    </row>
    <row r="98" spans="1:32" x14ac:dyDescent="0.25">
      <c r="A98" s="426"/>
      <c r="B98" s="427"/>
      <c r="C98" s="427"/>
      <c r="D98" s="428"/>
      <c r="E98" s="517"/>
      <c r="F98" s="429"/>
      <c r="G98" s="429"/>
      <c r="H98" s="429"/>
      <c r="I98" s="429"/>
      <c r="J98" s="429"/>
      <c r="K98" s="429"/>
      <c r="L98" s="429"/>
      <c r="M98" s="429"/>
      <c r="N98" s="429"/>
      <c r="O98" s="429"/>
      <c r="P98" s="429"/>
      <c r="Q98" s="429"/>
      <c r="R98" s="429"/>
      <c r="S98" s="429"/>
      <c r="T98" s="429"/>
      <c r="U98" s="429"/>
      <c r="V98" s="429"/>
      <c r="W98" s="430"/>
      <c r="X98" s="431">
        <f t="shared" si="4"/>
        <v>0</v>
      </c>
      <c r="Y98" s="431">
        <f>AN_TME22[[#This Row],[TOTAL Non-Truncated Unadjusted Claims Expenses]]-AN_TME22[[#This Row],[Total Claims Excluded because of Truncation]]</f>
        <v>0</v>
      </c>
      <c r="Z98" s="431">
        <f t="shared" si="5"/>
        <v>0</v>
      </c>
      <c r="AA98" s="431">
        <f>AN_TME22[[#This Row],[TOTAL Non-Truncated Unadjusted Claims Expenses]]+AN_TME22[[#This Row],[TOTAL Non-Claims Expenses]]</f>
        <v>0</v>
      </c>
      <c r="AB98" s="431">
        <f>AN_TME22[[#This Row],[TOTAL Truncated Unadjusted Claims Expenses (A21 -A19)]]+AN_TME22[[#This Row],[TOTAL Non-Claims Expenses]]</f>
        <v>0</v>
      </c>
      <c r="AC98" s="475">
        <f>IFERROR(AN_TME22[[#This Row],[TOTAL Non-Truncated Unadjusted Expenses (A21 + A23)]]/AN_TME22[[#This Row],[Member Months]],0)</f>
        <v>0</v>
      </c>
      <c r="AD98" s="475">
        <f>IFERROR(AN_TME22[[#This Row],[TOTAL Truncated Unadjusted Expenses (A22 + A23)]]/AN_TME22[[#This Row],[Member Months]],0)</f>
        <v>0</v>
      </c>
      <c r="AE98" s="475">
        <f>IFERROR(AN_TME22[[#This Row],[Total Claims Excluded because of Truncation]]/AN_TME22[[#This Row],[Count of Members with Claims Truncated]], 0)</f>
        <v>0</v>
      </c>
      <c r="AF98" s="476">
        <f>IFERROR(AN_TME22[[#This Row],[Total Claims Excluded because of Truncation]]/AN_TME22[[#This Row],[TOTAL Non-Truncated Unadjusted Claims Expenses]], 0)</f>
        <v>0</v>
      </c>
    </row>
    <row r="99" spans="1:32" x14ac:dyDescent="0.25">
      <c r="A99" s="420"/>
      <c r="B99" s="421"/>
      <c r="C99" s="421"/>
      <c r="D99" s="422"/>
      <c r="E99" s="517"/>
      <c r="F99" s="423"/>
      <c r="G99" s="423"/>
      <c r="H99" s="423"/>
      <c r="I99" s="423"/>
      <c r="J99" s="423"/>
      <c r="K99" s="423"/>
      <c r="L99" s="423"/>
      <c r="M99" s="423"/>
      <c r="N99" s="423"/>
      <c r="O99" s="423"/>
      <c r="P99" s="423"/>
      <c r="Q99" s="423"/>
      <c r="R99" s="423"/>
      <c r="S99" s="423"/>
      <c r="T99" s="423"/>
      <c r="U99" s="423"/>
      <c r="V99" s="423"/>
      <c r="W99" s="424"/>
      <c r="X99" s="425">
        <f t="shared" si="4"/>
        <v>0</v>
      </c>
      <c r="Y99" s="472">
        <f>AN_TME22[[#This Row],[TOTAL Non-Truncated Unadjusted Claims Expenses]]-AN_TME22[[#This Row],[Total Claims Excluded because of Truncation]]</f>
        <v>0</v>
      </c>
      <c r="Z99" s="425">
        <f t="shared" si="5"/>
        <v>0</v>
      </c>
      <c r="AA99" s="472">
        <f>AN_TME22[[#This Row],[TOTAL Non-Truncated Unadjusted Claims Expenses]]+AN_TME22[[#This Row],[TOTAL Non-Claims Expenses]]</f>
        <v>0</v>
      </c>
      <c r="AB99" s="472">
        <f>AN_TME22[[#This Row],[TOTAL Truncated Unadjusted Claims Expenses (A21 -A19)]]+AN_TME22[[#This Row],[TOTAL Non-Claims Expenses]]</f>
        <v>0</v>
      </c>
      <c r="AC99" s="474">
        <f>IFERROR(AN_TME22[[#This Row],[TOTAL Non-Truncated Unadjusted Expenses (A21 + A23)]]/AN_TME22[[#This Row],[Member Months]],0)</f>
        <v>0</v>
      </c>
      <c r="AD99" s="474">
        <f>IFERROR(AN_TME22[[#This Row],[TOTAL Truncated Unadjusted Expenses (A22 + A23)]]/AN_TME22[[#This Row],[Member Months]],0)</f>
        <v>0</v>
      </c>
      <c r="AE99" s="474">
        <f>IFERROR(AN_TME22[[#This Row],[Total Claims Excluded because of Truncation]]/AN_TME22[[#This Row],[Count of Members with Claims Truncated]], 0)</f>
        <v>0</v>
      </c>
      <c r="AF99" s="476">
        <f>IFERROR(AN_TME22[[#This Row],[Total Claims Excluded because of Truncation]]/AN_TME22[[#This Row],[TOTAL Non-Truncated Unadjusted Claims Expenses]], 0)</f>
        <v>0</v>
      </c>
    </row>
    <row r="100" spans="1:32" x14ac:dyDescent="0.25">
      <c r="A100" s="426"/>
      <c r="B100" s="427"/>
      <c r="C100" s="427"/>
      <c r="D100" s="428"/>
      <c r="E100" s="517"/>
      <c r="F100" s="429"/>
      <c r="G100" s="429"/>
      <c r="H100" s="429"/>
      <c r="I100" s="429"/>
      <c r="J100" s="429"/>
      <c r="K100" s="429"/>
      <c r="L100" s="429"/>
      <c r="M100" s="429"/>
      <c r="N100" s="429"/>
      <c r="O100" s="429"/>
      <c r="P100" s="429"/>
      <c r="Q100" s="429"/>
      <c r="R100" s="429"/>
      <c r="S100" s="429"/>
      <c r="T100" s="429"/>
      <c r="U100" s="429"/>
      <c r="V100" s="429"/>
      <c r="W100" s="430"/>
      <c r="X100" s="431">
        <f t="shared" si="4"/>
        <v>0</v>
      </c>
      <c r="Y100" s="431">
        <f>AN_TME22[[#This Row],[TOTAL Non-Truncated Unadjusted Claims Expenses]]-AN_TME22[[#This Row],[Total Claims Excluded because of Truncation]]</f>
        <v>0</v>
      </c>
      <c r="Z100" s="431">
        <f t="shared" si="5"/>
        <v>0</v>
      </c>
      <c r="AA100" s="431">
        <f>AN_TME22[[#This Row],[TOTAL Non-Truncated Unadjusted Claims Expenses]]+AN_TME22[[#This Row],[TOTAL Non-Claims Expenses]]</f>
        <v>0</v>
      </c>
      <c r="AB100" s="431">
        <f>AN_TME22[[#This Row],[TOTAL Truncated Unadjusted Claims Expenses (A21 -A19)]]+AN_TME22[[#This Row],[TOTAL Non-Claims Expenses]]</f>
        <v>0</v>
      </c>
      <c r="AC100" s="475">
        <f>IFERROR(AN_TME22[[#This Row],[TOTAL Non-Truncated Unadjusted Expenses (A21 + A23)]]/AN_TME22[[#This Row],[Member Months]],0)</f>
        <v>0</v>
      </c>
      <c r="AD100" s="475">
        <f>IFERROR(AN_TME22[[#This Row],[TOTAL Truncated Unadjusted Expenses (A22 + A23)]]/AN_TME22[[#This Row],[Member Months]],0)</f>
        <v>0</v>
      </c>
      <c r="AE100" s="475">
        <f>IFERROR(AN_TME22[[#This Row],[Total Claims Excluded because of Truncation]]/AN_TME22[[#This Row],[Count of Members with Claims Truncated]], 0)</f>
        <v>0</v>
      </c>
      <c r="AF100" s="476">
        <f>IFERROR(AN_TME22[[#This Row],[Total Claims Excluded because of Truncation]]/AN_TME22[[#This Row],[TOTAL Non-Truncated Unadjusted Claims Expenses]], 0)</f>
        <v>0</v>
      </c>
    </row>
    <row r="101" spans="1:32" x14ac:dyDescent="0.25">
      <c r="A101" s="420"/>
      <c r="B101" s="421"/>
      <c r="C101" s="421"/>
      <c r="D101" s="422"/>
      <c r="E101" s="517"/>
      <c r="F101" s="423"/>
      <c r="G101" s="423"/>
      <c r="H101" s="423"/>
      <c r="I101" s="423"/>
      <c r="J101" s="423"/>
      <c r="K101" s="423"/>
      <c r="L101" s="423"/>
      <c r="M101" s="423"/>
      <c r="N101" s="423"/>
      <c r="O101" s="423"/>
      <c r="P101" s="423"/>
      <c r="Q101" s="423"/>
      <c r="R101" s="423"/>
      <c r="S101" s="423"/>
      <c r="T101" s="423"/>
      <c r="U101" s="423"/>
      <c r="V101" s="423"/>
      <c r="W101" s="424"/>
      <c r="X101" s="425">
        <f t="shared" si="4"/>
        <v>0</v>
      </c>
      <c r="Y101" s="472">
        <f>AN_TME22[[#This Row],[TOTAL Non-Truncated Unadjusted Claims Expenses]]-AN_TME22[[#This Row],[Total Claims Excluded because of Truncation]]</f>
        <v>0</v>
      </c>
      <c r="Z101" s="425">
        <f t="shared" si="5"/>
        <v>0</v>
      </c>
      <c r="AA101" s="472">
        <f>AN_TME22[[#This Row],[TOTAL Non-Truncated Unadjusted Claims Expenses]]+AN_TME22[[#This Row],[TOTAL Non-Claims Expenses]]</f>
        <v>0</v>
      </c>
      <c r="AB101" s="472">
        <f>AN_TME22[[#This Row],[TOTAL Truncated Unadjusted Claims Expenses (A21 -A19)]]+AN_TME22[[#This Row],[TOTAL Non-Claims Expenses]]</f>
        <v>0</v>
      </c>
      <c r="AC101" s="474">
        <f>IFERROR(AN_TME22[[#This Row],[TOTAL Non-Truncated Unadjusted Expenses (A21 + A23)]]/AN_TME22[[#This Row],[Member Months]],0)</f>
        <v>0</v>
      </c>
      <c r="AD101" s="474">
        <f>IFERROR(AN_TME22[[#This Row],[TOTAL Truncated Unadjusted Expenses (A22 + A23)]]/AN_TME22[[#This Row],[Member Months]],0)</f>
        <v>0</v>
      </c>
      <c r="AE101" s="474">
        <f>IFERROR(AN_TME22[[#This Row],[Total Claims Excluded because of Truncation]]/AN_TME22[[#This Row],[Count of Members with Claims Truncated]], 0)</f>
        <v>0</v>
      </c>
      <c r="AF101" s="476">
        <f>IFERROR(AN_TME22[[#This Row],[Total Claims Excluded because of Truncation]]/AN_TME22[[#This Row],[TOTAL Non-Truncated Unadjusted Claims Expenses]], 0)</f>
        <v>0</v>
      </c>
    </row>
    <row r="102" spans="1:32" x14ac:dyDescent="0.25">
      <c r="A102" s="426"/>
      <c r="B102" s="427"/>
      <c r="C102" s="427"/>
      <c r="D102" s="428"/>
      <c r="E102" s="517"/>
      <c r="F102" s="429"/>
      <c r="G102" s="429"/>
      <c r="H102" s="429"/>
      <c r="I102" s="429"/>
      <c r="J102" s="429"/>
      <c r="K102" s="429"/>
      <c r="L102" s="429"/>
      <c r="M102" s="429"/>
      <c r="N102" s="429"/>
      <c r="O102" s="429"/>
      <c r="P102" s="429"/>
      <c r="Q102" s="429"/>
      <c r="R102" s="429"/>
      <c r="S102" s="429"/>
      <c r="T102" s="429"/>
      <c r="U102" s="429"/>
      <c r="V102" s="429"/>
      <c r="W102" s="430"/>
      <c r="X102" s="431">
        <f t="shared" si="4"/>
        <v>0</v>
      </c>
      <c r="Y102" s="431">
        <f>AN_TME22[[#This Row],[TOTAL Non-Truncated Unadjusted Claims Expenses]]-AN_TME22[[#This Row],[Total Claims Excluded because of Truncation]]</f>
        <v>0</v>
      </c>
      <c r="Z102" s="431">
        <f t="shared" si="5"/>
        <v>0</v>
      </c>
      <c r="AA102" s="431">
        <f>AN_TME22[[#This Row],[TOTAL Non-Truncated Unadjusted Claims Expenses]]+AN_TME22[[#This Row],[TOTAL Non-Claims Expenses]]</f>
        <v>0</v>
      </c>
      <c r="AB102" s="431">
        <f>AN_TME22[[#This Row],[TOTAL Truncated Unadjusted Claims Expenses (A21 -A19)]]+AN_TME22[[#This Row],[TOTAL Non-Claims Expenses]]</f>
        <v>0</v>
      </c>
      <c r="AC102" s="475">
        <f>IFERROR(AN_TME22[[#This Row],[TOTAL Non-Truncated Unadjusted Expenses (A21 + A23)]]/AN_TME22[[#This Row],[Member Months]],0)</f>
        <v>0</v>
      </c>
      <c r="AD102" s="475">
        <f>IFERROR(AN_TME22[[#This Row],[TOTAL Truncated Unadjusted Expenses (A22 + A23)]]/AN_TME22[[#This Row],[Member Months]],0)</f>
        <v>0</v>
      </c>
      <c r="AE102" s="475">
        <f>IFERROR(AN_TME22[[#This Row],[Total Claims Excluded because of Truncation]]/AN_TME22[[#This Row],[Count of Members with Claims Truncated]], 0)</f>
        <v>0</v>
      </c>
      <c r="AF102" s="476">
        <f>IFERROR(AN_TME22[[#This Row],[Total Claims Excluded because of Truncation]]/AN_TME22[[#This Row],[TOTAL Non-Truncated Unadjusted Claims Expenses]], 0)</f>
        <v>0</v>
      </c>
    </row>
    <row r="103" spans="1:32" x14ac:dyDescent="0.25">
      <c r="A103" s="420"/>
      <c r="B103" s="421"/>
      <c r="C103" s="421"/>
      <c r="D103" s="422"/>
      <c r="E103" s="517"/>
      <c r="F103" s="423"/>
      <c r="G103" s="423"/>
      <c r="H103" s="423"/>
      <c r="I103" s="423"/>
      <c r="J103" s="423"/>
      <c r="K103" s="423"/>
      <c r="L103" s="423"/>
      <c r="M103" s="423"/>
      <c r="N103" s="423"/>
      <c r="O103" s="423"/>
      <c r="P103" s="423"/>
      <c r="Q103" s="423"/>
      <c r="R103" s="423"/>
      <c r="S103" s="423"/>
      <c r="T103" s="423"/>
      <c r="U103" s="423"/>
      <c r="V103" s="423"/>
      <c r="W103" s="424"/>
      <c r="X103" s="425">
        <f t="shared" si="4"/>
        <v>0</v>
      </c>
      <c r="Y103" s="472">
        <f>AN_TME22[[#This Row],[TOTAL Non-Truncated Unadjusted Claims Expenses]]-AN_TME22[[#This Row],[Total Claims Excluded because of Truncation]]</f>
        <v>0</v>
      </c>
      <c r="Z103" s="425">
        <f t="shared" si="5"/>
        <v>0</v>
      </c>
      <c r="AA103" s="472">
        <f>AN_TME22[[#This Row],[TOTAL Non-Truncated Unadjusted Claims Expenses]]+AN_TME22[[#This Row],[TOTAL Non-Claims Expenses]]</f>
        <v>0</v>
      </c>
      <c r="AB103" s="472">
        <f>AN_TME22[[#This Row],[TOTAL Truncated Unadjusted Claims Expenses (A21 -A19)]]+AN_TME22[[#This Row],[TOTAL Non-Claims Expenses]]</f>
        <v>0</v>
      </c>
      <c r="AC103" s="474">
        <f>IFERROR(AN_TME22[[#This Row],[TOTAL Non-Truncated Unadjusted Expenses (A21 + A23)]]/AN_TME22[[#This Row],[Member Months]],0)</f>
        <v>0</v>
      </c>
      <c r="AD103" s="474">
        <f>IFERROR(AN_TME22[[#This Row],[TOTAL Truncated Unadjusted Expenses (A22 + A23)]]/AN_TME22[[#This Row],[Member Months]],0)</f>
        <v>0</v>
      </c>
      <c r="AE103" s="474">
        <f>IFERROR(AN_TME22[[#This Row],[Total Claims Excluded because of Truncation]]/AN_TME22[[#This Row],[Count of Members with Claims Truncated]], 0)</f>
        <v>0</v>
      </c>
      <c r="AF103" s="476">
        <f>IFERROR(AN_TME22[[#This Row],[Total Claims Excluded because of Truncation]]/AN_TME22[[#This Row],[TOTAL Non-Truncated Unadjusted Claims Expenses]], 0)</f>
        <v>0</v>
      </c>
    </row>
    <row r="104" spans="1:32" x14ac:dyDescent="0.25">
      <c r="A104" s="426"/>
      <c r="B104" s="427"/>
      <c r="C104" s="427"/>
      <c r="D104" s="428"/>
      <c r="E104" s="517"/>
      <c r="F104" s="429"/>
      <c r="G104" s="429"/>
      <c r="H104" s="429"/>
      <c r="I104" s="429"/>
      <c r="J104" s="429"/>
      <c r="K104" s="429"/>
      <c r="L104" s="429"/>
      <c r="M104" s="429"/>
      <c r="N104" s="429"/>
      <c r="O104" s="429"/>
      <c r="P104" s="429"/>
      <c r="Q104" s="429"/>
      <c r="R104" s="429"/>
      <c r="S104" s="429"/>
      <c r="T104" s="429"/>
      <c r="U104" s="429"/>
      <c r="V104" s="429"/>
      <c r="W104" s="430"/>
      <c r="X104" s="431">
        <f t="shared" si="4"/>
        <v>0</v>
      </c>
      <c r="Y104" s="431">
        <f>AN_TME22[[#This Row],[TOTAL Non-Truncated Unadjusted Claims Expenses]]-AN_TME22[[#This Row],[Total Claims Excluded because of Truncation]]</f>
        <v>0</v>
      </c>
      <c r="Z104" s="431">
        <f t="shared" si="5"/>
        <v>0</v>
      </c>
      <c r="AA104" s="431">
        <f>AN_TME22[[#This Row],[TOTAL Non-Truncated Unadjusted Claims Expenses]]+AN_TME22[[#This Row],[TOTAL Non-Claims Expenses]]</f>
        <v>0</v>
      </c>
      <c r="AB104" s="431">
        <f>AN_TME22[[#This Row],[TOTAL Truncated Unadjusted Claims Expenses (A21 -A19)]]+AN_TME22[[#This Row],[TOTAL Non-Claims Expenses]]</f>
        <v>0</v>
      </c>
      <c r="AC104" s="475">
        <f>IFERROR(AN_TME22[[#This Row],[TOTAL Non-Truncated Unadjusted Expenses (A21 + A23)]]/AN_TME22[[#This Row],[Member Months]],0)</f>
        <v>0</v>
      </c>
      <c r="AD104" s="475">
        <f>IFERROR(AN_TME22[[#This Row],[TOTAL Truncated Unadjusted Expenses (A22 + A23)]]/AN_TME22[[#This Row],[Member Months]],0)</f>
        <v>0</v>
      </c>
      <c r="AE104" s="475">
        <f>IFERROR(AN_TME22[[#This Row],[Total Claims Excluded because of Truncation]]/AN_TME22[[#This Row],[Count of Members with Claims Truncated]], 0)</f>
        <v>0</v>
      </c>
      <c r="AF104" s="476">
        <f>IFERROR(AN_TME22[[#This Row],[Total Claims Excluded because of Truncation]]/AN_TME22[[#This Row],[TOTAL Non-Truncated Unadjusted Claims Expenses]], 0)</f>
        <v>0</v>
      </c>
    </row>
    <row r="105" spans="1:32" x14ac:dyDescent="0.25">
      <c r="A105" s="420"/>
      <c r="B105" s="421"/>
      <c r="C105" s="421"/>
      <c r="D105" s="422"/>
      <c r="E105" s="517"/>
      <c r="F105" s="423"/>
      <c r="G105" s="423"/>
      <c r="H105" s="423"/>
      <c r="I105" s="423"/>
      <c r="J105" s="423"/>
      <c r="K105" s="423"/>
      <c r="L105" s="423"/>
      <c r="M105" s="423"/>
      <c r="N105" s="423"/>
      <c r="O105" s="423"/>
      <c r="P105" s="423"/>
      <c r="Q105" s="423"/>
      <c r="R105" s="423"/>
      <c r="S105" s="423"/>
      <c r="T105" s="423"/>
      <c r="U105" s="423"/>
      <c r="V105" s="423"/>
      <c r="W105" s="424"/>
      <c r="X105" s="425">
        <f t="shared" si="4"/>
        <v>0</v>
      </c>
      <c r="Y105" s="472">
        <f>AN_TME22[[#This Row],[TOTAL Non-Truncated Unadjusted Claims Expenses]]-AN_TME22[[#This Row],[Total Claims Excluded because of Truncation]]</f>
        <v>0</v>
      </c>
      <c r="Z105" s="425">
        <f t="shared" si="5"/>
        <v>0</v>
      </c>
      <c r="AA105" s="472">
        <f>AN_TME22[[#This Row],[TOTAL Non-Truncated Unadjusted Claims Expenses]]+AN_TME22[[#This Row],[TOTAL Non-Claims Expenses]]</f>
        <v>0</v>
      </c>
      <c r="AB105" s="472">
        <f>AN_TME22[[#This Row],[TOTAL Truncated Unadjusted Claims Expenses (A21 -A19)]]+AN_TME22[[#This Row],[TOTAL Non-Claims Expenses]]</f>
        <v>0</v>
      </c>
      <c r="AC105" s="474">
        <f>IFERROR(AN_TME22[[#This Row],[TOTAL Non-Truncated Unadjusted Expenses (A21 + A23)]]/AN_TME22[[#This Row],[Member Months]],0)</f>
        <v>0</v>
      </c>
      <c r="AD105" s="474">
        <f>IFERROR(AN_TME22[[#This Row],[TOTAL Truncated Unadjusted Expenses (A22 + A23)]]/AN_TME22[[#This Row],[Member Months]],0)</f>
        <v>0</v>
      </c>
      <c r="AE105" s="474">
        <f>IFERROR(AN_TME22[[#This Row],[Total Claims Excluded because of Truncation]]/AN_TME22[[#This Row],[Count of Members with Claims Truncated]], 0)</f>
        <v>0</v>
      </c>
      <c r="AF105" s="476">
        <f>IFERROR(AN_TME22[[#This Row],[Total Claims Excluded because of Truncation]]/AN_TME22[[#This Row],[TOTAL Non-Truncated Unadjusted Claims Expenses]], 0)</f>
        <v>0</v>
      </c>
    </row>
    <row r="106" spans="1:32" x14ac:dyDescent="0.25">
      <c r="A106" s="426"/>
      <c r="B106" s="427"/>
      <c r="C106" s="427"/>
      <c r="D106" s="428"/>
      <c r="E106" s="517"/>
      <c r="F106" s="429"/>
      <c r="G106" s="429"/>
      <c r="H106" s="429"/>
      <c r="I106" s="429"/>
      <c r="J106" s="429"/>
      <c r="K106" s="429"/>
      <c r="L106" s="429"/>
      <c r="M106" s="429"/>
      <c r="N106" s="429"/>
      <c r="O106" s="429"/>
      <c r="P106" s="429"/>
      <c r="Q106" s="429"/>
      <c r="R106" s="429"/>
      <c r="S106" s="429"/>
      <c r="T106" s="429"/>
      <c r="U106" s="429"/>
      <c r="V106" s="429"/>
      <c r="W106" s="430"/>
      <c r="X106" s="431">
        <f t="shared" si="4"/>
        <v>0</v>
      </c>
      <c r="Y106" s="431">
        <f>AN_TME22[[#This Row],[TOTAL Non-Truncated Unadjusted Claims Expenses]]-AN_TME22[[#This Row],[Total Claims Excluded because of Truncation]]</f>
        <v>0</v>
      </c>
      <c r="Z106" s="431">
        <f t="shared" si="5"/>
        <v>0</v>
      </c>
      <c r="AA106" s="431">
        <f>AN_TME22[[#This Row],[TOTAL Non-Truncated Unadjusted Claims Expenses]]+AN_TME22[[#This Row],[TOTAL Non-Claims Expenses]]</f>
        <v>0</v>
      </c>
      <c r="AB106" s="431">
        <f>AN_TME22[[#This Row],[TOTAL Truncated Unadjusted Claims Expenses (A21 -A19)]]+AN_TME22[[#This Row],[TOTAL Non-Claims Expenses]]</f>
        <v>0</v>
      </c>
      <c r="AC106" s="475">
        <f>IFERROR(AN_TME22[[#This Row],[TOTAL Non-Truncated Unadjusted Expenses (A21 + A23)]]/AN_TME22[[#This Row],[Member Months]],0)</f>
        <v>0</v>
      </c>
      <c r="AD106" s="475">
        <f>IFERROR(AN_TME22[[#This Row],[TOTAL Truncated Unadjusted Expenses (A22 + A23)]]/AN_TME22[[#This Row],[Member Months]],0)</f>
        <v>0</v>
      </c>
      <c r="AE106" s="475">
        <f>IFERROR(AN_TME22[[#This Row],[Total Claims Excluded because of Truncation]]/AN_TME22[[#This Row],[Count of Members with Claims Truncated]], 0)</f>
        <v>0</v>
      </c>
      <c r="AF106" s="476">
        <f>IFERROR(AN_TME22[[#This Row],[Total Claims Excluded because of Truncation]]/AN_TME22[[#This Row],[TOTAL Non-Truncated Unadjusted Claims Expenses]], 0)</f>
        <v>0</v>
      </c>
    </row>
    <row r="107" spans="1:32" x14ac:dyDescent="0.25">
      <c r="A107" s="420"/>
      <c r="B107" s="421"/>
      <c r="C107" s="421"/>
      <c r="D107" s="422"/>
      <c r="E107" s="517"/>
      <c r="F107" s="423"/>
      <c r="G107" s="423"/>
      <c r="H107" s="423"/>
      <c r="I107" s="423"/>
      <c r="J107" s="423"/>
      <c r="K107" s="423"/>
      <c r="L107" s="423"/>
      <c r="M107" s="423"/>
      <c r="N107" s="423"/>
      <c r="O107" s="423"/>
      <c r="P107" s="423"/>
      <c r="Q107" s="423"/>
      <c r="R107" s="423"/>
      <c r="S107" s="423"/>
      <c r="T107" s="423"/>
      <c r="U107" s="423"/>
      <c r="V107" s="423"/>
      <c r="W107" s="424"/>
      <c r="X107" s="425">
        <f t="shared" ref="X107:X134" si="6">SUM(F107:H107)+SUM(J107:N107)</f>
        <v>0</v>
      </c>
      <c r="Y107" s="472">
        <f>AN_TME22[[#This Row],[TOTAL Non-Truncated Unadjusted Claims Expenses]]-AN_TME22[[#This Row],[Total Claims Excluded because of Truncation]]</f>
        <v>0</v>
      </c>
      <c r="Z107" s="425">
        <f t="shared" ref="Z107:Z134" si="7">SUM(O107:T107)</f>
        <v>0</v>
      </c>
      <c r="AA107" s="472">
        <f>AN_TME22[[#This Row],[TOTAL Non-Truncated Unadjusted Claims Expenses]]+AN_TME22[[#This Row],[TOTAL Non-Claims Expenses]]</f>
        <v>0</v>
      </c>
      <c r="AB107" s="472">
        <f>AN_TME22[[#This Row],[TOTAL Truncated Unadjusted Claims Expenses (A21 -A19)]]+AN_TME22[[#This Row],[TOTAL Non-Claims Expenses]]</f>
        <v>0</v>
      </c>
      <c r="AC107" s="474">
        <f>IFERROR(AN_TME22[[#This Row],[TOTAL Non-Truncated Unadjusted Expenses (A21 + A23)]]/AN_TME22[[#This Row],[Member Months]],0)</f>
        <v>0</v>
      </c>
      <c r="AD107" s="474">
        <f>IFERROR(AN_TME22[[#This Row],[TOTAL Truncated Unadjusted Expenses (A22 + A23)]]/AN_TME22[[#This Row],[Member Months]],0)</f>
        <v>0</v>
      </c>
      <c r="AE107" s="474">
        <f>IFERROR(AN_TME22[[#This Row],[Total Claims Excluded because of Truncation]]/AN_TME22[[#This Row],[Count of Members with Claims Truncated]], 0)</f>
        <v>0</v>
      </c>
      <c r="AF107" s="476">
        <f>IFERROR(AN_TME22[[#This Row],[Total Claims Excluded because of Truncation]]/AN_TME22[[#This Row],[TOTAL Non-Truncated Unadjusted Claims Expenses]], 0)</f>
        <v>0</v>
      </c>
    </row>
    <row r="108" spans="1:32" x14ac:dyDescent="0.25">
      <c r="A108" s="426"/>
      <c r="B108" s="427"/>
      <c r="C108" s="427"/>
      <c r="D108" s="428"/>
      <c r="E108" s="517"/>
      <c r="F108" s="429"/>
      <c r="G108" s="429"/>
      <c r="H108" s="429"/>
      <c r="I108" s="429"/>
      <c r="J108" s="429"/>
      <c r="K108" s="429"/>
      <c r="L108" s="429"/>
      <c r="M108" s="429"/>
      <c r="N108" s="429"/>
      <c r="O108" s="429"/>
      <c r="P108" s="429"/>
      <c r="Q108" s="429"/>
      <c r="R108" s="429"/>
      <c r="S108" s="429"/>
      <c r="T108" s="429"/>
      <c r="U108" s="429"/>
      <c r="V108" s="429"/>
      <c r="W108" s="430"/>
      <c r="X108" s="431">
        <f t="shared" si="6"/>
        <v>0</v>
      </c>
      <c r="Y108" s="431">
        <f>AN_TME22[[#This Row],[TOTAL Non-Truncated Unadjusted Claims Expenses]]-AN_TME22[[#This Row],[Total Claims Excluded because of Truncation]]</f>
        <v>0</v>
      </c>
      <c r="Z108" s="431">
        <f t="shared" si="7"/>
        <v>0</v>
      </c>
      <c r="AA108" s="431">
        <f>AN_TME22[[#This Row],[TOTAL Non-Truncated Unadjusted Claims Expenses]]+AN_TME22[[#This Row],[TOTAL Non-Claims Expenses]]</f>
        <v>0</v>
      </c>
      <c r="AB108" s="431">
        <f>AN_TME22[[#This Row],[TOTAL Truncated Unadjusted Claims Expenses (A21 -A19)]]+AN_TME22[[#This Row],[TOTAL Non-Claims Expenses]]</f>
        <v>0</v>
      </c>
      <c r="AC108" s="475">
        <f>IFERROR(AN_TME22[[#This Row],[TOTAL Non-Truncated Unadjusted Expenses (A21 + A23)]]/AN_TME22[[#This Row],[Member Months]],0)</f>
        <v>0</v>
      </c>
      <c r="AD108" s="475">
        <f>IFERROR(AN_TME22[[#This Row],[TOTAL Truncated Unadjusted Expenses (A22 + A23)]]/AN_TME22[[#This Row],[Member Months]],0)</f>
        <v>0</v>
      </c>
      <c r="AE108" s="475">
        <f>IFERROR(AN_TME22[[#This Row],[Total Claims Excluded because of Truncation]]/AN_TME22[[#This Row],[Count of Members with Claims Truncated]], 0)</f>
        <v>0</v>
      </c>
      <c r="AF108" s="476">
        <f>IFERROR(AN_TME22[[#This Row],[Total Claims Excluded because of Truncation]]/AN_TME22[[#This Row],[TOTAL Non-Truncated Unadjusted Claims Expenses]], 0)</f>
        <v>0</v>
      </c>
    </row>
    <row r="109" spans="1:32" x14ac:dyDescent="0.25">
      <c r="A109" s="420"/>
      <c r="B109" s="421"/>
      <c r="C109" s="421"/>
      <c r="D109" s="422"/>
      <c r="E109" s="517"/>
      <c r="F109" s="423"/>
      <c r="G109" s="423"/>
      <c r="H109" s="423"/>
      <c r="I109" s="423"/>
      <c r="J109" s="423"/>
      <c r="K109" s="423"/>
      <c r="L109" s="423"/>
      <c r="M109" s="423"/>
      <c r="N109" s="423"/>
      <c r="O109" s="423"/>
      <c r="P109" s="423"/>
      <c r="Q109" s="423"/>
      <c r="R109" s="423"/>
      <c r="S109" s="423"/>
      <c r="T109" s="423"/>
      <c r="U109" s="423"/>
      <c r="V109" s="423"/>
      <c r="W109" s="424"/>
      <c r="X109" s="425">
        <f t="shared" si="6"/>
        <v>0</v>
      </c>
      <c r="Y109" s="472">
        <f>AN_TME22[[#This Row],[TOTAL Non-Truncated Unadjusted Claims Expenses]]-AN_TME22[[#This Row],[Total Claims Excluded because of Truncation]]</f>
        <v>0</v>
      </c>
      <c r="Z109" s="425">
        <f t="shared" si="7"/>
        <v>0</v>
      </c>
      <c r="AA109" s="472">
        <f>AN_TME22[[#This Row],[TOTAL Non-Truncated Unadjusted Claims Expenses]]+AN_TME22[[#This Row],[TOTAL Non-Claims Expenses]]</f>
        <v>0</v>
      </c>
      <c r="AB109" s="472">
        <f>AN_TME22[[#This Row],[TOTAL Truncated Unadjusted Claims Expenses (A21 -A19)]]+AN_TME22[[#This Row],[TOTAL Non-Claims Expenses]]</f>
        <v>0</v>
      </c>
      <c r="AC109" s="474">
        <f>IFERROR(AN_TME22[[#This Row],[TOTAL Non-Truncated Unadjusted Expenses (A21 + A23)]]/AN_TME22[[#This Row],[Member Months]],0)</f>
        <v>0</v>
      </c>
      <c r="AD109" s="474">
        <f>IFERROR(AN_TME22[[#This Row],[TOTAL Truncated Unadjusted Expenses (A22 + A23)]]/AN_TME22[[#This Row],[Member Months]],0)</f>
        <v>0</v>
      </c>
      <c r="AE109" s="474">
        <f>IFERROR(AN_TME22[[#This Row],[Total Claims Excluded because of Truncation]]/AN_TME22[[#This Row],[Count of Members with Claims Truncated]], 0)</f>
        <v>0</v>
      </c>
      <c r="AF109" s="476">
        <f>IFERROR(AN_TME22[[#This Row],[Total Claims Excluded because of Truncation]]/AN_TME22[[#This Row],[TOTAL Non-Truncated Unadjusted Claims Expenses]], 0)</f>
        <v>0</v>
      </c>
    </row>
    <row r="110" spans="1:32" x14ac:dyDescent="0.25">
      <c r="A110" s="426"/>
      <c r="B110" s="427"/>
      <c r="C110" s="427"/>
      <c r="D110" s="428"/>
      <c r="E110" s="517"/>
      <c r="F110" s="429"/>
      <c r="G110" s="429"/>
      <c r="H110" s="429"/>
      <c r="I110" s="429"/>
      <c r="J110" s="429"/>
      <c r="K110" s="429"/>
      <c r="L110" s="429"/>
      <c r="M110" s="429"/>
      <c r="N110" s="429"/>
      <c r="O110" s="429"/>
      <c r="P110" s="429"/>
      <c r="Q110" s="429"/>
      <c r="R110" s="429"/>
      <c r="S110" s="429"/>
      <c r="T110" s="429"/>
      <c r="U110" s="429"/>
      <c r="V110" s="429"/>
      <c r="W110" s="430"/>
      <c r="X110" s="431">
        <f t="shared" si="6"/>
        <v>0</v>
      </c>
      <c r="Y110" s="431">
        <f>AN_TME22[[#This Row],[TOTAL Non-Truncated Unadjusted Claims Expenses]]-AN_TME22[[#This Row],[Total Claims Excluded because of Truncation]]</f>
        <v>0</v>
      </c>
      <c r="Z110" s="431">
        <f t="shared" si="7"/>
        <v>0</v>
      </c>
      <c r="AA110" s="431">
        <f>AN_TME22[[#This Row],[TOTAL Non-Truncated Unadjusted Claims Expenses]]+AN_TME22[[#This Row],[TOTAL Non-Claims Expenses]]</f>
        <v>0</v>
      </c>
      <c r="AB110" s="431">
        <f>AN_TME22[[#This Row],[TOTAL Truncated Unadjusted Claims Expenses (A21 -A19)]]+AN_TME22[[#This Row],[TOTAL Non-Claims Expenses]]</f>
        <v>0</v>
      </c>
      <c r="AC110" s="475">
        <f>IFERROR(AN_TME22[[#This Row],[TOTAL Non-Truncated Unadjusted Expenses (A21 + A23)]]/AN_TME22[[#This Row],[Member Months]],0)</f>
        <v>0</v>
      </c>
      <c r="AD110" s="475">
        <f>IFERROR(AN_TME22[[#This Row],[TOTAL Truncated Unadjusted Expenses (A22 + A23)]]/AN_TME22[[#This Row],[Member Months]],0)</f>
        <v>0</v>
      </c>
      <c r="AE110" s="475">
        <f>IFERROR(AN_TME22[[#This Row],[Total Claims Excluded because of Truncation]]/AN_TME22[[#This Row],[Count of Members with Claims Truncated]], 0)</f>
        <v>0</v>
      </c>
      <c r="AF110" s="476">
        <f>IFERROR(AN_TME22[[#This Row],[Total Claims Excluded because of Truncation]]/AN_TME22[[#This Row],[TOTAL Non-Truncated Unadjusted Claims Expenses]], 0)</f>
        <v>0</v>
      </c>
    </row>
    <row r="111" spans="1:32" x14ac:dyDescent="0.25">
      <c r="A111" s="420"/>
      <c r="B111" s="421"/>
      <c r="C111" s="421"/>
      <c r="D111" s="422"/>
      <c r="E111" s="517"/>
      <c r="F111" s="423"/>
      <c r="G111" s="423"/>
      <c r="H111" s="423"/>
      <c r="I111" s="423"/>
      <c r="J111" s="423"/>
      <c r="K111" s="423"/>
      <c r="L111" s="423"/>
      <c r="M111" s="423"/>
      <c r="N111" s="423"/>
      <c r="O111" s="423"/>
      <c r="P111" s="423"/>
      <c r="Q111" s="423"/>
      <c r="R111" s="423"/>
      <c r="S111" s="423"/>
      <c r="T111" s="423"/>
      <c r="U111" s="423"/>
      <c r="V111" s="423"/>
      <c r="W111" s="424"/>
      <c r="X111" s="425">
        <f t="shared" si="6"/>
        <v>0</v>
      </c>
      <c r="Y111" s="472">
        <f>AN_TME22[[#This Row],[TOTAL Non-Truncated Unadjusted Claims Expenses]]-AN_TME22[[#This Row],[Total Claims Excluded because of Truncation]]</f>
        <v>0</v>
      </c>
      <c r="Z111" s="425">
        <f t="shared" si="7"/>
        <v>0</v>
      </c>
      <c r="AA111" s="472">
        <f>AN_TME22[[#This Row],[TOTAL Non-Truncated Unadjusted Claims Expenses]]+AN_TME22[[#This Row],[TOTAL Non-Claims Expenses]]</f>
        <v>0</v>
      </c>
      <c r="AB111" s="472">
        <f>AN_TME22[[#This Row],[TOTAL Truncated Unadjusted Claims Expenses (A21 -A19)]]+AN_TME22[[#This Row],[TOTAL Non-Claims Expenses]]</f>
        <v>0</v>
      </c>
      <c r="AC111" s="474">
        <f>IFERROR(AN_TME22[[#This Row],[TOTAL Non-Truncated Unadjusted Expenses (A21 + A23)]]/AN_TME22[[#This Row],[Member Months]],0)</f>
        <v>0</v>
      </c>
      <c r="AD111" s="474">
        <f>IFERROR(AN_TME22[[#This Row],[TOTAL Truncated Unadjusted Expenses (A22 + A23)]]/AN_TME22[[#This Row],[Member Months]],0)</f>
        <v>0</v>
      </c>
      <c r="AE111" s="474">
        <f>IFERROR(AN_TME22[[#This Row],[Total Claims Excluded because of Truncation]]/AN_TME22[[#This Row],[Count of Members with Claims Truncated]], 0)</f>
        <v>0</v>
      </c>
      <c r="AF111" s="476">
        <f>IFERROR(AN_TME22[[#This Row],[Total Claims Excluded because of Truncation]]/AN_TME22[[#This Row],[TOTAL Non-Truncated Unadjusted Claims Expenses]], 0)</f>
        <v>0</v>
      </c>
    </row>
    <row r="112" spans="1:32" x14ac:dyDescent="0.25">
      <c r="A112" s="426"/>
      <c r="B112" s="427"/>
      <c r="C112" s="427"/>
      <c r="D112" s="428"/>
      <c r="E112" s="517"/>
      <c r="F112" s="429"/>
      <c r="G112" s="429"/>
      <c r="H112" s="429"/>
      <c r="I112" s="429"/>
      <c r="J112" s="429"/>
      <c r="K112" s="429"/>
      <c r="L112" s="429"/>
      <c r="M112" s="429"/>
      <c r="N112" s="429"/>
      <c r="O112" s="429"/>
      <c r="P112" s="429"/>
      <c r="Q112" s="429"/>
      <c r="R112" s="429"/>
      <c r="S112" s="429"/>
      <c r="T112" s="429"/>
      <c r="U112" s="429"/>
      <c r="V112" s="429"/>
      <c r="W112" s="430"/>
      <c r="X112" s="431">
        <f t="shared" si="6"/>
        <v>0</v>
      </c>
      <c r="Y112" s="431">
        <f>AN_TME22[[#This Row],[TOTAL Non-Truncated Unadjusted Claims Expenses]]-AN_TME22[[#This Row],[Total Claims Excluded because of Truncation]]</f>
        <v>0</v>
      </c>
      <c r="Z112" s="431">
        <f t="shared" si="7"/>
        <v>0</v>
      </c>
      <c r="AA112" s="431">
        <f>AN_TME22[[#This Row],[TOTAL Non-Truncated Unadjusted Claims Expenses]]+AN_TME22[[#This Row],[TOTAL Non-Claims Expenses]]</f>
        <v>0</v>
      </c>
      <c r="AB112" s="431">
        <f>AN_TME22[[#This Row],[TOTAL Truncated Unadjusted Claims Expenses (A21 -A19)]]+AN_TME22[[#This Row],[TOTAL Non-Claims Expenses]]</f>
        <v>0</v>
      </c>
      <c r="AC112" s="475">
        <f>IFERROR(AN_TME22[[#This Row],[TOTAL Non-Truncated Unadjusted Expenses (A21 + A23)]]/AN_TME22[[#This Row],[Member Months]],0)</f>
        <v>0</v>
      </c>
      <c r="AD112" s="475">
        <f>IFERROR(AN_TME22[[#This Row],[TOTAL Truncated Unadjusted Expenses (A22 + A23)]]/AN_TME22[[#This Row],[Member Months]],0)</f>
        <v>0</v>
      </c>
      <c r="AE112" s="475">
        <f>IFERROR(AN_TME22[[#This Row],[Total Claims Excluded because of Truncation]]/AN_TME22[[#This Row],[Count of Members with Claims Truncated]], 0)</f>
        <v>0</v>
      </c>
      <c r="AF112" s="476">
        <f>IFERROR(AN_TME22[[#This Row],[Total Claims Excluded because of Truncation]]/AN_TME22[[#This Row],[TOTAL Non-Truncated Unadjusted Claims Expenses]], 0)</f>
        <v>0</v>
      </c>
    </row>
    <row r="113" spans="1:32" x14ac:dyDescent="0.25">
      <c r="A113" s="420"/>
      <c r="B113" s="421"/>
      <c r="C113" s="421"/>
      <c r="D113" s="422"/>
      <c r="E113" s="517"/>
      <c r="F113" s="423"/>
      <c r="G113" s="423"/>
      <c r="H113" s="423"/>
      <c r="I113" s="423"/>
      <c r="J113" s="423"/>
      <c r="K113" s="423"/>
      <c r="L113" s="423"/>
      <c r="M113" s="423"/>
      <c r="N113" s="423"/>
      <c r="O113" s="423"/>
      <c r="P113" s="423"/>
      <c r="Q113" s="423"/>
      <c r="R113" s="423"/>
      <c r="S113" s="423"/>
      <c r="T113" s="423"/>
      <c r="U113" s="423"/>
      <c r="V113" s="423"/>
      <c r="W113" s="424"/>
      <c r="X113" s="425">
        <f t="shared" si="6"/>
        <v>0</v>
      </c>
      <c r="Y113" s="472">
        <f>AN_TME22[[#This Row],[TOTAL Non-Truncated Unadjusted Claims Expenses]]-AN_TME22[[#This Row],[Total Claims Excluded because of Truncation]]</f>
        <v>0</v>
      </c>
      <c r="Z113" s="425">
        <f t="shared" si="7"/>
        <v>0</v>
      </c>
      <c r="AA113" s="472">
        <f>AN_TME22[[#This Row],[TOTAL Non-Truncated Unadjusted Claims Expenses]]+AN_TME22[[#This Row],[TOTAL Non-Claims Expenses]]</f>
        <v>0</v>
      </c>
      <c r="AB113" s="472">
        <f>AN_TME22[[#This Row],[TOTAL Truncated Unadjusted Claims Expenses (A21 -A19)]]+AN_TME22[[#This Row],[TOTAL Non-Claims Expenses]]</f>
        <v>0</v>
      </c>
      <c r="AC113" s="474">
        <f>IFERROR(AN_TME22[[#This Row],[TOTAL Non-Truncated Unadjusted Expenses (A21 + A23)]]/AN_TME22[[#This Row],[Member Months]],0)</f>
        <v>0</v>
      </c>
      <c r="AD113" s="474">
        <f>IFERROR(AN_TME22[[#This Row],[TOTAL Truncated Unadjusted Expenses (A22 + A23)]]/AN_TME22[[#This Row],[Member Months]],0)</f>
        <v>0</v>
      </c>
      <c r="AE113" s="474">
        <f>IFERROR(AN_TME22[[#This Row],[Total Claims Excluded because of Truncation]]/AN_TME22[[#This Row],[Count of Members with Claims Truncated]], 0)</f>
        <v>0</v>
      </c>
      <c r="AF113" s="476">
        <f>IFERROR(AN_TME22[[#This Row],[Total Claims Excluded because of Truncation]]/AN_TME22[[#This Row],[TOTAL Non-Truncated Unadjusted Claims Expenses]], 0)</f>
        <v>0</v>
      </c>
    </row>
    <row r="114" spans="1:32" x14ac:dyDescent="0.25">
      <c r="A114" s="426"/>
      <c r="B114" s="427"/>
      <c r="C114" s="427"/>
      <c r="D114" s="428"/>
      <c r="E114" s="517"/>
      <c r="F114" s="429"/>
      <c r="G114" s="429"/>
      <c r="H114" s="429"/>
      <c r="I114" s="429"/>
      <c r="J114" s="429"/>
      <c r="K114" s="429"/>
      <c r="L114" s="429"/>
      <c r="M114" s="429"/>
      <c r="N114" s="429"/>
      <c r="O114" s="429"/>
      <c r="P114" s="429"/>
      <c r="Q114" s="429"/>
      <c r="R114" s="429"/>
      <c r="S114" s="429"/>
      <c r="T114" s="429"/>
      <c r="U114" s="429"/>
      <c r="V114" s="429"/>
      <c r="W114" s="430"/>
      <c r="X114" s="431">
        <f t="shared" si="6"/>
        <v>0</v>
      </c>
      <c r="Y114" s="431">
        <f>AN_TME22[[#This Row],[TOTAL Non-Truncated Unadjusted Claims Expenses]]-AN_TME22[[#This Row],[Total Claims Excluded because of Truncation]]</f>
        <v>0</v>
      </c>
      <c r="Z114" s="431">
        <f t="shared" si="7"/>
        <v>0</v>
      </c>
      <c r="AA114" s="431">
        <f>AN_TME22[[#This Row],[TOTAL Non-Truncated Unadjusted Claims Expenses]]+AN_TME22[[#This Row],[TOTAL Non-Claims Expenses]]</f>
        <v>0</v>
      </c>
      <c r="AB114" s="431">
        <f>AN_TME22[[#This Row],[TOTAL Truncated Unadjusted Claims Expenses (A21 -A19)]]+AN_TME22[[#This Row],[TOTAL Non-Claims Expenses]]</f>
        <v>0</v>
      </c>
      <c r="AC114" s="475">
        <f>IFERROR(AN_TME22[[#This Row],[TOTAL Non-Truncated Unadjusted Expenses (A21 + A23)]]/AN_TME22[[#This Row],[Member Months]],0)</f>
        <v>0</v>
      </c>
      <c r="AD114" s="475">
        <f>IFERROR(AN_TME22[[#This Row],[TOTAL Truncated Unadjusted Expenses (A22 + A23)]]/AN_TME22[[#This Row],[Member Months]],0)</f>
        <v>0</v>
      </c>
      <c r="AE114" s="475">
        <f>IFERROR(AN_TME22[[#This Row],[Total Claims Excluded because of Truncation]]/AN_TME22[[#This Row],[Count of Members with Claims Truncated]], 0)</f>
        <v>0</v>
      </c>
      <c r="AF114" s="476">
        <f>IFERROR(AN_TME22[[#This Row],[Total Claims Excluded because of Truncation]]/AN_TME22[[#This Row],[TOTAL Non-Truncated Unadjusted Claims Expenses]], 0)</f>
        <v>0</v>
      </c>
    </row>
    <row r="115" spans="1:32" x14ac:dyDescent="0.25">
      <c r="A115" s="420"/>
      <c r="B115" s="421"/>
      <c r="C115" s="421"/>
      <c r="D115" s="422"/>
      <c r="E115" s="517"/>
      <c r="F115" s="423"/>
      <c r="G115" s="423"/>
      <c r="H115" s="423"/>
      <c r="I115" s="423"/>
      <c r="J115" s="423"/>
      <c r="K115" s="423"/>
      <c r="L115" s="423"/>
      <c r="M115" s="423"/>
      <c r="N115" s="423"/>
      <c r="O115" s="423"/>
      <c r="P115" s="423"/>
      <c r="Q115" s="423"/>
      <c r="R115" s="423"/>
      <c r="S115" s="423"/>
      <c r="T115" s="423"/>
      <c r="U115" s="423"/>
      <c r="V115" s="423"/>
      <c r="W115" s="424"/>
      <c r="X115" s="425">
        <f t="shared" si="6"/>
        <v>0</v>
      </c>
      <c r="Y115" s="472">
        <f>AN_TME22[[#This Row],[TOTAL Non-Truncated Unadjusted Claims Expenses]]-AN_TME22[[#This Row],[Total Claims Excluded because of Truncation]]</f>
        <v>0</v>
      </c>
      <c r="Z115" s="425">
        <f t="shared" si="7"/>
        <v>0</v>
      </c>
      <c r="AA115" s="472">
        <f>AN_TME22[[#This Row],[TOTAL Non-Truncated Unadjusted Claims Expenses]]+AN_TME22[[#This Row],[TOTAL Non-Claims Expenses]]</f>
        <v>0</v>
      </c>
      <c r="AB115" s="472">
        <f>AN_TME22[[#This Row],[TOTAL Truncated Unadjusted Claims Expenses (A21 -A19)]]+AN_TME22[[#This Row],[TOTAL Non-Claims Expenses]]</f>
        <v>0</v>
      </c>
      <c r="AC115" s="474">
        <f>IFERROR(AN_TME22[[#This Row],[TOTAL Non-Truncated Unadjusted Expenses (A21 + A23)]]/AN_TME22[[#This Row],[Member Months]],0)</f>
        <v>0</v>
      </c>
      <c r="AD115" s="474">
        <f>IFERROR(AN_TME22[[#This Row],[TOTAL Truncated Unadjusted Expenses (A22 + A23)]]/AN_TME22[[#This Row],[Member Months]],0)</f>
        <v>0</v>
      </c>
      <c r="AE115" s="474">
        <f>IFERROR(AN_TME22[[#This Row],[Total Claims Excluded because of Truncation]]/AN_TME22[[#This Row],[Count of Members with Claims Truncated]], 0)</f>
        <v>0</v>
      </c>
      <c r="AF115" s="476">
        <f>IFERROR(AN_TME22[[#This Row],[Total Claims Excluded because of Truncation]]/AN_TME22[[#This Row],[TOTAL Non-Truncated Unadjusted Claims Expenses]], 0)</f>
        <v>0</v>
      </c>
    </row>
    <row r="116" spans="1:32" x14ac:dyDescent="0.25">
      <c r="A116" s="426"/>
      <c r="B116" s="427"/>
      <c r="C116" s="427"/>
      <c r="D116" s="428"/>
      <c r="E116" s="517"/>
      <c r="F116" s="429"/>
      <c r="G116" s="429"/>
      <c r="H116" s="429"/>
      <c r="I116" s="429"/>
      <c r="J116" s="429"/>
      <c r="K116" s="429"/>
      <c r="L116" s="429"/>
      <c r="M116" s="429"/>
      <c r="N116" s="429"/>
      <c r="O116" s="429"/>
      <c r="P116" s="429"/>
      <c r="Q116" s="429"/>
      <c r="R116" s="429"/>
      <c r="S116" s="429"/>
      <c r="T116" s="429"/>
      <c r="U116" s="429"/>
      <c r="V116" s="429"/>
      <c r="W116" s="430"/>
      <c r="X116" s="431">
        <f t="shared" si="6"/>
        <v>0</v>
      </c>
      <c r="Y116" s="431">
        <f>AN_TME22[[#This Row],[TOTAL Non-Truncated Unadjusted Claims Expenses]]-AN_TME22[[#This Row],[Total Claims Excluded because of Truncation]]</f>
        <v>0</v>
      </c>
      <c r="Z116" s="431">
        <f t="shared" si="7"/>
        <v>0</v>
      </c>
      <c r="AA116" s="431">
        <f>AN_TME22[[#This Row],[TOTAL Non-Truncated Unadjusted Claims Expenses]]+AN_TME22[[#This Row],[TOTAL Non-Claims Expenses]]</f>
        <v>0</v>
      </c>
      <c r="AB116" s="431">
        <f>AN_TME22[[#This Row],[TOTAL Truncated Unadjusted Claims Expenses (A21 -A19)]]+AN_TME22[[#This Row],[TOTAL Non-Claims Expenses]]</f>
        <v>0</v>
      </c>
      <c r="AC116" s="475">
        <f>IFERROR(AN_TME22[[#This Row],[TOTAL Non-Truncated Unadjusted Expenses (A21 + A23)]]/AN_TME22[[#This Row],[Member Months]],0)</f>
        <v>0</v>
      </c>
      <c r="AD116" s="475">
        <f>IFERROR(AN_TME22[[#This Row],[TOTAL Truncated Unadjusted Expenses (A22 + A23)]]/AN_TME22[[#This Row],[Member Months]],0)</f>
        <v>0</v>
      </c>
      <c r="AE116" s="475">
        <f>IFERROR(AN_TME22[[#This Row],[Total Claims Excluded because of Truncation]]/AN_TME22[[#This Row],[Count of Members with Claims Truncated]], 0)</f>
        <v>0</v>
      </c>
      <c r="AF116" s="476">
        <f>IFERROR(AN_TME22[[#This Row],[Total Claims Excluded because of Truncation]]/AN_TME22[[#This Row],[TOTAL Non-Truncated Unadjusted Claims Expenses]], 0)</f>
        <v>0</v>
      </c>
    </row>
    <row r="117" spans="1:32" x14ac:dyDescent="0.25">
      <c r="A117" s="420"/>
      <c r="B117" s="421"/>
      <c r="C117" s="421"/>
      <c r="D117" s="422"/>
      <c r="E117" s="517"/>
      <c r="F117" s="423"/>
      <c r="G117" s="423"/>
      <c r="H117" s="423"/>
      <c r="I117" s="423"/>
      <c r="J117" s="423"/>
      <c r="K117" s="423"/>
      <c r="L117" s="423"/>
      <c r="M117" s="423"/>
      <c r="N117" s="423"/>
      <c r="O117" s="423"/>
      <c r="P117" s="423"/>
      <c r="Q117" s="423"/>
      <c r="R117" s="423"/>
      <c r="S117" s="423"/>
      <c r="T117" s="423"/>
      <c r="U117" s="423"/>
      <c r="V117" s="423"/>
      <c r="W117" s="424"/>
      <c r="X117" s="425">
        <f t="shared" si="6"/>
        <v>0</v>
      </c>
      <c r="Y117" s="472">
        <f>AN_TME22[[#This Row],[TOTAL Non-Truncated Unadjusted Claims Expenses]]-AN_TME22[[#This Row],[Total Claims Excluded because of Truncation]]</f>
        <v>0</v>
      </c>
      <c r="Z117" s="425">
        <f t="shared" si="7"/>
        <v>0</v>
      </c>
      <c r="AA117" s="472">
        <f>AN_TME22[[#This Row],[TOTAL Non-Truncated Unadjusted Claims Expenses]]+AN_TME22[[#This Row],[TOTAL Non-Claims Expenses]]</f>
        <v>0</v>
      </c>
      <c r="AB117" s="472">
        <f>AN_TME22[[#This Row],[TOTAL Truncated Unadjusted Claims Expenses (A21 -A19)]]+AN_TME22[[#This Row],[TOTAL Non-Claims Expenses]]</f>
        <v>0</v>
      </c>
      <c r="AC117" s="474">
        <f>IFERROR(AN_TME22[[#This Row],[TOTAL Non-Truncated Unadjusted Expenses (A21 + A23)]]/AN_TME22[[#This Row],[Member Months]],0)</f>
        <v>0</v>
      </c>
      <c r="AD117" s="474">
        <f>IFERROR(AN_TME22[[#This Row],[TOTAL Truncated Unadjusted Expenses (A22 + A23)]]/AN_TME22[[#This Row],[Member Months]],0)</f>
        <v>0</v>
      </c>
      <c r="AE117" s="474">
        <f>IFERROR(AN_TME22[[#This Row],[Total Claims Excluded because of Truncation]]/AN_TME22[[#This Row],[Count of Members with Claims Truncated]], 0)</f>
        <v>0</v>
      </c>
      <c r="AF117" s="476">
        <f>IFERROR(AN_TME22[[#This Row],[Total Claims Excluded because of Truncation]]/AN_TME22[[#This Row],[TOTAL Non-Truncated Unadjusted Claims Expenses]], 0)</f>
        <v>0</v>
      </c>
    </row>
    <row r="118" spans="1:32" x14ac:dyDescent="0.25">
      <c r="A118" s="426"/>
      <c r="B118" s="427"/>
      <c r="C118" s="427"/>
      <c r="D118" s="428"/>
      <c r="E118" s="517"/>
      <c r="F118" s="429"/>
      <c r="G118" s="429"/>
      <c r="H118" s="429"/>
      <c r="I118" s="429"/>
      <c r="J118" s="429"/>
      <c r="K118" s="429"/>
      <c r="L118" s="429"/>
      <c r="M118" s="429"/>
      <c r="N118" s="429"/>
      <c r="O118" s="429"/>
      <c r="P118" s="429"/>
      <c r="Q118" s="429"/>
      <c r="R118" s="429"/>
      <c r="S118" s="429"/>
      <c r="T118" s="429"/>
      <c r="U118" s="429"/>
      <c r="V118" s="429"/>
      <c r="W118" s="430"/>
      <c r="X118" s="431">
        <f t="shared" si="6"/>
        <v>0</v>
      </c>
      <c r="Y118" s="431">
        <f>AN_TME22[[#This Row],[TOTAL Non-Truncated Unadjusted Claims Expenses]]-AN_TME22[[#This Row],[Total Claims Excluded because of Truncation]]</f>
        <v>0</v>
      </c>
      <c r="Z118" s="431">
        <f t="shared" si="7"/>
        <v>0</v>
      </c>
      <c r="AA118" s="431">
        <f>AN_TME22[[#This Row],[TOTAL Non-Truncated Unadjusted Claims Expenses]]+AN_TME22[[#This Row],[TOTAL Non-Claims Expenses]]</f>
        <v>0</v>
      </c>
      <c r="AB118" s="431">
        <f>AN_TME22[[#This Row],[TOTAL Truncated Unadjusted Claims Expenses (A21 -A19)]]+AN_TME22[[#This Row],[TOTAL Non-Claims Expenses]]</f>
        <v>0</v>
      </c>
      <c r="AC118" s="475">
        <f>IFERROR(AN_TME22[[#This Row],[TOTAL Non-Truncated Unadjusted Expenses (A21 + A23)]]/AN_TME22[[#This Row],[Member Months]],0)</f>
        <v>0</v>
      </c>
      <c r="AD118" s="475">
        <f>IFERROR(AN_TME22[[#This Row],[TOTAL Truncated Unadjusted Expenses (A22 + A23)]]/AN_TME22[[#This Row],[Member Months]],0)</f>
        <v>0</v>
      </c>
      <c r="AE118" s="475">
        <f>IFERROR(AN_TME22[[#This Row],[Total Claims Excluded because of Truncation]]/AN_TME22[[#This Row],[Count of Members with Claims Truncated]], 0)</f>
        <v>0</v>
      </c>
      <c r="AF118" s="476">
        <f>IFERROR(AN_TME22[[#This Row],[Total Claims Excluded because of Truncation]]/AN_TME22[[#This Row],[TOTAL Non-Truncated Unadjusted Claims Expenses]], 0)</f>
        <v>0</v>
      </c>
    </row>
    <row r="119" spans="1:32" x14ac:dyDescent="0.25">
      <c r="A119" s="420"/>
      <c r="B119" s="421"/>
      <c r="C119" s="421"/>
      <c r="D119" s="422"/>
      <c r="E119" s="517"/>
      <c r="F119" s="423"/>
      <c r="G119" s="423"/>
      <c r="H119" s="423"/>
      <c r="I119" s="423"/>
      <c r="J119" s="423"/>
      <c r="K119" s="423"/>
      <c r="L119" s="423"/>
      <c r="M119" s="423"/>
      <c r="N119" s="423"/>
      <c r="O119" s="423"/>
      <c r="P119" s="423"/>
      <c r="Q119" s="423"/>
      <c r="R119" s="423"/>
      <c r="S119" s="423"/>
      <c r="T119" s="423"/>
      <c r="U119" s="423"/>
      <c r="V119" s="423"/>
      <c r="W119" s="424"/>
      <c r="X119" s="425">
        <f t="shared" si="6"/>
        <v>0</v>
      </c>
      <c r="Y119" s="472">
        <f>AN_TME22[[#This Row],[TOTAL Non-Truncated Unadjusted Claims Expenses]]-AN_TME22[[#This Row],[Total Claims Excluded because of Truncation]]</f>
        <v>0</v>
      </c>
      <c r="Z119" s="425">
        <f t="shared" si="7"/>
        <v>0</v>
      </c>
      <c r="AA119" s="472">
        <f>AN_TME22[[#This Row],[TOTAL Non-Truncated Unadjusted Claims Expenses]]+AN_TME22[[#This Row],[TOTAL Non-Claims Expenses]]</f>
        <v>0</v>
      </c>
      <c r="AB119" s="472">
        <f>AN_TME22[[#This Row],[TOTAL Truncated Unadjusted Claims Expenses (A21 -A19)]]+AN_TME22[[#This Row],[TOTAL Non-Claims Expenses]]</f>
        <v>0</v>
      </c>
      <c r="AC119" s="474">
        <f>IFERROR(AN_TME22[[#This Row],[TOTAL Non-Truncated Unadjusted Expenses (A21 + A23)]]/AN_TME22[[#This Row],[Member Months]],0)</f>
        <v>0</v>
      </c>
      <c r="AD119" s="474">
        <f>IFERROR(AN_TME22[[#This Row],[TOTAL Truncated Unadjusted Expenses (A22 + A23)]]/AN_TME22[[#This Row],[Member Months]],0)</f>
        <v>0</v>
      </c>
      <c r="AE119" s="474">
        <f>IFERROR(AN_TME22[[#This Row],[Total Claims Excluded because of Truncation]]/AN_TME22[[#This Row],[Count of Members with Claims Truncated]], 0)</f>
        <v>0</v>
      </c>
      <c r="AF119" s="476">
        <f>IFERROR(AN_TME22[[#This Row],[Total Claims Excluded because of Truncation]]/AN_TME22[[#This Row],[TOTAL Non-Truncated Unadjusted Claims Expenses]], 0)</f>
        <v>0</v>
      </c>
    </row>
    <row r="120" spans="1:32" x14ac:dyDescent="0.25">
      <c r="A120" s="426"/>
      <c r="B120" s="427"/>
      <c r="C120" s="427"/>
      <c r="D120" s="428"/>
      <c r="E120" s="517"/>
      <c r="F120" s="429"/>
      <c r="G120" s="429"/>
      <c r="H120" s="429"/>
      <c r="I120" s="429"/>
      <c r="J120" s="429"/>
      <c r="K120" s="429"/>
      <c r="L120" s="429"/>
      <c r="M120" s="429"/>
      <c r="N120" s="429"/>
      <c r="O120" s="429"/>
      <c r="P120" s="429"/>
      <c r="Q120" s="429"/>
      <c r="R120" s="429"/>
      <c r="S120" s="429"/>
      <c r="T120" s="429"/>
      <c r="U120" s="429"/>
      <c r="V120" s="429"/>
      <c r="W120" s="430"/>
      <c r="X120" s="431">
        <f t="shared" si="6"/>
        <v>0</v>
      </c>
      <c r="Y120" s="431">
        <f>AN_TME22[[#This Row],[TOTAL Non-Truncated Unadjusted Claims Expenses]]-AN_TME22[[#This Row],[Total Claims Excluded because of Truncation]]</f>
        <v>0</v>
      </c>
      <c r="Z120" s="431">
        <f t="shared" si="7"/>
        <v>0</v>
      </c>
      <c r="AA120" s="431">
        <f>AN_TME22[[#This Row],[TOTAL Non-Truncated Unadjusted Claims Expenses]]+AN_TME22[[#This Row],[TOTAL Non-Claims Expenses]]</f>
        <v>0</v>
      </c>
      <c r="AB120" s="431">
        <f>AN_TME22[[#This Row],[TOTAL Truncated Unadjusted Claims Expenses (A21 -A19)]]+AN_TME22[[#This Row],[TOTAL Non-Claims Expenses]]</f>
        <v>0</v>
      </c>
      <c r="AC120" s="475">
        <f>IFERROR(AN_TME22[[#This Row],[TOTAL Non-Truncated Unadjusted Expenses (A21 + A23)]]/AN_TME22[[#This Row],[Member Months]],0)</f>
        <v>0</v>
      </c>
      <c r="AD120" s="475">
        <f>IFERROR(AN_TME22[[#This Row],[TOTAL Truncated Unadjusted Expenses (A22 + A23)]]/AN_TME22[[#This Row],[Member Months]],0)</f>
        <v>0</v>
      </c>
      <c r="AE120" s="475">
        <f>IFERROR(AN_TME22[[#This Row],[Total Claims Excluded because of Truncation]]/AN_TME22[[#This Row],[Count of Members with Claims Truncated]], 0)</f>
        <v>0</v>
      </c>
      <c r="AF120" s="476">
        <f>IFERROR(AN_TME22[[#This Row],[Total Claims Excluded because of Truncation]]/AN_TME22[[#This Row],[TOTAL Non-Truncated Unadjusted Claims Expenses]], 0)</f>
        <v>0</v>
      </c>
    </row>
    <row r="121" spans="1:32" x14ac:dyDescent="0.25">
      <c r="A121" s="420"/>
      <c r="B121" s="421"/>
      <c r="C121" s="421"/>
      <c r="D121" s="422"/>
      <c r="E121" s="517"/>
      <c r="F121" s="423"/>
      <c r="G121" s="423"/>
      <c r="H121" s="423"/>
      <c r="I121" s="423"/>
      <c r="J121" s="423"/>
      <c r="K121" s="423"/>
      <c r="L121" s="423"/>
      <c r="M121" s="423"/>
      <c r="N121" s="423"/>
      <c r="O121" s="423"/>
      <c r="P121" s="423"/>
      <c r="Q121" s="423"/>
      <c r="R121" s="423"/>
      <c r="S121" s="423"/>
      <c r="T121" s="423"/>
      <c r="U121" s="423"/>
      <c r="V121" s="423"/>
      <c r="W121" s="424"/>
      <c r="X121" s="425">
        <f t="shared" si="6"/>
        <v>0</v>
      </c>
      <c r="Y121" s="472">
        <f>AN_TME22[[#This Row],[TOTAL Non-Truncated Unadjusted Claims Expenses]]-AN_TME22[[#This Row],[Total Claims Excluded because of Truncation]]</f>
        <v>0</v>
      </c>
      <c r="Z121" s="425">
        <f t="shared" si="7"/>
        <v>0</v>
      </c>
      <c r="AA121" s="472">
        <f>AN_TME22[[#This Row],[TOTAL Non-Truncated Unadjusted Claims Expenses]]+AN_TME22[[#This Row],[TOTAL Non-Claims Expenses]]</f>
        <v>0</v>
      </c>
      <c r="AB121" s="472">
        <f>AN_TME22[[#This Row],[TOTAL Truncated Unadjusted Claims Expenses (A21 -A19)]]+AN_TME22[[#This Row],[TOTAL Non-Claims Expenses]]</f>
        <v>0</v>
      </c>
      <c r="AC121" s="474">
        <f>IFERROR(AN_TME22[[#This Row],[TOTAL Non-Truncated Unadjusted Expenses (A21 + A23)]]/AN_TME22[[#This Row],[Member Months]],0)</f>
        <v>0</v>
      </c>
      <c r="AD121" s="474">
        <f>IFERROR(AN_TME22[[#This Row],[TOTAL Truncated Unadjusted Expenses (A22 + A23)]]/AN_TME22[[#This Row],[Member Months]],0)</f>
        <v>0</v>
      </c>
      <c r="AE121" s="474">
        <f>IFERROR(AN_TME22[[#This Row],[Total Claims Excluded because of Truncation]]/AN_TME22[[#This Row],[Count of Members with Claims Truncated]], 0)</f>
        <v>0</v>
      </c>
      <c r="AF121" s="476">
        <f>IFERROR(AN_TME22[[#This Row],[Total Claims Excluded because of Truncation]]/AN_TME22[[#This Row],[TOTAL Non-Truncated Unadjusted Claims Expenses]], 0)</f>
        <v>0</v>
      </c>
    </row>
    <row r="122" spans="1:32" x14ac:dyDescent="0.25">
      <c r="A122" s="426"/>
      <c r="B122" s="427"/>
      <c r="C122" s="427"/>
      <c r="D122" s="428"/>
      <c r="E122" s="517"/>
      <c r="F122" s="429"/>
      <c r="G122" s="429"/>
      <c r="H122" s="429"/>
      <c r="I122" s="429"/>
      <c r="J122" s="429"/>
      <c r="K122" s="429"/>
      <c r="L122" s="429"/>
      <c r="M122" s="429"/>
      <c r="N122" s="429"/>
      <c r="O122" s="429"/>
      <c r="P122" s="429"/>
      <c r="Q122" s="429"/>
      <c r="R122" s="429"/>
      <c r="S122" s="429"/>
      <c r="T122" s="429"/>
      <c r="U122" s="429"/>
      <c r="V122" s="429"/>
      <c r="W122" s="430"/>
      <c r="X122" s="431">
        <f t="shared" si="6"/>
        <v>0</v>
      </c>
      <c r="Y122" s="431">
        <f>AN_TME22[[#This Row],[TOTAL Non-Truncated Unadjusted Claims Expenses]]-AN_TME22[[#This Row],[Total Claims Excluded because of Truncation]]</f>
        <v>0</v>
      </c>
      <c r="Z122" s="431">
        <f t="shared" si="7"/>
        <v>0</v>
      </c>
      <c r="AA122" s="431">
        <f>AN_TME22[[#This Row],[TOTAL Non-Truncated Unadjusted Claims Expenses]]+AN_TME22[[#This Row],[TOTAL Non-Claims Expenses]]</f>
        <v>0</v>
      </c>
      <c r="AB122" s="431">
        <f>AN_TME22[[#This Row],[TOTAL Truncated Unadjusted Claims Expenses (A21 -A19)]]+AN_TME22[[#This Row],[TOTAL Non-Claims Expenses]]</f>
        <v>0</v>
      </c>
      <c r="AC122" s="475">
        <f>IFERROR(AN_TME22[[#This Row],[TOTAL Non-Truncated Unadjusted Expenses (A21 + A23)]]/AN_TME22[[#This Row],[Member Months]],0)</f>
        <v>0</v>
      </c>
      <c r="AD122" s="475">
        <f>IFERROR(AN_TME22[[#This Row],[TOTAL Truncated Unadjusted Expenses (A22 + A23)]]/AN_TME22[[#This Row],[Member Months]],0)</f>
        <v>0</v>
      </c>
      <c r="AE122" s="475">
        <f>IFERROR(AN_TME22[[#This Row],[Total Claims Excluded because of Truncation]]/AN_TME22[[#This Row],[Count of Members with Claims Truncated]], 0)</f>
        <v>0</v>
      </c>
      <c r="AF122" s="476">
        <f>IFERROR(AN_TME22[[#This Row],[Total Claims Excluded because of Truncation]]/AN_TME22[[#This Row],[TOTAL Non-Truncated Unadjusted Claims Expenses]], 0)</f>
        <v>0</v>
      </c>
    </row>
    <row r="123" spans="1:32" x14ac:dyDescent="0.25">
      <c r="A123" s="420"/>
      <c r="B123" s="421"/>
      <c r="C123" s="421"/>
      <c r="D123" s="422"/>
      <c r="E123" s="517"/>
      <c r="F123" s="423"/>
      <c r="G123" s="423"/>
      <c r="H123" s="423"/>
      <c r="I123" s="423"/>
      <c r="J123" s="423"/>
      <c r="K123" s="423"/>
      <c r="L123" s="423"/>
      <c r="M123" s="423"/>
      <c r="N123" s="423"/>
      <c r="O123" s="423"/>
      <c r="P123" s="423"/>
      <c r="Q123" s="423"/>
      <c r="R123" s="423"/>
      <c r="S123" s="423"/>
      <c r="T123" s="423"/>
      <c r="U123" s="423"/>
      <c r="V123" s="423"/>
      <c r="W123" s="424"/>
      <c r="X123" s="425">
        <f t="shared" si="6"/>
        <v>0</v>
      </c>
      <c r="Y123" s="472">
        <f>AN_TME22[[#This Row],[TOTAL Non-Truncated Unadjusted Claims Expenses]]-AN_TME22[[#This Row],[Total Claims Excluded because of Truncation]]</f>
        <v>0</v>
      </c>
      <c r="Z123" s="425">
        <f t="shared" si="7"/>
        <v>0</v>
      </c>
      <c r="AA123" s="472">
        <f>AN_TME22[[#This Row],[TOTAL Non-Truncated Unadjusted Claims Expenses]]+AN_TME22[[#This Row],[TOTAL Non-Claims Expenses]]</f>
        <v>0</v>
      </c>
      <c r="AB123" s="472">
        <f>AN_TME22[[#This Row],[TOTAL Truncated Unadjusted Claims Expenses (A21 -A19)]]+AN_TME22[[#This Row],[TOTAL Non-Claims Expenses]]</f>
        <v>0</v>
      </c>
      <c r="AC123" s="474">
        <f>IFERROR(AN_TME22[[#This Row],[TOTAL Non-Truncated Unadjusted Expenses (A21 + A23)]]/AN_TME22[[#This Row],[Member Months]],0)</f>
        <v>0</v>
      </c>
      <c r="AD123" s="474">
        <f>IFERROR(AN_TME22[[#This Row],[TOTAL Truncated Unadjusted Expenses (A22 + A23)]]/AN_TME22[[#This Row],[Member Months]],0)</f>
        <v>0</v>
      </c>
      <c r="AE123" s="474">
        <f>IFERROR(AN_TME22[[#This Row],[Total Claims Excluded because of Truncation]]/AN_TME22[[#This Row],[Count of Members with Claims Truncated]], 0)</f>
        <v>0</v>
      </c>
      <c r="AF123" s="476">
        <f>IFERROR(AN_TME22[[#This Row],[Total Claims Excluded because of Truncation]]/AN_TME22[[#This Row],[TOTAL Non-Truncated Unadjusted Claims Expenses]], 0)</f>
        <v>0</v>
      </c>
    </row>
    <row r="124" spans="1:32" x14ac:dyDescent="0.25">
      <c r="A124" s="426"/>
      <c r="B124" s="427"/>
      <c r="C124" s="427"/>
      <c r="D124" s="428"/>
      <c r="E124" s="517"/>
      <c r="F124" s="429"/>
      <c r="G124" s="429"/>
      <c r="H124" s="429"/>
      <c r="I124" s="429"/>
      <c r="J124" s="429"/>
      <c r="K124" s="429"/>
      <c r="L124" s="429"/>
      <c r="M124" s="429"/>
      <c r="N124" s="429"/>
      <c r="O124" s="429"/>
      <c r="P124" s="429"/>
      <c r="Q124" s="429"/>
      <c r="R124" s="429"/>
      <c r="S124" s="429"/>
      <c r="T124" s="429"/>
      <c r="U124" s="429"/>
      <c r="V124" s="429"/>
      <c r="W124" s="430"/>
      <c r="X124" s="431">
        <f t="shared" si="6"/>
        <v>0</v>
      </c>
      <c r="Y124" s="431">
        <f>AN_TME22[[#This Row],[TOTAL Non-Truncated Unadjusted Claims Expenses]]-AN_TME22[[#This Row],[Total Claims Excluded because of Truncation]]</f>
        <v>0</v>
      </c>
      <c r="Z124" s="431">
        <f t="shared" si="7"/>
        <v>0</v>
      </c>
      <c r="AA124" s="431">
        <f>AN_TME22[[#This Row],[TOTAL Non-Truncated Unadjusted Claims Expenses]]+AN_TME22[[#This Row],[TOTAL Non-Claims Expenses]]</f>
        <v>0</v>
      </c>
      <c r="AB124" s="431">
        <f>AN_TME22[[#This Row],[TOTAL Truncated Unadjusted Claims Expenses (A21 -A19)]]+AN_TME22[[#This Row],[TOTAL Non-Claims Expenses]]</f>
        <v>0</v>
      </c>
      <c r="AC124" s="475">
        <f>IFERROR(AN_TME22[[#This Row],[TOTAL Non-Truncated Unadjusted Expenses (A21 + A23)]]/AN_TME22[[#This Row],[Member Months]],0)</f>
        <v>0</v>
      </c>
      <c r="AD124" s="475">
        <f>IFERROR(AN_TME22[[#This Row],[TOTAL Truncated Unadjusted Expenses (A22 + A23)]]/AN_TME22[[#This Row],[Member Months]],0)</f>
        <v>0</v>
      </c>
      <c r="AE124" s="475">
        <f>IFERROR(AN_TME22[[#This Row],[Total Claims Excluded because of Truncation]]/AN_TME22[[#This Row],[Count of Members with Claims Truncated]], 0)</f>
        <v>0</v>
      </c>
      <c r="AF124" s="476">
        <f>IFERROR(AN_TME22[[#This Row],[Total Claims Excluded because of Truncation]]/AN_TME22[[#This Row],[TOTAL Non-Truncated Unadjusted Claims Expenses]], 0)</f>
        <v>0</v>
      </c>
    </row>
    <row r="125" spans="1:32" x14ac:dyDescent="0.25">
      <c r="A125" s="420"/>
      <c r="B125" s="421"/>
      <c r="C125" s="421"/>
      <c r="D125" s="422"/>
      <c r="E125" s="517"/>
      <c r="F125" s="423"/>
      <c r="G125" s="423"/>
      <c r="H125" s="423"/>
      <c r="I125" s="423"/>
      <c r="J125" s="423"/>
      <c r="K125" s="423"/>
      <c r="L125" s="423"/>
      <c r="M125" s="423"/>
      <c r="N125" s="423"/>
      <c r="O125" s="423"/>
      <c r="P125" s="423"/>
      <c r="Q125" s="423"/>
      <c r="R125" s="423"/>
      <c r="S125" s="423"/>
      <c r="T125" s="423"/>
      <c r="U125" s="423"/>
      <c r="V125" s="423"/>
      <c r="W125" s="424"/>
      <c r="X125" s="425">
        <f t="shared" si="6"/>
        <v>0</v>
      </c>
      <c r="Y125" s="472">
        <f>AN_TME22[[#This Row],[TOTAL Non-Truncated Unadjusted Claims Expenses]]-AN_TME22[[#This Row],[Total Claims Excluded because of Truncation]]</f>
        <v>0</v>
      </c>
      <c r="Z125" s="425">
        <f t="shared" si="7"/>
        <v>0</v>
      </c>
      <c r="AA125" s="472">
        <f>AN_TME22[[#This Row],[TOTAL Non-Truncated Unadjusted Claims Expenses]]+AN_TME22[[#This Row],[TOTAL Non-Claims Expenses]]</f>
        <v>0</v>
      </c>
      <c r="AB125" s="472">
        <f>AN_TME22[[#This Row],[TOTAL Truncated Unadjusted Claims Expenses (A21 -A19)]]+AN_TME22[[#This Row],[TOTAL Non-Claims Expenses]]</f>
        <v>0</v>
      </c>
      <c r="AC125" s="474">
        <f>IFERROR(AN_TME22[[#This Row],[TOTAL Non-Truncated Unadjusted Expenses (A21 + A23)]]/AN_TME22[[#This Row],[Member Months]],0)</f>
        <v>0</v>
      </c>
      <c r="AD125" s="474">
        <f>IFERROR(AN_TME22[[#This Row],[TOTAL Truncated Unadjusted Expenses (A22 + A23)]]/AN_TME22[[#This Row],[Member Months]],0)</f>
        <v>0</v>
      </c>
      <c r="AE125" s="474">
        <f>IFERROR(AN_TME22[[#This Row],[Total Claims Excluded because of Truncation]]/AN_TME22[[#This Row],[Count of Members with Claims Truncated]], 0)</f>
        <v>0</v>
      </c>
      <c r="AF125" s="476">
        <f>IFERROR(AN_TME22[[#This Row],[Total Claims Excluded because of Truncation]]/AN_TME22[[#This Row],[TOTAL Non-Truncated Unadjusted Claims Expenses]], 0)</f>
        <v>0</v>
      </c>
    </row>
    <row r="126" spans="1:32" x14ac:dyDescent="0.25">
      <c r="A126" s="426"/>
      <c r="B126" s="427"/>
      <c r="C126" s="427"/>
      <c r="D126" s="428"/>
      <c r="E126" s="517"/>
      <c r="F126" s="429"/>
      <c r="G126" s="429"/>
      <c r="H126" s="429"/>
      <c r="I126" s="429"/>
      <c r="J126" s="429"/>
      <c r="K126" s="429"/>
      <c r="L126" s="429"/>
      <c r="M126" s="429"/>
      <c r="N126" s="429"/>
      <c r="O126" s="429"/>
      <c r="P126" s="429"/>
      <c r="Q126" s="429"/>
      <c r="R126" s="429"/>
      <c r="S126" s="429"/>
      <c r="T126" s="429"/>
      <c r="U126" s="429"/>
      <c r="V126" s="429"/>
      <c r="W126" s="430"/>
      <c r="X126" s="431">
        <f t="shared" si="6"/>
        <v>0</v>
      </c>
      <c r="Y126" s="431">
        <f>AN_TME22[[#This Row],[TOTAL Non-Truncated Unadjusted Claims Expenses]]-AN_TME22[[#This Row],[Total Claims Excluded because of Truncation]]</f>
        <v>0</v>
      </c>
      <c r="Z126" s="431">
        <f t="shared" si="7"/>
        <v>0</v>
      </c>
      <c r="AA126" s="431">
        <f>AN_TME22[[#This Row],[TOTAL Non-Truncated Unadjusted Claims Expenses]]+AN_TME22[[#This Row],[TOTAL Non-Claims Expenses]]</f>
        <v>0</v>
      </c>
      <c r="AB126" s="431">
        <f>AN_TME22[[#This Row],[TOTAL Truncated Unadjusted Claims Expenses (A21 -A19)]]+AN_TME22[[#This Row],[TOTAL Non-Claims Expenses]]</f>
        <v>0</v>
      </c>
      <c r="AC126" s="475">
        <f>IFERROR(AN_TME22[[#This Row],[TOTAL Non-Truncated Unadjusted Expenses (A21 + A23)]]/AN_TME22[[#This Row],[Member Months]],0)</f>
        <v>0</v>
      </c>
      <c r="AD126" s="475">
        <f>IFERROR(AN_TME22[[#This Row],[TOTAL Truncated Unadjusted Expenses (A22 + A23)]]/AN_TME22[[#This Row],[Member Months]],0)</f>
        <v>0</v>
      </c>
      <c r="AE126" s="475">
        <f>IFERROR(AN_TME22[[#This Row],[Total Claims Excluded because of Truncation]]/AN_TME22[[#This Row],[Count of Members with Claims Truncated]], 0)</f>
        <v>0</v>
      </c>
      <c r="AF126" s="476">
        <f>IFERROR(AN_TME22[[#This Row],[Total Claims Excluded because of Truncation]]/AN_TME22[[#This Row],[TOTAL Non-Truncated Unadjusted Claims Expenses]], 0)</f>
        <v>0</v>
      </c>
    </row>
    <row r="127" spans="1:32" x14ac:dyDescent="0.25">
      <c r="A127" s="420"/>
      <c r="B127" s="421"/>
      <c r="C127" s="421"/>
      <c r="D127" s="422"/>
      <c r="E127" s="517"/>
      <c r="F127" s="423"/>
      <c r="G127" s="423"/>
      <c r="H127" s="423"/>
      <c r="I127" s="423"/>
      <c r="J127" s="423"/>
      <c r="K127" s="423"/>
      <c r="L127" s="423"/>
      <c r="M127" s="423"/>
      <c r="N127" s="423"/>
      <c r="O127" s="423"/>
      <c r="P127" s="423"/>
      <c r="Q127" s="423"/>
      <c r="R127" s="423"/>
      <c r="S127" s="423"/>
      <c r="T127" s="423"/>
      <c r="U127" s="423"/>
      <c r="V127" s="423"/>
      <c r="W127" s="424"/>
      <c r="X127" s="425">
        <f t="shared" si="6"/>
        <v>0</v>
      </c>
      <c r="Y127" s="472">
        <f>AN_TME22[[#This Row],[TOTAL Non-Truncated Unadjusted Claims Expenses]]-AN_TME22[[#This Row],[Total Claims Excluded because of Truncation]]</f>
        <v>0</v>
      </c>
      <c r="Z127" s="425">
        <f t="shared" si="7"/>
        <v>0</v>
      </c>
      <c r="AA127" s="472">
        <f>AN_TME22[[#This Row],[TOTAL Non-Truncated Unadjusted Claims Expenses]]+AN_TME22[[#This Row],[TOTAL Non-Claims Expenses]]</f>
        <v>0</v>
      </c>
      <c r="AB127" s="472">
        <f>AN_TME22[[#This Row],[TOTAL Truncated Unadjusted Claims Expenses (A21 -A19)]]+AN_TME22[[#This Row],[TOTAL Non-Claims Expenses]]</f>
        <v>0</v>
      </c>
      <c r="AC127" s="474">
        <f>IFERROR(AN_TME22[[#This Row],[TOTAL Non-Truncated Unadjusted Expenses (A21 + A23)]]/AN_TME22[[#This Row],[Member Months]],0)</f>
        <v>0</v>
      </c>
      <c r="AD127" s="474">
        <f>IFERROR(AN_TME22[[#This Row],[TOTAL Truncated Unadjusted Expenses (A22 + A23)]]/AN_TME22[[#This Row],[Member Months]],0)</f>
        <v>0</v>
      </c>
      <c r="AE127" s="474">
        <f>IFERROR(AN_TME22[[#This Row],[Total Claims Excluded because of Truncation]]/AN_TME22[[#This Row],[Count of Members with Claims Truncated]], 0)</f>
        <v>0</v>
      </c>
      <c r="AF127" s="476">
        <f>IFERROR(AN_TME22[[#This Row],[Total Claims Excluded because of Truncation]]/AN_TME22[[#This Row],[TOTAL Non-Truncated Unadjusted Claims Expenses]], 0)</f>
        <v>0</v>
      </c>
    </row>
    <row r="128" spans="1:32" x14ac:dyDescent="0.25">
      <c r="A128" s="426"/>
      <c r="B128" s="427"/>
      <c r="C128" s="427"/>
      <c r="D128" s="428"/>
      <c r="E128" s="517"/>
      <c r="F128" s="429"/>
      <c r="G128" s="429"/>
      <c r="H128" s="429"/>
      <c r="I128" s="429"/>
      <c r="J128" s="429"/>
      <c r="K128" s="429"/>
      <c r="L128" s="429"/>
      <c r="M128" s="429"/>
      <c r="N128" s="429"/>
      <c r="O128" s="429"/>
      <c r="P128" s="429"/>
      <c r="Q128" s="429"/>
      <c r="R128" s="429"/>
      <c r="S128" s="429"/>
      <c r="T128" s="429"/>
      <c r="U128" s="429"/>
      <c r="V128" s="429"/>
      <c r="W128" s="430"/>
      <c r="X128" s="431">
        <f t="shared" si="6"/>
        <v>0</v>
      </c>
      <c r="Y128" s="431">
        <f>AN_TME22[[#This Row],[TOTAL Non-Truncated Unadjusted Claims Expenses]]-AN_TME22[[#This Row],[Total Claims Excluded because of Truncation]]</f>
        <v>0</v>
      </c>
      <c r="Z128" s="431">
        <f t="shared" si="7"/>
        <v>0</v>
      </c>
      <c r="AA128" s="431">
        <f>AN_TME22[[#This Row],[TOTAL Non-Truncated Unadjusted Claims Expenses]]+AN_TME22[[#This Row],[TOTAL Non-Claims Expenses]]</f>
        <v>0</v>
      </c>
      <c r="AB128" s="431">
        <f>AN_TME22[[#This Row],[TOTAL Truncated Unadjusted Claims Expenses (A21 -A19)]]+AN_TME22[[#This Row],[TOTAL Non-Claims Expenses]]</f>
        <v>0</v>
      </c>
      <c r="AC128" s="475">
        <f>IFERROR(AN_TME22[[#This Row],[TOTAL Non-Truncated Unadjusted Expenses (A21 + A23)]]/AN_TME22[[#This Row],[Member Months]],0)</f>
        <v>0</v>
      </c>
      <c r="AD128" s="475">
        <f>IFERROR(AN_TME22[[#This Row],[TOTAL Truncated Unadjusted Expenses (A22 + A23)]]/AN_TME22[[#This Row],[Member Months]],0)</f>
        <v>0</v>
      </c>
      <c r="AE128" s="475">
        <f>IFERROR(AN_TME22[[#This Row],[Total Claims Excluded because of Truncation]]/AN_TME22[[#This Row],[Count of Members with Claims Truncated]], 0)</f>
        <v>0</v>
      </c>
      <c r="AF128" s="476">
        <f>IFERROR(AN_TME22[[#This Row],[Total Claims Excluded because of Truncation]]/AN_TME22[[#This Row],[TOTAL Non-Truncated Unadjusted Claims Expenses]], 0)</f>
        <v>0</v>
      </c>
    </row>
    <row r="129" spans="1:32" x14ac:dyDescent="0.25">
      <c r="A129" s="420"/>
      <c r="B129" s="421"/>
      <c r="C129" s="421"/>
      <c r="D129" s="422"/>
      <c r="E129" s="517"/>
      <c r="F129" s="423"/>
      <c r="G129" s="423"/>
      <c r="H129" s="423"/>
      <c r="I129" s="423"/>
      <c r="J129" s="423"/>
      <c r="K129" s="423"/>
      <c r="L129" s="423"/>
      <c r="M129" s="423"/>
      <c r="N129" s="423"/>
      <c r="O129" s="423"/>
      <c r="P129" s="423"/>
      <c r="Q129" s="423"/>
      <c r="R129" s="423"/>
      <c r="S129" s="423"/>
      <c r="T129" s="423"/>
      <c r="U129" s="423"/>
      <c r="V129" s="423"/>
      <c r="W129" s="424"/>
      <c r="X129" s="425">
        <f t="shared" si="6"/>
        <v>0</v>
      </c>
      <c r="Y129" s="472">
        <f>AN_TME22[[#This Row],[TOTAL Non-Truncated Unadjusted Claims Expenses]]-AN_TME22[[#This Row],[Total Claims Excluded because of Truncation]]</f>
        <v>0</v>
      </c>
      <c r="Z129" s="425">
        <f t="shared" si="7"/>
        <v>0</v>
      </c>
      <c r="AA129" s="472">
        <f>AN_TME22[[#This Row],[TOTAL Non-Truncated Unadjusted Claims Expenses]]+AN_TME22[[#This Row],[TOTAL Non-Claims Expenses]]</f>
        <v>0</v>
      </c>
      <c r="AB129" s="472">
        <f>AN_TME22[[#This Row],[TOTAL Truncated Unadjusted Claims Expenses (A21 -A19)]]+AN_TME22[[#This Row],[TOTAL Non-Claims Expenses]]</f>
        <v>0</v>
      </c>
      <c r="AC129" s="474">
        <f>IFERROR(AN_TME22[[#This Row],[TOTAL Non-Truncated Unadjusted Expenses (A21 + A23)]]/AN_TME22[[#This Row],[Member Months]],0)</f>
        <v>0</v>
      </c>
      <c r="AD129" s="474">
        <f>IFERROR(AN_TME22[[#This Row],[TOTAL Truncated Unadjusted Expenses (A22 + A23)]]/AN_TME22[[#This Row],[Member Months]],0)</f>
        <v>0</v>
      </c>
      <c r="AE129" s="474">
        <f>IFERROR(AN_TME22[[#This Row],[Total Claims Excluded because of Truncation]]/AN_TME22[[#This Row],[Count of Members with Claims Truncated]], 0)</f>
        <v>0</v>
      </c>
      <c r="AF129" s="476">
        <f>IFERROR(AN_TME22[[#This Row],[Total Claims Excluded because of Truncation]]/AN_TME22[[#This Row],[TOTAL Non-Truncated Unadjusted Claims Expenses]], 0)</f>
        <v>0</v>
      </c>
    </row>
    <row r="130" spans="1:32" x14ac:dyDescent="0.25">
      <c r="A130" s="426"/>
      <c r="B130" s="427"/>
      <c r="C130" s="427"/>
      <c r="D130" s="428"/>
      <c r="E130" s="517"/>
      <c r="F130" s="429"/>
      <c r="G130" s="429"/>
      <c r="H130" s="429"/>
      <c r="I130" s="429"/>
      <c r="J130" s="429"/>
      <c r="K130" s="429"/>
      <c r="L130" s="429"/>
      <c r="M130" s="429"/>
      <c r="N130" s="429"/>
      <c r="O130" s="429"/>
      <c r="P130" s="429"/>
      <c r="Q130" s="429"/>
      <c r="R130" s="429"/>
      <c r="S130" s="429"/>
      <c r="T130" s="429"/>
      <c r="U130" s="429"/>
      <c r="V130" s="429"/>
      <c r="W130" s="430"/>
      <c r="X130" s="431">
        <f t="shared" si="6"/>
        <v>0</v>
      </c>
      <c r="Y130" s="431">
        <f>AN_TME22[[#This Row],[TOTAL Non-Truncated Unadjusted Claims Expenses]]-AN_TME22[[#This Row],[Total Claims Excluded because of Truncation]]</f>
        <v>0</v>
      </c>
      <c r="Z130" s="431">
        <f t="shared" si="7"/>
        <v>0</v>
      </c>
      <c r="AA130" s="431">
        <f>AN_TME22[[#This Row],[TOTAL Non-Truncated Unadjusted Claims Expenses]]+AN_TME22[[#This Row],[TOTAL Non-Claims Expenses]]</f>
        <v>0</v>
      </c>
      <c r="AB130" s="431">
        <f>AN_TME22[[#This Row],[TOTAL Truncated Unadjusted Claims Expenses (A21 -A19)]]+AN_TME22[[#This Row],[TOTAL Non-Claims Expenses]]</f>
        <v>0</v>
      </c>
      <c r="AC130" s="475">
        <f>IFERROR(AN_TME22[[#This Row],[TOTAL Non-Truncated Unadjusted Expenses (A21 + A23)]]/AN_TME22[[#This Row],[Member Months]],0)</f>
        <v>0</v>
      </c>
      <c r="AD130" s="475">
        <f>IFERROR(AN_TME22[[#This Row],[TOTAL Truncated Unadjusted Expenses (A22 + A23)]]/AN_TME22[[#This Row],[Member Months]],0)</f>
        <v>0</v>
      </c>
      <c r="AE130" s="475">
        <f>IFERROR(AN_TME22[[#This Row],[Total Claims Excluded because of Truncation]]/AN_TME22[[#This Row],[Count of Members with Claims Truncated]], 0)</f>
        <v>0</v>
      </c>
      <c r="AF130" s="476">
        <f>IFERROR(AN_TME22[[#This Row],[Total Claims Excluded because of Truncation]]/AN_TME22[[#This Row],[TOTAL Non-Truncated Unadjusted Claims Expenses]], 0)</f>
        <v>0</v>
      </c>
    </row>
    <row r="131" spans="1:32" x14ac:dyDescent="0.25">
      <c r="A131" s="420"/>
      <c r="B131" s="421"/>
      <c r="C131" s="421"/>
      <c r="D131" s="422"/>
      <c r="E131" s="517"/>
      <c r="F131" s="423"/>
      <c r="G131" s="423"/>
      <c r="H131" s="423"/>
      <c r="I131" s="423"/>
      <c r="J131" s="423"/>
      <c r="K131" s="423"/>
      <c r="L131" s="423"/>
      <c r="M131" s="423"/>
      <c r="N131" s="423"/>
      <c r="O131" s="423"/>
      <c r="P131" s="423"/>
      <c r="Q131" s="423"/>
      <c r="R131" s="423"/>
      <c r="S131" s="423"/>
      <c r="T131" s="423"/>
      <c r="U131" s="423"/>
      <c r="V131" s="423"/>
      <c r="W131" s="424"/>
      <c r="X131" s="425">
        <f t="shared" si="6"/>
        <v>0</v>
      </c>
      <c r="Y131" s="472">
        <f>AN_TME22[[#This Row],[TOTAL Non-Truncated Unadjusted Claims Expenses]]-AN_TME22[[#This Row],[Total Claims Excluded because of Truncation]]</f>
        <v>0</v>
      </c>
      <c r="Z131" s="425">
        <f t="shared" si="7"/>
        <v>0</v>
      </c>
      <c r="AA131" s="472">
        <f>AN_TME22[[#This Row],[TOTAL Non-Truncated Unadjusted Claims Expenses]]+AN_TME22[[#This Row],[TOTAL Non-Claims Expenses]]</f>
        <v>0</v>
      </c>
      <c r="AB131" s="472">
        <f>AN_TME22[[#This Row],[TOTAL Truncated Unadjusted Claims Expenses (A21 -A19)]]+AN_TME22[[#This Row],[TOTAL Non-Claims Expenses]]</f>
        <v>0</v>
      </c>
      <c r="AC131" s="474">
        <f>IFERROR(AN_TME22[[#This Row],[TOTAL Non-Truncated Unadjusted Expenses (A21 + A23)]]/AN_TME22[[#This Row],[Member Months]],0)</f>
        <v>0</v>
      </c>
      <c r="AD131" s="474">
        <f>IFERROR(AN_TME22[[#This Row],[TOTAL Truncated Unadjusted Expenses (A22 + A23)]]/AN_TME22[[#This Row],[Member Months]],0)</f>
        <v>0</v>
      </c>
      <c r="AE131" s="474">
        <f>IFERROR(AN_TME22[[#This Row],[Total Claims Excluded because of Truncation]]/AN_TME22[[#This Row],[Count of Members with Claims Truncated]], 0)</f>
        <v>0</v>
      </c>
      <c r="AF131" s="476">
        <f>IFERROR(AN_TME22[[#This Row],[Total Claims Excluded because of Truncation]]/AN_TME22[[#This Row],[TOTAL Non-Truncated Unadjusted Claims Expenses]], 0)</f>
        <v>0</v>
      </c>
    </row>
    <row r="132" spans="1:32" x14ac:dyDescent="0.25">
      <c r="A132" s="426"/>
      <c r="B132" s="427"/>
      <c r="C132" s="427"/>
      <c r="D132" s="428"/>
      <c r="E132" s="517"/>
      <c r="F132" s="429"/>
      <c r="G132" s="429"/>
      <c r="H132" s="429"/>
      <c r="I132" s="429"/>
      <c r="J132" s="429"/>
      <c r="K132" s="429"/>
      <c r="L132" s="429"/>
      <c r="M132" s="429"/>
      <c r="N132" s="429"/>
      <c r="O132" s="429"/>
      <c r="P132" s="429"/>
      <c r="Q132" s="429"/>
      <c r="R132" s="429"/>
      <c r="S132" s="429"/>
      <c r="T132" s="429"/>
      <c r="U132" s="429"/>
      <c r="V132" s="429"/>
      <c r="W132" s="430"/>
      <c r="X132" s="431">
        <f t="shared" si="6"/>
        <v>0</v>
      </c>
      <c r="Y132" s="431">
        <f>AN_TME22[[#This Row],[TOTAL Non-Truncated Unadjusted Claims Expenses]]-AN_TME22[[#This Row],[Total Claims Excluded because of Truncation]]</f>
        <v>0</v>
      </c>
      <c r="Z132" s="431">
        <f t="shared" si="7"/>
        <v>0</v>
      </c>
      <c r="AA132" s="431">
        <f>AN_TME22[[#This Row],[TOTAL Non-Truncated Unadjusted Claims Expenses]]+AN_TME22[[#This Row],[TOTAL Non-Claims Expenses]]</f>
        <v>0</v>
      </c>
      <c r="AB132" s="431">
        <f>AN_TME22[[#This Row],[TOTAL Truncated Unadjusted Claims Expenses (A21 -A19)]]+AN_TME22[[#This Row],[TOTAL Non-Claims Expenses]]</f>
        <v>0</v>
      </c>
      <c r="AC132" s="475">
        <f>IFERROR(AN_TME22[[#This Row],[TOTAL Non-Truncated Unadjusted Expenses (A21 + A23)]]/AN_TME22[[#This Row],[Member Months]],0)</f>
        <v>0</v>
      </c>
      <c r="AD132" s="475">
        <f>IFERROR(AN_TME22[[#This Row],[TOTAL Truncated Unadjusted Expenses (A22 + A23)]]/AN_TME22[[#This Row],[Member Months]],0)</f>
        <v>0</v>
      </c>
      <c r="AE132" s="475">
        <f>IFERROR(AN_TME22[[#This Row],[Total Claims Excluded because of Truncation]]/AN_TME22[[#This Row],[Count of Members with Claims Truncated]], 0)</f>
        <v>0</v>
      </c>
      <c r="AF132" s="476">
        <f>IFERROR(AN_TME22[[#This Row],[Total Claims Excluded because of Truncation]]/AN_TME22[[#This Row],[TOTAL Non-Truncated Unadjusted Claims Expenses]], 0)</f>
        <v>0</v>
      </c>
    </row>
    <row r="133" spans="1:32" x14ac:dyDescent="0.25">
      <c r="A133" s="420"/>
      <c r="B133" s="421"/>
      <c r="C133" s="421"/>
      <c r="D133" s="422"/>
      <c r="E133" s="517"/>
      <c r="F133" s="423"/>
      <c r="G133" s="423"/>
      <c r="H133" s="423"/>
      <c r="I133" s="423"/>
      <c r="J133" s="423"/>
      <c r="K133" s="423"/>
      <c r="L133" s="423"/>
      <c r="M133" s="423"/>
      <c r="N133" s="423"/>
      <c r="O133" s="423"/>
      <c r="P133" s="423"/>
      <c r="Q133" s="423"/>
      <c r="R133" s="423"/>
      <c r="S133" s="423"/>
      <c r="T133" s="423"/>
      <c r="U133" s="423"/>
      <c r="V133" s="423"/>
      <c r="W133" s="424"/>
      <c r="X133" s="425">
        <f t="shared" si="6"/>
        <v>0</v>
      </c>
      <c r="Y133" s="472">
        <f>AN_TME22[[#This Row],[TOTAL Non-Truncated Unadjusted Claims Expenses]]-AN_TME22[[#This Row],[Total Claims Excluded because of Truncation]]</f>
        <v>0</v>
      </c>
      <c r="Z133" s="425">
        <f t="shared" si="7"/>
        <v>0</v>
      </c>
      <c r="AA133" s="472">
        <f>AN_TME22[[#This Row],[TOTAL Non-Truncated Unadjusted Claims Expenses]]+AN_TME22[[#This Row],[TOTAL Non-Claims Expenses]]</f>
        <v>0</v>
      </c>
      <c r="AB133" s="472">
        <f>AN_TME22[[#This Row],[TOTAL Truncated Unadjusted Claims Expenses (A21 -A19)]]+AN_TME22[[#This Row],[TOTAL Non-Claims Expenses]]</f>
        <v>0</v>
      </c>
      <c r="AC133" s="474">
        <f>IFERROR(AN_TME22[[#This Row],[TOTAL Non-Truncated Unadjusted Expenses (A21 + A23)]]/AN_TME22[[#This Row],[Member Months]],0)</f>
        <v>0</v>
      </c>
      <c r="AD133" s="474">
        <f>IFERROR(AN_TME22[[#This Row],[TOTAL Truncated Unadjusted Expenses (A22 + A23)]]/AN_TME22[[#This Row],[Member Months]],0)</f>
        <v>0</v>
      </c>
      <c r="AE133" s="474">
        <f>IFERROR(AN_TME22[[#This Row],[Total Claims Excluded because of Truncation]]/AN_TME22[[#This Row],[Count of Members with Claims Truncated]], 0)</f>
        <v>0</v>
      </c>
      <c r="AF133" s="476">
        <f>IFERROR(AN_TME22[[#This Row],[Total Claims Excluded because of Truncation]]/AN_TME22[[#This Row],[TOTAL Non-Truncated Unadjusted Claims Expenses]], 0)</f>
        <v>0</v>
      </c>
    </row>
    <row r="134" spans="1:32" x14ac:dyDescent="0.25">
      <c r="A134" s="426"/>
      <c r="B134" s="427"/>
      <c r="C134" s="427"/>
      <c r="D134" s="428"/>
      <c r="E134" s="517"/>
      <c r="F134" s="429"/>
      <c r="G134" s="429"/>
      <c r="H134" s="429"/>
      <c r="I134" s="429"/>
      <c r="J134" s="429"/>
      <c r="K134" s="429"/>
      <c r="L134" s="429"/>
      <c r="M134" s="429"/>
      <c r="N134" s="429"/>
      <c r="O134" s="429"/>
      <c r="P134" s="429"/>
      <c r="Q134" s="429"/>
      <c r="R134" s="429"/>
      <c r="S134" s="429"/>
      <c r="T134" s="429"/>
      <c r="U134" s="429"/>
      <c r="V134" s="429"/>
      <c r="W134" s="430"/>
      <c r="X134" s="431">
        <f t="shared" si="6"/>
        <v>0</v>
      </c>
      <c r="Y134" s="431">
        <f>AN_TME22[[#This Row],[TOTAL Non-Truncated Unadjusted Claims Expenses]]-AN_TME22[[#This Row],[Total Claims Excluded because of Truncation]]</f>
        <v>0</v>
      </c>
      <c r="Z134" s="431">
        <f t="shared" si="7"/>
        <v>0</v>
      </c>
      <c r="AA134" s="431">
        <f>AN_TME22[[#This Row],[TOTAL Non-Truncated Unadjusted Claims Expenses]]+AN_TME22[[#This Row],[TOTAL Non-Claims Expenses]]</f>
        <v>0</v>
      </c>
      <c r="AB134" s="431">
        <f>AN_TME22[[#This Row],[TOTAL Truncated Unadjusted Claims Expenses (A21 -A19)]]+AN_TME22[[#This Row],[TOTAL Non-Claims Expenses]]</f>
        <v>0</v>
      </c>
      <c r="AC134" s="475">
        <f>IFERROR(AN_TME22[[#This Row],[TOTAL Non-Truncated Unadjusted Expenses (A21 + A23)]]/AN_TME22[[#This Row],[Member Months]],0)</f>
        <v>0</v>
      </c>
      <c r="AD134" s="475">
        <f>IFERROR(AN_TME22[[#This Row],[TOTAL Truncated Unadjusted Expenses (A22 + A23)]]/AN_TME22[[#This Row],[Member Months]],0)</f>
        <v>0</v>
      </c>
      <c r="AE134" s="475">
        <f>IFERROR(AN_TME22[[#This Row],[Total Claims Excluded because of Truncation]]/AN_TME22[[#This Row],[Count of Members with Claims Truncated]], 0)</f>
        <v>0</v>
      </c>
      <c r="AF134" s="476">
        <f>IFERROR(AN_TME22[[#This Row],[Total Claims Excluded because of Truncation]]/AN_TME22[[#This Row],[TOTAL Non-Truncated Unadjusted Claims Expenses]], 0)</f>
        <v>0</v>
      </c>
    </row>
    <row r="135" spans="1:32" x14ac:dyDescent="0.25">
      <c r="A135" s="420"/>
      <c r="B135" s="421"/>
      <c r="C135" s="421"/>
      <c r="D135" s="422"/>
      <c r="E135" s="517"/>
      <c r="F135" s="423"/>
      <c r="G135" s="423"/>
      <c r="H135" s="423"/>
      <c r="I135" s="423"/>
      <c r="J135" s="423"/>
      <c r="K135" s="423"/>
      <c r="L135" s="423"/>
      <c r="M135" s="423"/>
      <c r="N135" s="423"/>
      <c r="O135" s="423"/>
      <c r="P135" s="423"/>
      <c r="Q135" s="423"/>
      <c r="R135" s="423"/>
      <c r="S135" s="423"/>
      <c r="T135" s="423"/>
      <c r="U135" s="423"/>
      <c r="V135" s="423"/>
      <c r="W135" s="424"/>
      <c r="X135" s="425">
        <f t="shared" ref="X135:X152" si="8">SUM(F135:H135)+SUM(J135:N135)</f>
        <v>0</v>
      </c>
      <c r="Y135" s="472">
        <f>AN_TME22[[#This Row],[TOTAL Non-Truncated Unadjusted Claims Expenses]]-AN_TME22[[#This Row],[Total Claims Excluded because of Truncation]]</f>
        <v>0</v>
      </c>
      <c r="Z135" s="425">
        <f t="shared" ref="Z135:Z152" si="9">SUM(O135:T135)</f>
        <v>0</v>
      </c>
      <c r="AA135" s="472">
        <f>AN_TME22[[#This Row],[TOTAL Non-Truncated Unadjusted Claims Expenses]]+AN_TME22[[#This Row],[TOTAL Non-Claims Expenses]]</f>
        <v>0</v>
      </c>
      <c r="AB135" s="472">
        <f>AN_TME22[[#This Row],[TOTAL Truncated Unadjusted Claims Expenses (A21 -A19)]]+AN_TME22[[#This Row],[TOTAL Non-Claims Expenses]]</f>
        <v>0</v>
      </c>
      <c r="AC135" s="474">
        <f>IFERROR(AN_TME22[[#This Row],[TOTAL Non-Truncated Unadjusted Expenses (A21 + A23)]]/AN_TME22[[#This Row],[Member Months]],0)</f>
        <v>0</v>
      </c>
      <c r="AD135" s="474">
        <f>IFERROR(AN_TME22[[#This Row],[TOTAL Truncated Unadjusted Expenses (A22 + A23)]]/AN_TME22[[#This Row],[Member Months]],0)</f>
        <v>0</v>
      </c>
      <c r="AE135" s="474">
        <f>IFERROR(AN_TME22[[#This Row],[Total Claims Excluded because of Truncation]]/AN_TME22[[#This Row],[Count of Members with Claims Truncated]], 0)</f>
        <v>0</v>
      </c>
      <c r="AF135" s="476">
        <f>IFERROR(AN_TME22[[#This Row],[Total Claims Excluded because of Truncation]]/AN_TME22[[#This Row],[TOTAL Non-Truncated Unadjusted Claims Expenses]], 0)</f>
        <v>0</v>
      </c>
    </row>
    <row r="136" spans="1:32" x14ac:dyDescent="0.25">
      <c r="A136" s="426"/>
      <c r="B136" s="427"/>
      <c r="C136" s="427"/>
      <c r="D136" s="428"/>
      <c r="E136" s="517"/>
      <c r="F136" s="429"/>
      <c r="G136" s="429"/>
      <c r="H136" s="429"/>
      <c r="I136" s="429"/>
      <c r="J136" s="429"/>
      <c r="K136" s="429"/>
      <c r="L136" s="429"/>
      <c r="M136" s="429"/>
      <c r="N136" s="429"/>
      <c r="O136" s="429"/>
      <c r="P136" s="429"/>
      <c r="Q136" s="429"/>
      <c r="R136" s="429"/>
      <c r="S136" s="429"/>
      <c r="T136" s="429"/>
      <c r="U136" s="429"/>
      <c r="V136" s="429"/>
      <c r="W136" s="430"/>
      <c r="X136" s="431">
        <f t="shared" si="8"/>
        <v>0</v>
      </c>
      <c r="Y136" s="431">
        <f>AN_TME22[[#This Row],[TOTAL Non-Truncated Unadjusted Claims Expenses]]-AN_TME22[[#This Row],[Total Claims Excluded because of Truncation]]</f>
        <v>0</v>
      </c>
      <c r="Z136" s="431">
        <f t="shared" si="9"/>
        <v>0</v>
      </c>
      <c r="AA136" s="431">
        <f>AN_TME22[[#This Row],[TOTAL Non-Truncated Unadjusted Claims Expenses]]+AN_TME22[[#This Row],[TOTAL Non-Claims Expenses]]</f>
        <v>0</v>
      </c>
      <c r="AB136" s="431">
        <f>AN_TME22[[#This Row],[TOTAL Truncated Unadjusted Claims Expenses (A21 -A19)]]+AN_TME22[[#This Row],[TOTAL Non-Claims Expenses]]</f>
        <v>0</v>
      </c>
      <c r="AC136" s="475">
        <f>IFERROR(AN_TME22[[#This Row],[TOTAL Non-Truncated Unadjusted Expenses (A21 + A23)]]/AN_TME22[[#This Row],[Member Months]],0)</f>
        <v>0</v>
      </c>
      <c r="AD136" s="475">
        <f>IFERROR(AN_TME22[[#This Row],[TOTAL Truncated Unadjusted Expenses (A22 + A23)]]/AN_TME22[[#This Row],[Member Months]],0)</f>
        <v>0</v>
      </c>
      <c r="AE136" s="475">
        <f>IFERROR(AN_TME22[[#This Row],[Total Claims Excluded because of Truncation]]/AN_TME22[[#This Row],[Count of Members with Claims Truncated]], 0)</f>
        <v>0</v>
      </c>
      <c r="AF136" s="476">
        <f>IFERROR(AN_TME22[[#This Row],[Total Claims Excluded because of Truncation]]/AN_TME22[[#This Row],[TOTAL Non-Truncated Unadjusted Claims Expenses]], 0)</f>
        <v>0</v>
      </c>
    </row>
    <row r="137" spans="1:32" x14ac:dyDescent="0.25">
      <c r="A137" s="420"/>
      <c r="B137" s="421"/>
      <c r="C137" s="421"/>
      <c r="D137" s="422"/>
      <c r="E137" s="517"/>
      <c r="F137" s="423"/>
      <c r="G137" s="423"/>
      <c r="H137" s="423"/>
      <c r="I137" s="423"/>
      <c r="J137" s="423"/>
      <c r="K137" s="423"/>
      <c r="L137" s="423"/>
      <c r="M137" s="423"/>
      <c r="N137" s="423"/>
      <c r="O137" s="423"/>
      <c r="P137" s="423"/>
      <c r="Q137" s="423"/>
      <c r="R137" s="423"/>
      <c r="S137" s="423"/>
      <c r="T137" s="423"/>
      <c r="U137" s="423"/>
      <c r="V137" s="423"/>
      <c r="W137" s="424"/>
      <c r="X137" s="425">
        <f t="shared" si="8"/>
        <v>0</v>
      </c>
      <c r="Y137" s="472">
        <f>AN_TME22[[#This Row],[TOTAL Non-Truncated Unadjusted Claims Expenses]]-AN_TME22[[#This Row],[Total Claims Excluded because of Truncation]]</f>
        <v>0</v>
      </c>
      <c r="Z137" s="425">
        <f t="shared" si="9"/>
        <v>0</v>
      </c>
      <c r="AA137" s="472">
        <f>AN_TME22[[#This Row],[TOTAL Non-Truncated Unadjusted Claims Expenses]]+AN_TME22[[#This Row],[TOTAL Non-Claims Expenses]]</f>
        <v>0</v>
      </c>
      <c r="AB137" s="472">
        <f>AN_TME22[[#This Row],[TOTAL Truncated Unadjusted Claims Expenses (A21 -A19)]]+AN_TME22[[#This Row],[TOTAL Non-Claims Expenses]]</f>
        <v>0</v>
      </c>
      <c r="AC137" s="474">
        <f>IFERROR(AN_TME22[[#This Row],[TOTAL Non-Truncated Unadjusted Expenses (A21 + A23)]]/AN_TME22[[#This Row],[Member Months]],0)</f>
        <v>0</v>
      </c>
      <c r="AD137" s="474">
        <f>IFERROR(AN_TME22[[#This Row],[TOTAL Truncated Unadjusted Expenses (A22 + A23)]]/AN_TME22[[#This Row],[Member Months]],0)</f>
        <v>0</v>
      </c>
      <c r="AE137" s="474">
        <f>IFERROR(AN_TME22[[#This Row],[Total Claims Excluded because of Truncation]]/AN_TME22[[#This Row],[Count of Members with Claims Truncated]], 0)</f>
        <v>0</v>
      </c>
      <c r="AF137" s="476">
        <f>IFERROR(AN_TME22[[#This Row],[Total Claims Excluded because of Truncation]]/AN_TME22[[#This Row],[TOTAL Non-Truncated Unadjusted Claims Expenses]], 0)</f>
        <v>0</v>
      </c>
    </row>
    <row r="138" spans="1:32" x14ac:dyDescent="0.25">
      <c r="A138" s="426"/>
      <c r="B138" s="427"/>
      <c r="C138" s="427"/>
      <c r="D138" s="428"/>
      <c r="E138" s="517"/>
      <c r="F138" s="429"/>
      <c r="G138" s="429"/>
      <c r="H138" s="429"/>
      <c r="I138" s="429"/>
      <c r="J138" s="429"/>
      <c r="K138" s="429"/>
      <c r="L138" s="429"/>
      <c r="M138" s="429"/>
      <c r="N138" s="429"/>
      <c r="O138" s="429"/>
      <c r="P138" s="429"/>
      <c r="Q138" s="429"/>
      <c r="R138" s="429"/>
      <c r="S138" s="429"/>
      <c r="T138" s="429"/>
      <c r="U138" s="429"/>
      <c r="V138" s="429"/>
      <c r="W138" s="430"/>
      <c r="X138" s="431">
        <f t="shared" si="8"/>
        <v>0</v>
      </c>
      <c r="Y138" s="431">
        <f>AN_TME22[[#This Row],[TOTAL Non-Truncated Unadjusted Claims Expenses]]-AN_TME22[[#This Row],[Total Claims Excluded because of Truncation]]</f>
        <v>0</v>
      </c>
      <c r="Z138" s="431">
        <f t="shared" si="9"/>
        <v>0</v>
      </c>
      <c r="AA138" s="431">
        <f>AN_TME22[[#This Row],[TOTAL Non-Truncated Unadjusted Claims Expenses]]+AN_TME22[[#This Row],[TOTAL Non-Claims Expenses]]</f>
        <v>0</v>
      </c>
      <c r="AB138" s="431">
        <f>AN_TME22[[#This Row],[TOTAL Truncated Unadjusted Claims Expenses (A21 -A19)]]+AN_TME22[[#This Row],[TOTAL Non-Claims Expenses]]</f>
        <v>0</v>
      </c>
      <c r="AC138" s="475">
        <f>IFERROR(AN_TME22[[#This Row],[TOTAL Non-Truncated Unadjusted Expenses (A21 + A23)]]/AN_TME22[[#This Row],[Member Months]],0)</f>
        <v>0</v>
      </c>
      <c r="AD138" s="475">
        <f>IFERROR(AN_TME22[[#This Row],[TOTAL Truncated Unadjusted Expenses (A22 + A23)]]/AN_TME22[[#This Row],[Member Months]],0)</f>
        <v>0</v>
      </c>
      <c r="AE138" s="475">
        <f>IFERROR(AN_TME22[[#This Row],[Total Claims Excluded because of Truncation]]/AN_TME22[[#This Row],[Count of Members with Claims Truncated]], 0)</f>
        <v>0</v>
      </c>
      <c r="AF138" s="476">
        <f>IFERROR(AN_TME22[[#This Row],[Total Claims Excluded because of Truncation]]/AN_TME22[[#This Row],[TOTAL Non-Truncated Unadjusted Claims Expenses]], 0)</f>
        <v>0</v>
      </c>
    </row>
    <row r="139" spans="1:32" x14ac:dyDescent="0.25">
      <c r="A139" s="420"/>
      <c r="B139" s="421"/>
      <c r="C139" s="421"/>
      <c r="D139" s="422"/>
      <c r="E139" s="517"/>
      <c r="F139" s="423"/>
      <c r="G139" s="423"/>
      <c r="H139" s="423"/>
      <c r="I139" s="423"/>
      <c r="J139" s="423"/>
      <c r="K139" s="423"/>
      <c r="L139" s="423"/>
      <c r="M139" s="423"/>
      <c r="N139" s="423"/>
      <c r="O139" s="423"/>
      <c r="P139" s="423"/>
      <c r="Q139" s="423"/>
      <c r="R139" s="423"/>
      <c r="S139" s="423"/>
      <c r="T139" s="423"/>
      <c r="U139" s="423"/>
      <c r="V139" s="423"/>
      <c r="W139" s="424"/>
      <c r="X139" s="425">
        <f t="shared" si="8"/>
        <v>0</v>
      </c>
      <c r="Y139" s="472">
        <f>AN_TME22[[#This Row],[TOTAL Non-Truncated Unadjusted Claims Expenses]]-AN_TME22[[#This Row],[Total Claims Excluded because of Truncation]]</f>
        <v>0</v>
      </c>
      <c r="Z139" s="425">
        <f t="shared" si="9"/>
        <v>0</v>
      </c>
      <c r="AA139" s="472">
        <f>AN_TME22[[#This Row],[TOTAL Non-Truncated Unadjusted Claims Expenses]]+AN_TME22[[#This Row],[TOTAL Non-Claims Expenses]]</f>
        <v>0</v>
      </c>
      <c r="AB139" s="472">
        <f>AN_TME22[[#This Row],[TOTAL Truncated Unadjusted Claims Expenses (A21 -A19)]]+AN_TME22[[#This Row],[TOTAL Non-Claims Expenses]]</f>
        <v>0</v>
      </c>
      <c r="AC139" s="474">
        <f>IFERROR(AN_TME22[[#This Row],[TOTAL Non-Truncated Unadjusted Expenses (A21 + A23)]]/AN_TME22[[#This Row],[Member Months]],0)</f>
        <v>0</v>
      </c>
      <c r="AD139" s="474">
        <f>IFERROR(AN_TME22[[#This Row],[TOTAL Truncated Unadjusted Expenses (A22 + A23)]]/AN_TME22[[#This Row],[Member Months]],0)</f>
        <v>0</v>
      </c>
      <c r="AE139" s="474">
        <f>IFERROR(AN_TME22[[#This Row],[Total Claims Excluded because of Truncation]]/AN_TME22[[#This Row],[Count of Members with Claims Truncated]], 0)</f>
        <v>0</v>
      </c>
      <c r="AF139" s="476">
        <f>IFERROR(AN_TME22[[#This Row],[Total Claims Excluded because of Truncation]]/AN_TME22[[#This Row],[TOTAL Non-Truncated Unadjusted Claims Expenses]], 0)</f>
        <v>0</v>
      </c>
    </row>
    <row r="140" spans="1:32" x14ac:dyDescent="0.25">
      <c r="A140" s="426"/>
      <c r="B140" s="427"/>
      <c r="C140" s="427"/>
      <c r="D140" s="428"/>
      <c r="E140" s="517"/>
      <c r="F140" s="429"/>
      <c r="G140" s="429"/>
      <c r="H140" s="429"/>
      <c r="I140" s="429"/>
      <c r="J140" s="429"/>
      <c r="K140" s="429"/>
      <c r="L140" s="429"/>
      <c r="M140" s="429"/>
      <c r="N140" s="429"/>
      <c r="O140" s="429"/>
      <c r="P140" s="429"/>
      <c r="Q140" s="429"/>
      <c r="R140" s="429"/>
      <c r="S140" s="429"/>
      <c r="T140" s="429"/>
      <c r="U140" s="429"/>
      <c r="V140" s="429"/>
      <c r="W140" s="430"/>
      <c r="X140" s="431">
        <f t="shared" si="8"/>
        <v>0</v>
      </c>
      <c r="Y140" s="431">
        <f>AN_TME22[[#This Row],[TOTAL Non-Truncated Unadjusted Claims Expenses]]-AN_TME22[[#This Row],[Total Claims Excluded because of Truncation]]</f>
        <v>0</v>
      </c>
      <c r="Z140" s="431">
        <f t="shared" si="9"/>
        <v>0</v>
      </c>
      <c r="AA140" s="431">
        <f>AN_TME22[[#This Row],[TOTAL Non-Truncated Unadjusted Claims Expenses]]+AN_TME22[[#This Row],[TOTAL Non-Claims Expenses]]</f>
        <v>0</v>
      </c>
      <c r="AB140" s="431">
        <f>AN_TME22[[#This Row],[TOTAL Truncated Unadjusted Claims Expenses (A21 -A19)]]+AN_TME22[[#This Row],[TOTAL Non-Claims Expenses]]</f>
        <v>0</v>
      </c>
      <c r="AC140" s="475">
        <f>IFERROR(AN_TME22[[#This Row],[TOTAL Non-Truncated Unadjusted Expenses (A21 + A23)]]/AN_TME22[[#This Row],[Member Months]],0)</f>
        <v>0</v>
      </c>
      <c r="AD140" s="475">
        <f>IFERROR(AN_TME22[[#This Row],[TOTAL Truncated Unadjusted Expenses (A22 + A23)]]/AN_TME22[[#This Row],[Member Months]],0)</f>
        <v>0</v>
      </c>
      <c r="AE140" s="475">
        <f>IFERROR(AN_TME22[[#This Row],[Total Claims Excluded because of Truncation]]/AN_TME22[[#This Row],[Count of Members with Claims Truncated]], 0)</f>
        <v>0</v>
      </c>
      <c r="AF140" s="476">
        <f>IFERROR(AN_TME22[[#This Row],[Total Claims Excluded because of Truncation]]/AN_TME22[[#This Row],[TOTAL Non-Truncated Unadjusted Claims Expenses]], 0)</f>
        <v>0</v>
      </c>
    </row>
    <row r="141" spans="1:32" x14ac:dyDescent="0.25">
      <c r="A141" s="420"/>
      <c r="B141" s="421"/>
      <c r="C141" s="421"/>
      <c r="D141" s="422"/>
      <c r="E141" s="517"/>
      <c r="F141" s="423"/>
      <c r="G141" s="423"/>
      <c r="H141" s="423"/>
      <c r="I141" s="423"/>
      <c r="J141" s="423"/>
      <c r="K141" s="423"/>
      <c r="L141" s="423"/>
      <c r="M141" s="423"/>
      <c r="N141" s="423"/>
      <c r="O141" s="423"/>
      <c r="P141" s="423"/>
      <c r="Q141" s="423"/>
      <c r="R141" s="423"/>
      <c r="S141" s="423"/>
      <c r="T141" s="423"/>
      <c r="U141" s="423"/>
      <c r="V141" s="423"/>
      <c r="W141" s="424"/>
      <c r="X141" s="425">
        <f t="shared" si="8"/>
        <v>0</v>
      </c>
      <c r="Y141" s="472">
        <f>AN_TME22[[#This Row],[TOTAL Non-Truncated Unadjusted Claims Expenses]]-AN_TME22[[#This Row],[Total Claims Excluded because of Truncation]]</f>
        <v>0</v>
      </c>
      <c r="Z141" s="425">
        <f t="shared" si="9"/>
        <v>0</v>
      </c>
      <c r="AA141" s="472">
        <f>AN_TME22[[#This Row],[TOTAL Non-Truncated Unadjusted Claims Expenses]]+AN_TME22[[#This Row],[TOTAL Non-Claims Expenses]]</f>
        <v>0</v>
      </c>
      <c r="AB141" s="472">
        <f>AN_TME22[[#This Row],[TOTAL Truncated Unadjusted Claims Expenses (A21 -A19)]]+AN_TME22[[#This Row],[TOTAL Non-Claims Expenses]]</f>
        <v>0</v>
      </c>
      <c r="AC141" s="474">
        <f>IFERROR(AN_TME22[[#This Row],[TOTAL Non-Truncated Unadjusted Expenses (A21 + A23)]]/AN_TME22[[#This Row],[Member Months]],0)</f>
        <v>0</v>
      </c>
      <c r="AD141" s="474">
        <f>IFERROR(AN_TME22[[#This Row],[TOTAL Truncated Unadjusted Expenses (A22 + A23)]]/AN_TME22[[#This Row],[Member Months]],0)</f>
        <v>0</v>
      </c>
      <c r="AE141" s="474">
        <f>IFERROR(AN_TME22[[#This Row],[Total Claims Excluded because of Truncation]]/AN_TME22[[#This Row],[Count of Members with Claims Truncated]], 0)</f>
        <v>0</v>
      </c>
      <c r="AF141" s="476">
        <f>IFERROR(AN_TME22[[#This Row],[Total Claims Excluded because of Truncation]]/AN_TME22[[#This Row],[TOTAL Non-Truncated Unadjusted Claims Expenses]], 0)</f>
        <v>0</v>
      </c>
    </row>
    <row r="142" spans="1:32" x14ac:dyDescent="0.25">
      <c r="A142" s="426"/>
      <c r="B142" s="427"/>
      <c r="C142" s="427"/>
      <c r="D142" s="428"/>
      <c r="E142" s="517"/>
      <c r="F142" s="429"/>
      <c r="G142" s="429"/>
      <c r="H142" s="429"/>
      <c r="I142" s="429"/>
      <c r="J142" s="429"/>
      <c r="K142" s="429"/>
      <c r="L142" s="429"/>
      <c r="M142" s="429"/>
      <c r="N142" s="429"/>
      <c r="O142" s="429"/>
      <c r="P142" s="429"/>
      <c r="Q142" s="429"/>
      <c r="R142" s="429"/>
      <c r="S142" s="429"/>
      <c r="T142" s="429"/>
      <c r="U142" s="429"/>
      <c r="V142" s="429"/>
      <c r="W142" s="430"/>
      <c r="X142" s="431">
        <f t="shared" si="8"/>
        <v>0</v>
      </c>
      <c r="Y142" s="431">
        <f>AN_TME22[[#This Row],[TOTAL Non-Truncated Unadjusted Claims Expenses]]-AN_TME22[[#This Row],[Total Claims Excluded because of Truncation]]</f>
        <v>0</v>
      </c>
      <c r="Z142" s="431">
        <f t="shared" si="9"/>
        <v>0</v>
      </c>
      <c r="AA142" s="431">
        <f>AN_TME22[[#This Row],[TOTAL Non-Truncated Unadjusted Claims Expenses]]+AN_TME22[[#This Row],[TOTAL Non-Claims Expenses]]</f>
        <v>0</v>
      </c>
      <c r="AB142" s="431">
        <f>AN_TME22[[#This Row],[TOTAL Truncated Unadjusted Claims Expenses (A21 -A19)]]+AN_TME22[[#This Row],[TOTAL Non-Claims Expenses]]</f>
        <v>0</v>
      </c>
      <c r="AC142" s="475">
        <f>IFERROR(AN_TME22[[#This Row],[TOTAL Non-Truncated Unadjusted Expenses (A21 + A23)]]/AN_TME22[[#This Row],[Member Months]],0)</f>
        <v>0</v>
      </c>
      <c r="AD142" s="475">
        <f>IFERROR(AN_TME22[[#This Row],[TOTAL Truncated Unadjusted Expenses (A22 + A23)]]/AN_TME22[[#This Row],[Member Months]],0)</f>
        <v>0</v>
      </c>
      <c r="AE142" s="475">
        <f>IFERROR(AN_TME22[[#This Row],[Total Claims Excluded because of Truncation]]/AN_TME22[[#This Row],[Count of Members with Claims Truncated]], 0)</f>
        <v>0</v>
      </c>
      <c r="AF142" s="476">
        <f>IFERROR(AN_TME22[[#This Row],[Total Claims Excluded because of Truncation]]/AN_TME22[[#This Row],[TOTAL Non-Truncated Unadjusted Claims Expenses]], 0)</f>
        <v>0</v>
      </c>
    </row>
    <row r="143" spans="1:32" x14ac:dyDescent="0.25">
      <c r="A143" s="420"/>
      <c r="B143" s="421"/>
      <c r="C143" s="421"/>
      <c r="D143" s="422"/>
      <c r="E143" s="517"/>
      <c r="F143" s="423"/>
      <c r="G143" s="423"/>
      <c r="H143" s="423"/>
      <c r="I143" s="423"/>
      <c r="J143" s="423"/>
      <c r="K143" s="423"/>
      <c r="L143" s="423"/>
      <c r="M143" s="423"/>
      <c r="N143" s="423"/>
      <c r="O143" s="423"/>
      <c r="P143" s="423"/>
      <c r="Q143" s="423"/>
      <c r="R143" s="423"/>
      <c r="S143" s="423"/>
      <c r="T143" s="423"/>
      <c r="U143" s="423"/>
      <c r="V143" s="423"/>
      <c r="W143" s="424"/>
      <c r="X143" s="425">
        <f t="shared" si="8"/>
        <v>0</v>
      </c>
      <c r="Y143" s="472">
        <f>AN_TME22[[#This Row],[TOTAL Non-Truncated Unadjusted Claims Expenses]]-AN_TME22[[#This Row],[Total Claims Excluded because of Truncation]]</f>
        <v>0</v>
      </c>
      <c r="Z143" s="425">
        <f t="shared" si="9"/>
        <v>0</v>
      </c>
      <c r="AA143" s="472">
        <f>AN_TME22[[#This Row],[TOTAL Non-Truncated Unadjusted Claims Expenses]]+AN_TME22[[#This Row],[TOTAL Non-Claims Expenses]]</f>
        <v>0</v>
      </c>
      <c r="AB143" s="472">
        <f>AN_TME22[[#This Row],[TOTAL Truncated Unadjusted Claims Expenses (A21 -A19)]]+AN_TME22[[#This Row],[TOTAL Non-Claims Expenses]]</f>
        <v>0</v>
      </c>
      <c r="AC143" s="474">
        <f>IFERROR(AN_TME22[[#This Row],[TOTAL Non-Truncated Unadjusted Expenses (A21 + A23)]]/AN_TME22[[#This Row],[Member Months]],0)</f>
        <v>0</v>
      </c>
      <c r="AD143" s="474">
        <f>IFERROR(AN_TME22[[#This Row],[TOTAL Truncated Unadjusted Expenses (A22 + A23)]]/AN_TME22[[#This Row],[Member Months]],0)</f>
        <v>0</v>
      </c>
      <c r="AE143" s="474">
        <f>IFERROR(AN_TME22[[#This Row],[Total Claims Excluded because of Truncation]]/AN_TME22[[#This Row],[Count of Members with Claims Truncated]], 0)</f>
        <v>0</v>
      </c>
      <c r="AF143" s="476">
        <f>IFERROR(AN_TME22[[#This Row],[Total Claims Excluded because of Truncation]]/AN_TME22[[#This Row],[TOTAL Non-Truncated Unadjusted Claims Expenses]], 0)</f>
        <v>0</v>
      </c>
    </row>
    <row r="144" spans="1:32" x14ac:dyDescent="0.25">
      <c r="A144" s="426"/>
      <c r="B144" s="427"/>
      <c r="C144" s="427"/>
      <c r="D144" s="428"/>
      <c r="E144" s="517"/>
      <c r="F144" s="429"/>
      <c r="G144" s="429"/>
      <c r="H144" s="429"/>
      <c r="I144" s="429"/>
      <c r="J144" s="429"/>
      <c r="K144" s="429"/>
      <c r="L144" s="429"/>
      <c r="M144" s="429"/>
      <c r="N144" s="429"/>
      <c r="O144" s="429"/>
      <c r="P144" s="429"/>
      <c r="Q144" s="429"/>
      <c r="R144" s="429"/>
      <c r="S144" s="429"/>
      <c r="T144" s="429"/>
      <c r="U144" s="429"/>
      <c r="V144" s="429"/>
      <c r="W144" s="430"/>
      <c r="X144" s="431">
        <f t="shared" si="8"/>
        <v>0</v>
      </c>
      <c r="Y144" s="431">
        <f>AN_TME22[[#This Row],[TOTAL Non-Truncated Unadjusted Claims Expenses]]-AN_TME22[[#This Row],[Total Claims Excluded because of Truncation]]</f>
        <v>0</v>
      </c>
      <c r="Z144" s="431">
        <f t="shared" si="9"/>
        <v>0</v>
      </c>
      <c r="AA144" s="431">
        <f>AN_TME22[[#This Row],[TOTAL Non-Truncated Unadjusted Claims Expenses]]+AN_TME22[[#This Row],[TOTAL Non-Claims Expenses]]</f>
        <v>0</v>
      </c>
      <c r="AB144" s="431">
        <f>AN_TME22[[#This Row],[TOTAL Truncated Unadjusted Claims Expenses (A21 -A19)]]+AN_TME22[[#This Row],[TOTAL Non-Claims Expenses]]</f>
        <v>0</v>
      </c>
      <c r="AC144" s="475">
        <f>IFERROR(AN_TME22[[#This Row],[TOTAL Non-Truncated Unadjusted Expenses (A21 + A23)]]/AN_TME22[[#This Row],[Member Months]],0)</f>
        <v>0</v>
      </c>
      <c r="AD144" s="475">
        <f>IFERROR(AN_TME22[[#This Row],[TOTAL Truncated Unadjusted Expenses (A22 + A23)]]/AN_TME22[[#This Row],[Member Months]],0)</f>
        <v>0</v>
      </c>
      <c r="AE144" s="475">
        <f>IFERROR(AN_TME22[[#This Row],[Total Claims Excluded because of Truncation]]/AN_TME22[[#This Row],[Count of Members with Claims Truncated]], 0)</f>
        <v>0</v>
      </c>
      <c r="AF144" s="476">
        <f>IFERROR(AN_TME22[[#This Row],[Total Claims Excluded because of Truncation]]/AN_TME22[[#This Row],[TOTAL Non-Truncated Unadjusted Claims Expenses]], 0)</f>
        <v>0</v>
      </c>
    </row>
    <row r="145" spans="1:32" x14ac:dyDescent="0.25">
      <c r="A145" s="420"/>
      <c r="B145" s="421"/>
      <c r="C145" s="421"/>
      <c r="D145" s="422"/>
      <c r="E145" s="517"/>
      <c r="F145" s="423"/>
      <c r="G145" s="423"/>
      <c r="H145" s="423"/>
      <c r="I145" s="423"/>
      <c r="J145" s="423"/>
      <c r="K145" s="423"/>
      <c r="L145" s="423"/>
      <c r="M145" s="423"/>
      <c r="N145" s="423"/>
      <c r="O145" s="423"/>
      <c r="P145" s="423"/>
      <c r="Q145" s="423"/>
      <c r="R145" s="423"/>
      <c r="S145" s="423"/>
      <c r="T145" s="423"/>
      <c r="U145" s="423"/>
      <c r="V145" s="423"/>
      <c r="W145" s="424"/>
      <c r="X145" s="425">
        <f t="shared" si="8"/>
        <v>0</v>
      </c>
      <c r="Y145" s="472">
        <f>AN_TME22[[#This Row],[TOTAL Non-Truncated Unadjusted Claims Expenses]]-AN_TME22[[#This Row],[Total Claims Excluded because of Truncation]]</f>
        <v>0</v>
      </c>
      <c r="Z145" s="425">
        <f t="shared" si="9"/>
        <v>0</v>
      </c>
      <c r="AA145" s="472">
        <f>AN_TME22[[#This Row],[TOTAL Non-Truncated Unadjusted Claims Expenses]]+AN_TME22[[#This Row],[TOTAL Non-Claims Expenses]]</f>
        <v>0</v>
      </c>
      <c r="AB145" s="472">
        <f>AN_TME22[[#This Row],[TOTAL Truncated Unadjusted Claims Expenses (A21 -A19)]]+AN_TME22[[#This Row],[TOTAL Non-Claims Expenses]]</f>
        <v>0</v>
      </c>
      <c r="AC145" s="474">
        <f>IFERROR(AN_TME22[[#This Row],[TOTAL Non-Truncated Unadjusted Expenses (A21 + A23)]]/AN_TME22[[#This Row],[Member Months]],0)</f>
        <v>0</v>
      </c>
      <c r="AD145" s="474">
        <f>IFERROR(AN_TME22[[#This Row],[TOTAL Truncated Unadjusted Expenses (A22 + A23)]]/AN_TME22[[#This Row],[Member Months]],0)</f>
        <v>0</v>
      </c>
      <c r="AE145" s="474">
        <f>IFERROR(AN_TME22[[#This Row],[Total Claims Excluded because of Truncation]]/AN_TME22[[#This Row],[Count of Members with Claims Truncated]], 0)</f>
        <v>0</v>
      </c>
      <c r="AF145" s="476">
        <f>IFERROR(AN_TME22[[#This Row],[Total Claims Excluded because of Truncation]]/AN_TME22[[#This Row],[TOTAL Non-Truncated Unadjusted Claims Expenses]], 0)</f>
        <v>0</v>
      </c>
    </row>
    <row r="146" spans="1:32" x14ac:dyDescent="0.25">
      <c r="A146" s="426"/>
      <c r="B146" s="427"/>
      <c r="C146" s="427"/>
      <c r="D146" s="428"/>
      <c r="E146" s="517"/>
      <c r="F146" s="429"/>
      <c r="G146" s="429"/>
      <c r="H146" s="429"/>
      <c r="I146" s="429"/>
      <c r="J146" s="429"/>
      <c r="K146" s="429"/>
      <c r="L146" s="429"/>
      <c r="M146" s="429"/>
      <c r="N146" s="429"/>
      <c r="O146" s="429"/>
      <c r="P146" s="429"/>
      <c r="Q146" s="429"/>
      <c r="R146" s="429"/>
      <c r="S146" s="429"/>
      <c r="T146" s="429"/>
      <c r="U146" s="429"/>
      <c r="V146" s="429"/>
      <c r="W146" s="430"/>
      <c r="X146" s="431">
        <f t="shared" si="8"/>
        <v>0</v>
      </c>
      <c r="Y146" s="431">
        <f>AN_TME22[[#This Row],[TOTAL Non-Truncated Unadjusted Claims Expenses]]-AN_TME22[[#This Row],[Total Claims Excluded because of Truncation]]</f>
        <v>0</v>
      </c>
      <c r="Z146" s="431">
        <f t="shared" si="9"/>
        <v>0</v>
      </c>
      <c r="AA146" s="431">
        <f>AN_TME22[[#This Row],[TOTAL Non-Truncated Unadjusted Claims Expenses]]+AN_TME22[[#This Row],[TOTAL Non-Claims Expenses]]</f>
        <v>0</v>
      </c>
      <c r="AB146" s="431">
        <f>AN_TME22[[#This Row],[TOTAL Truncated Unadjusted Claims Expenses (A21 -A19)]]+AN_TME22[[#This Row],[TOTAL Non-Claims Expenses]]</f>
        <v>0</v>
      </c>
      <c r="AC146" s="475">
        <f>IFERROR(AN_TME22[[#This Row],[TOTAL Non-Truncated Unadjusted Expenses (A21 + A23)]]/AN_TME22[[#This Row],[Member Months]],0)</f>
        <v>0</v>
      </c>
      <c r="AD146" s="475">
        <f>IFERROR(AN_TME22[[#This Row],[TOTAL Truncated Unadjusted Expenses (A22 + A23)]]/AN_TME22[[#This Row],[Member Months]],0)</f>
        <v>0</v>
      </c>
      <c r="AE146" s="475">
        <f>IFERROR(AN_TME22[[#This Row],[Total Claims Excluded because of Truncation]]/AN_TME22[[#This Row],[Count of Members with Claims Truncated]], 0)</f>
        <v>0</v>
      </c>
      <c r="AF146" s="476">
        <f>IFERROR(AN_TME22[[#This Row],[Total Claims Excluded because of Truncation]]/AN_TME22[[#This Row],[TOTAL Non-Truncated Unadjusted Claims Expenses]], 0)</f>
        <v>0</v>
      </c>
    </row>
    <row r="147" spans="1:32" x14ac:dyDescent="0.25">
      <c r="A147" s="420"/>
      <c r="B147" s="421"/>
      <c r="C147" s="421"/>
      <c r="D147" s="422"/>
      <c r="E147" s="517"/>
      <c r="F147" s="423"/>
      <c r="G147" s="423"/>
      <c r="H147" s="423"/>
      <c r="I147" s="423"/>
      <c r="J147" s="423"/>
      <c r="K147" s="423"/>
      <c r="L147" s="423"/>
      <c r="M147" s="423"/>
      <c r="N147" s="423"/>
      <c r="O147" s="423"/>
      <c r="P147" s="423"/>
      <c r="Q147" s="423"/>
      <c r="R147" s="423"/>
      <c r="S147" s="423"/>
      <c r="T147" s="423"/>
      <c r="U147" s="423"/>
      <c r="V147" s="423"/>
      <c r="W147" s="424"/>
      <c r="X147" s="425">
        <f t="shared" si="8"/>
        <v>0</v>
      </c>
      <c r="Y147" s="472">
        <f>AN_TME22[[#This Row],[TOTAL Non-Truncated Unadjusted Claims Expenses]]-AN_TME22[[#This Row],[Total Claims Excluded because of Truncation]]</f>
        <v>0</v>
      </c>
      <c r="Z147" s="425">
        <f t="shared" si="9"/>
        <v>0</v>
      </c>
      <c r="AA147" s="472">
        <f>AN_TME22[[#This Row],[TOTAL Non-Truncated Unadjusted Claims Expenses]]+AN_TME22[[#This Row],[TOTAL Non-Claims Expenses]]</f>
        <v>0</v>
      </c>
      <c r="AB147" s="472">
        <f>AN_TME22[[#This Row],[TOTAL Truncated Unadjusted Claims Expenses (A21 -A19)]]+AN_TME22[[#This Row],[TOTAL Non-Claims Expenses]]</f>
        <v>0</v>
      </c>
      <c r="AC147" s="474">
        <f>IFERROR(AN_TME22[[#This Row],[TOTAL Non-Truncated Unadjusted Expenses (A21 + A23)]]/AN_TME22[[#This Row],[Member Months]],0)</f>
        <v>0</v>
      </c>
      <c r="AD147" s="474">
        <f>IFERROR(AN_TME22[[#This Row],[TOTAL Truncated Unadjusted Expenses (A22 + A23)]]/AN_TME22[[#This Row],[Member Months]],0)</f>
        <v>0</v>
      </c>
      <c r="AE147" s="474">
        <f>IFERROR(AN_TME22[[#This Row],[Total Claims Excluded because of Truncation]]/AN_TME22[[#This Row],[Count of Members with Claims Truncated]], 0)</f>
        <v>0</v>
      </c>
      <c r="AF147" s="476">
        <f>IFERROR(AN_TME22[[#This Row],[Total Claims Excluded because of Truncation]]/AN_TME22[[#This Row],[TOTAL Non-Truncated Unadjusted Claims Expenses]], 0)</f>
        <v>0</v>
      </c>
    </row>
    <row r="148" spans="1:32" x14ac:dyDescent="0.25">
      <c r="A148" s="426"/>
      <c r="B148" s="427"/>
      <c r="C148" s="427"/>
      <c r="D148" s="428"/>
      <c r="E148" s="517"/>
      <c r="F148" s="429"/>
      <c r="G148" s="429"/>
      <c r="H148" s="429"/>
      <c r="I148" s="429"/>
      <c r="J148" s="429"/>
      <c r="K148" s="429"/>
      <c r="L148" s="429"/>
      <c r="M148" s="429"/>
      <c r="N148" s="429"/>
      <c r="O148" s="429"/>
      <c r="P148" s="429"/>
      <c r="Q148" s="429"/>
      <c r="R148" s="429"/>
      <c r="S148" s="429"/>
      <c r="T148" s="429"/>
      <c r="U148" s="429"/>
      <c r="V148" s="429"/>
      <c r="W148" s="430"/>
      <c r="X148" s="431">
        <f t="shared" si="8"/>
        <v>0</v>
      </c>
      <c r="Y148" s="431">
        <f>AN_TME22[[#This Row],[TOTAL Non-Truncated Unadjusted Claims Expenses]]-AN_TME22[[#This Row],[Total Claims Excluded because of Truncation]]</f>
        <v>0</v>
      </c>
      <c r="Z148" s="431">
        <f t="shared" si="9"/>
        <v>0</v>
      </c>
      <c r="AA148" s="431">
        <f>AN_TME22[[#This Row],[TOTAL Non-Truncated Unadjusted Claims Expenses]]+AN_TME22[[#This Row],[TOTAL Non-Claims Expenses]]</f>
        <v>0</v>
      </c>
      <c r="AB148" s="431">
        <f>AN_TME22[[#This Row],[TOTAL Truncated Unadjusted Claims Expenses (A21 -A19)]]+AN_TME22[[#This Row],[TOTAL Non-Claims Expenses]]</f>
        <v>0</v>
      </c>
      <c r="AC148" s="475">
        <f>IFERROR(AN_TME22[[#This Row],[TOTAL Non-Truncated Unadjusted Expenses (A21 + A23)]]/AN_TME22[[#This Row],[Member Months]],0)</f>
        <v>0</v>
      </c>
      <c r="AD148" s="475">
        <f>IFERROR(AN_TME22[[#This Row],[TOTAL Truncated Unadjusted Expenses (A22 + A23)]]/AN_TME22[[#This Row],[Member Months]],0)</f>
        <v>0</v>
      </c>
      <c r="AE148" s="475">
        <f>IFERROR(AN_TME22[[#This Row],[Total Claims Excluded because of Truncation]]/AN_TME22[[#This Row],[Count of Members with Claims Truncated]], 0)</f>
        <v>0</v>
      </c>
      <c r="AF148" s="476">
        <f>IFERROR(AN_TME22[[#This Row],[Total Claims Excluded because of Truncation]]/AN_TME22[[#This Row],[TOTAL Non-Truncated Unadjusted Claims Expenses]], 0)</f>
        <v>0</v>
      </c>
    </row>
    <row r="149" spans="1:32" x14ac:dyDescent="0.25">
      <c r="A149" s="420"/>
      <c r="B149" s="421"/>
      <c r="C149" s="421"/>
      <c r="D149" s="422"/>
      <c r="E149" s="517"/>
      <c r="F149" s="423"/>
      <c r="G149" s="423"/>
      <c r="H149" s="423"/>
      <c r="I149" s="423"/>
      <c r="J149" s="423"/>
      <c r="K149" s="423"/>
      <c r="L149" s="423"/>
      <c r="M149" s="423"/>
      <c r="N149" s="423"/>
      <c r="O149" s="423"/>
      <c r="P149" s="423"/>
      <c r="Q149" s="423"/>
      <c r="R149" s="423"/>
      <c r="S149" s="423"/>
      <c r="T149" s="423"/>
      <c r="U149" s="423"/>
      <c r="V149" s="423"/>
      <c r="W149" s="424"/>
      <c r="X149" s="425">
        <f t="shared" si="8"/>
        <v>0</v>
      </c>
      <c r="Y149" s="472">
        <f>AN_TME22[[#This Row],[TOTAL Non-Truncated Unadjusted Claims Expenses]]-AN_TME22[[#This Row],[Total Claims Excluded because of Truncation]]</f>
        <v>0</v>
      </c>
      <c r="Z149" s="425">
        <f t="shared" si="9"/>
        <v>0</v>
      </c>
      <c r="AA149" s="472">
        <f>AN_TME22[[#This Row],[TOTAL Non-Truncated Unadjusted Claims Expenses]]+AN_TME22[[#This Row],[TOTAL Non-Claims Expenses]]</f>
        <v>0</v>
      </c>
      <c r="AB149" s="472">
        <f>AN_TME22[[#This Row],[TOTAL Truncated Unadjusted Claims Expenses (A21 -A19)]]+AN_TME22[[#This Row],[TOTAL Non-Claims Expenses]]</f>
        <v>0</v>
      </c>
      <c r="AC149" s="474">
        <f>IFERROR(AN_TME22[[#This Row],[TOTAL Non-Truncated Unadjusted Expenses (A21 + A23)]]/AN_TME22[[#This Row],[Member Months]],0)</f>
        <v>0</v>
      </c>
      <c r="AD149" s="474">
        <f>IFERROR(AN_TME22[[#This Row],[TOTAL Truncated Unadjusted Expenses (A22 + A23)]]/AN_TME22[[#This Row],[Member Months]],0)</f>
        <v>0</v>
      </c>
      <c r="AE149" s="474">
        <f>IFERROR(AN_TME22[[#This Row],[Total Claims Excluded because of Truncation]]/AN_TME22[[#This Row],[Count of Members with Claims Truncated]], 0)</f>
        <v>0</v>
      </c>
      <c r="AF149" s="476">
        <f>IFERROR(AN_TME22[[#This Row],[Total Claims Excluded because of Truncation]]/AN_TME22[[#This Row],[TOTAL Non-Truncated Unadjusted Claims Expenses]], 0)</f>
        <v>0</v>
      </c>
    </row>
    <row r="150" spans="1:32" x14ac:dyDescent="0.25">
      <c r="A150" s="426"/>
      <c r="B150" s="427"/>
      <c r="C150" s="427"/>
      <c r="D150" s="428"/>
      <c r="E150" s="517"/>
      <c r="F150" s="429"/>
      <c r="G150" s="429"/>
      <c r="H150" s="429"/>
      <c r="I150" s="429"/>
      <c r="J150" s="429"/>
      <c r="K150" s="429"/>
      <c r="L150" s="429"/>
      <c r="M150" s="429"/>
      <c r="N150" s="429"/>
      <c r="O150" s="429"/>
      <c r="P150" s="429"/>
      <c r="Q150" s="429"/>
      <c r="R150" s="429"/>
      <c r="S150" s="429"/>
      <c r="T150" s="429"/>
      <c r="U150" s="429"/>
      <c r="V150" s="429"/>
      <c r="W150" s="430"/>
      <c r="X150" s="431">
        <f t="shared" si="8"/>
        <v>0</v>
      </c>
      <c r="Y150" s="431">
        <f>AN_TME22[[#This Row],[TOTAL Non-Truncated Unadjusted Claims Expenses]]-AN_TME22[[#This Row],[Total Claims Excluded because of Truncation]]</f>
        <v>0</v>
      </c>
      <c r="Z150" s="431">
        <f t="shared" si="9"/>
        <v>0</v>
      </c>
      <c r="AA150" s="431">
        <f>AN_TME22[[#This Row],[TOTAL Non-Truncated Unadjusted Claims Expenses]]+AN_TME22[[#This Row],[TOTAL Non-Claims Expenses]]</f>
        <v>0</v>
      </c>
      <c r="AB150" s="431">
        <f>AN_TME22[[#This Row],[TOTAL Truncated Unadjusted Claims Expenses (A21 -A19)]]+AN_TME22[[#This Row],[TOTAL Non-Claims Expenses]]</f>
        <v>0</v>
      </c>
      <c r="AC150" s="475">
        <f>IFERROR(AN_TME22[[#This Row],[TOTAL Non-Truncated Unadjusted Expenses (A21 + A23)]]/AN_TME22[[#This Row],[Member Months]],0)</f>
        <v>0</v>
      </c>
      <c r="AD150" s="475">
        <f>IFERROR(AN_TME22[[#This Row],[TOTAL Truncated Unadjusted Expenses (A22 + A23)]]/AN_TME22[[#This Row],[Member Months]],0)</f>
        <v>0</v>
      </c>
      <c r="AE150" s="475">
        <f>IFERROR(AN_TME22[[#This Row],[Total Claims Excluded because of Truncation]]/AN_TME22[[#This Row],[Count of Members with Claims Truncated]], 0)</f>
        <v>0</v>
      </c>
      <c r="AF150" s="476">
        <f>IFERROR(AN_TME22[[#This Row],[Total Claims Excluded because of Truncation]]/AN_TME22[[#This Row],[TOTAL Non-Truncated Unadjusted Claims Expenses]], 0)</f>
        <v>0</v>
      </c>
    </row>
    <row r="151" spans="1:32" x14ac:dyDescent="0.25">
      <c r="A151" s="420"/>
      <c r="B151" s="421"/>
      <c r="C151" s="421"/>
      <c r="D151" s="422"/>
      <c r="E151" s="517"/>
      <c r="F151" s="423"/>
      <c r="G151" s="423"/>
      <c r="H151" s="423"/>
      <c r="I151" s="423"/>
      <c r="J151" s="423"/>
      <c r="K151" s="423"/>
      <c r="L151" s="423"/>
      <c r="M151" s="423"/>
      <c r="N151" s="423"/>
      <c r="O151" s="423"/>
      <c r="P151" s="423"/>
      <c r="Q151" s="423"/>
      <c r="R151" s="423"/>
      <c r="S151" s="423"/>
      <c r="T151" s="423"/>
      <c r="U151" s="423"/>
      <c r="V151" s="423"/>
      <c r="W151" s="424"/>
      <c r="X151" s="425">
        <f t="shared" si="8"/>
        <v>0</v>
      </c>
      <c r="Y151" s="472">
        <f>AN_TME22[[#This Row],[TOTAL Non-Truncated Unadjusted Claims Expenses]]-AN_TME22[[#This Row],[Total Claims Excluded because of Truncation]]</f>
        <v>0</v>
      </c>
      <c r="Z151" s="425">
        <f t="shared" si="9"/>
        <v>0</v>
      </c>
      <c r="AA151" s="472">
        <f>AN_TME22[[#This Row],[TOTAL Non-Truncated Unadjusted Claims Expenses]]+AN_TME22[[#This Row],[TOTAL Non-Claims Expenses]]</f>
        <v>0</v>
      </c>
      <c r="AB151" s="472">
        <f>AN_TME22[[#This Row],[TOTAL Truncated Unadjusted Claims Expenses (A21 -A19)]]+AN_TME22[[#This Row],[TOTAL Non-Claims Expenses]]</f>
        <v>0</v>
      </c>
      <c r="AC151" s="474">
        <f>IFERROR(AN_TME22[[#This Row],[TOTAL Non-Truncated Unadjusted Expenses (A21 + A23)]]/AN_TME22[[#This Row],[Member Months]],0)</f>
        <v>0</v>
      </c>
      <c r="AD151" s="474">
        <f>IFERROR(AN_TME22[[#This Row],[TOTAL Truncated Unadjusted Expenses (A22 + A23)]]/AN_TME22[[#This Row],[Member Months]],0)</f>
        <v>0</v>
      </c>
      <c r="AE151" s="474">
        <f>IFERROR(AN_TME22[[#This Row],[Total Claims Excluded because of Truncation]]/AN_TME22[[#This Row],[Count of Members with Claims Truncated]], 0)</f>
        <v>0</v>
      </c>
      <c r="AF151" s="476">
        <f>IFERROR(AN_TME22[[#This Row],[Total Claims Excluded because of Truncation]]/AN_TME22[[#This Row],[TOTAL Non-Truncated Unadjusted Claims Expenses]], 0)</f>
        <v>0</v>
      </c>
    </row>
    <row r="152" spans="1:32" x14ac:dyDescent="0.25">
      <c r="A152" s="426"/>
      <c r="B152" s="427"/>
      <c r="C152" s="427"/>
      <c r="D152" s="428"/>
      <c r="E152" s="517"/>
      <c r="F152" s="429"/>
      <c r="G152" s="429"/>
      <c r="H152" s="429"/>
      <c r="I152" s="429"/>
      <c r="J152" s="429"/>
      <c r="K152" s="429"/>
      <c r="L152" s="429"/>
      <c r="M152" s="429"/>
      <c r="N152" s="429"/>
      <c r="O152" s="429"/>
      <c r="P152" s="429"/>
      <c r="Q152" s="429"/>
      <c r="R152" s="429"/>
      <c r="S152" s="429"/>
      <c r="T152" s="429"/>
      <c r="U152" s="429"/>
      <c r="V152" s="429"/>
      <c r="W152" s="430"/>
      <c r="X152" s="431">
        <f t="shared" si="8"/>
        <v>0</v>
      </c>
      <c r="Y152" s="431">
        <f>AN_TME22[[#This Row],[TOTAL Non-Truncated Unadjusted Claims Expenses]]-AN_TME22[[#This Row],[Total Claims Excluded because of Truncation]]</f>
        <v>0</v>
      </c>
      <c r="Z152" s="431">
        <f t="shared" si="9"/>
        <v>0</v>
      </c>
      <c r="AA152" s="431">
        <f>AN_TME22[[#This Row],[TOTAL Non-Truncated Unadjusted Claims Expenses]]+AN_TME22[[#This Row],[TOTAL Non-Claims Expenses]]</f>
        <v>0</v>
      </c>
      <c r="AB152" s="431">
        <f>AN_TME22[[#This Row],[TOTAL Truncated Unadjusted Claims Expenses (A21 -A19)]]+AN_TME22[[#This Row],[TOTAL Non-Claims Expenses]]</f>
        <v>0</v>
      </c>
      <c r="AC152" s="475">
        <f>IFERROR(AN_TME22[[#This Row],[TOTAL Non-Truncated Unadjusted Expenses (A21 + A23)]]/AN_TME22[[#This Row],[Member Months]],0)</f>
        <v>0</v>
      </c>
      <c r="AD152" s="475">
        <f>IFERROR(AN_TME22[[#This Row],[TOTAL Truncated Unadjusted Expenses (A22 + A23)]]/AN_TME22[[#This Row],[Member Months]],0)</f>
        <v>0</v>
      </c>
      <c r="AE152" s="475">
        <f>IFERROR(AN_TME22[[#This Row],[Total Claims Excluded because of Truncation]]/AN_TME22[[#This Row],[Count of Members with Claims Truncated]], 0)</f>
        <v>0</v>
      </c>
      <c r="AF152" s="476">
        <f>IFERROR(AN_TME22[[#This Row],[Total Claims Excluded because of Truncation]]/AN_TME22[[#This Row],[TOTAL Non-Truncated Unadjusted Claims Expenses]], 0)</f>
        <v>0</v>
      </c>
    </row>
    <row r="153" spans="1:32" x14ac:dyDescent="0.25">
      <c r="A153" s="420"/>
      <c r="B153" s="421"/>
      <c r="C153" s="421"/>
      <c r="D153" s="422"/>
      <c r="E153" s="517"/>
      <c r="F153" s="423"/>
      <c r="G153" s="423"/>
      <c r="H153" s="423"/>
      <c r="I153" s="423"/>
      <c r="J153" s="423"/>
      <c r="K153" s="423"/>
      <c r="L153" s="423"/>
      <c r="M153" s="423"/>
      <c r="N153" s="423"/>
      <c r="O153" s="423"/>
      <c r="P153" s="423"/>
      <c r="Q153" s="423"/>
      <c r="R153" s="423"/>
      <c r="S153" s="423"/>
      <c r="T153" s="423"/>
      <c r="U153" s="423"/>
      <c r="V153" s="423"/>
      <c r="W153" s="424"/>
      <c r="X153" s="425">
        <f t="shared" ref="X153:X200" si="10">SUM(F153:H153)+SUM(J153:N153)</f>
        <v>0</v>
      </c>
      <c r="Y153" s="472">
        <f>AN_TME22[[#This Row],[TOTAL Non-Truncated Unadjusted Claims Expenses]]-AN_TME22[[#This Row],[Total Claims Excluded because of Truncation]]</f>
        <v>0</v>
      </c>
      <c r="Z153" s="425">
        <f t="shared" ref="Z153:Z200" si="11">SUM(O153:T153)</f>
        <v>0</v>
      </c>
      <c r="AA153" s="472">
        <f>AN_TME22[[#This Row],[TOTAL Non-Truncated Unadjusted Claims Expenses]]+AN_TME22[[#This Row],[TOTAL Non-Claims Expenses]]</f>
        <v>0</v>
      </c>
      <c r="AB153" s="472">
        <f>AN_TME22[[#This Row],[TOTAL Truncated Unadjusted Claims Expenses (A21 -A19)]]+AN_TME22[[#This Row],[TOTAL Non-Claims Expenses]]</f>
        <v>0</v>
      </c>
      <c r="AC153" s="474">
        <f>IFERROR(AN_TME22[[#This Row],[TOTAL Non-Truncated Unadjusted Expenses (A21 + A23)]]/AN_TME22[[#This Row],[Member Months]],0)</f>
        <v>0</v>
      </c>
      <c r="AD153" s="474">
        <f>IFERROR(AN_TME22[[#This Row],[TOTAL Truncated Unadjusted Expenses (A22 + A23)]]/AN_TME22[[#This Row],[Member Months]],0)</f>
        <v>0</v>
      </c>
      <c r="AE153" s="474">
        <f>IFERROR(AN_TME22[[#This Row],[Total Claims Excluded because of Truncation]]/AN_TME22[[#This Row],[Count of Members with Claims Truncated]], 0)</f>
        <v>0</v>
      </c>
      <c r="AF153" s="476">
        <f>IFERROR(AN_TME22[[#This Row],[Total Claims Excluded because of Truncation]]/AN_TME22[[#This Row],[TOTAL Non-Truncated Unadjusted Claims Expenses]], 0)</f>
        <v>0</v>
      </c>
    </row>
    <row r="154" spans="1:32" x14ac:dyDescent="0.25">
      <c r="A154" s="426"/>
      <c r="B154" s="427"/>
      <c r="C154" s="427"/>
      <c r="D154" s="428"/>
      <c r="E154" s="517"/>
      <c r="F154" s="429"/>
      <c r="G154" s="429"/>
      <c r="H154" s="429"/>
      <c r="I154" s="429"/>
      <c r="J154" s="429"/>
      <c r="K154" s="429"/>
      <c r="L154" s="429"/>
      <c r="M154" s="429"/>
      <c r="N154" s="429"/>
      <c r="O154" s="429"/>
      <c r="P154" s="429"/>
      <c r="Q154" s="429"/>
      <c r="R154" s="429"/>
      <c r="S154" s="429"/>
      <c r="T154" s="429"/>
      <c r="U154" s="429"/>
      <c r="V154" s="429"/>
      <c r="W154" s="430"/>
      <c r="X154" s="431">
        <f t="shared" si="10"/>
        <v>0</v>
      </c>
      <c r="Y154" s="431">
        <f>AN_TME22[[#This Row],[TOTAL Non-Truncated Unadjusted Claims Expenses]]-AN_TME22[[#This Row],[Total Claims Excluded because of Truncation]]</f>
        <v>0</v>
      </c>
      <c r="Z154" s="431">
        <f t="shared" si="11"/>
        <v>0</v>
      </c>
      <c r="AA154" s="431">
        <f>AN_TME22[[#This Row],[TOTAL Non-Truncated Unadjusted Claims Expenses]]+AN_TME22[[#This Row],[TOTAL Non-Claims Expenses]]</f>
        <v>0</v>
      </c>
      <c r="AB154" s="431">
        <f>AN_TME22[[#This Row],[TOTAL Truncated Unadjusted Claims Expenses (A21 -A19)]]+AN_TME22[[#This Row],[TOTAL Non-Claims Expenses]]</f>
        <v>0</v>
      </c>
      <c r="AC154" s="475">
        <f>IFERROR(AN_TME22[[#This Row],[TOTAL Non-Truncated Unadjusted Expenses (A21 + A23)]]/AN_TME22[[#This Row],[Member Months]],0)</f>
        <v>0</v>
      </c>
      <c r="AD154" s="475">
        <f>IFERROR(AN_TME22[[#This Row],[TOTAL Truncated Unadjusted Expenses (A22 + A23)]]/AN_TME22[[#This Row],[Member Months]],0)</f>
        <v>0</v>
      </c>
      <c r="AE154" s="475">
        <f>IFERROR(AN_TME22[[#This Row],[Total Claims Excluded because of Truncation]]/AN_TME22[[#This Row],[Count of Members with Claims Truncated]], 0)</f>
        <v>0</v>
      </c>
      <c r="AF154" s="476">
        <f>IFERROR(AN_TME22[[#This Row],[Total Claims Excluded because of Truncation]]/AN_TME22[[#This Row],[TOTAL Non-Truncated Unadjusted Claims Expenses]], 0)</f>
        <v>0</v>
      </c>
    </row>
    <row r="155" spans="1:32" x14ac:dyDescent="0.25">
      <c r="A155" s="420"/>
      <c r="B155" s="421"/>
      <c r="C155" s="421"/>
      <c r="D155" s="422"/>
      <c r="E155" s="517"/>
      <c r="F155" s="423"/>
      <c r="G155" s="423"/>
      <c r="H155" s="423"/>
      <c r="I155" s="423"/>
      <c r="J155" s="423"/>
      <c r="K155" s="423"/>
      <c r="L155" s="423"/>
      <c r="M155" s="423"/>
      <c r="N155" s="423"/>
      <c r="O155" s="423"/>
      <c r="P155" s="423"/>
      <c r="Q155" s="423"/>
      <c r="R155" s="423"/>
      <c r="S155" s="423"/>
      <c r="T155" s="423"/>
      <c r="U155" s="423"/>
      <c r="V155" s="423"/>
      <c r="W155" s="424"/>
      <c r="X155" s="425">
        <f t="shared" si="10"/>
        <v>0</v>
      </c>
      <c r="Y155" s="472">
        <f>AN_TME22[[#This Row],[TOTAL Non-Truncated Unadjusted Claims Expenses]]-AN_TME22[[#This Row],[Total Claims Excluded because of Truncation]]</f>
        <v>0</v>
      </c>
      <c r="Z155" s="425">
        <f t="shared" si="11"/>
        <v>0</v>
      </c>
      <c r="AA155" s="472">
        <f>AN_TME22[[#This Row],[TOTAL Non-Truncated Unadjusted Claims Expenses]]+AN_TME22[[#This Row],[TOTAL Non-Claims Expenses]]</f>
        <v>0</v>
      </c>
      <c r="AB155" s="472">
        <f>AN_TME22[[#This Row],[TOTAL Truncated Unadjusted Claims Expenses (A21 -A19)]]+AN_TME22[[#This Row],[TOTAL Non-Claims Expenses]]</f>
        <v>0</v>
      </c>
      <c r="AC155" s="474">
        <f>IFERROR(AN_TME22[[#This Row],[TOTAL Non-Truncated Unadjusted Expenses (A21 + A23)]]/AN_TME22[[#This Row],[Member Months]],0)</f>
        <v>0</v>
      </c>
      <c r="AD155" s="474">
        <f>IFERROR(AN_TME22[[#This Row],[TOTAL Truncated Unadjusted Expenses (A22 + A23)]]/AN_TME22[[#This Row],[Member Months]],0)</f>
        <v>0</v>
      </c>
      <c r="AE155" s="474">
        <f>IFERROR(AN_TME22[[#This Row],[Total Claims Excluded because of Truncation]]/AN_TME22[[#This Row],[Count of Members with Claims Truncated]], 0)</f>
        <v>0</v>
      </c>
      <c r="AF155" s="476">
        <f>IFERROR(AN_TME22[[#This Row],[Total Claims Excluded because of Truncation]]/AN_TME22[[#This Row],[TOTAL Non-Truncated Unadjusted Claims Expenses]], 0)</f>
        <v>0</v>
      </c>
    </row>
    <row r="156" spans="1:32" x14ac:dyDescent="0.25">
      <c r="A156" s="426"/>
      <c r="B156" s="427"/>
      <c r="C156" s="427"/>
      <c r="D156" s="428"/>
      <c r="E156" s="517"/>
      <c r="F156" s="429"/>
      <c r="G156" s="429"/>
      <c r="H156" s="429"/>
      <c r="I156" s="429"/>
      <c r="J156" s="429"/>
      <c r="K156" s="429"/>
      <c r="L156" s="429"/>
      <c r="M156" s="429"/>
      <c r="N156" s="429"/>
      <c r="O156" s="429"/>
      <c r="P156" s="429"/>
      <c r="Q156" s="429"/>
      <c r="R156" s="429"/>
      <c r="S156" s="429"/>
      <c r="T156" s="429"/>
      <c r="U156" s="429"/>
      <c r="V156" s="429"/>
      <c r="W156" s="430"/>
      <c r="X156" s="431">
        <f t="shared" si="10"/>
        <v>0</v>
      </c>
      <c r="Y156" s="431">
        <f>AN_TME22[[#This Row],[TOTAL Non-Truncated Unadjusted Claims Expenses]]-AN_TME22[[#This Row],[Total Claims Excluded because of Truncation]]</f>
        <v>0</v>
      </c>
      <c r="Z156" s="431">
        <f t="shared" si="11"/>
        <v>0</v>
      </c>
      <c r="AA156" s="431">
        <f>AN_TME22[[#This Row],[TOTAL Non-Truncated Unadjusted Claims Expenses]]+AN_TME22[[#This Row],[TOTAL Non-Claims Expenses]]</f>
        <v>0</v>
      </c>
      <c r="AB156" s="431">
        <f>AN_TME22[[#This Row],[TOTAL Truncated Unadjusted Claims Expenses (A21 -A19)]]+AN_TME22[[#This Row],[TOTAL Non-Claims Expenses]]</f>
        <v>0</v>
      </c>
      <c r="AC156" s="475">
        <f>IFERROR(AN_TME22[[#This Row],[TOTAL Non-Truncated Unadjusted Expenses (A21 + A23)]]/AN_TME22[[#This Row],[Member Months]],0)</f>
        <v>0</v>
      </c>
      <c r="AD156" s="475">
        <f>IFERROR(AN_TME22[[#This Row],[TOTAL Truncated Unadjusted Expenses (A22 + A23)]]/AN_TME22[[#This Row],[Member Months]],0)</f>
        <v>0</v>
      </c>
      <c r="AE156" s="475">
        <f>IFERROR(AN_TME22[[#This Row],[Total Claims Excluded because of Truncation]]/AN_TME22[[#This Row],[Count of Members with Claims Truncated]], 0)</f>
        <v>0</v>
      </c>
      <c r="AF156" s="476">
        <f>IFERROR(AN_TME22[[#This Row],[Total Claims Excluded because of Truncation]]/AN_TME22[[#This Row],[TOTAL Non-Truncated Unadjusted Claims Expenses]], 0)</f>
        <v>0</v>
      </c>
    </row>
    <row r="157" spans="1:32" x14ac:dyDescent="0.25">
      <c r="A157" s="420"/>
      <c r="B157" s="421"/>
      <c r="C157" s="421"/>
      <c r="D157" s="422"/>
      <c r="E157" s="517"/>
      <c r="F157" s="423"/>
      <c r="G157" s="423"/>
      <c r="H157" s="423"/>
      <c r="I157" s="423"/>
      <c r="J157" s="423"/>
      <c r="K157" s="423"/>
      <c r="L157" s="423"/>
      <c r="M157" s="423"/>
      <c r="N157" s="423"/>
      <c r="O157" s="423"/>
      <c r="P157" s="423"/>
      <c r="Q157" s="423"/>
      <c r="R157" s="423"/>
      <c r="S157" s="423"/>
      <c r="T157" s="423"/>
      <c r="U157" s="423"/>
      <c r="V157" s="423"/>
      <c r="W157" s="424"/>
      <c r="X157" s="425">
        <f t="shared" si="10"/>
        <v>0</v>
      </c>
      <c r="Y157" s="472">
        <f>AN_TME22[[#This Row],[TOTAL Non-Truncated Unadjusted Claims Expenses]]-AN_TME22[[#This Row],[Total Claims Excluded because of Truncation]]</f>
        <v>0</v>
      </c>
      <c r="Z157" s="425">
        <f t="shared" si="11"/>
        <v>0</v>
      </c>
      <c r="AA157" s="472">
        <f>AN_TME22[[#This Row],[TOTAL Non-Truncated Unadjusted Claims Expenses]]+AN_TME22[[#This Row],[TOTAL Non-Claims Expenses]]</f>
        <v>0</v>
      </c>
      <c r="AB157" s="472">
        <f>AN_TME22[[#This Row],[TOTAL Truncated Unadjusted Claims Expenses (A21 -A19)]]+AN_TME22[[#This Row],[TOTAL Non-Claims Expenses]]</f>
        <v>0</v>
      </c>
      <c r="AC157" s="474">
        <f>IFERROR(AN_TME22[[#This Row],[TOTAL Non-Truncated Unadjusted Expenses (A21 + A23)]]/AN_TME22[[#This Row],[Member Months]],0)</f>
        <v>0</v>
      </c>
      <c r="AD157" s="474">
        <f>IFERROR(AN_TME22[[#This Row],[TOTAL Truncated Unadjusted Expenses (A22 + A23)]]/AN_TME22[[#This Row],[Member Months]],0)</f>
        <v>0</v>
      </c>
      <c r="AE157" s="474">
        <f>IFERROR(AN_TME22[[#This Row],[Total Claims Excluded because of Truncation]]/AN_TME22[[#This Row],[Count of Members with Claims Truncated]], 0)</f>
        <v>0</v>
      </c>
      <c r="AF157" s="476">
        <f>IFERROR(AN_TME22[[#This Row],[Total Claims Excluded because of Truncation]]/AN_TME22[[#This Row],[TOTAL Non-Truncated Unadjusted Claims Expenses]], 0)</f>
        <v>0</v>
      </c>
    </row>
    <row r="158" spans="1:32" x14ac:dyDescent="0.25">
      <c r="A158" s="426"/>
      <c r="B158" s="427"/>
      <c r="C158" s="427"/>
      <c r="D158" s="428"/>
      <c r="E158" s="517"/>
      <c r="F158" s="429"/>
      <c r="G158" s="429"/>
      <c r="H158" s="429"/>
      <c r="I158" s="429"/>
      <c r="J158" s="429"/>
      <c r="K158" s="429"/>
      <c r="L158" s="429"/>
      <c r="M158" s="429"/>
      <c r="N158" s="429"/>
      <c r="O158" s="429"/>
      <c r="P158" s="429"/>
      <c r="Q158" s="429"/>
      <c r="R158" s="429"/>
      <c r="S158" s="429"/>
      <c r="T158" s="429"/>
      <c r="U158" s="429"/>
      <c r="V158" s="429"/>
      <c r="W158" s="430"/>
      <c r="X158" s="431">
        <f t="shared" si="10"/>
        <v>0</v>
      </c>
      <c r="Y158" s="431">
        <f>AN_TME22[[#This Row],[TOTAL Non-Truncated Unadjusted Claims Expenses]]-AN_TME22[[#This Row],[Total Claims Excluded because of Truncation]]</f>
        <v>0</v>
      </c>
      <c r="Z158" s="431">
        <f t="shared" si="11"/>
        <v>0</v>
      </c>
      <c r="AA158" s="431">
        <f>AN_TME22[[#This Row],[TOTAL Non-Truncated Unadjusted Claims Expenses]]+AN_TME22[[#This Row],[TOTAL Non-Claims Expenses]]</f>
        <v>0</v>
      </c>
      <c r="AB158" s="431">
        <f>AN_TME22[[#This Row],[TOTAL Truncated Unadjusted Claims Expenses (A21 -A19)]]+AN_TME22[[#This Row],[TOTAL Non-Claims Expenses]]</f>
        <v>0</v>
      </c>
      <c r="AC158" s="475">
        <f>IFERROR(AN_TME22[[#This Row],[TOTAL Non-Truncated Unadjusted Expenses (A21 + A23)]]/AN_TME22[[#This Row],[Member Months]],0)</f>
        <v>0</v>
      </c>
      <c r="AD158" s="475">
        <f>IFERROR(AN_TME22[[#This Row],[TOTAL Truncated Unadjusted Expenses (A22 + A23)]]/AN_TME22[[#This Row],[Member Months]],0)</f>
        <v>0</v>
      </c>
      <c r="AE158" s="475">
        <f>IFERROR(AN_TME22[[#This Row],[Total Claims Excluded because of Truncation]]/AN_TME22[[#This Row],[Count of Members with Claims Truncated]], 0)</f>
        <v>0</v>
      </c>
      <c r="AF158" s="476">
        <f>IFERROR(AN_TME22[[#This Row],[Total Claims Excluded because of Truncation]]/AN_TME22[[#This Row],[TOTAL Non-Truncated Unadjusted Claims Expenses]], 0)</f>
        <v>0</v>
      </c>
    </row>
    <row r="159" spans="1:32" x14ac:dyDescent="0.25">
      <c r="A159" s="420"/>
      <c r="B159" s="421"/>
      <c r="C159" s="421"/>
      <c r="D159" s="422"/>
      <c r="E159" s="517"/>
      <c r="F159" s="423"/>
      <c r="G159" s="423"/>
      <c r="H159" s="423"/>
      <c r="I159" s="423"/>
      <c r="J159" s="423"/>
      <c r="K159" s="423"/>
      <c r="L159" s="423"/>
      <c r="M159" s="423"/>
      <c r="N159" s="423"/>
      <c r="O159" s="423"/>
      <c r="P159" s="423"/>
      <c r="Q159" s="423"/>
      <c r="R159" s="423"/>
      <c r="S159" s="423"/>
      <c r="T159" s="423"/>
      <c r="U159" s="423"/>
      <c r="V159" s="423"/>
      <c r="W159" s="424"/>
      <c r="X159" s="425">
        <f t="shared" si="10"/>
        <v>0</v>
      </c>
      <c r="Y159" s="472">
        <f>AN_TME22[[#This Row],[TOTAL Non-Truncated Unadjusted Claims Expenses]]-AN_TME22[[#This Row],[Total Claims Excluded because of Truncation]]</f>
        <v>0</v>
      </c>
      <c r="Z159" s="425">
        <f t="shared" si="11"/>
        <v>0</v>
      </c>
      <c r="AA159" s="472">
        <f>AN_TME22[[#This Row],[TOTAL Non-Truncated Unadjusted Claims Expenses]]+AN_TME22[[#This Row],[TOTAL Non-Claims Expenses]]</f>
        <v>0</v>
      </c>
      <c r="AB159" s="472">
        <f>AN_TME22[[#This Row],[TOTAL Truncated Unadjusted Claims Expenses (A21 -A19)]]+AN_TME22[[#This Row],[TOTAL Non-Claims Expenses]]</f>
        <v>0</v>
      </c>
      <c r="AC159" s="474">
        <f>IFERROR(AN_TME22[[#This Row],[TOTAL Non-Truncated Unadjusted Expenses (A21 + A23)]]/AN_TME22[[#This Row],[Member Months]],0)</f>
        <v>0</v>
      </c>
      <c r="AD159" s="474">
        <f>IFERROR(AN_TME22[[#This Row],[TOTAL Truncated Unadjusted Expenses (A22 + A23)]]/AN_TME22[[#This Row],[Member Months]],0)</f>
        <v>0</v>
      </c>
      <c r="AE159" s="474">
        <f>IFERROR(AN_TME22[[#This Row],[Total Claims Excluded because of Truncation]]/AN_TME22[[#This Row],[Count of Members with Claims Truncated]], 0)</f>
        <v>0</v>
      </c>
      <c r="AF159" s="476">
        <f>IFERROR(AN_TME22[[#This Row],[Total Claims Excluded because of Truncation]]/AN_TME22[[#This Row],[TOTAL Non-Truncated Unadjusted Claims Expenses]], 0)</f>
        <v>0</v>
      </c>
    </row>
    <row r="160" spans="1:32" x14ac:dyDescent="0.25">
      <c r="A160" s="426"/>
      <c r="B160" s="427"/>
      <c r="C160" s="427"/>
      <c r="D160" s="428"/>
      <c r="E160" s="517"/>
      <c r="F160" s="429"/>
      <c r="G160" s="429"/>
      <c r="H160" s="429"/>
      <c r="I160" s="429"/>
      <c r="J160" s="429"/>
      <c r="K160" s="429"/>
      <c r="L160" s="429"/>
      <c r="M160" s="429"/>
      <c r="N160" s="429"/>
      <c r="O160" s="429"/>
      <c r="P160" s="429"/>
      <c r="Q160" s="429"/>
      <c r="R160" s="429"/>
      <c r="S160" s="429"/>
      <c r="T160" s="429"/>
      <c r="U160" s="429"/>
      <c r="V160" s="429"/>
      <c r="W160" s="430"/>
      <c r="X160" s="431">
        <f t="shared" si="10"/>
        <v>0</v>
      </c>
      <c r="Y160" s="431">
        <f>AN_TME22[[#This Row],[TOTAL Non-Truncated Unadjusted Claims Expenses]]-AN_TME22[[#This Row],[Total Claims Excluded because of Truncation]]</f>
        <v>0</v>
      </c>
      <c r="Z160" s="431">
        <f t="shared" si="11"/>
        <v>0</v>
      </c>
      <c r="AA160" s="431">
        <f>AN_TME22[[#This Row],[TOTAL Non-Truncated Unadjusted Claims Expenses]]+AN_TME22[[#This Row],[TOTAL Non-Claims Expenses]]</f>
        <v>0</v>
      </c>
      <c r="AB160" s="431">
        <f>AN_TME22[[#This Row],[TOTAL Truncated Unadjusted Claims Expenses (A21 -A19)]]+AN_TME22[[#This Row],[TOTAL Non-Claims Expenses]]</f>
        <v>0</v>
      </c>
      <c r="AC160" s="475">
        <f>IFERROR(AN_TME22[[#This Row],[TOTAL Non-Truncated Unadjusted Expenses (A21 + A23)]]/AN_TME22[[#This Row],[Member Months]],0)</f>
        <v>0</v>
      </c>
      <c r="AD160" s="475">
        <f>IFERROR(AN_TME22[[#This Row],[TOTAL Truncated Unadjusted Expenses (A22 + A23)]]/AN_TME22[[#This Row],[Member Months]],0)</f>
        <v>0</v>
      </c>
      <c r="AE160" s="475">
        <f>IFERROR(AN_TME22[[#This Row],[Total Claims Excluded because of Truncation]]/AN_TME22[[#This Row],[Count of Members with Claims Truncated]], 0)</f>
        <v>0</v>
      </c>
      <c r="AF160" s="476">
        <f>IFERROR(AN_TME22[[#This Row],[Total Claims Excluded because of Truncation]]/AN_TME22[[#This Row],[TOTAL Non-Truncated Unadjusted Claims Expenses]], 0)</f>
        <v>0</v>
      </c>
    </row>
    <row r="161" spans="1:32" x14ac:dyDescent="0.25">
      <c r="A161" s="420"/>
      <c r="B161" s="421"/>
      <c r="C161" s="421"/>
      <c r="D161" s="422"/>
      <c r="E161" s="517"/>
      <c r="F161" s="423"/>
      <c r="G161" s="423"/>
      <c r="H161" s="423"/>
      <c r="I161" s="423"/>
      <c r="J161" s="423"/>
      <c r="K161" s="423"/>
      <c r="L161" s="423"/>
      <c r="M161" s="423"/>
      <c r="N161" s="423"/>
      <c r="O161" s="423"/>
      <c r="P161" s="423"/>
      <c r="Q161" s="423"/>
      <c r="R161" s="423"/>
      <c r="S161" s="423"/>
      <c r="T161" s="423"/>
      <c r="U161" s="423"/>
      <c r="V161" s="423"/>
      <c r="W161" s="424"/>
      <c r="X161" s="425">
        <f t="shared" si="10"/>
        <v>0</v>
      </c>
      <c r="Y161" s="472">
        <f>AN_TME22[[#This Row],[TOTAL Non-Truncated Unadjusted Claims Expenses]]-AN_TME22[[#This Row],[Total Claims Excluded because of Truncation]]</f>
        <v>0</v>
      </c>
      <c r="Z161" s="425">
        <f t="shared" si="11"/>
        <v>0</v>
      </c>
      <c r="AA161" s="472">
        <f>AN_TME22[[#This Row],[TOTAL Non-Truncated Unadjusted Claims Expenses]]+AN_TME22[[#This Row],[TOTAL Non-Claims Expenses]]</f>
        <v>0</v>
      </c>
      <c r="AB161" s="472">
        <f>AN_TME22[[#This Row],[TOTAL Truncated Unadjusted Claims Expenses (A21 -A19)]]+AN_TME22[[#This Row],[TOTAL Non-Claims Expenses]]</f>
        <v>0</v>
      </c>
      <c r="AC161" s="474">
        <f>IFERROR(AN_TME22[[#This Row],[TOTAL Non-Truncated Unadjusted Expenses (A21 + A23)]]/AN_TME22[[#This Row],[Member Months]],0)</f>
        <v>0</v>
      </c>
      <c r="AD161" s="474">
        <f>IFERROR(AN_TME22[[#This Row],[TOTAL Truncated Unadjusted Expenses (A22 + A23)]]/AN_TME22[[#This Row],[Member Months]],0)</f>
        <v>0</v>
      </c>
      <c r="AE161" s="474">
        <f>IFERROR(AN_TME22[[#This Row],[Total Claims Excluded because of Truncation]]/AN_TME22[[#This Row],[Count of Members with Claims Truncated]], 0)</f>
        <v>0</v>
      </c>
      <c r="AF161" s="476">
        <f>IFERROR(AN_TME22[[#This Row],[Total Claims Excluded because of Truncation]]/AN_TME22[[#This Row],[TOTAL Non-Truncated Unadjusted Claims Expenses]], 0)</f>
        <v>0</v>
      </c>
    </row>
    <row r="162" spans="1:32" x14ac:dyDescent="0.25">
      <c r="A162" s="426"/>
      <c r="B162" s="427"/>
      <c r="C162" s="427"/>
      <c r="D162" s="428"/>
      <c r="E162" s="517"/>
      <c r="F162" s="429"/>
      <c r="G162" s="429"/>
      <c r="H162" s="429"/>
      <c r="I162" s="429"/>
      <c r="J162" s="429"/>
      <c r="K162" s="429"/>
      <c r="L162" s="429"/>
      <c r="M162" s="429"/>
      <c r="N162" s="429"/>
      <c r="O162" s="429"/>
      <c r="P162" s="429"/>
      <c r="Q162" s="429"/>
      <c r="R162" s="429"/>
      <c r="S162" s="429"/>
      <c r="T162" s="429"/>
      <c r="U162" s="429"/>
      <c r="V162" s="429"/>
      <c r="W162" s="430"/>
      <c r="X162" s="431">
        <f t="shared" si="10"/>
        <v>0</v>
      </c>
      <c r="Y162" s="431">
        <f>AN_TME22[[#This Row],[TOTAL Non-Truncated Unadjusted Claims Expenses]]-AN_TME22[[#This Row],[Total Claims Excluded because of Truncation]]</f>
        <v>0</v>
      </c>
      <c r="Z162" s="431">
        <f t="shared" si="11"/>
        <v>0</v>
      </c>
      <c r="AA162" s="431">
        <f>AN_TME22[[#This Row],[TOTAL Non-Truncated Unadjusted Claims Expenses]]+AN_TME22[[#This Row],[TOTAL Non-Claims Expenses]]</f>
        <v>0</v>
      </c>
      <c r="AB162" s="431">
        <f>AN_TME22[[#This Row],[TOTAL Truncated Unadjusted Claims Expenses (A21 -A19)]]+AN_TME22[[#This Row],[TOTAL Non-Claims Expenses]]</f>
        <v>0</v>
      </c>
      <c r="AC162" s="475">
        <f>IFERROR(AN_TME22[[#This Row],[TOTAL Non-Truncated Unadjusted Expenses (A21 + A23)]]/AN_TME22[[#This Row],[Member Months]],0)</f>
        <v>0</v>
      </c>
      <c r="AD162" s="475">
        <f>IFERROR(AN_TME22[[#This Row],[TOTAL Truncated Unadjusted Expenses (A22 + A23)]]/AN_TME22[[#This Row],[Member Months]],0)</f>
        <v>0</v>
      </c>
      <c r="AE162" s="475">
        <f>IFERROR(AN_TME22[[#This Row],[Total Claims Excluded because of Truncation]]/AN_TME22[[#This Row],[Count of Members with Claims Truncated]], 0)</f>
        <v>0</v>
      </c>
      <c r="AF162" s="476">
        <f>IFERROR(AN_TME22[[#This Row],[Total Claims Excluded because of Truncation]]/AN_TME22[[#This Row],[TOTAL Non-Truncated Unadjusted Claims Expenses]], 0)</f>
        <v>0</v>
      </c>
    </row>
    <row r="163" spans="1:32" x14ac:dyDescent="0.25">
      <c r="A163" s="420"/>
      <c r="B163" s="421"/>
      <c r="C163" s="421"/>
      <c r="D163" s="422"/>
      <c r="E163" s="517"/>
      <c r="F163" s="423"/>
      <c r="G163" s="423"/>
      <c r="H163" s="423"/>
      <c r="I163" s="423"/>
      <c r="J163" s="423"/>
      <c r="K163" s="423"/>
      <c r="L163" s="423"/>
      <c r="M163" s="423"/>
      <c r="N163" s="423"/>
      <c r="O163" s="423"/>
      <c r="P163" s="423"/>
      <c r="Q163" s="423"/>
      <c r="R163" s="423"/>
      <c r="S163" s="423"/>
      <c r="T163" s="423"/>
      <c r="U163" s="423"/>
      <c r="V163" s="423"/>
      <c r="W163" s="424"/>
      <c r="X163" s="425">
        <f t="shared" si="10"/>
        <v>0</v>
      </c>
      <c r="Y163" s="472">
        <f>AN_TME22[[#This Row],[TOTAL Non-Truncated Unadjusted Claims Expenses]]-AN_TME22[[#This Row],[Total Claims Excluded because of Truncation]]</f>
        <v>0</v>
      </c>
      <c r="Z163" s="425">
        <f t="shared" si="11"/>
        <v>0</v>
      </c>
      <c r="AA163" s="472">
        <f>AN_TME22[[#This Row],[TOTAL Non-Truncated Unadjusted Claims Expenses]]+AN_TME22[[#This Row],[TOTAL Non-Claims Expenses]]</f>
        <v>0</v>
      </c>
      <c r="AB163" s="472">
        <f>AN_TME22[[#This Row],[TOTAL Truncated Unadjusted Claims Expenses (A21 -A19)]]+AN_TME22[[#This Row],[TOTAL Non-Claims Expenses]]</f>
        <v>0</v>
      </c>
      <c r="AC163" s="474">
        <f>IFERROR(AN_TME22[[#This Row],[TOTAL Non-Truncated Unadjusted Expenses (A21 + A23)]]/AN_TME22[[#This Row],[Member Months]],0)</f>
        <v>0</v>
      </c>
      <c r="AD163" s="474">
        <f>IFERROR(AN_TME22[[#This Row],[TOTAL Truncated Unadjusted Expenses (A22 + A23)]]/AN_TME22[[#This Row],[Member Months]],0)</f>
        <v>0</v>
      </c>
      <c r="AE163" s="474">
        <f>IFERROR(AN_TME22[[#This Row],[Total Claims Excluded because of Truncation]]/AN_TME22[[#This Row],[Count of Members with Claims Truncated]], 0)</f>
        <v>0</v>
      </c>
      <c r="AF163" s="476">
        <f>IFERROR(AN_TME22[[#This Row],[Total Claims Excluded because of Truncation]]/AN_TME22[[#This Row],[TOTAL Non-Truncated Unadjusted Claims Expenses]], 0)</f>
        <v>0</v>
      </c>
    </row>
    <row r="164" spans="1:32" x14ac:dyDescent="0.25">
      <c r="A164" s="426"/>
      <c r="B164" s="427"/>
      <c r="C164" s="427"/>
      <c r="D164" s="428"/>
      <c r="E164" s="517"/>
      <c r="F164" s="429"/>
      <c r="G164" s="429"/>
      <c r="H164" s="429"/>
      <c r="I164" s="429"/>
      <c r="J164" s="429"/>
      <c r="K164" s="429"/>
      <c r="L164" s="429"/>
      <c r="M164" s="429"/>
      <c r="N164" s="429"/>
      <c r="O164" s="429"/>
      <c r="P164" s="429"/>
      <c r="Q164" s="429"/>
      <c r="R164" s="429"/>
      <c r="S164" s="429"/>
      <c r="T164" s="429"/>
      <c r="U164" s="429"/>
      <c r="V164" s="429"/>
      <c r="W164" s="430"/>
      <c r="X164" s="431">
        <f t="shared" si="10"/>
        <v>0</v>
      </c>
      <c r="Y164" s="431">
        <f>AN_TME22[[#This Row],[TOTAL Non-Truncated Unadjusted Claims Expenses]]-AN_TME22[[#This Row],[Total Claims Excluded because of Truncation]]</f>
        <v>0</v>
      </c>
      <c r="Z164" s="431">
        <f t="shared" si="11"/>
        <v>0</v>
      </c>
      <c r="AA164" s="431">
        <f>AN_TME22[[#This Row],[TOTAL Non-Truncated Unadjusted Claims Expenses]]+AN_TME22[[#This Row],[TOTAL Non-Claims Expenses]]</f>
        <v>0</v>
      </c>
      <c r="AB164" s="431">
        <f>AN_TME22[[#This Row],[TOTAL Truncated Unadjusted Claims Expenses (A21 -A19)]]+AN_TME22[[#This Row],[TOTAL Non-Claims Expenses]]</f>
        <v>0</v>
      </c>
      <c r="AC164" s="475">
        <f>IFERROR(AN_TME22[[#This Row],[TOTAL Non-Truncated Unadjusted Expenses (A21 + A23)]]/AN_TME22[[#This Row],[Member Months]],0)</f>
        <v>0</v>
      </c>
      <c r="AD164" s="475">
        <f>IFERROR(AN_TME22[[#This Row],[TOTAL Truncated Unadjusted Expenses (A22 + A23)]]/AN_TME22[[#This Row],[Member Months]],0)</f>
        <v>0</v>
      </c>
      <c r="AE164" s="475">
        <f>IFERROR(AN_TME22[[#This Row],[Total Claims Excluded because of Truncation]]/AN_TME22[[#This Row],[Count of Members with Claims Truncated]], 0)</f>
        <v>0</v>
      </c>
      <c r="AF164" s="476">
        <f>IFERROR(AN_TME22[[#This Row],[Total Claims Excluded because of Truncation]]/AN_TME22[[#This Row],[TOTAL Non-Truncated Unadjusted Claims Expenses]], 0)</f>
        <v>0</v>
      </c>
    </row>
    <row r="165" spans="1:32" x14ac:dyDescent="0.25">
      <c r="A165" s="420"/>
      <c r="B165" s="421"/>
      <c r="C165" s="421"/>
      <c r="D165" s="422"/>
      <c r="E165" s="517"/>
      <c r="F165" s="423"/>
      <c r="G165" s="423"/>
      <c r="H165" s="423"/>
      <c r="I165" s="423"/>
      <c r="J165" s="423"/>
      <c r="K165" s="423"/>
      <c r="L165" s="423"/>
      <c r="M165" s="423"/>
      <c r="N165" s="423"/>
      <c r="O165" s="423"/>
      <c r="P165" s="423"/>
      <c r="Q165" s="423"/>
      <c r="R165" s="423"/>
      <c r="S165" s="423"/>
      <c r="T165" s="423"/>
      <c r="U165" s="423"/>
      <c r="V165" s="423"/>
      <c r="W165" s="424"/>
      <c r="X165" s="425">
        <f t="shared" si="10"/>
        <v>0</v>
      </c>
      <c r="Y165" s="472">
        <f>AN_TME22[[#This Row],[TOTAL Non-Truncated Unadjusted Claims Expenses]]-AN_TME22[[#This Row],[Total Claims Excluded because of Truncation]]</f>
        <v>0</v>
      </c>
      <c r="Z165" s="425">
        <f t="shared" si="11"/>
        <v>0</v>
      </c>
      <c r="AA165" s="472">
        <f>AN_TME22[[#This Row],[TOTAL Non-Truncated Unadjusted Claims Expenses]]+AN_TME22[[#This Row],[TOTAL Non-Claims Expenses]]</f>
        <v>0</v>
      </c>
      <c r="AB165" s="472">
        <f>AN_TME22[[#This Row],[TOTAL Truncated Unadjusted Claims Expenses (A21 -A19)]]+AN_TME22[[#This Row],[TOTAL Non-Claims Expenses]]</f>
        <v>0</v>
      </c>
      <c r="AC165" s="474">
        <f>IFERROR(AN_TME22[[#This Row],[TOTAL Non-Truncated Unadjusted Expenses (A21 + A23)]]/AN_TME22[[#This Row],[Member Months]],0)</f>
        <v>0</v>
      </c>
      <c r="AD165" s="474">
        <f>IFERROR(AN_TME22[[#This Row],[TOTAL Truncated Unadjusted Expenses (A22 + A23)]]/AN_TME22[[#This Row],[Member Months]],0)</f>
        <v>0</v>
      </c>
      <c r="AE165" s="474">
        <f>IFERROR(AN_TME22[[#This Row],[Total Claims Excluded because of Truncation]]/AN_TME22[[#This Row],[Count of Members with Claims Truncated]], 0)</f>
        <v>0</v>
      </c>
      <c r="AF165" s="476">
        <f>IFERROR(AN_TME22[[#This Row],[Total Claims Excluded because of Truncation]]/AN_TME22[[#This Row],[TOTAL Non-Truncated Unadjusted Claims Expenses]], 0)</f>
        <v>0</v>
      </c>
    </row>
    <row r="166" spans="1:32" x14ac:dyDescent="0.25">
      <c r="A166" s="426"/>
      <c r="B166" s="427"/>
      <c r="C166" s="427"/>
      <c r="D166" s="428"/>
      <c r="E166" s="517"/>
      <c r="F166" s="429"/>
      <c r="G166" s="429"/>
      <c r="H166" s="429"/>
      <c r="I166" s="429"/>
      <c r="J166" s="429"/>
      <c r="K166" s="429"/>
      <c r="L166" s="429"/>
      <c r="M166" s="429"/>
      <c r="N166" s="429"/>
      <c r="O166" s="429"/>
      <c r="P166" s="429"/>
      <c r="Q166" s="429"/>
      <c r="R166" s="429"/>
      <c r="S166" s="429"/>
      <c r="T166" s="429"/>
      <c r="U166" s="429"/>
      <c r="V166" s="429"/>
      <c r="W166" s="430"/>
      <c r="X166" s="431">
        <f t="shared" si="10"/>
        <v>0</v>
      </c>
      <c r="Y166" s="431">
        <f>AN_TME22[[#This Row],[TOTAL Non-Truncated Unadjusted Claims Expenses]]-AN_TME22[[#This Row],[Total Claims Excluded because of Truncation]]</f>
        <v>0</v>
      </c>
      <c r="Z166" s="431">
        <f t="shared" si="11"/>
        <v>0</v>
      </c>
      <c r="AA166" s="431">
        <f>AN_TME22[[#This Row],[TOTAL Non-Truncated Unadjusted Claims Expenses]]+AN_TME22[[#This Row],[TOTAL Non-Claims Expenses]]</f>
        <v>0</v>
      </c>
      <c r="AB166" s="431">
        <f>AN_TME22[[#This Row],[TOTAL Truncated Unadjusted Claims Expenses (A21 -A19)]]+AN_TME22[[#This Row],[TOTAL Non-Claims Expenses]]</f>
        <v>0</v>
      </c>
      <c r="AC166" s="475">
        <f>IFERROR(AN_TME22[[#This Row],[TOTAL Non-Truncated Unadjusted Expenses (A21 + A23)]]/AN_TME22[[#This Row],[Member Months]],0)</f>
        <v>0</v>
      </c>
      <c r="AD166" s="475">
        <f>IFERROR(AN_TME22[[#This Row],[TOTAL Truncated Unadjusted Expenses (A22 + A23)]]/AN_TME22[[#This Row],[Member Months]],0)</f>
        <v>0</v>
      </c>
      <c r="AE166" s="475">
        <f>IFERROR(AN_TME22[[#This Row],[Total Claims Excluded because of Truncation]]/AN_TME22[[#This Row],[Count of Members with Claims Truncated]], 0)</f>
        <v>0</v>
      </c>
      <c r="AF166" s="476">
        <f>IFERROR(AN_TME22[[#This Row],[Total Claims Excluded because of Truncation]]/AN_TME22[[#This Row],[TOTAL Non-Truncated Unadjusted Claims Expenses]], 0)</f>
        <v>0</v>
      </c>
    </row>
    <row r="167" spans="1:32" x14ac:dyDescent="0.25">
      <c r="A167" s="420"/>
      <c r="B167" s="421"/>
      <c r="C167" s="421"/>
      <c r="D167" s="422"/>
      <c r="E167" s="517"/>
      <c r="F167" s="423"/>
      <c r="G167" s="423"/>
      <c r="H167" s="423"/>
      <c r="I167" s="423"/>
      <c r="J167" s="423"/>
      <c r="K167" s="423"/>
      <c r="L167" s="423"/>
      <c r="M167" s="423"/>
      <c r="N167" s="423"/>
      <c r="O167" s="423"/>
      <c r="P167" s="423"/>
      <c r="Q167" s="423"/>
      <c r="R167" s="423"/>
      <c r="S167" s="423"/>
      <c r="T167" s="423"/>
      <c r="U167" s="423"/>
      <c r="V167" s="423"/>
      <c r="W167" s="424"/>
      <c r="X167" s="425">
        <f t="shared" si="10"/>
        <v>0</v>
      </c>
      <c r="Y167" s="472">
        <f>AN_TME22[[#This Row],[TOTAL Non-Truncated Unadjusted Claims Expenses]]-AN_TME22[[#This Row],[Total Claims Excluded because of Truncation]]</f>
        <v>0</v>
      </c>
      <c r="Z167" s="425">
        <f t="shared" si="11"/>
        <v>0</v>
      </c>
      <c r="AA167" s="472">
        <f>AN_TME22[[#This Row],[TOTAL Non-Truncated Unadjusted Claims Expenses]]+AN_TME22[[#This Row],[TOTAL Non-Claims Expenses]]</f>
        <v>0</v>
      </c>
      <c r="AB167" s="472">
        <f>AN_TME22[[#This Row],[TOTAL Truncated Unadjusted Claims Expenses (A21 -A19)]]+AN_TME22[[#This Row],[TOTAL Non-Claims Expenses]]</f>
        <v>0</v>
      </c>
      <c r="AC167" s="474">
        <f>IFERROR(AN_TME22[[#This Row],[TOTAL Non-Truncated Unadjusted Expenses (A21 + A23)]]/AN_TME22[[#This Row],[Member Months]],0)</f>
        <v>0</v>
      </c>
      <c r="AD167" s="474">
        <f>IFERROR(AN_TME22[[#This Row],[TOTAL Truncated Unadjusted Expenses (A22 + A23)]]/AN_TME22[[#This Row],[Member Months]],0)</f>
        <v>0</v>
      </c>
      <c r="AE167" s="474">
        <f>IFERROR(AN_TME22[[#This Row],[Total Claims Excluded because of Truncation]]/AN_TME22[[#This Row],[Count of Members with Claims Truncated]], 0)</f>
        <v>0</v>
      </c>
      <c r="AF167" s="476">
        <f>IFERROR(AN_TME22[[#This Row],[Total Claims Excluded because of Truncation]]/AN_TME22[[#This Row],[TOTAL Non-Truncated Unadjusted Claims Expenses]], 0)</f>
        <v>0</v>
      </c>
    </row>
    <row r="168" spans="1:32" x14ac:dyDescent="0.25">
      <c r="A168" s="426"/>
      <c r="B168" s="427"/>
      <c r="C168" s="427"/>
      <c r="D168" s="428"/>
      <c r="E168" s="517"/>
      <c r="F168" s="429"/>
      <c r="G168" s="429"/>
      <c r="H168" s="429"/>
      <c r="I168" s="429"/>
      <c r="J168" s="429"/>
      <c r="K168" s="429"/>
      <c r="L168" s="429"/>
      <c r="M168" s="429"/>
      <c r="N168" s="429"/>
      <c r="O168" s="429"/>
      <c r="P168" s="429"/>
      <c r="Q168" s="429"/>
      <c r="R168" s="429"/>
      <c r="S168" s="429"/>
      <c r="T168" s="429"/>
      <c r="U168" s="429"/>
      <c r="V168" s="429"/>
      <c r="W168" s="430"/>
      <c r="X168" s="431">
        <f t="shared" si="10"/>
        <v>0</v>
      </c>
      <c r="Y168" s="431">
        <f>AN_TME22[[#This Row],[TOTAL Non-Truncated Unadjusted Claims Expenses]]-AN_TME22[[#This Row],[Total Claims Excluded because of Truncation]]</f>
        <v>0</v>
      </c>
      <c r="Z168" s="431">
        <f t="shared" si="11"/>
        <v>0</v>
      </c>
      <c r="AA168" s="431">
        <f>AN_TME22[[#This Row],[TOTAL Non-Truncated Unadjusted Claims Expenses]]+AN_TME22[[#This Row],[TOTAL Non-Claims Expenses]]</f>
        <v>0</v>
      </c>
      <c r="AB168" s="431">
        <f>AN_TME22[[#This Row],[TOTAL Truncated Unadjusted Claims Expenses (A21 -A19)]]+AN_TME22[[#This Row],[TOTAL Non-Claims Expenses]]</f>
        <v>0</v>
      </c>
      <c r="AC168" s="475">
        <f>IFERROR(AN_TME22[[#This Row],[TOTAL Non-Truncated Unadjusted Expenses (A21 + A23)]]/AN_TME22[[#This Row],[Member Months]],0)</f>
        <v>0</v>
      </c>
      <c r="AD168" s="475">
        <f>IFERROR(AN_TME22[[#This Row],[TOTAL Truncated Unadjusted Expenses (A22 + A23)]]/AN_TME22[[#This Row],[Member Months]],0)</f>
        <v>0</v>
      </c>
      <c r="AE168" s="475">
        <f>IFERROR(AN_TME22[[#This Row],[Total Claims Excluded because of Truncation]]/AN_TME22[[#This Row],[Count of Members with Claims Truncated]], 0)</f>
        <v>0</v>
      </c>
      <c r="AF168" s="476">
        <f>IFERROR(AN_TME22[[#This Row],[Total Claims Excluded because of Truncation]]/AN_TME22[[#This Row],[TOTAL Non-Truncated Unadjusted Claims Expenses]], 0)</f>
        <v>0</v>
      </c>
    </row>
    <row r="169" spans="1:32" x14ac:dyDescent="0.25">
      <c r="A169" s="420"/>
      <c r="B169" s="421"/>
      <c r="C169" s="421"/>
      <c r="D169" s="422"/>
      <c r="E169" s="517"/>
      <c r="F169" s="423"/>
      <c r="G169" s="423"/>
      <c r="H169" s="423"/>
      <c r="I169" s="423"/>
      <c r="J169" s="423"/>
      <c r="K169" s="423"/>
      <c r="L169" s="423"/>
      <c r="M169" s="423"/>
      <c r="N169" s="423"/>
      <c r="O169" s="423"/>
      <c r="P169" s="423"/>
      <c r="Q169" s="423"/>
      <c r="R169" s="423"/>
      <c r="S169" s="423"/>
      <c r="T169" s="423"/>
      <c r="U169" s="423"/>
      <c r="V169" s="423"/>
      <c r="W169" s="424"/>
      <c r="X169" s="425">
        <f t="shared" si="10"/>
        <v>0</v>
      </c>
      <c r="Y169" s="472">
        <f>AN_TME22[[#This Row],[TOTAL Non-Truncated Unadjusted Claims Expenses]]-AN_TME22[[#This Row],[Total Claims Excluded because of Truncation]]</f>
        <v>0</v>
      </c>
      <c r="Z169" s="425">
        <f t="shared" si="11"/>
        <v>0</v>
      </c>
      <c r="AA169" s="472">
        <f>AN_TME22[[#This Row],[TOTAL Non-Truncated Unadjusted Claims Expenses]]+AN_TME22[[#This Row],[TOTAL Non-Claims Expenses]]</f>
        <v>0</v>
      </c>
      <c r="AB169" s="472">
        <f>AN_TME22[[#This Row],[TOTAL Truncated Unadjusted Claims Expenses (A21 -A19)]]+AN_TME22[[#This Row],[TOTAL Non-Claims Expenses]]</f>
        <v>0</v>
      </c>
      <c r="AC169" s="474">
        <f>IFERROR(AN_TME22[[#This Row],[TOTAL Non-Truncated Unadjusted Expenses (A21 + A23)]]/AN_TME22[[#This Row],[Member Months]],0)</f>
        <v>0</v>
      </c>
      <c r="AD169" s="474">
        <f>IFERROR(AN_TME22[[#This Row],[TOTAL Truncated Unadjusted Expenses (A22 + A23)]]/AN_TME22[[#This Row],[Member Months]],0)</f>
        <v>0</v>
      </c>
      <c r="AE169" s="474">
        <f>IFERROR(AN_TME22[[#This Row],[Total Claims Excluded because of Truncation]]/AN_TME22[[#This Row],[Count of Members with Claims Truncated]], 0)</f>
        <v>0</v>
      </c>
      <c r="AF169" s="476">
        <f>IFERROR(AN_TME22[[#This Row],[Total Claims Excluded because of Truncation]]/AN_TME22[[#This Row],[TOTAL Non-Truncated Unadjusted Claims Expenses]], 0)</f>
        <v>0</v>
      </c>
    </row>
    <row r="170" spans="1:32" x14ac:dyDescent="0.25">
      <c r="A170" s="426"/>
      <c r="B170" s="427"/>
      <c r="C170" s="427"/>
      <c r="D170" s="428"/>
      <c r="E170" s="517"/>
      <c r="F170" s="429"/>
      <c r="G170" s="429"/>
      <c r="H170" s="429"/>
      <c r="I170" s="429"/>
      <c r="J170" s="429"/>
      <c r="K170" s="429"/>
      <c r="L170" s="429"/>
      <c r="M170" s="429"/>
      <c r="N170" s="429"/>
      <c r="O170" s="429"/>
      <c r="P170" s="429"/>
      <c r="Q170" s="429"/>
      <c r="R170" s="429"/>
      <c r="S170" s="429"/>
      <c r="T170" s="429"/>
      <c r="U170" s="429"/>
      <c r="V170" s="429"/>
      <c r="W170" s="430"/>
      <c r="X170" s="431">
        <f t="shared" si="10"/>
        <v>0</v>
      </c>
      <c r="Y170" s="431">
        <f>AN_TME22[[#This Row],[TOTAL Non-Truncated Unadjusted Claims Expenses]]-AN_TME22[[#This Row],[Total Claims Excluded because of Truncation]]</f>
        <v>0</v>
      </c>
      <c r="Z170" s="431">
        <f t="shared" si="11"/>
        <v>0</v>
      </c>
      <c r="AA170" s="431">
        <f>AN_TME22[[#This Row],[TOTAL Non-Truncated Unadjusted Claims Expenses]]+AN_TME22[[#This Row],[TOTAL Non-Claims Expenses]]</f>
        <v>0</v>
      </c>
      <c r="AB170" s="431">
        <f>AN_TME22[[#This Row],[TOTAL Truncated Unadjusted Claims Expenses (A21 -A19)]]+AN_TME22[[#This Row],[TOTAL Non-Claims Expenses]]</f>
        <v>0</v>
      </c>
      <c r="AC170" s="475">
        <f>IFERROR(AN_TME22[[#This Row],[TOTAL Non-Truncated Unadjusted Expenses (A21 + A23)]]/AN_TME22[[#This Row],[Member Months]],0)</f>
        <v>0</v>
      </c>
      <c r="AD170" s="475">
        <f>IFERROR(AN_TME22[[#This Row],[TOTAL Truncated Unadjusted Expenses (A22 + A23)]]/AN_TME22[[#This Row],[Member Months]],0)</f>
        <v>0</v>
      </c>
      <c r="AE170" s="475">
        <f>IFERROR(AN_TME22[[#This Row],[Total Claims Excluded because of Truncation]]/AN_TME22[[#This Row],[Count of Members with Claims Truncated]], 0)</f>
        <v>0</v>
      </c>
      <c r="AF170" s="476">
        <f>IFERROR(AN_TME22[[#This Row],[Total Claims Excluded because of Truncation]]/AN_TME22[[#This Row],[TOTAL Non-Truncated Unadjusted Claims Expenses]], 0)</f>
        <v>0</v>
      </c>
    </row>
    <row r="171" spans="1:32" x14ac:dyDescent="0.25">
      <c r="A171" s="420"/>
      <c r="B171" s="421"/>
      <c r="C171" s="421"/>
      <c r="D171" s="422"/>
      <c r="E171" s="517"/>
      <c r="F171" s="423"/>
      <c r="G171" s="423"/>
      <c r="H171" s="423"/>
      <c r="I171" s="423"/>
      <c r="J171" s="423"/>
      <c r="K171" s="423"/>
      <c r="L171" s="423"/>
      <c r="M171" s="423"/>
      <c r="N171" s="423"/>
      <c r="O171" s="423"/>
      <c r="P171" s="423"/>
      <c r="Q171" s="423"/>
      <c r="R171" s="423"/>
      <c r="S171" s="423"/>
      <c r="T171" s="423"/>
      <c r="U171" s="423"/>
      <c r="V171" s="423"/>
      <c r="W171" s="424"/>
      <c r="X171" s="425">
        <f t="shared" si="10"/>
        <v>0</v>
      </c>
      <c r="Y171" s="472">
        <f>AN_TME22[[#This Row],[TOTAL Non-Truncated Unadjusted Claims Expenses]]-AN_TME22[[#This Row],[Total Claims Excluded because of Truncation]]</f>
        <v>0</v>
      </c>
      <c r="Z171" s="425">
        <f t="shared" si="11"/>
        <v>0</v>
      </c>
      <c r="AA171" s="472">
        <f>AN_TME22[[#This Row],[TOTAL Non-Truncated Unadjusted Claims Expenses]]+AN_TME22[[#This Row],[TOTAL Non-Claims Expenses]]</f>
        <v>0</v>
      </c>
      <c r="AB171" s="472">
        <f>AN_TME22[[#This Row],[TOTAL Truncated Unadjusted Claims Expenses (A21 -A19)]]+AN_TME22[[#This Row],[TOTAL Non-Claims Expenses]]</f>
        <v>0</v>
      </c>
      <c r="AC171" s="474">
        <f>IFERROR(AN_TME22[[#This Row],[TOTAL Non-Truncated Unadjusted Expenses (A21 + A23)]]/AN_TME22[[#This Row],[Member Months]],0)</f>
        <v>0</v>
      </c>
      <c r="AD171" s="474">
        <f>IFERROR(AN_TME22[[#This Row],[TOTAL Truncated Unadjusted Expenses (A22 + A23)]]/AN_TME22[[#This Row],[Member Months]],0)</f>
        <v>0</v>
      </c>
      <c r="AE171" s="474">
        <f>IFERROR(AN_TME22[[#This Row],[Total Claims Excluded because of Truncation]]/AN_TME22[[#This Row],[Count of Members with Claims Truncated]], 0)</f>
        <v>0</v>
      </c>
      <c r="AF171" s="476">
        <f>IFERROR(AN_TME22[[#This Row],[Total Claims Excluded because of Truncation]]/AN_TME22[[#This Row],[TOTAL Non-Truncated Unadjusted Claims Expenses]], 0)</f>
        <v>0</v>
      </c>
    </row>
    <row r="172" spans="1:32" x14ac:dyDescent="0.25">
      <c r="A172" s="426"/>
      <c r="B172" s="427"/>
      <c r="C172" s="427"/>
      <c r="D172" s="428"/>
      <c r="E172" s="517"/>
      <c r="F172" s="429"/>
      <c r="G172" s="429"/>
      <c r="H172" s="429"/>
      <c r="I172" s="429"/>
      <c r="J172" s="429"/>
      <c r="K172" s="429"/>
      <c r="L172" s="429"/>
      <c r="M172" s="429"/>
      <c r="N172" s="429"/>
      <c r="O172" s="429"/>
      <c r="P172" s="429"/>
      <c r="Q172" s="429"/>
      <c r="R172" s="429"/>
      <c r="S172" s="429"/>
      <c r="T172" s="429"/>
      <c r="U172" s="429"/>
      <c r="V172" s="429"/>
      <c r="W172" s="430"/>
      <c r="X172" s="431">
        <f t="shared" si="10"/>
        <v>0</v>
      </c>
      <c r="Y172" s="431">
        <f>AN_TME22[[#This Row],[TOTAL Non-Truncated Unadjusted Claims Expenses]]-AN_TME22[[#This Row],[Total Claims Excluded because of Truncation]]</f>
        <v>0</v>
      </c>
      <c r="Z172" s="431">
        <f t="shared" si="11"/>
        <v>0</v>
      </c>
      <c r="AA172" s="431">
        <f>AN_TME22[[#This Row],[TOTAL Non-Truncated Unadjusted Claims Expenses]]+AN_TME22[[#This Row],[TOTAL Non-Claims Expenses]]</f>
        <v>0</v>
      </c>
      <c r="AB172" s="431">
        <f>AN_TME22[[#This Row],[TOTAL Truncated Unadjusted Claims Expenses (A21 -A19)]]+AN_TME22[[#This Row],[TOTAL Non-Claims Expenses]]</f>
        <v>0</v>
      </c>
      <c r="AC172" s="475">
        <f>IFERROR(AN_TME22[[#This Row],[TOTAL Non-Truncated Unadjusted Expenses (A21 + A23)]]/AN_TME22[[#This Row],[Member Months]],0)</f>
        <v>0</v>
      </c>
      <c r="AD172" s="475">
        <f>IFERROR(AN_TME22[[#This Row],[TOTAL Truncated Unadjusted Expenses (A22 + A23)]]/AN_TME22[[#This Row],[Member Months]],0)</f>
        <v>0</v>
      </c>
      <c r="AE172" s="475">
        <f>IFERROR(AN_TME22[[#This Row],[Total Claims Excluded because of Truncation]]/AN_TME22[[#This Row],[Count of Members with Claims Truncated]], 0)</f>
        <v>0</v>
      </c>
      <c r="AF172" s="476">
        <f>IFERROR(AN_TME22[[#This Row],[Total Claims Excluded because of Truncation]]/AN_TME22[[#This Row],[TOTAL Non-Truncated Unadjusted Claims Expenses]], 0)</f>
        <v>0</v>
      </c>
    </row>
    <row r="173" spans="1:32" x14ac:dyDescent="0.25">
      <c r="A173" s="420"/>
      <c r="B173" s="421"/>
      <c r="C173" s="421"/>
      <c r="D173" s="422"/>
      <c r="E173" s="517"/>
      <c r="F173" s="423"/>
      <c r="G173" s="423"/>
      <c r="H173" s="423"/>
      <c r="I173" s="423"/>
      <c r="J173" s="423"/>
      <c r="K173" s="423"/>
      <c r="L173" s="423"/>
      <c r="M173" s="423"/>
      <c r="N173" s="423"/>
      <c r="O173" s="423"/>
      <c r="P173" s="423"/>
      <c r="Q173" s="423"/>
      <c r="R173" s="423"/>
      <c r="S173" s="423"/>
      <c r="T173" s="423"/>
      <c r="U173" s="423"/>
      <c r="V173" s="423"/>
      <c r="W173" s="424"/>
      <c r="X173" s="425">
        <f t="shared" si="10"/>
        <v>0</v>
      </c>
      <c r="Y173" s="472">
        <f>AN_TME22[[#This Row],[TOTAL Non-Truncated Unadjusted Claims Expenses]]-AN_TME22[[#This Row],[Total Claims Excluded because of Truncation]]</f>
        <v>0</v>
      </c>
      <c r="Z173" s="425">
        <f t="shared" si="11"/>
        <v>0</v>
      </c>
      <c r="AA173" s="472">
        <f>AN_TME22[[#This Row],[TOTAL Non-Truncated Unadjusted Claims Expenses]]+AN_TME22[[#This Row],[TOTAL Non-Claims Expenses]]</f>
        <v>0</v>
      </c>
      <c r="AB173" s="472">
        <f>AN_TME22[[#This Row],[TOTAL Truncated Unadjusted Claims Expenses (A21 -A19)]]+AN_TME22[[#This Row],[TOTAL Non-Claims Expenses]]</f>
        <v>0</v>
      </c>
      <c r="AC173" s="474">
        <f>IFERROR(AN_TME22[[#This Row],[TOTAL Non-Truncated Unadjusted Expenses (A21 + A23)]]/AN_TME22[[#This Row],[Member Months]],0)</f>
        <v>0</v>
      </c>
      <c r="AD173" s="474">
        <f>IFERROR(AN_TME22[[#This Row],[TOTAL Truncated Unadjusted Expenses (A22 + A23)]]/AN_TME22[[#This Row],[Member Months]],0)</f>
        <v>0</v>
      </c>
      <c r="AE173" s="474">
        <f>IFERROR(AN_TME22[[#This Row],[Total Claims Excluded because of Truncation]]/AN_TME22[[#This Row],[Count of Members with Claims Truncated]], 0)</f>
        <v>0</v>
      </c>
      <c r="AF173" s="476">
        <f>IFERROR(AN_TME22[[#This Row],[Total Claims Excluded because of Truncation]]/AN_TME22[[#This Row],[TOTAL Non-Truncated Unadjusted Claims Expenses]], 0)</f>
        <v>0</v>
      </c>
    </row>
    <row r="174" spans="1:32" x14ac:dyDescent="0.25">
      <c r="A174" s="426"/>
      <c r="B174" s="427"/>
      <c r="C174" s="427"/>
      <c r="D174" s="428"/>
      <c r="E174" s="517"/>
      <c r="F174" s="429"/>
      <c r="G174" s="429"/>
      <c r="H174" s="429"/>
      <c r="I174" s="429"/>
      <c r="J174" s="429"/>
      <c r="K174" s="429"/>
      <c r="L174" s="429"/>
      <c r="M174" s="429"/>
      <c r="N174" s="429"/>
      <c r="O174" s="429"/>
      <c r="P174" s="429"/>
      <c r="Q174" s="429"/>
      <c r="R174" s="429"/>
      <c r="S174" s="429"/>
      <c r="T174" s="429"/>
      <c r="U174" s="429"/>
      <c r="V174" s="429"/>
      <c r="W174" s="430"/>
      <c r="X174" s="431">
        <f t="shared" si="10"/>
        <v>0</v>
      </c>
      <c r="Y174" s="431">
        <f>AN_TME22[[#This Row],[TOTAL Non-Truncated Unadjusted Claims Expenses]]-AN_TME22[[#This Row],[Total Claims Excluded because of Truncation]]</f>
        <v>0</v>
      </c>
      <c r="Z174" s="431">
        <f t="shared" si="11"/>
        <v>0</v>
      </c>
      <c r="AA174" s="431">
        <f>AN_TME22[[#This Row],[TOTAL Non-Truncated Unadjusted Claims Expenses]]+AN_TME22[[#This Row],[TOTAL Non-Claims Expenses]]</f>
        <v>0</v>
      </c>
      <c r="AB174" s="431">
        <f>AN_TME22[[#This Row],[TOTAL Truncated Unadjusted Claims Expenses (A21 -A19)]]+AN_TME22[[#This Row],[TOTAL Non-Claims Expenses]]</f>
        <v>0</v>
      </c>
      <c r="AC174" s="475">
        <f>IFERROR(AN_TME22[[#This Row],[TOTAL Non-Truncated Unadjusted Expenses (A21 + A23)]]/AN_TME22[[#This Row],[Member Months]],0)</f>
        <v>0</v>
      </c>
      <c r="AD174" s="475">
        <f>IFERROR(AN_TME22[[#This Row],[TOTAL Truncated Unadjusted Expenses (A22 + A23)]]/AN_TME22[[#This Row],[Member Months]],0)</f>
        <v>0</v>
      </c>
      <c r="AE174" s="475">
        <f>IFERROR(AN_TME22[[#This Row],[Total Claims Excluded because of Truncation]]/AN_TME22[[#This Row],[Count of Members with Claims Truncated]], 0)</f>
        <v>0</v>
      </c>
      <c r="AF174" s="476">
        <f>IFERROR(AN_TME22[[#This Row],[Total Claims Excluded because of Truncation]]/AN_TME22[[#This Row],[TOTAL Non-Truncated Unadjusted Claims Expenses]], 0)</f>
        <v>0</v>
      </c>
    </row>
    <row r="175" spans="1:32" x14ac:dyDescent="0.25">
      <c r="A175" s="420"/>
      <c r="B175" s="421"/>
      <c r="C175" s="421"/>
      <c r="D175" s="422"/>
      <c r="E175" s="517"/>
      <c r="F175" s="423"/>
      <c r="G175" s="423"/>
      <c r="H175" s="423"/>
      <c r="I175" s="423"/>
      <c r="J175" s="423"/>
      <c r="K175" s="423"/>
      <c r="L175" s="423"/>
      <c r="M175" s="423"/>
      <c r="N175" s="423"/>
      <c r="O175" s="423"/>
      <c r="P175" s="423"/>
      <c r="Q175" s="423"/>
      <c r="R175" s="423"/>
      <c r="S175" s="423"/>
      <c r="T175" s="423"/>
      <c r="U175" s="423"/>
      <c r="V175" s="423"/>
      <c r="W175" s="424"/>
      <c r="X175" s="425">
        <f t="shared" si="10"/>
        <v>0</v>
      </c>
      <c r="Y175" s="472">
        <f>AN_TME22[[#This Row],[TOTAL Non-Truncated Unadjusted Claims Expenses]]-AN_TME22[[#This Row],[Total Claims Excluded because of Truncation]]</f>
        <v>0</v>
      </c>
      <c r="Z175" s="425">
        <f t="shared" si="11"/>
        <v>0</v>
      </c>
      <c r="AA175" s="472">
        <f>AN_TME22[[#This Row],[TOTAL Non-Truncated Unadjusted Claims Expenses]]+AN_TME22[[#This Row],[TOTAL Non-Claims Expenses]]</f>
        <v>0</v>
      </c>
      <c r="AB175" s="472">
        <f>AN_TME22[[#This Row],[TOTAL Truncated Unadjusted Claims Expenses (A21 -A19)]]+AN_TME22[[#This Row],[TOTAL Non-Claims Expenses]]</f>
        <v>0</v>
      </c>
      <c r="AC175" s="474">
        <f>IFERROR(AN_TME22[[#This Row],[TOTAL Non-Truncated Unadjusted Expenses (A21 + A23)]]/AN_TME22[[#This Row],[Member Months]],0)</f>
        <v>0</v>
      </c>
      <c r="AD175" s="474">
        <f>IFERROR(AN_TME22[[#This Row],[TOTAL Truncated Unadjusted Expenses (A22 + A23)]]/AN_TME22[[#This Row],[Member Months]],0)</f>
        <v>0</v>
      </c>
      <c r="AE175" s="474">
        <f>IFERROR(AN_TME22[[#This Row],[Total Claims Excluded because of Truncation]]/AN_TME22[[#This Row],[Count of Members with Claims Truncated]], 0)</f>
        <v>0</v>
      </c>
      <c r="AF175" s="476">
        <f>IFERROR(AN_TME22[[#This Row],[Total Claims Excluded because of Truncation]]/AN_TME22[[#This Row],[TOTAL Non-Truncated Unadjusted Claims Expenses]], 0)</f>
        <v>0</v>
      </c>
    </row>
    <row r="176" spans="1:32" x14ac:dyDescent="0.25">
      <c r="A176" s="426"/>
      <c r="B176" s="427"/>
      <c r="C176" s="427"/>
      <c r="D176" s="428"/>
      <c r="E176" s="517"/>
      <c r="F176" s="429"/>
      <c r="G176" s="429"/>
      <c r="H176" s="429"/>
      <c r="I176" s="429"/>
      <c r="J176" s="429"/>
      <c r="K176" s="429"/>
      <c r="L176" s="429"/>
      <c r="M176" s="429"/>
      <c r="N176" s="429"/>
      <c r="O176" s="429"/>
      <c r="P176" s="429"/>
      <c r="Q176" s="429"/>
      <c r="R176" s="429"/>
      <c r="S176" s="429"/>
      <c r="T176" s="429"/>
      <c r="U176" s="429"/>
      <c r="V176" s="429"/>
      <c r="W176" s="430"/>
      <c r="X176" s="431">
        <f t="shared" si="10"/>
        <v>0</v>
      </c>
      <c r="Y176" s="431">
        <f>AN_TME22[[#This Row],[TOTAL Non-Truncated Unadjusted Claims Expenses]]-AN_TME22[[#This Row],[Total Claims Excluded because of Truncation]]</f>
        <v>0</v>
      </c>
      <c r="Z176" s="431">
        <f t="shared" si="11"/>
        <v>0</v>
      </c>
      <c r="AA176" s="431">
        <f>AN_TME22[[#This Row],[TOTAL Non-Truncated Unadjusted Claims Expenses]]+AN_TME22[[#This Row],[TOTAL Non-Claims Expenses]]</f>
        <v>0</v>
      </c>
      <c r="AB176" s="431">
        <f>AN_TME22[[#This Row],[TOTAL Truncated Unadjusted Claims Expenses (A21 -A19)]]+AN_TME22[[#This Row],[TOTAL Non-Claims Expenses]]</f>
        <v>0</v>
      </c>
      <c r="AC176" s="475">
        <f>IFERROR(AN_TME22[[#This Row],[TOTAL Non-Truncated Unadjusted Expenses (A21 + A23)]]/AN_TME22[[#This Row],[Member Months]],0)</f>
        <v>0</v>
      </c>
      <c r="AD176" s="475">
        <f>IFERROR(AN_TME22[[#This Row],[TOTAL Truncated Unadjusted Expenses (A22 + A23)]]/AN_TME22[[#This Row],[Member Months]],0)</f>
        <v>0</v>
      </c>
      <c r="AE176" s="475">
        <f>IFERROR(AN_TME22[[#This Row],[Total Claims Excluded because of Truncation]]/AN_TME22[[#This Row],[Count of Members with Claims Truncated]], 0)</f>
        <v>0</v>
      </c>
      <c r="AF176" s="476">
        <f>IFERROR(AN_TME22[[#This Row],[Total Claims Excluded because of Truncation]]/AN_TME22[[#This Row],[TOTAL Non-Truncated Unadjusted Claims Expenses]], 0)</f>
        <v>0</v>
      </c>
    </row>
    <row r="177" spans="1:32" x14ac:dyDescent="0.25">
      <c r="A177" s="420"/>
      <c r="B177" s="421"/>
      <c r="C177" s="421"/>
      <c r="D177" s="422"/>
      <c r="E177" s="517"/>
      <c r="F177" s="423"/>
      <c r="G177" s="423"/>
      <c r="H177" s="423"/>
      <c r="I177" s="423"/>
      <c r="J177" s="423"/>
      <c r="K177" s="423"/>
      <c r="L177" s="423"/>
      <c r="M177" s="423"/>
      <c r="N177" s="423"/>
      <c r="O177" s="423"/>
      <c r="P177" s="423"/>
      <c r="Q177" s="423"/>
      <c r="R177" s="423"/>
      <c r="S177" s="423"/>
      <c r="T177" s="423"/>
      <c r="U177" s="423"/>
      <c r="V177" s="423"/>
      <c r="W177" s="424"/>
      <c r="X177" s="425">
        <f t="shared" si="10"/>
        <v>0</v>
      </c>
      <c r="Y177" s="472">
        <f>AN_TME22[[#This Row],[TOTAL Non-Truncated Unadjusted Claims Expenses]]-AN_TME22[[#This Row],[Total Claims Excluded because of Truncation]]</f>
        <v>0</v>
      </c>
      <c r="Z177" s="425">
        <f t="shared" si="11"/>
        <v>0</v>
      </c>
      <c r="AA177" s="472">
        <f>AN_TME22[[#This Row],[TOTAL Non-Truncated Unadjusted Claims Expenses]]+AN_TME22[[#This Row],[TOTAL Non-Claims Expenses]]</f>
        <v>0</v>
      </c>
      <c r="AB177" s="472">
        <f>AN_TME22[[#This Row],[TOTAL Truncated Unadjusted Claims Expenses (A21 -A19)]]+AN_TME22[[#This Row],[TOTAL Non-Claims Expenses]]</f>
        <v>0</v>
      </c>
      <c r="AC177" s="474">
        <f>IFERROR(AN_TME22[[#This Row],[TOTAL Non-Truncated Unadjusted Expenses (A21 + A23)]]/AN_TME22[[#This Row],[Member Months]],0)</f>
        <v>0</v>
      </c>
      <c r="AD177" s="474">
        <f>IFERROR(AN_TME22[[#This Row],[TOTAL Truncated Unadjusted Expenses (A22 + A23)]]/AN_TME22[[#This Row],[Member Months]],0)</f>
        <v>0</v>
      </c>
      <c r="AE177" s="474">
        <f>IFERROR(AN_TME22[[#This Row],[Total Claims Excluded because of Truncation]]/AN_TME22[[#This Row],[Count of Members with Claims Truncated]], 0)</f>
        <v>0</v>
      </c>
      <c r="AF177" s="476">
        <f>IFERROR(AN_TME22[[#This Row],[Total Claims Excluded because of Truncation]]/AN_TME22[[#This Row],[TOTAL Non-Truncated Unadjusted Claims Expenses]], 0)</f>
        <v>0</v>
      </c>
    </row>
    <row r="178" spans="1:32" x14ac:dyDescent="0.25">
      <c r="A178" s="426"/>
      <c r="B178" s="427"/>
      <c r="C178" s="427"/>
      <c r="D178" s="428"/>
      <c r="E178" s="517"/>
      <c r="F178" s="429"/>
      <c r="G178" s="429"/>
      <c r="H178" s="429"/>
      <c r="I178" s="429"/>
      <c r="J178" s="429"/>
      <c r="K178" s="429"/>
      <c r="L178" s="429"/>
      <c r="M178" s="429"/>
      <c r="N178" s="429"/>
      <c r="O178" s="429"/>
      <c r="P178" s="429"/>
      <c r="Q178" s="429"/>
      <c r="R178" s="429"/>
      <c r="S178" s="429"/>
      <c r="T178" s="429"/>
      <c r="U178" s="429"/>
      <c r="V178" s="429"/>
      <c r="W178" s="430"/>
      <c r="X178" s="431">
        <f t="shared" si="10"/>
        <v>0</v>
      </c>
      <c r="Y178" s="431">
        <f>AN_TME22[[#This Row],[TOTAL Non-Truncated Unadjusted Claims Expenses]]-AN_TME22[[#This Row],[Total Claims Excluded because of Truncation]]</f>
        <v>0</v>
      </c>
      <c r="Z178" s="431">
        <f t="shared" si="11"/>
        <v>0</v>
      </c>
      <c r="AA178" s="431">
        <f>AN_TME22[[#This Row],[TOTAL Non-Truncated Unadjusted Claims Expenses]]+AN_TME22[[#This Row],[TOTAL Non-Claims Expenses]]</f>
        <v>0</v>
      </c>
      <c r="AB178" s="431">
        <f>AN_TME22[[#This Row],[TOTAL Truncated Unadjusted Claims Expenses (A21 -A19)]]+AN_TME22[[#This Row],[TOTAL Non-Claims Expenses]]</f>
        <v>0</v>
      </c>
      <c r="AC178" s="475">
        <f>IFERROR(AN_TME22[[#This Row],[TOTAL Non-Truncated Unadjusted Expenses (A21 + A23)]]/AN_TME22[[#This Row],[Member Months]],0)</f>
        <v>0</v>
      </c>
      <c r="AD178" s="475">
        <f>IFERROR(AN_TME22[[#This Row],[TOTAL Truncated Unadjusted Expenses (A22 + A23)]]/AN_TME22[[#This Row],[Member Months]],0)</f>
        <v>0</v>
      </c>
      <c r="AE178" s="475">
        <f>IFERROR(AN_TME22[[#This Row],[Total Claims Excluded because of Truncation]]/AN_TME22[[#This Row],[Count of Members with Claims Truncated]], 0)</f>
        <v>0</v>
      </c>
      <c r="AF178" s="476">
        <f>IFERROR(AN_TME22[[#This Row],[Total Claims Excluded because of Truncation]]/AN_TME22[[#This Row],[TOTAL Non-Truncated Unadjusted Claims Expenses]], 0)</f>
        <v>0</v>
      </c>
    </row>
    <row r="179" spans="1:32" x14ac:dyDescent="0.25">
      <c r="A179" s="420"/>
      <c r="B179" s="421"/>
      <c r="C179" s="421"/>
      <c r="D179" s="422"/>
      <c r="E179" s="517"/>
      <c r="F179" s="423"/>
      <c r="G179" s="423"/>
      <c r="H179" s="423"/>
      <c r="I179" s="423"/>
      <c r="J179" s="423"/>
      <c r="K179" s="423"/>
      <c r="L179" s="423"/>
      <c r="M179" s="423"/>
      <c r="N179" s="423"/>
      <c r="O179" s="423"/>
      <c r="P179" s="423"/>
      <c r="Q179" s="423"/>
      <c r="R179" s="423"/>
      <c r="S179" s="423"/>
      <c r="T179" s="423"/>
      <c r="U179" s="423"/>
      <c r="V179" s="423"/>
      <c r="W179" s="424"/>
      <c r="X179" s="425">
        <f t="shared" si="10"/>
        <v>0</v>
      </c>
      <c r="Y179" s="472">
        <f>AN_TME22[[#This Row],[TOTAL Non-Truncated Unadjusted Claims Expenses]]-AN_TME22[[#This Row],[Total Claims Excluded because of Truncation]]</f>
        <v>0</v>
      </c>
      <c r="Z179" s="425">
        <f t="shared" si="11"/>
        <v>0</v>
      </c>
      <c r="AA179" s="472">
        <f>AN_TME22[[#This Row],[TOTAL Non-Truncated Unadjusted Claims Expenses]]+AN_TME22[[#This Row],[TOTAL Non-Claims Expenses]]</f>
        <v>0</v>
      </c>
      <c r="AB179" s="472">
        <f>AN_TME22[[#This Row],[TOTAL Truncated Unadjusted Claims Expenses (A21 -A19)]]+AN_TME22[[#This Row],[TOTAL Non-Claims Expenses]]</f>
        <v>0</v>
      </c>
      <c r="AC179" s="474">
        <f>IFERROR(AN_TME22[[#This Row],[TOTAL Non-Truncated Unadjusted Expenses (A21 + A23)]]/AN_TME22[[#This Row],[Member Months]],0)</f>
        <v>0</v>
      </c>
      <c r="AD179" s="474">
        <f>IFERROR(AN_TME22[[#This Row],[TOTAL Truncated Unadjusted Expenses (A22 + A23)]]/AN_TME22[[#This Row],[Member Months]],0)</f>
        <v>0</v>
      </c>
      <c r="AE179" s="474">
        <f>IFERROR(AN_TME22[[#This Row],[Total Claims Excluded because of Truncation]]/AN_TME22[[#This Row],[Count of Members with Claims Truncated]], 0)</f>
        <v>0</v>
      </c>
      <c r="AF179" s="476">
        <f>IFERROR(AN_TME22[[#This Row],[Total Claims Excluded because of Truncation]]/AN_TME22[[#This Row],[TOTAL Non-Truncated Unadjusted Claims Expenses]], 0)</f>
        <v>0</v>
      </c>
    </row>
    <row r="180" spans="1:32" x14ac:dyDescent="0.25">
      <c r="A180" s="426"/>
      <c r="B180" s="427"/>
      <c r="C180" s="427"/>
      <c r="D180" s="428"/>
      <c r="E180" s="517"/>
      <c r="F180" s="429"/>
      <c r="G180" s="429"/>
      <c r="H180" s="429"/>
      <c r="I180" s="429"/>
      <c r="J180" s="429"/>
      <c r="K180" s="429"/>
      <c r="L180" s="429"/>
      <c r="M180" s="429"/>
      <c r="N180" s="429"/>
      <c r="O180" s="429"/>
      <c r="P180" s="429"/>
      <c r="Q180" s="429"/>
      <c r="R180" s="429"/>
      <c r="S180" s="429"/>
      <c r="T180" s="429"/>
      <c r="U180" s="429"/>
      <c r="V180" s="429"/>
      <c r="W180" s="430"/>
      <c r="X180" s="431">
        <f t="shared" si="10"/>
        <v>0</v>
      </c>
      <c r="Y180" s="431">
        <f>AN_TME22[[#This Row],[TOTAL Non-Truncated Unadjusted Claims Expenses]]-AN_TME22[[#This Row],[Total Claims Excluded because of Truncation]]</f>
        <v>0</v>
      </c>
      <c r="Z180" s="431">
        <f t="shared" si="11"/>
        <v>0</v>
      </c>
      <c r="AA180" s="431">
        <f>AN_TME22[[#This Row],[TOTAL Non-Truncated Unadjusted Claims Expenses]]+AN_TME22[[#This Row],[TOTAL Non-Claims Expenses]]</f>
        <v>0</v>
      </c>
      <c r="AB180" s="431">
        <f>AN_TME22[[#This Row],[TOTAL Truncated Unadjusted Claims Expenses (A21 -A19)]]+AN_TME22[[#This Row],[TOTAL Non-Claims Expenses]]</f>
        <v>0</v>
      </c>
      <c r="AC180" s="475">
        <f>IFERROR(AN_TME22[[#This Row],[TOTAL Non-Truncated Unadjusted Expenses (A21 + A23)]]/AN_TME22[[#This Row],[Member Months]],0)</f>
        <v>0</v>
      </c>
      <c r="AD180" s="475">
        <f>IFERROR(AN_TME22[[#This Row],[TOTAL Truncated Unadjusted Expenses (A22 + A23)]]/AN_TME22[[#This Row],[Member Months]],0)</f>
        <v>0</v>
      </c>
      <c r="AE180" s="475">
        <f>IFERROR(AN_TME22[[#This Row],[Total Claims Excluded because of Truncation]]/AN_TME22[[#This Row],[Count of Members with Claims Truncated]], 0)</f>
        <v>0</v>
      </c>
      <c r="AF180" s="476">
        <f>IFERROR(AN_TME22[[#This Row],[Total Claims Excluded because of Truncation]]/AN_TME22[[#This Row],[TOTAL Non-Truncated Unadjusted Claims Expenses]], 0)</f>
        <v>0</v>
      </c>
    </row>
    <row r="181" spans="1:32" x14ac:dyDescent="0.25">
      <c r="A181" s="420"/>
      <c r="B181" s="421"/>
      <c r="C181" s="421"/>
      <c r="D181" s="422"/>
      <c r="E181" s="517"/>
      <c r="F181" s="423"/>
      <c r="G181" s="423"/>
      <c r="H181" s="423"/>
      <c r="I181" s="423"/>
      <c r="J181" s="423"/>
      <c r="K181" s="423"/>
      <c r="L181" s="423"/>
      <c r="M181" s="423"/>
      <c r="N181" s="423"/>
      <c r="O181" s="423"/>
      <c r="P181" s="423"/>
      <c r="Q181" s="423"/>
      <c r="R181" s="423"/>
      <c r="S181" s="423"/>
      <c r="T181" s="423"/>
      <c r="U181" s="423"/>
      <c r="V181" s="423"/>
      <c r="W181" s="424"/>
      <c r="X181" s="425">
        <f t="shared" si="10"/>
        <v>0</v>
      </c>
      <c r="Y181" s="472">
        <f>AN_TME22[[#This Row],[TOTAL Non-Truncated Unadjusted Claims Expenses]]-AN_TME22[[#This Row],[Total Claims Excluded because of Truncation]]</f>
        <v>0</v>
      </c>
      <c r="Z181" s="425">
        <f t="shared" si="11"/>
        <v>0</v>
      </c>
      <c r="AA181" s="472">
        <f>AN_TME22[[#This Row],[TOTAL Non-Truncated Unadjusted Claims Expenses]]+AN_TME22[[#This Row],[TOTAL Non-Claims Expenses]]</f>
        <v>0</v>
      </c>
      <c r="AB181" s="472">
        <f>AN_TME22[[#This Row],[TOTAL Truncated Unadjusted Claims Expenses (A21 -A19)]]+AN_TME22[[#This Row],[TOTAL Non-Claims Expenses]]</f>
        <v>0</v>
      </c>
      <c r="AC181" s="474">
        <f>IFERROR(AN_TME22[[#This Row],[TOTAL Non-Truncated Unadjusted Expenses (A21 + A23)]]/AN_TME22[[#This Row],[Member Months]],0)</f>
        <v>0</v>
      </c>
      <c r="AD181" s="474">
        <f>IFERROR(AN_TME22[[#This Row],[TOTAL Truncated Unadjusted Expenses (A22 + A23)]]/AN_TME22[[#This Row],[Member Months]],0)</f>
        <v>0</v>
      </c>
      <c r="AE181" s="474">
        <f>IFERROR(AN_TME22[[#This Row],[Total Claims Excluded because of Truncation]]/AN_TME22[[#This Row],[Count of Members with Claims Truncated]], 0)</f>
        <v>0</v>
      </c>
      <c r="AF181" s="476">
        <f>IFERROR(AN_TME22[[#This Row],[Total Claims Excluded because of Truncation]]/AN_TME22[[#This Row],[TOTAL Non-Truncated Unadjusted Claims Expenses]], 0)</f>
        <v>0</v>
      </c>
    </row>
    <row r="182" spans="1:32" x14ac:dyDescent="0.25">
      <c r="A182" s="426"/>
      <c r="B182" s="427"/>
      <c r="C182" s="427"/>
      <c r="D182" s="428"/>
      <c r="E182" s="517"/>
      <c r="F182" s="429"/>
      <c r="G182" s="429"/>
      <c r="H182" s="429"/>
      <c r="I182" s="429"/>
      <c r="J182" s="429"/>
      <c r="K182" s="429"/>
      <c r="L182" s="429"/>
      <c r="M182" s="429"/>
      <c r="N182" s="429"/>
      <c r="O182" s="429"/>
      <c r="P182" s="429"/>
      <c r="Q182" s="429"/>
      <c r="R182" s="429"/>
      <c r="S182" s="429"/>
      <c r="T182" s="429"/>
      <c r="U182" s="429"/>
      <c r="V182" s="429"/>
      <c r="W182" s="430"/>
      <c r="X182" s="431">
        <f t="shared" si="10"/>
        <v>0</v>
      </c>
      <c r="Y182" s="431">
        <f>AN_TME22[[#This Row],[TOTAL Non-Truncated Unadjusted Claims Expenses]]-AN_TME22[[#This Row],[Total Claims Excluded because of Truncation]]</f>
        <v>0</v>
      </c>
      <c r="Z182" s="431">
        <f t="shared" si="11"/>
        <v>0</v>
      </c>
      <c r="AA182" s="431">
        <f>AN_TME22[[#This Row],[TOTAL Non-Truncated Unadjusted Claims Expenses]]+AN_TME22[[#This Row],[TOTAL Non-Claims Expenses]]</f>
        <v>0</v>
      </c>
      <c r="AB182" s="431">
        <f>AN_TME22[[#This Row],[TOTAL Truncated Unadjusted Claims Expenses (A21 -A19)]]+AN_TME22[[#This Row],[TOTAL Non-Claims Expenses]]</f>
        <v>0</v>
      </c>
      <c r="AC182" s="475">
        <f>IFERROR(AN_TME22[[#This Row],[TOTAL Non-Truncated Unadjusted Expenses (A21 + A23)]]/AN_TME22[[#This Row],[Member Months]],0)</f>
        <v>0</v>
      </c>
      <c r="AD182" s="475">
        <f>IFERROR(AN_TME22[[#This Row],[TOTAL Truncated Unadjusted Expenses (A22 + A23)]]/AN_TME22[[#This Row],[Member Months]],0)</f>
        <v>0</v>
      </c>
      <c r="AE182" s="475">
        <f>IFERROR(AN_TME22[[#This Row],[Total Claims Excluded because of Truncation]]/AN_TME22[[#This Row],[Count of Members with Claims Truncated]], 0)</f>
        <v>0</v>
      </c>
      <c r="AF182" s="476">
        <f>IFERROR(AN_TME22[[#This Row],[Total Claims Excluded because of Truncation]]/AN_TME22[[#This Row],[TOTAL Non-Truncated Unadjusted Claims Expenses]], 0)</f>
        <v>0</v>
      </c>
    </row>
    <row r="183" spans="1:32" x14ac:dyDescent="0.25">
      <c r="A183" s="420"/>
      <c r="B183" s="421"/>
      <c r="C183" s="421"/>
      <c r="D183" s="422"/>
      <c r="E183" s="517"/>
      <c r="F183" s="423"/>
      <c r="G183" s="423"/>
      <c r="H183" s="423"/>
      <c r="I183" s="423"/>
      <c r="J183" s="423"/>
      <c r="K183" s="423"/>
      <c r="L183" s="423"/>
      <c r="M183" s="423"/>
      <c r="N183" s="423"/>
      <c r="O183" s="423"/>
      <c r="P183" s="423"/>
      <c r="Q183" s="423"/>
      <c r="R183" s="423"/>
      <c r="S183" s="423"/>
      <c r="T183" s="423"/>
      <c r="U183" s="423"/>
      <c r="V183" s="423"/>
      <c r="W183" s="424"/>
      <c r="X183" s="425">
        <f t="shared" si="10"/>
        <v>0</v>
      </c>
      <c r="Y183" s="472">
        <f>AN_TME22[[#This Row],[TOTAL Non-Truncated Unadjusted Claims Expenses]]-AN_TME22[[#This Row],[Total Claims Excluded because of Truncation]]</f>
        <v>0</v>
      </c>
      <c r="Z183" s="425">
        <f t="shared" si="11"/>
        <v>0</v>
      </c>
      <c r="AA183" s="472">
        <f>AN_TME22[[#This Row],[TOTAL Non-Truncated Unadjusted Claims Expenses]]+AN_TME22[[#This Row],[TOTAL Non-Claims Expenses]]</f>
        <v>0</v>
      </c>
      <c r="AB183" s="472">
        <f>AN_TME22[[#This Row],[TOTAL Truncated Unadjusted Claims Expenses (A21 -A19)]]+AN_TME22[[#This Row],[TOTAL Non-Claims Expenses]]</f>
        <v>0</v>
      </c>
      <c r="AC183" s="474">
        <f>IFERROR(AN_TME22[[#This Row],[TOTAL Non-Truncated Unadjusted Expenses (A21 + A23)]]/AN_TME22[[#This Row],[Member Months]],0)</f>
        <v>0</v>
      </c>
      <c r="AD183" s="474">
        <f>IFERROR(AN_TME22[[#This Row],[TOTAL Truncated Unadjusted Expenses (A22 + A23)]]/AN_TME22[[#This Row],[Member Months]],0)</f>
        <v>0</v>
      </c>
      <c r="AE183" s="474">
        <f>IFERROR(AN_TME22[[#This Row],[Total Claims Excluded because of Truncation]]/AN_TME22[[#This Row],[Count of Members with Claims Truncated]], 0)</f>
        <v>0</v>
      </c>
      <c r="AF183" s="476">
        <f>IFERROR(AN_TME22[[#This Row],[Total Claims Excluded because of Truncation]]/AN_TME22[[#This Row],[TOTAL Non-Truncated Unadjusted Claims Expenses]], 0)</f>
        <v>0</v>
      </c>
    </row>
    <row r="184" spans="1:32" x14ac:dyDescent="0.25">
      <c r="A184" s="426"/>
      <c r="B184" s="427"/>
      <c r="C184" s="427"/>
      <c r="D184" s="428"/>
      <c r="E184" s="517"/>
      <c r="F184" s="429"/>
      <c r="G184" s="429"/>
      <c r="H184" s="429"/>
      <c r="I184" s="429"/>
      <c r="J184" s="429"/>
      <c r="K184" s="429"/>
      <c r="L184" s="429"/>
      <c r="M184" s="429"/>
      <c r="N184" s="429"/>
      <c r="O184" s="429"/>
      <c r="P184" s="429"/>
      <c r="Q184" s="429"/>
      <c r="R184" s="429"/>
      <c r="S184" s="429"/>
      <c r="T184" s="429"/>
      <c r="U184" s="429"/>
      <c r="V184" s="429"/>
      <c r="W184" s="430"/>
      <c r="X184" s="431">
        <f t="shared" si="10"/>
        <v>0</v>
      </c>
      <c r="Y184" s="431">
        <f>AN_TME22[[#This Row],[TOTAL Non-Truncated Unadjusted Claims Expenses]]-AN_TME22[[#This Row],[Total Claims Excluded because of Truncation]]</f>
        <v>0</v>
      </c>
      <c r="Z184" s="431">
        <f t="shared" si="11"/>
        <v>0</v>
      </c>
      <c r="AA184" s="431">
        <f>AN_TME22[[#This Row],[TOTAL Non-Truncated Unadjusted Claims Expenses]]+AN_TME22[[#This Row],[TOTAL Non-Claims Expenses]]</f>
        <v>0</v>
      </c>
      <c r="AB184" s="431">
        <f>AN_TME22[[#This Row],[TOTAL Truncated Unadjusted Claims Expenses (A21 -A19)]]+AN_TME22[[#This Row],[TOTAL Non-Claims Expenses]]</f>
        <v>0</v>
      </c>
      <c r="AC184" s="475">
        <f>IFERROR(AN_TME22[[#This Row],[TOTAL Non-Truncated Unadjusted Expenses (A21 + A23)]]/AN_TME22[[#This Row],[Member Months]],0)</f>
        <v>0</v>
      </c>
      <c r="AD184" s="475">
        <f>IFERROR(AN_TME22[[#This Row],[TOTAL Truncated Unadjusted Expenses (A22 + A23)]]/AN_TME22[[#This Row],[Member Months]],0)</f>
        <v>0</v>
      </c>
      <c r="AE184" s="475">
        <f>IFERROR(AN_TME22[[#This Row],[Total Claims Excluded because of Truncation]]/AN_TME22[[#This Row],[Count of Members with Claims Truncated]], 0)</f>
        <v>0</v>
      </c>
      <c r="AF184" s="476">
        <f>IFERROR(AN_TME22[[#This Row],[Total Claims Excluded because of Truncation]]/AN_TME22[[#This Row],[TOTAL Non-Truncated Unadjusted Claims Expenses]], 0)</f>
        <v>0</v>
      </c>
    </row>
    <row r="185" spans="1:32" x14ac:dyDescent="0.25">
      <c r="A185" s="420"/>
      <c r="B185" s="421"/>
      <c r="C185" s="421"/>
      <c r="D185" s="422"/>
      <c r="E185" s="517"/>
      <c r="F185" s="423"/>
      <c r="G185" s="423"/>
      <c r="H185" s="423"/>
      <c r="I185" s="423"/>
      <c r="J185" s="423"/>
      <c r="K185" s="423"/>
      <c r="L185" s="423"/>
      <c r="M185" s="423"/>
      <c r="N185" s="423"/>
      <c r="O185" s="423"/>
      <c r="P185" s="423"/>
      <c r="Q185" s="423"/>
      <c r="R185" s="423"/>
      <c r="S185" s="423"/>
      <c r="T185" s="423"/>
      <c r="U185" s="423"/>
      <c r="V185" s="423"/>
      <c r="W185" s="424"/>
      <c r="X185" s="425">
        <f t="shared" si="10"/>
        <v>0</v>
      </c>
      <c r="Y185" s="472">
        <f>AN_TME22[[#This Row],[TOTAL Non-Truncated Unadjusted Claims Expenses]]-AN_TME22[[#This Row],[Total Claims Excluded because of Truncation]]</f>
        <v>0</v>
      </c>
      <c r="Z185" s="425">
        <f t="shared" si="11"/>
        <v>0</v>
      </c>
      <c r="AA185" s="472">
        <f>AN_TME22[[#This Row],[TOTAL Non-Truncated Unadjusted Claims Expenses]]+AN_TME22[[#This Row],[TOTAL Non-Claims Expenses]]</f>
        <v>0</v>
      </c>
      <c r="AB185" s="472">
        <f>AN_TME22[[#This Row],[TOTAL Truncated Unadjusted Claims Expenses (A21 -A19)]]+AN_TME22[[#This Row],[TOTAL Non-Claims Expenses]]</f>
        <v>0</v>
      </c>
      <c r="AC185" s="474">
        <f>IFERROR(AN_TME22[[#This Row],[TOTAL Non-Truncated Unadjusted Expenses (A21 + A23)]]/AN_TME22[[#This Row],[Member Months]],0)</f>
        <v>0</v>
      </c>
      <c r="AD185" s="474">
        <f>IFERROR(AN_TME22[[#This Row],[TOTAL Truncated Unadjusted Expenses (A22 + A23)]]/AN_TME22[[#This Row],[Member Months]],0)</f>
        <v>0</v>
      </c>
      <c r="AE185" s="474">
        <f>IFERROR(AN_TME22[[#This Row],[Total Claims Excluded because of Truncation]]/AN_TME22[[#This Row],[Count of Members with Claims Truncated]], 0)</f>
        <v>0</v>
      </c>
      <c r="AF185" s="476">
        <f>IFERROR(AN_TME22[[#This Row],[Total Claims Excluded because of Truncation]]/AN_TME22[[#This Row],[TOTAL Non-Truncated Unadjusted Claims Expenses]], 0)</f>
        <v>0</v>
      </c>
    </row>
    <row r="186" spans="1:32" x14ac:dyDescent="0.25">
      <c r="A186" s="426"/>
      <c r="B186" s="427"/>
      <c r="C186" s="427"/>
      <c r="D186" s="428"/>
      <c r="E186" s="517"/>
      <c r="F186" s="429"/>
      <c r="G186" s="429"/>
      <c r="H186" s="429"/>
      <c r="I186" s="429"/>
      <c r="J186" s="429"/>
      <c r="K186" s="429"/>
      <c r="L186" s="429"/>
      <c r="M186" s="429"/>
      <c r="N186" s="429"/>
      <c r="O186" s="429"/>
      <c r="P186" s="429"/>
      <c r="Q186" s="429"/>
      <c r="R186" s="429"/>
      <c r="S186" s="429"/>
      <c r="T186" s="429"/>
      <c r="U186" s="429"/>
      <c r="V186" s="429"/>
      <c r="W186" s="430"/>
      <c r="X186" s="431">
        <f t="shared" si="10"/>
        <v>0</v>
      </c>
      <c r="Y186" s="431">
        <f>AN_TME22[[#This Row],[TOTAL Non-Truncated Unadjusted Claims Expenses]]-AN_TME22[[#This Row],[Total Claims Excluded because of Truncation]]</f>
        <v>0</v>
      </c>
      <c r="Z186" s="431">
        <f t="shared" si="11"/>
        <v>0</v>
      </c>
      <c r="AA186" s="431">
        <f>AN_TME22[[#This Row],[TOTAL Non-Truncated Unadjusted Claims Expenses]]+AN_TME22[[#This Row],[TOTAL Non-Claims Expenses]]</f>
        <v>0</v>
      </c>
      <c r="AB186" s="431">
        <f>AN_TME22[[#This Row],[TOTAL Truncated Unadjusted Claims Expenses (A21 -A19)]]+AN_TME22[[#This Row],[TOTAL Non-Claims Expenses]]</f>
        <v>0</v>
      </c>
      <c r="AC186" s="475">
        <f>IFERROR(AN_TME22[[#This Row],[TOTAL Non-Truncated Unadjusted Expenses (A21 + A23)]]/AN_TME22[[#This Row],[Member Months]],0)</f>
        <v>0</v>
      </c>
      <c r="AD186" s="475">
        <f>IFERROR(AN_TME22[[#This Row],[TOTAL Truncated Unadjusted Expenses (A22 + A23)]]/AN_TME22[[#This Row],[Member Months]],0)</f>
        <v>0</v>
      </c>
      <c r="AE186" s="475">
        <f>IFERROR(AN_TME22[[#This Row],[Total Claims Excluded because of Truncation]]/AN_TME22[[#This Row],[Count of Members with Claims Truncated]], 0)</f>
        <v>0</v>
      </c>
      <c r="AF186" s="476">
        <f>IFERROR(AN_TME22[[#This Row],[Total Claims Excluded because of Truncation]]/AN_TME22[[#This Row],[TOTAL Non-Truncated Unadjusted Claims Expenses]], 0)</f>
        <v>0</v>
      </c>
    </row>
    <row r="187" spans="1:32" x14ac:dyDescent="0.25">
      <c r="A187" s="420"/>
      <c r="B187" s="421"/>
      <c r="C187" s="421"/>
      <c r="D187" s="422"/>
      <c r="E187" s="517"/>
      <c r="F187" s="423"/>
      <c r="G187" s="423"/>
      <c r="H187" s="423"/>
      <c r="I187" s="423"/>
      <c r="J187" s="423"/>
      <c r="K187" s="423"/>
      <c r="L187" s="423"/>
      <c r="M187" s="423"/>
      <c r="N187" s="423"/>
      <c r="O187" s="423"/>
      <c r="P187" s="423"/>
      <c r="Q187" s="423"/>
      <c r="R187" s="423"/>
      <c r="S187" s="423"/>
      <c r="T187" s="423"/>
      <c r="U187" s="423"/>
      <c r="V187" s="423"/>
      <c r="W187" s="424"/>
      <c r="X187" s="425">
        <f t="shared" si="10"/>
        <v>0</v>
      </c>
      <c r="Y187" s="472">
        <f>AN_TME22[[#This Row],[TOTAL Non-Truncated Unadjusted Claims Expenses]]-AN_TME22[[#This Row],[Total Claims Excluded because of Truncation]]</f>
        <v>0</v>
      </c>
      <c r="Z187" s="425">
        <f t="shared" si="11"/>
        <v>0</v>
      </c>
      <c r="AA187" s="472">
        <f>AN_TME22[[#This Row],[TOTAL Non-Truncated Unadjusted Claims Expenses]]+AN_TME22[[#This Row],[TOTAL Non-Claims Expenses]]</f>
        <v>0</v>
      </c>
      <c r="AB187" s="472">
        <f>AN_TME22[[#This Row],[TOTAL Truncated Unadjusted Claims Expenses (A21 -A19)]]+AN_TME22[[#This Row],[TOTAL Non-Claims Expenses]]</f>
        <v>0</v>
      </c>
      <c r="AC187" s="474">
        <f>IFERROR(AN_TME22[[#This Row],[TOTAL Non-Truncated Unadjusted Expenses (A21 + A23)]]/AN_TME22[[#This Row],[Member Months]],0)</f>
        <v>0</v>
      </c>
      <c r="AD187" s="474">
        <f>IFERROR(AN_TME22[[#This Row],[TOTAL Truncated Unadjusted Expenses (A22 + A23)]]/AN_TME22[[#This Row],[Member Months]],0)</f>
        <v>0</v>
      </c>
      <c r="AE187" s="474">
        <f>IFERROR(AN_TME22[[#This Row],[Total Claims Excluded because of Truncation]]/AN_TME22[[#This Row],[Count of Members with Claims Truncated]], 0)</f>
        <v>0</v>
      </c>
      <c r="AF187" s="476">
        <f>IFERROR(AN_TME22[[#This Row],[Total Claims Excluded because of Truncation]]/AN_TME22[[#This Row],[TOTAL Non-Truncated Unadjusted Claims Expenses]], 0)</f>
        <v>0</v>
      </c>
    </row>
    <row r="188" spans="1:32" x14ac:dyDescent="0.25">
      <c r="A188" s="426"/>
      <c r="B188" s="427"/>
      <c r="C188" s="427"/>
      <c r="D188" s="428"/>
      <c r="E188" s="517"/>
      <c r="F188" s="429"/>
      <c r="G188" s="429"/>
      <c r="H188" s="429"/>
      <c r="I188" s="429"/>
      <c r="J188" s="429"/>
      <c r="K188" s="429"/>
      <c r="L188" s="429"/>
      <c r="M188" s="429"/>
      <c r="N188" s="429"/>
      <c r="O188" s="429"/>
      <c r="P188" s="429"/>
      <c r="Q188" s="429"/>
      <c r="R188" s="429"/>
      <c r="S188" s="429"/>
      <c r="T188" s="429"/>
      <c r="U188" s="429"/>
      <c r="V188" s="429"/>
      <c r="W188" s="430"/>
      <c r="X188" s="431">
        <f t="shared" si="10"/>
        <v>0</v>
      </c>
      <c r="Y188" s="431">
        <f>AN_TME22[[#This Row],[TOTAL Non-Truncated Unadjusted Claims Expenses]]-AN_TME22[[#This Row],[Total Claims Excluded because of Truncation]]</f>
        <v>0</v>
      </c>
      <c r="Z188" s="431">
        <f t="shared" si="11"/>
        <v>0</v>
      </c>
      <c r="AA188" s="431">
        <f>AN_TME22[[#This Row],[TOTAL Non-Truncated Unadjusted Claims Expenses]]+AN_TME22[[#This Row],[TOTAL Non-Claims Expenses]]</f>
        <v>0</v>
      </c>
      <c r="AB188" s="431">
        <f>AN_TME22[[#This Row],[TOTAL Truncated Unadjusted Claims Expenses (A21 -A19)]]+AN_TME22[[#This Row],[TOTAL Non-Claims Expenses]]</f>
        <v>0</v>
      </c>
      <c r="AC188" s="475">
        <f>IFERROR(AN_TME22[[#This Row],[TOTAL Non-Truncated Unadjusted Expenses (A21 + A23)]]/AN_TME22[[#This Row],[Member Months]],0)</f>
        <v>0</v>
      </c>
      <c r="AD188" s="475">
        <f>IFERROR(AN_TME22[[#This Row],[TOTAL Truncated Unadjusted Expenses (A22 + A23)]]/AN_TME22[[#This Row],[Member Months]],0)</f>
        <v>0</v>
      </c>
      <c r="AE188" s="475">
        <f>IFERROR(AN_TME22[[#This Row],[Total Claims Excluded because of Truncation]]/AN_TME22[[#This Row],[Count of Members with Claims Truncated]], 0)</f>
        <v>0</v>
      </c>
      <c r="AF188" s="476">
        <f>IFERROR(AN_TME22[[#This Row],[Total Claims Excluded because of Truncation]]/AN_TME22[[#This Row],[TOTAL Non-Truncated Unadjusted Claims Expenses]], 0)</f>
        <v>0</v>
      </c>
    </row>
    <row r="189" spans="1:32" x14ac:dyDescent="0.25">
      <c r="A189" s="420"/>
      <c r="B189" s="421"/>
      <c r="C189" s="421"/>
      <c r="D189" s="422"/>
      <c r="E189" s="517"/>
      <c r="F189" s="423"/>
      <c r="G189" s="423"/>
      <c r="H189" s="423"/>
      <c r="I189" s="423"/>
      <c r="J189" s="423"/>
      <c r="K189" s="423"/>
      <c r="L189" s="423"/>
      <c r="M189" s="423"/>
      <c r="N189" s="423"/>
      <c r="O189" s="423"/>
      <c r="P189" s="423"/>
      <c r="Q189" s="423"/>
      <c r="R189" s="423"/>
      <c r="S189" s="423"/>
      <c r="T189" s="423"/>
      <c r="U189" s="423"/>
      <c r="V189" s="423"/>
      <c r="W189" s="424"/>
      <c r="X189" s="425">
        <f t="shared" si="10"/>
        <v>0</v>
      </c>
      <c r="Y189" s="472">
        <f>AN_TME22[[#This Row],[TOTAL Non-Truncated Unadjusted Claims Expenses]]-AN_TME22[[#This Row],[Total Claims Excluded because of Truncation]]</f>
        <v>0</v>
      </c>
      <c r="Z189" s="425">
        <f t="shared" si="11"/>
        <v>0</v>
      </c>
      <c r="AA189" s="472">
        <f>AN_TME22[[#This Row],[TOTAL Non-Truncated Unadjusted Claims Expenses]]+AN_TME22[[#This Row],[TOTAL Non-Claims Expenses]]</f>
        <v>0</v>
      </c>
      <c r="AB189" s="472">
        <f>AN_TME22[[#This Row],[TOTAL Truncated Unadjusted Claims Expenses (A21 -A19)]]+AN_TME22[[#This Row],[TOTAL Non-Claims Expenses]]</f>
        <v>0</v>
      </c>
      <c r="AC189" s="474">
        <f>IFERROR(AN_TME22[[#This Row],[TOTAL Non-Truncated Unadjusted Expenses (A21 + A23)]]/AN_TME22[[#This Row],[Member Months]],0)</f>
        <v>0</v>
      </c>
      <c r="AD189" s="474">
        <f>IFERROR(AN_TME22[[#This Row],[TOTAL Truncated Unadjusted Expenses (A22 + A23)]]/AN_TME22[[#This Row],[Member Months]],0)</f>
        <v>0</v>
      </c>
      <c r="AE189" s="474">
        <f>IFERROR(AN_TME22[[#This Row],[Total Claims Excluded because of Truncation]]/AN_TME22[[#This Row],[Count of Members with Claims Truncated]], 0)</f>
        <v>0</v>
      </c>
      <c r="AF189" s="476">
        <f>IFERROR(AN_TME22[[#This Row],[Total Claims Excluded because of Truncation]]/AN_TME22[[#This Row],[TOTAL Non-Truncated Unadjusted Claims Expenses]], 0)</f>
        <v>0</v>
      </c>
    </row>
    <row r="190" spans="1:32" x14ac:dyDescent="0.25">
      <c r="A190" s="426"/>
      <c r="B190" s="427"/>
      <c r="C190" s="427"/>
      <c r="D190" s="428"/>
      <c r="E190" s="517"/>
      <c r="F190" s="429"/>
      <c r="G190" s="429"/>
      <c r="H190" s="429"/>
      <c r="I190" s="429"/>
      <c r="J190" s="429"/>
      <c r="K190" s="429"/>
      <c r="L190" s="429"/>
      <c r="M190" s="429"/>
      <c r="N190" s="429"/>
      <c r="O190" s="429"/>
      <c r="P190" s="429"/>
      <c r="Q190" s="429"/>
      <c r="R190" s="429"/>
      <c r="S190" s="429"/>
      <c r="T190" s="429"/>
      <c r="U190" s="429"/>
      <c r="V190" s="429"/>
      <c r="W190" s="430"/>
      <c r="X190" s="431">
        <f t="shared" si="10"/>
        <v>0</v>
      </c>
      <c r="Y190" s="431">
        <f>AN_TME22[[#This Row],[TOTAL Non-Truncated Unadjusted Claims Expenses]]-AN_TME22[[#This Row],[Total Claims Excluded because of Truncation]]</f>
        <v>0</v>
      </c>
      <c r="Z190" s="431">
        <f t="shared" si="11"/>
        <v>0</v>
      </c>
      <c r="AA190" s="431">
        <f>AN_TME22[[#This Row],[TOTAL Non-Truncated Unadjusted Claims Expenses]]+AN_TME22[[#This Row],[TOTAL Non-Claims Expenses]]</f>
        <v>0</v>
      </c>
      <c r="AB190" s="431">
        <f>AN_TME22[[#This Row],[TOTAL Truncated Unadjusted Claims Expenses (A21 -A19)]]+AN_TME22[[#This Row],[TOTAL Non-Claims Expenses]]</f>
        <v>0</v>
      </c>
      <c r="AC190" s="475">
        <f>IFERROR(AN_TME22[[#This Row],[TOTAL Non-Truncated Unadjusted Expenses (A21 + A23)]]/AN_TME22[[#This Row],[Member Months]],0)</f>
        <v>0</v>
      </c>
      <c r="AD190" s="475">
        <f>IFERROR(AN_TME22[[#This Row],[TOTAL Truncated Unadjusted Expenses (A22 + A23)]]/AN_TME22[[#This Row],[Member Months]],0)</f>
        <v>0</v>
      </c>
      <c r="AE190" s="475">
        <f>IFERROR(AN_TME22[[#This Row],[Total Claims Excluded because of Truncation]]/AN_TME22[[#This Row],[Count of Members with Claims Truncated]], 0)</f>
        <v>0</v>
      </c>
      <c r="AF190" s="476">
        <f>IFERROR(AN_TME22[[#This Row],[Total Claims Excluded because of Truncation]]/AN_TME22[[#This Row],[TOTAL Non-Truncated Unadjusted Claims Expenses]], 0)</f>
        <v>0</v>
      </c>
    </row>
    <row r="191" spans="1:32" x14ac:dyDescent="0.25">
      <c r="A191" s="420"/>
      <c r="B191" s="421"/>
      <c r="C191" s="421"/>
      <c r="D191" s="422"/>
      <c r="E191" s="517"/>
      <c r="F191" s="423"/>
      <c r="G191" s="423"/>
      <c r="H191" s="423"/>
      <c r="I191" s="423"/>
      <c r="J191" s="423"/>
      <c r="K191" s="423"/>
      <c r="L191" s="423"/>
      <c r="M191" s="423"/>
      <c r="N191" s="423"/>
      <c r="O191" s="423"/>
      <c r="P191" s="423"/>
      <c r="Q191" s="423"/>
      <c r="R191" s="423"/>
      <c r="S191" s="423"/>
      <c r="T191" s="423"/>
      <c r="U191" s="423"/>
      <c r="V191" s="423"/>
      <c r="W191" s="424"/>
      <c r="X191" s="425">
        <f t="shared" si="10"/>
        <v>0</v>
      </c>
      <c r="Y191" s="472">
        <f>AN_TME22[[#This Row],[TOTAL Non-Truncated Unadjusted Claims Expenses]]-AN_TME22[[#This Row],[Total Claims Excluded because of Truncation]]</f>
        <v>0</v>
      </c>
      <c r="Z191" s="425">
        <f t="shared" si="11"/>
        <v>0</v>
      </c>
      <c r="AA191" s="472">
        <f>AN_TME22[[#This Row],[TOTAL Non-Truncated Unadjusted Claims Expenses]]+AN_TME22[[#This Row],[TOTAL Non-Claims Expenses]]</f>
        <v>0</v>
      </c>
      <c r="AB191" s="472">
        <f>AN_TME22[[#This Row],[TOTAL Truncated Unadjusted Claims Expenses (A21 -A19)]]+AN_TME22[[#This Row],[TOTAL Non-Claims Expenses]]</f>
        <v>0</v>
      </c>
      <c r="AC191" s="474">
        <f>IFERROR(AN_TME22[[#This Row],[TOTAL Non-Truncated Unadjusted Expenses (A21 + A23)]]/AN_TME22[[#This Row],[Member Months]],0)</f>
        <v>0</v>
      </c>
      <c r="AD191" s="474">
        <f>IFERROR(AN_TME22[[#This Row],[TOTAL Truncated Unadjusted Expenses (A22 + A23)]]/AN_TME22[[#This Row],[Member Months]],0)</f>
        <v>0</v>
      </c>
      <c r="AE191" s="474">
        <f>IFERROR(AN_TME22[[#This Row],[Total Claims Excluded because of Truncation]]/AN_TME22[[#This Row],[Count of Members with Claims Truncated]], 0)</f>
        <v>0</v>
      </c>
      <c r="AF191" s="476">
        <f>IFERROR(AN_TME22[[#This Row],[Total Claims Excluded because of Truncation]]/AN_TME22[[#This Row],[TOTAL Non-Truncated Unadjusted Claims Expenses]], 0)</f>
        <v>0</v>
      </c>
    </row>
    <row r="192" spans="1:32" x14ac:dyDescent="0.25">
      <c r="A192" s="426"/>
      <c r="B192" s="427"/>
      <c r="C192" s="427"/>
      <c r="D192" s="428"/>
      <c r="E192" s="517"/>
      <c r="F192" s="429"/>
      <c r="G192" s="429"/>
      <c r="H192" s="429"/>
      <c r="I192" s="429"/>
      <c r="J192" s="429"/>
      <c r="K192" s="429"/>
      <c r="L192" s="429"/>
      <c r="M192" s="429"/>
      <c r="N192" s="429"/>
      <c r="O192" s="429"/>
      <c r="P192" s="429"/>
      <c r="Q192" s="429"/>
      <c r="R192" s="429"/>
      <c r="S192" s="429"/>
      <c r="T192" s="429"/>
      <c r="U192" s="429"/>
      <c r="V192" s="429"/>
      <c r="W192" s="430"/>
      <c r="X192" s="431">
        <f t="shared" si="10"/>
        <v>0</v>
      </c>
      <c r="Y192" s="431">
        <f>AN_TME22[[#This Row],[TOTAL Non-Truncated Unadjusted Claims Expenses]]-AN_TME22[[#This Row],[Total Claims Excluded because of Truncation]]</f>
        <v>0</v>
      </c>
      <c r="Z192" s="431">
        <f t="shared" si="11"/>
        <v>0</v>
      </c>
      <c r="AA192" s="431">
        <f>AN_TME22[[#This Row],[TOTAL Non-Truncated Unadjusted Claims Expenses]]+AN_TME22[[#This Row],[TOTAL Non-Claims Expenses]]</f>
        <v>0</v>
      </c>
      <c r="AB192" s="431">
        <f>AN_TME22[[#This Row],[TOTAL Truncated Unadjusted Claims Expenses (A21 -A19)]]+AN_TME22[[#This Row],[TOTAL Non-Claims Expenses]]</f>
        <v>0</v>
      </c>
      <c r="AC192" s="475">
        <f>IFERROR(AN_TME22[[#This Row],[TOTAL Non-Truncated Unadjusted Expenses (A21 + A23)]]/AN_TME22[[#This Row],[Member Months]],0)</f>
        <v>0</v>
      </c>
      <c r="AD192" s="475">
        <f>IFERROR(AN_TME22[[#This Row],[TOTAL Truncated Unadjusted Expenses (A22 + A23)]]/AN_TME22[[#This Row],[Member Months]],0)</f>
        <v>0</v>
      </c>
      <c r="AE192" s="475">
        <f>IFERROR(AN_TME22[[#This Row],[Total Claims Excluded because of Truncation]]/AN_TME22[[#This Row],[Count of Members with Claims Truncated]], 0)</f>
        <v>0</v>
      </c>
      <c r="AF192" s="476">
        <f>IFERROR(AN_TME22[[#This Row],[Total Claims Excluded because of Truncation]]/AN_TME22[[#This Row],[TOTAL Non-Truncated Unadjusted Claims Expenses]], 0)</f>
        <v>0</v>
      </c>
    </row>
    <row r="193" spans="1:32" x14ac:dyDescent="0.25">
      <c r="A193" s="420"/>
      <c r="B193" s="421"/>
      <c r="C193" s="421"/>
      <c r="D193" s="422"/>
      <c r="E193" s="517"/>
      <c r="F193" s="423"/>
      <c r="G193" s="423"/>
      <c r="H193" s="423"/>
      <c r="I193" s="423"/>
      <c r="J193" s="423"/>
      <c r="K193" s="423"/>
      <c r="L193" s="423"/>
      <c r="M193" s="423"/>
      <c r="N193" s="423"/>
      <c r="O193" s="423"/>
      <c r="P193" s="423"/>
      <c r="Q193" s="423"/>
      <c r="R193" s="423"/>
      <c r="S193" s="423"/>
      <c r="T193" s="423"/>
      <c r="U193" s="423"/>
      <c r="V193" s="423"/>
      <c r="W193" s="424"/>
      <c r="X193" s="425">
        <f t="shared" si="10"/>
        <v>0</v>
      </c>
      <c r="Y193" s="472">
        <f>AN_TME22[[#This Row],[TOTAL Non-Truncated Unadjusted Claims Expenses]]-AN_TME22[[#This Row],[Total Claims Excluded because of Truncation]]</f>
        <v>0</v>
      </c>
      <c r="Z193" s="425">
        <f t="shared" si="11"/>
        <v>0</v>
      </c>
      <c r="AA193" s="472">
        <f>AN_TME22[[#This Row],[TOTAL Non-Truncated Unadjusted Claims Expenses]]+AN_TME22[[#This Row],[TOTAL Non-Claims Expenses]]</f>
        <v>0</v>
      </c>
      <c r="AB193" s="472">
        <f>AN_TME22[[#This Row],[TOTAL Truncated Unadjusted Claims Expenses (A21 -A19)]]+AN_TME22[[#This Row],[TOTAL Non-Claims Expenses]]</f>
        <v>0</v>
      </c>
      <c r="AC193" s="474">
        <f>IFERROR(AN_TME22[[#This Row],[TOTAL Non-Truncated Unadjusted Expenses (A21 + A23)]]/AN_TME22[[#This Row],[Member Months]],0)</f>
        <v>0</v>
      </c>
      <c r="AD193" s="474">
        <f>IFERROR(AN_TME22[[#This Row],[TOTAL Truncated Unadjusted Expenses (A22 + A23)]]/AN_TME22[[#This Row],[Member Months]],0)</f>
        <v>0</v>
      </c>
      <c r="AE193" s="474">
        <f>IFERROR(AN_TME22[[#This Row],[Total Claims Excluded because of Truncation]]/AN_TME22[[#This Row],[Count of Members with Claims Truncated]], 0)</f>
        <v>0</v>
      </c>
      <c r="AF193" s="476">
        <f>IFERROR(AN_TME22[[#This Row],[Total Claims Excluded because of Truncation]]/AN_TME22[[#This Row],[TOTAL Non-Truncated Unadjusted Claims Expenses]], 0)</f>
        <v>0</v>
      </c>
    </row>
    <row r="194" spans="1:32" x14ac:dyDescent="0.25">
      <c r="A194" s="426"/>
      <c r="B194" s="427"/>
      <c r="C194" s="427"/>
      <c r="D194" s="428"/>
      <c r="E194" s="517"/>
      <c r="F194" s="429"/>
      <c r="G194" s="429"/>
      <c r="H194" s="429"/>
      <c r="I194" s="429"/>
      <c r="J194" s="429"/>
      <c r="K194" s="429"/>
      <c r="L194" s="429"/>
      <c r="M194" s="429"/>
      <c r="N194" s="429"/>
      <c r="O194" s="429"/>
      <c r="P194" s="429"/>
      <c r="Q194" s="429"/>
      <c r="R194" s="429"/>
      <c r="S194" s="429"/>
      <c r="T194" s="429"/>
      <c r="U194" s="429"/>
      <c r="V194" s="429"/>
      <c r="W194" s="430"/>
      <c r="X194" s="431">
        <f t="shared" si="10"/>
        <v>0</v>
      </c>
      <c r="Y194" s="431">
        <f>AN_TME22[[#This Row],[TOTAL Non-Truncated Unadjusted Claims Expenses]]-AN_TME22[[#This Row],[Total Claims Excluded because of Truncation]]</f>
        <v>0</v>
      </c>
      <c r="Z194" s="431">
        <f t="shared" si="11"/>
        <v>0</v>
      </c>
      <c r="AA194" s="431">
        <f>AN_TME22[[#This Row],[TOTAL Non-Truncated Unadjusted Claims Expenses]]+AN_TME22[[#This Row],[TOTAL Non-Claims Expenses]]</f>
        <v>0</v>
      </c>
      <c r="AB194" s="431">
        <f>AN_TME22[[#This Row],[TOTAL Truncated Unadjusted Claims Expenses (A21 -A19)]]+AN_TME22[[#This Row],[TOTAL Non-Claims Expenses]]</f>
        <v>0</v>
      </c>
      <c r="AC194" s="475">
        <f>IFERROR(AN_TME22[[#This Row],[TOTAL Non-Truncated Unadjusted Expenses (A21 + A23)]]/AN_TME22[[#This Row],[Member Months]],0)</f>
        <v>0</v>
      </c>
      <c r="AD194" s="475">
        <f>IFERROR(AN_TME22[[#This Row],[TOTAL Truncated Unadjusted Expenses (A22 + A23)]]/AN_TME22[[#This Row],[Member Months]],0)</f>
        <v>0</v>
      </c>
      <c r="AE194" s="475">
        <f>IFERROR(AN_TME22[[#This Row],[Total Claims Excluded because of Truncation]]/AN_TME22[[#This Row],[Count of Members with Claims Truncated]], 0)</f>
        <v>0</v>
      </c>
      <c r="AF194" s="476">
        <f>IFERROR(AN_TME22[[#This Row],[Total Claims Excluded because of Truncation]]/AN_TME22[[#This Row],[TOTAL Non-Truncated Unadjusted Claims Expenses]], 0)</f>
        <v>0</v>
      </c>
    </row>
    <row r="195" spans="1:32" x14ac:dyDescent="0.25">
      <c r="A195" s="420"/>
      <c r="B195" s="421"/>
      <c r="C195" s="421"/>
      <c r="D195" s="422"/>
      <c r="E195" s="517"/>
      <c r="F195" s="423"/>
      <c r="G195" s="423"/>
      <c r="H195" s="423"/>
      <c r="I195" s="423"/>
      <c r="J195" s="423"/>
      <c r="K195" s="423"/>
      <c r="L195" s="423"/>
      <c r="M195" s="423"/>
      <c r="N195" s="423"/>
      <c r="O195" s="423"/>
      <c r="P195" s="423"/>
      <c r="Q195" s="423"/>
      <c r="R195" s="423"/>
      <c r="S195" s="423"/>
      <c r="T195" s="423"/>
      <c r="U195" s="423"/>
      <c r="V195" s="423"/>
      <c r="W195" s="424"/>
      <c r="X195" s="425">
        <f t="shared" si="10"/>
        <v>0</v>
      </c>
      <c r="Y195" s="472">
        <f>AN_TME22[[#This Row],[TOTAL Non-Truncated Unadjusted Claims Expenses]]-AN_TME22[[#This Row],[Total Claims Excluded because of Truncation]]</f>
        <v>0</v>
      </c>
      <c r="Z195" s="425">
        <f t="shared" si="11"/>
        <v>0</v>
      </c>
      <c r="AA195" s="472">
        <f>AN_TME22[[#This Row],[TOTAL Non-Truncated Unadjusted Claims Expenses]]+AN_TME22[[#This Row],[TOTAL Non-Claims Expenses]]</f>
        <v>0</v>
      </c>
      <c r="AB195" s="472">
        <f>AN_TME22[[#This Row],[TOTAL Truncated Unadjusted Claims Expenses (A21 -A19)]]+AN_TME22[[#This Row],[TOTAL Non-Claims Expenses]]</f>
        <v>0</v>
      </c>
      <c r="AC195" s="474">
        <f>IFERROR(AN_TME22[[#This Row],[TOTAL Non-Truncated Unadjusted Expenses (A21 + A23)]]/AN_TME22[[#This Row],[Member Months]],0)</f>
        <v>0</v>
      </c>
      <c r="AD195" s="474">
        <f>IFERROR(AN_TME22[[#This Row],[TOTAL Truncated Unadjusted Expenses (A22 + A23)]]/AN_TME22[[#This Row],[Member Months]],0)</f>
        <v>0</v>
      </c>
      <c r="AE195" s="474">
        <f>IFERROR(AN_TME22[[#This Row],[Total Claims Excluded because of Truncation]]/AN_TME22[[#This Row],[Count of Members with Claims Truncated]], 0)</f>
        <v>0</v>
      </c>
      <c r="AF195" s="476">
        <f>IFERROR(AN_TME22[[#This Row],[Total Claims Excluded because of Truncation]]/AN_TME22[[#This Row],[TOTAL Non-Truncated Unadjusted Claims Expenses]], 0)</f>
        <v>0</v>
      </c>
    </row>
    <row r="196" spans="1:32" x14ac:dyDescent="0.25">
      <c r="A196" s="426"/>
      <c r="B196" s="427"/>
      <c r="C196" s="427"/>
      <c r="D196" s="428"/>
      <c r="E196" s="517"/>
      <c r="F196" s="429"/>
      <c r="G196" s="429"/>
      <c r="H196" s="429"/>
      <c r="I196" s="429"/>
      <c r="J196" s="429"/>
      <c r="K196" s="429"/>
      <c r="L196" s="429"/>
      <c r="M196" s="429"/>
      <c r="N196" s="429"/>
      <c r="O196" s="429"/>
      <c r="P196" s="429"/>
      <c r="Q196" s="429"/>
      <c r="R196" s="429"/>
      <c r="S196" s="429"/>
      <c r="T196" s="429"/>
      <c r="U196" s="429"/>
      <c r="V196" s="429"/>
      <c r="W196" s="430"/>
      <c r="X196" s="431">
        <f t="shared" si="10"/>
        <v>0</v>
      </c>
      <c r="Y196" s="431">
        <f>AN_TME22[[#This Row],[TOTAL Non-Truncated Unadjusted Claims Expenses]]-AN_TME22[[#This Row],[Total Claims Excluded because of Truncation]]</f>
        <v>0</v>
      </c>
      <c r="Z196" s="431">
        <f t="shared" si="11"/>
        <v>0</v>
      </c>
      <c r="AA196" s="431">
        <f>AN_TME22[[#This Row],[TOTAL Non-Truncated Unadjusted Claims Expenses]]+AN_TME22[[#This Row],[TOTAL Non-Claims Expenses]]</f>
        <v>0</v>
      </c>
      <c r="AB196" s="431">
        <f>AN_TME22[[#This Row],[TOTAL Truncated Unadjusted Claims Expenses (A21 -A19)]]+AN_TME22[[#This Row],[TOTAL Non-Claims Expenses]]</f>
        <v>0</v>
      </c>
      <c r="AC196" s="475">
        <f>IFERROR(AN_TME22[[#This Row],[TOTAL Non-Truncated Unadjusted Expenses (A21 + A23)]]/AN_TME22[[#This Row],[Member Months]],0)</f>
        <v>0</v>
      </c>
      <c r="AD196" s="475">
        <f>IFERROR(AN_TME22[[#This Row],[TOTAL Truncated Unadjusted Expenses (A22 + A23)]]/AN_TME22[[#This Row],[Member Months]],0)</f>
        <v>0</v>
      </c>
      <c r="AE196" s="475">
        <f>IFERROR(AN_TME22[[#This Row],[Total Claims Excluded because of Truncation]]/AN_TME22[[#This Row],[Count of Members with Claims Truncated]], 0)</f>
        <v>0</v>
      </c>
      <c r="AF196" s="476">
        <f>IFERROR(AN_TME22[[#This Row],[Total Claims Excluded because of Truncation]]/AN_TME22[[#This Row],[TOTAL Non-Truncated Unadjusted Claims Expenses]], 0)</f>
        <v>0</v>
      </c>
    </row>
    <row r="197" spans="1:32" x14ac:dyDescent="0.25">
      <c r="A197" s="420"/>
      <c r="B197" s="421"/>
      <c r="C197" s="421"/>
      <c r="D197" s="422"/>
      <c r="E197" s="517"/>
      <c r="F197" s="423"/>
      <c r="G197" s="423"/>
      <c r="H197" s="423"/>
      <c r="I197" s="423"/>
      <c r="J197" s="423"/>
      <c r="K197" s="423"/>
      <c r="L197" s="423"/>
      <c r="M197" s="423"/>
      <c r="N197" s="423"/>
      <c r="O197" s="423"/>
      <c r="P197" s="423"/>
      <c r="Q197" s="423"/>
      <c r="R197" s="423"/>
      <c r="S197" s="423"/>
      <c r="T197" s="423"/>
      <c r="U197" s="423"/>
      <c r="V197" s="423"/>
      <c r="W197" s="424"/>
      <c r="X197" s="425">
        <f t="shared" si="10"/>
        <v>0</v>
      </c>
      <c r="Y197" s="472">
        <f>AN_TME22[[#This Row],[TOTAL Non-Truncated Unadjusted Claims Expenses]]-AN_TME22[[#This Row],[Total Claims Excluded because of Truncation]]</f>
        <v>0</v>
      </c>
      <c r="Z197" s="425">
        <f t="shared" si="11"/>
        <v>0</v>
      </c>
      <c r="AA197" s="472">
        <f>AN_TME22[[#This Row],[TOTAL Non-Truncated Unadjusted Claims Expenses]]+AN_TME22[[#This Row],[TOTAL Non-Claims Expenses]]</f>
        <v>0</v>
      </c>
      <c r="AB197" s="472">
        <f>AN_TME22[[#This Row],[TOTAL Truncated Unadjusted Claims Expenses (A21 -A19)]]+AN_TME22[[#This Row],[TOTAL Non-Claims Expenses]]</f>
        <v>0</v>
      </c>
      <c r="AC197" s="474">
        <f>IFERROR(AN_TME22[[#This Row],[TOTAL Non-Truncated Unadjusted Expenses (A21 + A23)]]/AN_TME22[[#This Row],[Member Months]],0)</f>
        <v>0</v>
      </c>
      <c r="AD197" s="474">
        <f>IFERROR(AN_TME22[[#This Row],[TOTAL Truncated Unadjusted Expenses (A22 + A23)]]/AN_TME22[[#This Row],[Member Months]],0)</f>
        <v>0</v>
      </c>
      <c r="AE197" s="474">
        <f>IFERROR(AN_TME22[[#This Row],[Total Claims Excluded because of Truncation]]/AN_TME22[[#This Row],[Count of Members with Claims Truncated]], 0)</f>
        <v>0</v>
      </c>
      <c r="AF197" s="476">
        <f>IFERROR(AN_TME22[[#This Row],[Total Claims Excluded because of Truncation]]/AN_TME22[[#This Row],[TOTAL Non-Truncated Unadjusted Claims Expenses]], 0)</f>
        <v>0</v>
      </c>
    </row>
    <row r="198" spans="1:32" x14ac:dyDescent="0.25">
      <c r="A198" s="426"/>
      <c r="B198" s="427"/>
      <c r="C198" s="427"/>
      <c r="D198" s="428"/>
      <c r="E198" s="517"/>
      <c r="F198" s="429"/>
      <c r="G198" s="429"/>
      <c r="H198" s="429"/>
      <c r="I198" s="429"/>
      <c r="J198" s="429"/>
      <c r="K198" s="429"/>
      <c r="L198" s="429"/>
      <c r="M198" s="429"/>
      <c r="N198" s="429"/>
      <c r="O198" s="429"/>
      <c r="P198" s="429"/>
      <c r="Q198" s="429"/>
      <c r="R198" s="429"/>
      <c r="S198" s="429"/>
      <c r="T198" s="429"/>
      <c r="U198" s="429"/>
      <c r="V198" s="429"/>
      <c r="W198" s="430"/>
      <c r="X198" s="431">
        <f t="shared" si="10"/>
        <v>0</v>
      </c>
      <c r="Y198" s="431">
        <f>AN_TME22[[#This Row],[TOTAL Non-Truncated Unadjusted Claims Expenses]]-AN_TME22[[#This Row],[Total Claims Excluded because of Truncation]]</f>
        <v>0</v>
      </c>
      <c r="Z198" s="431">
        <f t="shared" si="11"/>
        <v>0</v>
      </c>
      <c r="AA198" s="431">
        <f>AN_TME22[[#This Row],[TOTAL Non-Truncated Unadjusted Claims Expenses]]+AN_TME22[[#This Row],[TOTAL Non-Claims Expenses]]</f>
        <v>0</v>
      </c>
      <c r="AB198" s="431">
        <f>AN_TME22[[#This Row],[TOTAL Truncated Unadjusted Claims Expenses (A21 -A19)]]+AN_TME22[[#This Row],[TOTAL Non-Claims Expenses]]</f>
        <v>0</v>
      </c>
      <c r="AC198" s="475">
        <f>IFERROR(AN_TME22[[#This Row],[TOTAL Non-Truncated Unadjusted Expenses (A21 + A23)]]/AN_TME22[[#This Row],[Member Months]],0)</f>
        <v>0</v>
      </c>
      <c r="AD198" s="475">
        <f>IFERROR(AN_TME22[[#This Row],[TOTAL Truncated Unadjusted Expenses (A22 + A23)]]/AN_TME22[[#This Row],[Member Months]],0)</f>
        <v>0</v>
      </c>
      <c r="AE198" s="475">
        <f>IFERROR(AN_TME22[[#This Row],[Total Claims Excluded because of Truncation]]/AN_TME22[[#This Row],[Count of Members with Claims Truncated]], 0)</f>
        <v>0</v>
      </c>
      <c r="AF198" s="476">
        <f>IFERROR(AN_TME22[[#This Row],[Total Claims Excluded because of Truncation]]/AN_TME22[[#This Row],[TOTAL Non-Truncated Unadjusted Claims Expenses]], 0)</f>
        <v>0</v>
      </c>
    </row>
    <row r="199" spans="1:32" x14ac:dyDescent="0.25">
      <c r="A199" s="420"/>
      <c r="B199" s="421"/>
      <c r="C199" s="421"/>
      <c r="D199" s="422"/>
      <c r="E199" s="517"/>
      <c r="F199" s="423"/>
      <c r="G199" s="423"/>
      <c r="H199" s="423"/>
      <c r="I199" s="423"/>
      <c r="J199" s="423"/>
      <c r="K199" s="423"/>
      <c r="L199" s="423"/>
      <c r="M199" s="423"/>
      <c r="N199" s="423"/>
      <c r="O199" s="423"/>
      <c r="P199" s="423"/>
      <c r="Q199" s="423"/>
      <c r="R199" s="423"/>
      <c r="S199" s="423"/>
      <c r="T199" s="423"/>
      <c r="U199" s="423"/>
      <c r="V199" s="423"/>
      <c r="W199" s="424"/>
      <c r="X199" s="425">
        <f t="shared" si="10"/>
        <v>0</v>
      </c>
      <c r="Y199" s="472">
        <f>AN_TME22[[#This Row],[TOTAL Non-Truncated Unadjusted Claims Expenses]]-AN_TME22[[#This Row],[Total Claims Excluded because of Truncation]]</f>
        <v>0</v>
      </c>
      <c r="Z199" s="425">
        <f t="shared" si="11"/>
        <v>0</v>
      </c>
      <c r="AA199" s="472">
        <f>AN_TME22[[#This Row],[TOTAL Non-Truncated Unadjusted Claims Expenses]]+AN_TME22[[#This Row],[TOTAL Non-Claims Expenses]]</f>
        <v>0</v>
      </c>
      <c r="AB199" s="472">
        <f>AN_TME22[[#This Row],[TOTAL Truncated Unadjusted Claims Expenses (A21 -A19)]]+AN_TME22[[#This Row],[TOTAL Non-Claims Expenses]]</f>
        <v>0</v>
      </c>
      <c r="AC199" s="474">
        <f>IFERROR(AN_TME22[[#This Row],[TOTAL Non-Truncated Unadjusted Expenses (A21 + A23)]]/AN_TME22[[#This Row],[Member Months]],0)</f>
        <v>0</v>
      </c>
      <c r="AD199" s="474">
        <f>IFERROR(AN_TME22[[#This Row],[TOTAL Truncated Unadjusted Expenses (A22 + A23)]]/AN_TME22[[#This Row],[Member Months]],0)</f>
        <v>0</v>
      </c>
      <c r="AE199" s="474">
        <f>IFERROR(AN_TME22[[#This Row],[Total Claims Excluded because of Truncation]]/AN_TME22[[#This Row],[Count of Members with Claims Truncated]], 0)</f>
        <v>0</v>
      </c>
      <c r="AF199" s="476">
        <f>IFERROR(AN_TME22[[#This Row],[Total Claims Excluded because of Truncation]]/AN_TME22[[#This Row],[TOTAL Non-Truncated Unadjusted Claims Expenses]], 0)</f>
        <v>0</v>
      </c>
    </row>
    <row r="200" spans="1:32" x14ac:dyDescent="0.25">
      <c r="A200" s="426"/>
      <c r="B200" s="427"/>
      <c r="C200" s="427"/>
      <c r="D200" s="428"/>
      <c r="E200" s="517"/>
      <c r="F200" s="429"/>
      <c r="G200" s="429"/>
      <c r="H200" s="429"/>
      <c r="I200" s="429"/>
      <c r="J200" s="429"/>
      <c r="K200" s="429"/>
      <c r="L200" s="429"/>
      <c r="M200" s="429"/>
      <c r="N200" s="429"/>
      <c r="O200" s="429"/>
      <c r="P200" s="429"/>
      <c r="Q200" s="429"/>
      <c r="R200" s="429"/>
      <c r="S200" s="429"/>
      <c r="T200" s="429"/>
      <c r="U200" s="429"/>
      <c r="V200" s="429"/>
      <c r="W200" s="430"/>
      <c r="X200" s="431">
        <f t="shared" si="10"/>
        <v>0</v>
      </c>
      <c r="Y200" s="431">
        <f>AN_TME22[[#This Row],[TOTAL Non-Truncated Unadjusted Claims Expenses]]-AN_TME22[[#This Row],[Total Claims Excluded because of Truncation]]</f>
        <v>0</v>
      </c>
      <c r="Z200" s="431">
        <f t="shared" si="11"/>
        <v>0</v>
      </c>
      <c r="AA200" s="431">
        <f>AN_TME22[[#This Row],[TOTAL Non-Truncated Unadjusted Claims Expenses]]+AN_TME22[[#This Row],[TOTAL Non-Claims Expenses]]</f>
        <v>0</v>
      </c>
      <c r="AB200" s="431">
        <f>AN_TME22[[#This Row],[TOTAL Truncated Unadjusted Claims Expenses (A21 -A19)]]+AN_TME22[[#This Row],[TOTAL Non-Claims Expenses]]</f>
        <v>0</v>
      </c>
      <c r="AC200" s="475">
        <f>IFERROR(AN_TME22[[#This Row],[TOTAL Non-Truncated Unadjusted Expenses (A21 + A23)]]/AN_TME22[[#This Row],[Member Months]],0)</f>
        <v>0</v>
      </c>
      <c r="AD200" s="475">
        <f>IFERROR(AN_TME22[[#This Row],[TOTAL Truncated Unadjusted Expenses (A22 + A23)]]/AN_TME22[[#This Row],[Member Months]],0)</f>
        <v>0</v>
      </c>
      <c r="AE200" s="475">
        <f>IFERROR(AN_TME22[[#This Row],[Total Claims Excluded because of Truncation]]/AN_TME22[[#This Row],[Count of Members with Claims Truncated]], 0)</f>
        <v>0</v>
      </c>
      <c r="AF200" s="476">
        <f>IFERROR(AN_TME22[[#This Row],[Total Claims Excluded because of Truncation]]/AN_TME22[[#This Row],[TOTAL Non-Truncated Unadjusted Claims Expenses]], 0)</f>
        <v>0</v>
      </c>
    </row>
  </sheetData>
  <sheetProtection algorithmName="SHA-512" hashValue="q2p7OMzjSynD86g/i/xLFsR/GIj9bv4g7tgcCKCXYNH/FipmjBxB2uyBMpgVkxy4Is3MWhh69CpxKA1RcBNRlg==" saltValue="cfBrKDpF35nTQaKw80eVhA==" spinCount="100000" sheet="1" insertRows="0"/>
  <protectedRanges>
    <protectedRange sqref="A11:D200 F11:AF200" name="Range1"/>
    <protectedRange sqref="E11:E47" name="Range1_2"/>
  </protectedRanges>
  <dataConsolidate/>
  <mergeCells count="6">
    <mergeCell ref="F2:G2"/>
    <mergeCell ref="F3:G6"/>
    <mergeCell ref="I3:J6"/>
    <mergeCell ref="I2:J2"/>
    <mergeCell ref="L2:M2"/>
    <mergeCell ref="L3:M6"/>
  </mergeCells>
  <conditionalFormatting sqref="F3:G6">
    <cfRule type="containsText" dxfId="153" priority="7" operator="containsText" text="Good">
      <formula>NOT(ISERROR(SEARCH("Good",F3)))</formula>
    </cfRule>
    <cfRule type="notContainsText" dxfId="152" priority="8" operator="notContains" text="Good">
      <formula>ISERROR(SEARCH("Good",F3))</formula>
    </cfRule>
  </conditionalFormatting>
  <conditionalFormatting sqref="I3:J6">
    <cfRule type="containsText" dxfId="151" priority="5" operator="containsText" text="Good">
      <formula>NOT(ISERROR(SEARCH("Good",I3)))</formula>
    </cfRule>
    <cfRule type="notContainsText" dxfId="150" priority="6" operator="notContains" text="Good">
      <formula>ISERROR(SEARCH("Good",I3))</formula>
    </cfRule>
  </conditionalFormatting>
  <conditionalFormatting sqref="L3">
    <cfRule type="notContainsText" dxfId="149" priority="3" operator="notContains" text="Good">
      <formula>ISERROR(SEARCH("Good",L3))</formula>
    </cfRule>
    <cfRule type="containsText" dxfId="148" priority="4" operator="containsText" text="Good">
      <formula>NOT(ISERROR(SEARCH("Good",L3)))</formula>
    </cfRule>
  </conditionalFormatting>
  <conditionalFormatting sqref="AF11:AF200">
    <cfRule type="cellIs" dxfId="147" priority="1" operator="greaterThan">
      <formula>0.1</formula>
    </cfRule>
  </conditionalFormatting>
  <dataValidations count="9">
    <dataValidation type="decimal" operator="greaterThanOrEqual" allowBlank="1" showInputMessage="1" showErrorMessage="1" error="See Definitions tab._x000a_No negative values." prompt="See Definitions tab._x000a_No negative values._x000a_" sqref="G11:P13 E11:F200 G73:P75" xr:uid="{CE5FA42D-2564-41C1-88DB-2E37FB147170}">
      <formula1>0</formula1>
    </dataValidation>
    <dataValidation type="decimal" operator="greaterThanOrEqual" allowBlank="1" showInputMessage="1" showErrorMessage="1" error="See Definitions tab._x000a_No negative values." prompt="See Definitions tab._x000a_No negative values." sqref="Q11:R47 J14:P47 G14:G72 J48:R72 Q73:R109 J76:P109 G76:G200 J110:R200 U11:W200" xr:uid="{5DBB5374-E51F-452C-9E22-1E689A29436D}">
      <formula1>0</formula1>
    </dataValidation>
    <dataValidation type="decimal" operator="greaterThan" allowBlank="1" showInputMessage="1" showErrorMessage="1" error="See Definitions tab._x000a_No negative values." prompt="See Definitions tab._x000a_No negative values." sqref="H14:I72 H76:I200" xr:uid="{D90106C5-2905-4E86-A914-68C7210DBE6F}">
      <formula1>0</formula1>
    </dataValidation>
    <dataValidation type="decimal" operator="lessThanOrEqual" allowBlank="1" showInputMessage="1" showErrorMessage="1" error="See Definitions tab._x000a_Report as a negative number." prompt="See Definitions tab._x000a_Report as a negative number." sqref="S11:S200" xr:uid="{3254DB61-AB97-4501-924F-69C59AE7FBB2}">
      <formula1>0</formula1>
    </dataValidation>
    <dataValidation type="textLength" operator="equal" allowBlank="1" showInputMessage="1" showErrorMessage="1" error="Please input the insurance category being reported." prompt="Insurance Category Codes:_x000a_1 = Medicare Managed Care_x000a_2 = Medicaid and Medicaid MCOs_x000a_3 = Commerical: Full-Claims_x000a_4 = Commercial: Partial-Claims_x000a_5 = Medicare Expenditures for Duals_x000a_6 = Medicaid Expenditures for Duals_x000a_7 = Other" sqref="B11:B200" xr:uid="{5E63E75D-3027-4387-8C9C-70C9566429E7}">
      <formula1>1</formula1>
    </dataValidation>
    <dataValidation type="whole" allowBlank="1" showInputMessage="1" showErrorMessage="1" error="Please input the OHS-assigned organizational ID of the Advanced Network or the Carrier Overall ID (100). " prompt="If inputting Advanced Network-level TME, please input the OHS-assigned organizational ID of the Advanced Network._x000a_If inputting insurance carrier-level TME, please input the Carrier Overall ID (100)." sqref="A11:A200" xr:uid="{3E6E1DAA-909D-4570-994C-DC02ED3CDFD0}">
      <formula1>100</formula1>
      <formula2>999</formula2>
    </dataValidation>
    <dataValidation type="decimal" operator="greaterThan" allowBlank="1" showInputMessage="1" showErrorMessage="1" error="The number of unique members participating in a plan each month with a medical benefit, regardless of whether the member has any paid claims." prompt="The number of unique members participating in a plan each month with a medical benefit, regardless of whether the member has any paid claims." sqref="D11:D200" xr:uid="{7296F7A3-999E-44E4-B5DF-09726CC4D42C}">
      <formula1>0</formula1>
    </dataValidation>
    <dataValidation allowBlank="1" showInputMessage="1" showErrorMessage="1" prompt="See Definitions tab." sqref="T11:T200" xr:uid="{E4A9F392-6A33-425A-BD4F-A3AB86AF8CB4}"/>
    <dataValidation type="textLength" operator="equal" allowBlank="1" showInputMessage="1" showErrorMessage="1" error="Please input the insurance category being reported." prompt="Hierarchy Field Codes:_x000a_1 = Member Selection_x000a_2 = Contract Arrangement_x000a_3 = Utilization_x000a_4 = Unattributed Member Months_x000a_5 = Payer Overall" sqref="C11:C200" xr:uid="{20456344-A29F-47CE-B031-BD5F4E029A8F}">
      <formula1>1</formula1>
    </dataValidation>
  </dataValidations>
  <hyperlinks>
    <hyperlink ref="F2:G2" location="'Data Validation'!B4:B20" display="Check for Member Months" xr:uid="{A5FD6FED-01C7-4A99-800E-8C68A7D15AAE}"/>
    <hyperlink ref="I2:J2" location="'Data Validation'!B4:B20" display="Check for Truncated and Non-Truncated Spending" xr:uid="{117A8D0D-5BC8-4C7B-8D03-BC80442C13C3}"/>
    <hyperlink ref="L2:M2" location="'Advanced Network - 2021'!AD10:AE10" display="Check for Average Truncated Claims Per Member" xr:uid="{9E89857B-90B9-4A47-A2CB-72F56A02AE5A}"/>
  </hyperlinks>
  <pageMargins left="0.7" right="0.7" top="0.75" bottom="0.75" header="0.3" footer="0.3"/>
  <pageSetup orientation="portrait" r:id="rId1"/>
  <drawing r:id="rId2"/>
  <tableParts count="1">
    <tablePart r:id="rId3"/>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5E6DAE-E6A3-475A-B7D1-AC798C71CA00}">
  <sheetPr codeName="Sheet9">
    <tabColor theme="3"/>
  </sheetPr>
  <dimension ref="A1:AF200"/>
  <sheetViews>
    <sheetView topLeftCell="B1" zoomScaleNormal="100" workbookViewId="0">
      <selection activeCell="F15" sqref="F15"/>
    </sheetView>
  </sheetViews>
  <sheetFormatPr defaultColWidth="9.140625" defaultRowHeight="15" x14ac:dyDescent="0.25"/>
  <cols>
    <col min="1" max="1" width="25.5703125" customWidth="1"/>
    <col min="2" max="7" width="16.5703125" customWidth="1"/>
    <col min="8" max="8" width="22.5703125" customWidth="1"/>
    <col min="9" max="13" width="16.5703125" customWidth="1"/>
    <col min="14" max="14" width="34.140625" customWidth="1"/>
    <col min="15" max="16" width="25.5703125" customWidth="1"/>
    <col min="17" max="27" width="16.5703125" customWidth="1"/>
    <col min="28" max="29" width="20.5703125" customWidth="1"/>
    <col min="30" max="30" width="18.5703125" customWidth="1"/>
    <col min="31" max="31" width="21.140625" customWidth="1"/>
    <col min="32" max="32" width="20.42578125" customWidth="1"/>
  </cols>
  <sheetData>
    <row r="1" spans="1:32" x14ac:dyDescent="0.25">
      <c r="A1" s="1" t="s">
        <v>160</v>
      </c>
    </row>
    <row r="2" spans="1:32" ht="33.6" customHeight="1" x14ac:dyDescent="0.25">
      <c r="A2" s="1" t="s">
        <v>424</v>
      </c>
      <c r="F2" s="530" t="s">
        <v>221</v>
      </c>
      <c r="G2" s="530"/>
      <c r="I2" s="530" t="s">
        <v>178</v>
      </c>
      <c r="J2" s="530"/>
      <c r="L2" s="530" t="s">
        <v>179</v>
      </c>
      <c r="M2" s="530"/>
    </row>
    <row r="3" spans="1:32" x14ac:dyDescent="0.25">
      <c r="F3" s="529" t="str">
        <f>IF(AND(A11&lt;&gt;"", 'Data Validation'!D5&gt;0),"STOP - MISALIGNMENT IN MEMBER MONTHS FOR 2023 - CHECK DATA VALIDATION TAB.", "Good")</f>
        <v>Good</v>
      </c>
      <c r="G3" s="529"/>
      <c r="I3" s="529" t="str">
        <f>IF(AND(A11&lt;&gt;"", OR('Data Validation'!C12&gt;0,'Data Validation'!D13&gt;0,'Data Validation'!E13&gt;0,'Data Validation'!F13&gt;0,'Data Validation'!G13&gt;0,'Data Validation'!H13&gt;0)), "STOP - MISALIGNMENT OF TRUNCATED OR NON-TRUNCATED SPENDING WITH AGE/SEX TAB FOR 2023. CHECK DATA VALIDATION TAB)", "Good")</f>
        <v>Good</v>
      </c>
      <c r="J3" s="529"/>
      <c r="L3" s="529" t="str">
        <f>IF(COUNTIF(AN_TME23[[#All],[Average Claims Truncated Per Member]], "&gt;250000")+COUNTIF(AN_TME23[[#All],[Total Claims Excluded (A19)/Total Non-Truncated Claims Expenses (A21)]], "&gt;10%")&gt;0, "STOP - see highlighted cells in A28 or A29", "Good")</f>
        <v>Good</v>
      </c>
      <c r="M3" s="529"/>
    </row>
    <row r="4" spans="1:32" x14ac:dyDescent="0.25">
      <c r="A4" t="s">
        <v>161</v>
      </c>
      <c r="F4" s="529"/>
      <c r="G4" s="529"/>
      <c r="I4" s="529"/>
      <c r="J4" s="529"/>
      <c r="L4" s="529"/>
      <c r="M4" s="529"/>
    </row>
    <row r="5" spans="1:32" x14ac:dyDescent="0.25">
      <c r="A5" s="176" t="s">
        <v>180</v>
      </c>
      <c r="F5" s="529"/>
      <c r="G5" s="529"/>
      <c r="I5" s="529"/>
      <c r="J5" s="529"/>
      <c r="L5" s="529"/>
      <c r="M5" s="529"/>
    </row>
    <row r="6" spans="1:32" x14ac:dyDescent="0.25">
      <c r="F6" s="529"/>
      <c r="G6" s="529"/>
      <c r="I6" s="529"/>
      <c r="J6" s="529"/>
      <c r="L6" s="529"/>
      <c r="M6" s="529"/>
    </row>
    <row r="9" spans="1:32" x14ac:dyDescent="0.25">
      <c r="D9" s="4" t="s">
        <v>181</v>
      </c>
      <c r="E9" s="4" t="s">
        <v>182</v>
      </c>
      <c r="F9" s="4" t="s">
        <v>183</v>
      </c>
      <c r="G9" s="4" t="s">
        <v>184</v>
      </c>
      <c r="H9" s="4" t="s">
        <v>185</v>
      </c>
      <c r="I9" s="4" t="s">
        <v>186</v>
      </c>
      <c r="J9" s="4" t="s">
        <v>187</v>
      </c>
      <c r="K9" s="4" t="s">
        <v>188</v>
      </c>
      <c r="L9" s="4" t="s">
        <v>189</v>
      </c>
      <c r="M9" s="4" t="s">
        <v>190</v>
      </c>
      <c r="N9" s="4" t="s">
        <v>191</v>
      </c>
      <c r="O9" s="4" t="s">
        <v>192</v>
      </c>
      <c r="P9" s="4" t="s">
        <v>193</v>
      </c>
      <c r="Q9" s="4" t="s">
        <v>194</v>
      </c>
      <c r="R9" s="4" t="s">
        <v>195</v>
      </c>
      <c r="S9" s="4" t="s">
        <v>196</v>
      </c>
      <c r="T9" s="4" t="s">
        <v>197</v>
      </c>
      <c r="U9" s="4" t="s">
        <v>198</v>
      </c>
      <c r="V9" s="4" t="s">
        <v>199</v>
      </c>
      <c r="W9" s="177" t="s">
        <v>200</v>
      </c>
      <c r="X9" s="4" t="s">
        <v>201</v>
      </c>
      <c r="Y9" s="4" t="s">
        <v>202</v>
      </c>
      <c r="Z9" s="177" t="s">
        <v>203</v>
      </c>
      <c r="AA9" s="177" t="s">
        <v>204</v>
      </c>
      <c r="AB9" s="4" t="s">
        <v>205</v>
      </c>
      <c r="AC9" s="4" t="s">
        <v>206</v>
      </c>
      <c r="AD9" s="4" t="s">
        <v>207</v>
      </c>
      <c r="AE9" s="4" t="s">
        <v>208</v>
      </c>
      <c r="AF9" s="4" t="s">
        <v>209</v>
      </c>
    </row>
    <row r="10" spans="1:32" ht="105" x14ac:dyDescent="0.25">
      <c r="A10" s="432" t="s">
        <v>210</v>
      </c>
      <c r="B10" s="433" t="s">
        <v>61</v>
      </c>
      <c r="C10" s="433" t="s">
        <v>469</v>
      </c>
      <c r="D10" s="433" t="s">
        <v>211</v>
      </c>
      <c r="E10" s="433" t="s">
        <v>100</v>
      </c>
      <c r="F10" s="433" t="s">
        <v>102</v>
      </c>
      <c r="G10" s="433" t="s">
        <v>104</v>
      </c>
      <c r="H10" s="433" t="s">
        <v>106</v>
      </c>
      <c r="I10" s="433" t="s">
        <v>107</v>
      </c>
      <c r="J10" s="433" t="s">
        <v>108</v>
      </c>
      <c r="K10" s="433" t="s">
        <v>109</v>
      </c>
      <c r="L10" s="433" t="s">
        <v>111</v>
      </c>
      <c r="M10" s="433" t="s">
        <v>113</v>
      </c>
      <c r="N10" s="433" t="s">
        <v>115</v>
      </c>
      <c r="O10" s="433" t="s">
        <v>116</v>
      </c>
      <c r="P10" s="433" t="s">
        <v>118</v>
      </c>
      <c r="Q10" s="433" t="s">
        <v>120</v>
      </c>
      <c r="R10" s="433" t="s">
        <v>122</v>
      </c>
      <c r="S10" s="433" t="s">
        <v>124</v>
      </c>
      <c r="T10" s="433" t="s">
        <v>126</v>
      </c>
      <c r="U10" s="433" t="s">
        <v>128</v>
      </c>
      <c r="V10" s="433" t="s">
        <v>130</v>
      </c>
      <c r="W10" s="433" t="s">
        <v>132</v>
      </c>
      <c r="X10" s="437" t="s">
        <v>212</v>
      </c>
      <c r="Y10" s="437" t="s">
        <v>213</v>
      </c>
      <c r="Z10" s="437" t="s">
        <v>214</v>
      </c>
      <c r="AA10" s="437" t="s">
        <v>215</v>
      </c>
      <c r="AB10" s="437" t="s">
        <v>489</v>
      </c>
      <c r="AC10" s="437" t="s">
        <v>216</v>
      </c>
      <c r="AD10" s="473" t="s">
        <v>217</v>
      </c>
      <c r="AE10" s="437" t="s">
        <v>218</v>
      </c>
      <c r="AF10" s="437" t="s">
        <v>219</v>
      </c>
    </row>
    <row r="11" spans="1:32" x14ac:dyDescent="0.25">
      <c r="A11" s="420"/>
      <c r="B11" s="421"/>
      <c r="C11" s="421"/>
      <c r="D11" s="422"/>
      <c r="E11" s="516"/>
      <c r="F11" s="423"/>
      <c r="G11" s="423"/>
      <c r="H11" s="423"/>
      <c r="I11" s="423"/>
      <c r="J11" s="423"/>
      <c r="K11" s="423"/>
      <c r="L11" s="423"/>
      <c r="M11" s="423"/>
      <c r="N11" s="423"/>
      <c r="O11" s="423"/>
      <c r="P11" s="423"/>
      <c r="Q11" s="423"/>
      <c r="R11" s="423"/>
      <c r="S11" s="423"/>
      <c r="T11" s="423"/>
      <c r="U11" s="423"/>
      <c r="V11" s="423"/>
      <c r="W11" s="435"/>
      <c r="X11" s="472">
        <f>SUM(F11:H11)+SUM(J11:N11)</f>
        <v>0</v>
      </c>
      <c r="Y11" s="472">
        <f>AN_TME23[[#This Row],[TOTAL Non-Truncated Unadjusted Claims Expenses]]-AN_TME23[[#This Row],[Total Claims Excluded because of Truncation]]</f>
        <v>0</v>
      </c>
      <c r="Z11" s="472">
        <f t="shared" ref="Z11:Z42" si="0">SUM(O11:T11)</f>
        <v>0</v>
      </c>
      <c r="AA11" s="472">
        <f>AN_TME23[[#This Row],[TOTAL Non-Truncated Unadjusted Claims Expenses]]+AN_TME23[[#This Row],[TOTAL Non-Claims Expenses]]</f>
        <v>0</v>
      </c>
      <c r="AB11" s="472">
        <f>AN_TME23[[#This Row],[TOTAL Truncated Unadjusted Claims Expenses (A21 -A19)]]+AN_TME23[[#This Row],[TOTAL Non-Claims Expenses]]</f>
        <v>0</v>
      </c>
      <c r="AC11" s="474">
        <f>IFERROR(AN_TME23[[#This Row],[TOTAL Non-Truncated Unadjusted Expenses (A21 + A23)]]/AN_TME23[[#This Row],[Member Months]],0)</f>
        <v>0</v>
      </c>
      <c r="AD11" s="474">
        <f>IFERROR(AN_TME23[[#This Row],[TOTAL Truncated Unadjusted Expenses (A22 + A23)]]/AN_TME23[[#This Row],[Member Months]],0)</f>
        <v>0</v>
      </c>
      <c r="AE11" s="271">
        <f>IFERROR(AN_TME23[[#This Row],[Total Claims Excluded because of Truncation]]/AN_TME23[[#This Row],[Count of Members with Claims Truncated]], 0)</f>
        <v>0</v>
      </c>
      <c r="AF11" s="477">
        <f>IFERROR(AN_TME23[[#This Row],[Total Claims Excluded because of Truncation]]/AN_TME23[[#This Row],[TOTAL Non-Truncated Unadjusted Claims Expenses]], 0)</f>
        <v>0</v>
      </c>
    </row>
    <row r="12" spans="1:32" x14ac:dyDescent="0.25">
      <c r="A12" s="426"/>
      <c r="B12" s="427"/>
      <c r="C12" s="427"/>
      <c r="D12" s="428"/>
      <c r="E12" s="516"/>
      <c r="F12" s="429"/>
      <c r="G12" s="429"/>
      <c r="H12" s="429"/>
      <c r="I12" s="429"/>
      <c r="J12" s="429"/>
      <c r="K12" s="429"/>
      <c r="L12" s="429"/>
      <c r="M12" s="429"/>
      <c r="N12" s="429"/>
      <c r="O12" s="429"/>
      <c r="P12" s="429"/>
      <c r="Q12" s="429"/>
      <c r="R12" s="429"/>
      <c r="S12" s="429"/>
      <c r="T12" s="429"/>
      <c r="U12" s="429"/>
      <c r="V12" s="429"/>
      <c r="W12" s="436"/>
      <c r="X12" s="431">
        <f t="shared" ref="X12:X42" si="1">SUM(F12:H12)+SUM(J12:N12)</f>
        <v>0</v>
      </c>
      <c r="Y12" s="431">
        <f>AN_TME23[[#This Row],[TOTAL Non-Truncated Unadjusted Claims Expenses]]-AN_TME23[[#This Row],[Total Claims Excluded because of Truncation]]</f>
        <v>0</v>
      </c>
      <c r="Z12" s="431">
        <f t="shared" si="0"/>
        <v>0</v>
      </c>
      <c r="AA12" s="431">
        <f>AN_TME23[[#This Row],[TOTAL Non-Truncated Unadjusted Claims Expenses]]+AN_TME23[[#This Row],[TOTAL Non-Claims Expenses]]</f>
        <v>0</v>
      </c>
      <c r="AB12" s="431">
        <f>AN_TME23[[#This Row],[TOTAL Truncated Unadjusted Claims Expenses (A21 -A19)]]+AN_TME23[[#This Row],[TOTAL Non-Claims Expenses]]</f>
        <v>0</v>
      </c>
      <c r="AC12" s="475">
        <f>IFERROR(AN_TME23[[#This Row],[TOTAL Non-Truncated Unadjusted Expenses (A21 + A23)]]/AN_TME23[[#This Row],[Member Months]],0)</f>
        <v>0</v>
      </c>
      <c r="AD12" s="475">
        <f>IFERROR(AN_TME23[[#This Row],[TOTAL Truncated Unadjusted Expenses (A22 + A23)]]/AN_TME23[[#This Row],[Member Months]],0)</f>
        <v>0</v>
      </c>
      <c r="AE12" s="441">
        <f>IFERROR(AN_TME23[[#This Row],[Total Claims Excluded because of Truncation]]/AN_TME23[[#This Row],[Count of Members with Claims Truncated]], 0)</f>
        <v>0</v>
      </c>
      <c r="AF12" s="476">
        <f>IFERROR(AN_TME23[[#This Row],[Total Claims Excluded because of Truncation]]/AN_TME23[[#This Row],[TOTAL Non-Truncated Unadjusted Claims Expenses]], 0)</f>
        <v>0</v>
      </c>
    </row>
    <row r="13" spans="1:32" x14ac:dyDescent="0.25">
      <c r="A13" s="420"/>
      <c r="B13" s="421"/>
      <c r="C13" s="421"/>
      <c r="D13" s="422"/>
      <c r="E13" s="517"/>
      <c r="F13" s="423"/>
      <c r="G13" s="423"/>
      <c r="H13" s="423"/>
      <c r="I13" s="423"/>
      <c r="J13" s="423"/>
      <c r="K13" s="423"/>
      <c r="L13" s="423"/>
      <c r="M13" s="423"/>
      <c r="N13" s="423"/>
      <c r="O13" s="423"/>
      <c r="P13" s="423"/>
      <c r="Q13" s="423"/>
      <c r="R13" s="423"/>
      <c r="S13" s="423"/>
      <c r="T13" s="423"/>
      <c r="U13" s="423"/>
      <c r="V13" s="423"/>
      <c r="W13" s="435"/>
      <c r="X13" s="425">
        <f t="shared" si="1"/>
        <v>0</v>
      </c>
      <c r="Y13" s="425">
        <f>AN_TME23[[#This Row],[TOTAL Non-Truncated Unadjusted Claims Expenses]]-AN_TME23[[#This Row],[Total Claims Excluded because of Truncation]]</f>
        <v>0</v>
      </c>
      <c r="Z13" s="425">
        <f t="shared" si="0"/>
        <v>0</v>
      </c>
      <c r="AA13" s="425">
        <f>AN_TME23[[#This Row],[TOTAL Non-Truncated Unadjusted Claims Expenses]]+AN_TME23[[#This Row],[TOTAL Non-Claims Expenses]]</f>
        <v>0</v>
      </c>
      <c r="AB13" s="425">
        <f>AN_TME23[[#This Row],[TOTAL Truncated Unadjusted Claims Expenses (A21 -A19)]]+AN_TME23[[#This Row],[TOTAL Non-Claims Expenses]]</f>
        <v>0</v>
      </c>
      <c r="AC13" s="474">
        <f>IFERROR(AN_TME23[[#This Row],[TOTAL Non-Truncated Unadjusted Expenses (A21 + A23)]]/AN_TME23[[#This Row],[Member Months]],0)</f>
        <v>0</v>
      </c>
      <c r="AD13" s="474">
        <f>IFERROR(AN_TME23[[#This Row],[TOTAL Truncated Unadjusted Expenses (A22 + A23)]]/AN_TME23[[#This Row],[Member Months]],0)</f>
        <v>0</v>
      </c>
      <c r="AE13" s="441">
        <f>IFERROR(AN_TME23[[#This Row],[Total Claims Excluded because of Truncation]]/AN_TME23[[#This Row],[Count of Members with Claims Truncated]], 0)</f>
        <v>0</v>
      </c>
      <c r="AF13" s="476">
        <f>IFERROR(AN_TME23[[#This Row],[Total Claims Excluded because of Truncation]]/AN_TME23[[#This Row],[TOTAL Non-Truncated Unadjusted Claims Expenses]], 0)</f>
        <v>0</v>
      </c>
    </row>
    <row r="14" spans="1:32" x14ac:dyDescent="0.25">
      <c r="A14" s="426"/>
      <c r="B14" s="427"/>
      <c r="C14" s="427"/>
      <c r="D14" s="428"/>
      <c r="E14" s="517"/>
      <c r="F14" s="429"/>
      <c r="G14" s="429"/>
      <c r="H14" s="429"/>
      <c r="I14" s="429"/>
      <c r="J14" s="429"/>
      <c r="K14" s="429"/>
      <c r="L14" s="429"/>
      <c r="M14" s="429"/>
      <c r="N14" s="429"/>
      <c r="O14" s="429"/>
      <c r="P14" s="429"/>
      <c r="Q14" s="429"/>
      <c r="R14" s="429"/>
      <c r="S14" s="429"/>
      <c r="T14" s="429"/>
      <c r="U14" s="429"/>
      <c r="V14" s="429"/>
      <c r="W14" s="436"/>
      <c r="X14" s="431">
        <f t="shared" si="1"/>
        <v>0</v>
      </c>
      <c r="Y14" s="431">
        <f>AN_TME23[[#This Row],[TOTAL Non-Truncated Unadjusted Claims Expenses]]-AN_TME23[[#This Row],[Total Claims Excluded because of Truncation]]</f>
        <v>0</v>
      </c>
      <c r="Z14" s="431">
        <f t="shared" si="0"/>
        <v>0</v>
      </c>
      <c r="AA14" s="431">
        <f>AN_TME23[[#This Row],[TOTAL Non-Truncated Unadjusted Claims Expenses]]+AN_TME23[[#This Row],[TOTAL Non-Claims Expenses]]</f>
        <v>0</v>
      </c>
      <c r="AB14" s="431">
        <f>AN_TME23[[#This Row],[TOTAL Truncated Unadjusted Claims Expenses (A21 -A19)]]+AN_TME23[[#This Row],[TOTAL Non-Claims Expenses]]</f>
        <v>0</v>
      </c>
      <c r="AC14" s="475">
        <f>IFERROR(AN_TME23[[#This Row],[TOTAL Non-Truncated Unadjusted Expenses (A21 + A23)]]/AN_TME23[[#This Row],[Member Months]],0)</f>
        <v>0</v>
      </c>
      <c r="AD14" s="475">
        <f>IFERROR(AN_TME23[[#This Row],[TOTAL Truncated Unadjusted Expenses (A22 + A23)]]/AN_TME23[[#This Row],[Member Months]],0)</f>
        <v>0</v>
      </c>
      <c r="AE14" s="441">
        <f>IFERROR(AN_TME23[[#This Row],[Total Claims Excluded because of Truncation]]/AN_TME23[[#This Row],[Count of Members with Claims Truncated]], 0)</f>
        <v>0</v>
      </c>
      <c r="AF14" s="476">
        <f>IFERROR(AN_TME23[[#This Row],[Total Claims Excluded because of Truncation]]/AN_TME23[[#This Row],[TOTAL Non-Truncated Unadjusted Claims Expenses]], 0)</f>
        <v>0</v>
      </c>
    </row>
    <row r="15" spans="1:32" x14ac:dyDescent="0.25">
      <c r="A15" s="420"/>
      <c r="B15" s="421"/>
      <c r="C15" s="421"/>
      <c r="D15" s="422"/>
      <c r="E15" s="517"/>
      <c r="F15" s="423"/>
      <c r="G15" s="423"/>
      <c r="H15" s="423"/>
      <c r="I15" s="423"/>
      <c r="J15" s="423"/>
      <c r="K15" s="423"/>
      <c r="L15" s="423"/>
      <c r="M15" s="423"/>
      <c r="N15" s="423"/>
      <c r="O15" s="423"/>
      <c r="P15" s="423"/>
      <c r="Q15" s="423"/>
      <c r="R15" s="423"/>
      <c r="S15" s="423"/>
      <c r="T15" s="423"/>
      <c r="U15" s="423"/>
      <c r="V15" s="423"/>
      <c r="W15" s="435"/>
      <c r="X15" s="425">
        <f t="shared" si="1"/>
        <v>0</v>
      </c>
      <c r="Y15" s="425">
        <f>AN_TME23[[#This Row],[TOTAL Non-Truncated Unadjusted Claims Expenses]]-AN_TME23[[#This Row],[Total Claims Excluded because of Truncation]]</f>
        <v>0</v>
      </c>
      <c r="Z15" s="425">
        <f t="shared" si="0"/>
        <v>0</v>
      </c>
      <c r="AA15" s="425">
        <f>AN_TME23[[#This Row],[TOTAL Non-Truncated Unadjusted Claims Expenses]]+AN_TME23[[#This Row],[TOTAL Non-Claims Expenses]]</f>
        <v>0</v>
      </c>
      <c r="AB15" s="425">
        <f>AN_TME23[[#This Row],[TOTAL Truncated Unadjusted Claims Expenses (A21 -A19)]]+AN_TME23[[#This Row],[TOTAL Non-Claims Expenses]]</f>
        <v>0</v>
      </c>
      <c r="AC15" s="474">
        <f>IFERROR(AN_TME23[[#This Row],[TOTAL Non-Truncated Unadjusted Expenses (A21 + A23)]]/AN_TME23[[#This Row],[Member Months]],0)</f>
        <v>0</v>
      </c>
      <c r="AD15" s="474">
        <f>IFERROR(AN_TME23[[#This Row],[TOTAL Truncated Unadjusted Expenses (A22 + A23)]]/AN_TME23[[#This Row],[Member Months]],0)</f>
        <v>0</v>
      </c>
      <c r="AE15" s="441">
        <f>IFERROR(AN_TME23[[#This Row],[Total Claims Excluded because of Truncation]]/AN_TME23[[#This Row],[Count of Members with Claims Truncated]], 0)</f>
        <v>0</v>
      </c>
      <c r="AF15" s="476">
        <f>IFERROR(AN_TME23[[#This Row],[Total Claims Excluded because of Truncation]]/AN_TME23[[#This Row],[TOTAL Non-Truncated Unadjusted Claims Expenses]], 0)</f>
        <v>0</v>
      </c>
    </row>
    <row r="16" spans="1:32" x14ac:dyDescent="0.25">
      <c r="A16" s="426"/>
      <c r="B16" s="427"/>
      <c r="C16" s="427"/>
      <c r="D16" s="428"/>
      <c r="E16" s="517"/>
      <c r="F16" s="429"/>
      <c r="G16" s="429"/>
      <c r="H16" s="429"/>
      <c r="I16" s="429"/>
      <c r="J16" s="429"/>
      <c r="K16" s="429"/>
      <c r="L16" s="429"/>
      <c r="M16" s="429"/>
      <c r="N16" s="429"/>
      <c r="O16" s="429"/>
      <c r="P16" s="429"/>
      <c r="Q16" s="429"/>
      <c r="R16" s="429"/>
      <c r="S16" s="429"/>
      <c r="T16" s="429"/>
      <c r="U16" s="429"/>
      <c r="V16" s="429"/>
      <c r="W16" s="436"/>
      <c r="X16" s="431">
        <f t="shared" si="1"/>
        <v>0</v>
      </c>
      <c r="Y16" s="431">
        <f>AN_TME23[[#This Row],[TOTAL Non-Truncated Unadjusted Claims Expenses]]-AN_TME23[[#This Row],[Total Claims Excluded because of Truncation]]</f>
        <v>0</v>
      </c>
      <c r="Z16" s="431">
        <f t="shared" si="0"/>
        <v>0</v>
      </c>
      <c r="AA16" s="431">
        <f>AN_TME23[[#This Row],[TOTAL Non-Truncated Unadjusted Claims Expenses]]+AN_TME23[[#This Row],[TOTAL Non-Claims Expenses]]</f>
        <v>0</v>
      </c>
      <c r="AB16" s="431">
        <f>AN_TME23[[#This Row],[TOTAL Truncated Unadjusted Claims Expenses (A21 -A19)]]+AN_TME23[[#This Row],[TOTAL Non-Claims Expenses]]</f>
        <v>0</v>
      </c>
      <c r="AC16" s="475">
        <f>IFERROR(AN_TME23[[#This Row],[TOTAL Non-Truncated Unadjusted Expenses (A21 + A23)]]/AN_TME23[[#This Row],[Member Months]],0)</f>
        <v>0</v>
      </c>
      <c r="AD16" s="475">
        <f>IFERROR(AN_TME23[[#This Row],[TOTAL Truncated Unadjusted Expenses (A22 + A23)]]/AN_TME23[[#This Row],[Member Months]],0)</f>
        <v>0</v>
      </c>
      <c r="AE16" s="441">
        <f>IFERROR(AN_TME23[[#This Row],[Total Claims Excluded because of Truncation]]/AN_TME23[[#This Row],[Count of Members with Claims Truncated]], 0)</f>
        <v>0</v>
      </c>
      <c r="AF16" s="476">
        <f>IFERROR(AN_TME23[[#This Row],[Total Claims Excluded because of Truncation]]/AN_TME23[[#This Row],[TOTAL Non-Truncated Unadjusted Claims Expenses]], 0)</f>
        <v>0</v>
      </c>
    </row>
    <row r="17" spans="1:32" x14ac:dyDescent="0.25">
      <c r="A17" s="420"/>
      <c r="B17" s="421"/>
      <c r="C17" s="421"/>
      <c r="D17" s="422"/>
      <c r="E17" s="517"/>
      <c r="F17" s="423"/>
      <c r="G17" s="423"/>
      <c r="H17" s="423"/>
      <c r="I17" s="423"/>
      <c r="J17" s="423"/>
      <c r="K17" s="423"/>
      <c r="L17" s="423"/>
      <c r="M17" s="423"/>
      <c r="N17" s="423"/>
      <c r="O17" s="423"/>
      <c r="P17" s="423"/>
      <c r="Q17" s="423"/>
      <c r="R17" s="423"/>
      <c r="S17" s="423"/>
      <c r="T17" s="423"/>
      <c r="U17" s="423"/>
      <c r="V17" s="423"/>
      <c r="W17" s="435"/>
      <c r="X17" s="425">
        <f t="shared" si="1"/>
        <v>0</v>
      </c>
      <c r="Y17" s="425">
        <f>AN_TME23[[#This Row],[TOTAL Non-Truncated Unadjusted Claims Expenses]]-AN_TME23[[#This Row],[Total Claims Excluded because of Truncation]]</f>
        <v>0</v>
      </c>
      <c r="Z17" s="425">
        <f t="shared" si="0"/>
        <v>0</v>
      </c>
      <c r="AA17" s="425">
        <f>AN_TME23[[#This Row],[TOTAL Non-Truncated Unadjusted Claims Expenses]]+AN_TME23[[#This Row],[TOTAL Non-Claims Expenses]]</f>
        <v>0</v>
      </c>
      <c r="AB17" s="425">
        <f>AN_TME23[[#This Row],[TOTAL Truncated Unadjusted Claims Expenses (A21 -A19)]]+AN_TME23[[#This Row],[TOTAL Non-Claims Expenses]]</f>
        <v>0</v>
      </c>
      <c r="AC17" s="474">
        <f>IFERROR(AN_TME23[[#This Row],[TOTAL Non-Truncated Unadjusted Expenses (A21 + A23)]]/AN_TME23[[#This Row],[Member Months]],0)</f>
        <v>0</v>
      </c>
      <c r="AD17" s="474">
        <f>IFERROR(AN_TME23[[#This Row],[TOTAL Truncated Unadjusted Expenses (A22 + A23)]]/AN_TME23[[#This Row],[Member Months]],0)</f>
        <v>0</v>
      </c>
      <c r="AE17" s="441">
        <f>IFERROR(AN_TME23[[#This Row],[Total Claims Excluded because of Truncation]]/AN_TME23[[#This Row],[Count of Members with Claims Truncated]], 0)</f>
        <v>0</v>
      </c>
      <c r="AF17" s="476">
        <f>IFERROR(AN_TME23[[#This Row],[Total Claims Excluded because of Truncation]]/AN_TME23[[#This Row],[TOTAL Non-Truncated Unadjusted Claims Expenses]], 0)</f>
        <v>0</v>
      </c>
    </row>
    <row r="18" spans="1:32" x14ac:dyDescent="0.25">
      <c r="A18" s="426"/>
      <c r="B18" s="427"/>
      <c r="C18" s="427"/>
      <c r="D18" s="428"/>
      <c r="E18" s="517"/>
      <c r="F18" s="429"/>
      <c r="G18" s="429"/>
      <c r="H18" s="429"/>
      <c r="I18" s="429"/>
      <c r="J18" s="429"/>
      <c r="K18" s="429"/>
      <c r="L18" s="429"/>
      <c r="M18" s="429"/>
      <c r="N18" s="429"/>
      <c r="O18" s="429"/>
      <c r="P18" s="429"/>
      <c r="Q18" s="429"/>
      <c r="R18" s="429"/>
      <c r="S18" s="429"/>
      <c r="T18" s="429"/>
      <c r="U18" s="429"/>
      <c r="V18" s="429"/>
      <c r="W18" s="436"/>
      <c r="X18" s="431">
        <f t="shared" si="1"/>
        <v>0</v>
      </c>
      <c r="Y18" s="431">
        <f>AN_TME23[[#This Row],[TOTAL Non-Truncated Unadjusted Claims Expenses]]-AN_TME23[[#This Row],[Total Claims Excluded because of Truncation]]</f>
        <v>0</v>
      </c>
      <c r="Z18" s="431">
        <f t="shared" si="0"/>
        <v>0</v>
      </c>
      <c r="AA18" s="431">
        <f>AN_TME23[[#This Row],[TOTAL Non-Truncated Unadjusted Claims Expenses]]+AN_TME23[[#This Row],[TOTAL Non-Claims Expenses]]</f>
        <v>0</v>
      </c>
      <c r="AB18" s="431">
        <f>AN_TME23[[#This Row],[TOTAL Truncated Unadjusted Claims Expenses (A21 -A19)]]+AN_TME23[[#This Row],[TOTAL Non-Claims Expenses]]</f>
        <v>0</v>
      </c>
      <c r="AC18" s="475">
        <f>IFERROR(AN_TME23[[#This Row],[TOTAL Non-Truncated Unadjusted Expenses (A21 + A23)]]/AN_TME23[[#This Row],[Member Months]],0)</f>
        <v>0</v>
      </c>
      <c r="AD18" s="475">
        <f>IFERROR(AN_TME23[[#This Row],[TOTAL Truncated Unadjusted Expenses (A22 + A23)]]/AN_TME23[[#This Row],[Member Months]],0)</f>
        <v>0</v>
      </c>
      <c r="AE18" s="441">
        <f>IFERROR(AN_TME23[[#This Row],[Total Claims Excluded because of Truncation]]/AN_TME23[[#This Row],[Count of Members with Claims Truncated]], 0)</f>
        <v>0</v>
      </c>
      <c r="AF18" s="476">
        <f>IFERROR(AN_TME23[[#This Row],[Total Claims Excluded because of Truncation]]/AN_TME23[[#This Row],[TOTAL Non-Truncated Unadjusted Claims Expenses]], 0)</f>
        <v>0</v>
      </c>
    </row>
    <row r="19" spans="1:32" x14ac:dyDescent="0.25">
      <c r="A19" s="420"/>
      <c r="B19" s="421"/>
      <c r="C19" s="421"/>
      <c r="D19" s="422"/>
      <c r="E19" s="517"/>
      <c r="F19" s="423"/>
      <c r="G19" s="423"/>
      <c r="H19" s="423"/>
      <c r="I19" s="423"/>
      <c r="J19" s="423"/>
      <c r="K19" s="423"/>
      <c r="L19" s="423"/>
      <c r="M19" s="423"/>
      <c r="N19" s="423"/>
      <c r="O19" s="423"/>
      <c r="P19" s="423"/>
      <c r="Q19" s="423"/>
      <c r="R19" s="423"/>
      <c r="S19" s="423"/>
      <c r="T19" s="423"/>
      <c r="U19" s="423"/>
      <c r="V19" s="423"/>
      <c r="W19" s="435"/>
      <c r="X19" s="425">
        <f t="shared" si="1"/>
        <v>0</v>
      </c>
      <c r="Y19" s="425">
        <f>AN_TME23[[#This Row],[TOTAL Non-Truncated Unadjusted Claims Expenses]]-AN_TME23[[#This Row],[Total Claims Excluded because of Truncation]]</f>
        <v>0</v>
      </c>
      <c r="Z19" s="425">
        <f t="shared" si="0"/>
        <v>0</v>
      </c>
      <c r="AA19" s="425">
        <f>AN_TME23[[#This Row],[TOTAL Non-Truncated Unadjusted Claims Expenses]]+AN_TME23[[#This Row],[TOTAL Non-Claims Expenses]]</f>
        <v>0</v>
      </c>
      <c r="AB19" s="425">
        <f>AN_TME23[[#This Row],[TOTAL Truncated Unadjusted Claims Expenses (A21 -A19)]]+AN_TME23[[#This Row],[TOTAL Non-Claims Expenses]]</f>
        <v>0</v>
      </c>
      <c r="AC19" s="474">
        <f>IFERROR(AN_TME23[[#This Row],[TOTAL Non-Truncated Unadjusted Expenses (A21 + A23)]]/AN_TME23[[#This Row],[Member Months]],0)</f>
        <v>0</v>
      </c>
      <c r="AD19" s="474">
        <f>IFERROR(AN_TME23[[#This Row],[TOTAL Truncated Unadjusted Expenses (A22 + A23)]]/AN_TME23[[#This Row],[Member Months]],0)</f>
        <v>0</v>
      </c>
      <c r="AE19" s="441">
        <f>IFERROR(AN_TME23[[#This Row],[Total Claims Excluded because of Truncation]]/AN_TME23[[#This Row],[Count of Members with Claims Truncated]], 0)</f>
        <v>0</v>
      </c>
      <c r="AF19" s="476">
        <f>IFERROR(AN_TME23[[#This Row],[Total Claims Excluded because of Truncation]]/AN_TME23[[#This Row],[TOTAL Non-Truncated Unadjusted Claims Expenses]], 0)</f>
        <v>0</v>
      </c>
    </row>
    <row r="20" spans="1:32" x14ac:dyDescent="0.25">
      <c r="A20" s="426"/>
      <c r="B20" s="427"/>
      <c r="C20" s="427"/>
      <c r="D20" s="428"/>
      <c r="E20" s="517"/>
      <c r="F20" s="429"/>
      <c r="G20" s="429"/>
      <c r="H20" s="429"/>
      <c r="I20" s="429"/>
      <c r="J20" s="429"/>
      <c r="K20" s="429"/>
      <c r="L20" s="429"/>
      <c r="M20" s="429"/>
      <c r="N20" s="429"/>
      <c r="O20" s="429"/>
      <c r="P20" s="429"/>
      <c r="Q20" s="429"/>
      <c r="R20" s="429"/>
      <c r="S20" s="429"/>
      <c r="T20" s="429"/>
      <c r="U20" s="429"/>
      <c r="V20" s="429"/>
      <c r="W20" s="436"/>
      <c r="X20" s="431">
        <f t="shared" si="1"/>
        <v>0</v>
      </c>
      <c r="Y20" s="431">
        <f>AN_TME23[[#This Row],[TOTAL Non-Truncated Unadjusted Claims Expenses]]-AN_TME23[[#This Row],[Total Claims Excluded because of Truncation]]</f>
        <v>0</v>
      </c>
      <c r="Z20" s="431">
        <f t="shared" si="0"/>
        <v>0</v>
      </c>
      <c r="AA20" s="431">
        <f>AN_TME23[[#This Row],[TOTAL Non-Truncated Unadjusted Claims Expenses]]+AN_TME23[[#This Row],[TOTAL Non-Claims Expenses]]</f>
        <v>0</v>
      </c>
      <c r="AB20" s="431">
        <f>AN_TME23[[#This Row],[TOTAL Truncated Unadjusted Claims Expenses (A21 -A19)]]+AN_TME23[[#This Row],[TOTAL Non-Claims Expenses]]</f>
        <v>0</v>
      </c>
      <c r="AC20" s="475">
        <f>IFERROR(AN_TME23[[#This Row],[TOTAL Non-Truncated Unadjusted Expenses (A21 + A23)]]/AN_TME23[[#This Row],[Member Months]],0)</f>
        <v>0</v>
      </c>
      <c r="AD20" s="475">
        <f>IFERROR(AN_TME23[[#This Row],[TOTAL Truncated Unadjusted Expenses (A22 + A23)]]/AN_TME23[[#This Row],[Member Months]],0)</f>
        <v>0</v>
      </c>
      <c r="AE20" s="441">
        <f>IFERROR(AN_TME23[[#This Row],[Total Claims Excluded because of Truncation]]/AN_TME23[[#This Row],[Count of Members with Claims Truncated]], 0)</f>
        <v>0</v>
      </c>
      <c r="AF20" s="476">
        <f>IFERROR(AN_TME23[[#This Row],[Total Claims Excluded because of Truncation]]/AN_TME23[[#This Row],[TOTAL Non-Truncated Unadjusted Claims Expenses]], 0)</f>
        <v>0</v>
      </c>
    </row>
    <row r="21" spans="1:32" x14ac:dyDescent="0.25">
      <c r="A21" s="420"/>
      <c r="B21" s="421"/>
      <c r="C21" s="421"/>
      <c r="D21" s="422"/>
      <c r="E21" s="517"/>
      <c r="F21" s="423"/>
      <c r="G21" s="423"/>
      <c r="H21" s="423"/>
      <c r="I21" s="423"/>
      <c r="J21" s="423"/>
      <c r="K21" s="423"/>
      <c r="L21" s="423"/>
      <c r="M21" s="423"/>
      <c r="N21" s="423"/>
      <c r="O21" s="423"/>
      <c r="P21" s="423"/>
      <c r="Q21" s="423"/>
      <c r="R21" s="423"/>
      <c r="S21" s="423"/>
      <c r="T21" s="423"/>
      <c r="U21" s="423"/>
      <c r="V21" s="423"/>
      <c r="W21" s="435"/>
      <c r="X21" s="425">
        <f t="shared" si="1"/>
        <v>0</v>
      </c>
      <c r="Y21" s="425">
        <f>AN_TME23[[#This Row],[TOTAL Non-Truncated Unadjusted Claims Expenses]]-AN_TME23[[#This Row],[Total Claims Excluded because of Truncation]]</f>
        <v>0</v>
      </c>
      <c r="Z21" s="425">
        <f t="shared" si="0"/>
        <v>0</v>
      </c>
      <c r="AA21" s="425">
        <f>AN_TME23[[#This Row],[TOTAL Non-Truncated Unadjusted Claims Expenses]]+AN_TME23[[#This Row],[TOTAL Non-Claims Expenses]]</f>
        <v>0</v>
      </c>
      <c r="AB21" s="425">
        <f>AN_TME23[[#This Row],[TOTAL Truncated Unadjusted Claims Expenses (A21 -A19)]]+AN_TME23[[#This Row],[TOTAL Non-Claims Expenses]]</f>
        <v>0</v>
      </c>
      <c r="AC21" s="474">
        <f>IFERROR(AN_TME23[[#This Row],[TOTAL Non-Truncated Unadjusted Expenses (A21 + A23)]]/AN_TME23[[#This Row],[Member Months]],0)</f>
        <v>0</v>
      </c>
      <c r="AD21" s="474">
        <f>IFERROR(AN_TME23[[#This Row],[TOTAL Truncated Unadjusted Expenses (A22 + A23)]]/AN_TME23[[#This Row],[Member Months]],0)</f>
        <v>0</v>
      </c>
      <c r="AE21" s="441">
        <f>IFERROR(AN_TME23[[#This Row],[Total Claims Excluded because of Truncation]]/AN_TME23[[#This Row],[Count of Members with Claims Truncated]], 0)</f>
        <v>0</v>
      </c>
      <c r="AF21" s="476">
        <f>IFERROR(AN_TME23[[#This Row],[Total Claims Excluded because of Truncation]]/AN_TME23[[#This Row],[TOTAL Non-Truncated Unadjusted Claims Expenses]], 0)</f>
        <v>0</v>
      </c>
    </row>
    <row r="22" spans="1:32" x14ac:dyDescent="0.25">
      <c r="A22" s="426"/>
      <c r="B22" s="427"/>
      <c r="C22" s="427"/>
      <c r="D22" s="428"/>
      <c r="E22" s="517"/>
      <c r="F22" s="429"/>
      <c r="G22" s="429"/>
      <c r="H22" s="429"/>
      <c r="I22" s="429"/>
      <c r="J22" s="429"/>
      <c r="K22" s="429"/>
      <c r="L22" s="429"/>
      <c r="M22" s="429"/>
      <c r="N22" s="429"/>
      <c r="O22" s="429"/>
      <c r="P22" s="429"/>
      <c r="Q22" s="429"/>
      <c r="R22" s="429"/>
      <c r="S22" s="429"/>
      <c r="T22" s="429"/>
      <c r="U22" s="429"/>
      <c r="V22" s="429"/>
      <c r="W22" s="436"/>
      <c r="X22" s="431">
        <f t="shared" si="1"/>
        <v>0</v>
      </c>
      <c r="Y22" s="431">
        <f>AN_TME23[[#This Row],[TOTAL Non-Truncated Unadjusted Claims Expenses]]-AN_TME23[[#This Row],[Total Claims Excluded because of Truncation]]</f>
        <v>0</v>
      </c>
      <c r="Z22" s="431">
        <f t="shared" si="0"/>
        <v>0</v>
      </c>
      <c r="AA22" s="431">
        <f>AN_TME23[[#This Row],[TOTAL Non-Truncated Unadjusted Claims Expenses]]+AN_TME23[[#This Row],[TOTAL Non-Claims Expenses]]</f>
        <v>0</v>
      </c>
      <c r="AB22" s="431">
        <f>AN_TME23[[#This Row],[TOTAL Truncated Unadjusted Claims Expenses (A21 -A19)]]+AN_TME23[[#This Row],[TOTAL Non-Claims Expenses]]</f>
        <v>0</v>
      </c>
      <c r="AC22" s="475">
        <f>IFERROR(AN_TME23[[#This Row],[TOTAL Non-Truncated Unadjusted Expenses (A21 + A23)]]/AN_TME23[[#This Row],[Member Months]],0)</f>
        <v>0</v>
      </c>
      <c r="AD22" s="475">
        <f>IFERROR(AN_TME23[[#This Row],[TOTAL Truncated Unadjusted Expenses (A22 + A23)]]/AN_TME23[[#This Row],[Member Months]],0)</f>
        <v>0</v>
      </c>
      <c r="AE22" s="441">
        <f>IFERROR(AN_TME23[[#This Row],[Total Claims Excluded because of Truncation]]/AN_TME23[[#This Row],[Count of Members with Claims Truncated]], 0)</f>
        <v>0</v>
      </c>
      <c r="AF22" s="476">
        <f>IFERROR(AN_TME23[[#This Row],[Total Claims Excluded because of Truncation]]/AN_TME23[[#This Row],[TOTAL Non-Truncated Unadjusted Claims Expenses]], 0)</f>
        <v>0</v>
      </c>
    </row>
    <row r="23" spans="1:32" x14ac:dyDescent="0.25">
      <c r="A23" s="420"/>
      <c r="B23" s="421"/>
      <c r="C23" s="421"/>
      <c r="D23" s="422"/>
      <c r="E23" s="517"/>
      <c r="F23" s="423"/>
      <c r="G23" s="423"/>
      <c r="H23" s="423"/>
      <c r="I23" s="423"/>
      <c r="J23" s="423"/>
      <c r="K23" s="423"/>
      <c r="L23" s="423"/>
      <c r="M23" s="423"/>
      <c r="N23" s="423"/>
      <c r="O23" s="423"/>
      <c r="P23" s="423"/>
      <c r="Q23" s="423"/>
      <c r="R23" s="423"/>
      <c r="S23" s="423"/>
      <c r="T23" s="423"/>
      <c r="U23" s="423"/>
      <c r="V23" s="423"/>
      <c r="W23" s="435"/>
      <c r="X23" s="425">
        <f t="shared" si="1"/>
        <v>0</v>
      </c>
      <c r="Y23" s="425">
        <f>AN_TME23[[#This Row],[TOTAL Non-Truncated Unadjusted Claims Expenses]]-AN_TME23[[#This Row],[Total Claims Excluded because of Truncation]]</f>
        <v>0</v>
      </c>
      <c r="Z23" s="425">
        <f t="shared" si="0"/>
        <v>0</v>
      </c>
      <c r="AA23" s="425">
        <f>AN_TME23[[#This Row],[TOTAL Non-Truncated Unadjusted Claims Expenses]]+AN_TME23[[#This Row],[TOTAL Non-Claims Expenses]]</f>
        <v>0</v>
      </c>
      <c r="AB23" s="425">
        <f>AN_TME23[[#This Row],[TOTAL Truncated Unadjusted Claims Expenses (A21 -A19)]]+AN_TME23[[#This Row],[TOTAL Non-Claims Expenses]]</f>
        <v>0</v>
      </c>
      <c r="AC23" s="474">
        <f>IFERROR(AN_TME23[[#This Row],[TOTAL Non-Truncated Unadjusted Expenses (A21 + A23)]]/AN_TME23[[#This Row],[Member Months]],0)</f>
        <v>0</v>
      </c>
      <c r="AD23" s="474">
        <f>IFERROR(AN_TME23[[#This Row],[TOTAL Truncated Unadjusted Expenses (A22 + A23)]]/AN_TME23[[#This Row],[Member Months]],0)</f>
        <v>0</v>
      </c>
      <c r="AE23" s="441">
        <f>IFERROR(AN_TME23[[#This Row],[Total Claims Excluded because of Truncation]]/AN_TME23[[#This Row],[Count of Members with Claims Truncated]], 0)</f>
        <v>0</v>
      </c>
      <c r="AF23" s="476">
        <f>IFERROR(AN_TME23[[#This Row],[Total Claims Excluded because of Truncation]]/AN_TME23[[#This Row],[TOTAL Non-Truncated Unadjusted Claims Expenses]], 0)</f>
        <v>0</v>
      </c>
    </row>
    <row r="24" spans="1:32" x14ac:dyDescent="0.25">
      <c r="A24" s="426"/>
      <c r="B24" s="427"/>
      <c r="C24" s="427"/>
      <c r="D24" s="428"/>
      <c r="E24" s="517"/>
      <c r="F24" s="429"/>
      <c r="G24" s="429"/>
      <c r="H24" s="429"/>
      <c r="I24" s="429"/>
      <c r="J24" s="429"/>
      <c r="K24" s="429"/>
      <c r="L24" s="429"/>
      <c r="M24" s="429"/>
      <c r="N24" s="429"/>
      <c r="O24" s="429"/>
      <c r="P24" s="429"/>
      <c r="Q24" s="429"/>
      <c r="R24" s="429"/>
      <c r="S24" s="429"/>
      <c r="T24" s="429"/>
      <c r="U24" s="429"/>
      <c r="V24" s="429"/>
      <c r="W24" s="436"/>
      <c r="X24" s="431">
        <f t="shared" si="1"/>
        <v>0</v>
      </c>
      <c r="Y24" s="431">
        <f>AN_TME23[[#This Row],[TOTAL Non-Truncated Unadjusted Claims Expenses]]-AN_TME23[[#This Row],[Total Claims Excluded because of Truncation]]</f>
        <v>0</v>
      </c>
      <c r="Z24" s="431">
        <f t="shared" si="0"/>
        <v>0</v>
      </c>
      <c r="AA24" s="431">
        <f>AN_TME23[[#This Row],[TOTAL Non-Truncated Unadjusted Claims Expenses]]+AN_TME23[[#This Row],[TOTAL Non-Claims Expenses]]</f>
        <v>0</v>
      </c>
      <c r="AB24" s="431">
        <f>AN_TME23[[#This Row],[TOTAL Truncated Unadjusted Claims Expenses (A21 -A19)]]+AN_TME23[[#This Row],[TOTAL Non-Claims Expenses]]</f>
        <v>0</v>
      </c>
      <c r="AC24" s="475">
        <f>IFERROR(AN_TME23[[#This Row],[TOTAL Non-Truncated Unadjusted Expenses (A21 + A23)]]/AN_TME23[[#This Row],[Member Months]],0)</f>
        <v>0</v>
      </c>
      <c r="AD24" s="475">
        <f>IFERROR(AN_TME23[[#This Row],[TOTAL Truncated Unadjusted Expenses (A22 + A23)]]/AN_TME23[[#This Row],[Member Months]],0)</f>
        <v>0</v>
      </c>
      <c r="AE24" s="441">
        <f>IFERROR(AN_TME23[[#This Row],[Total Claims Excluded because of Truncation]]/AN_TME23[[#This Row],[Count of Members with Claims Truncated]], 0)</f>
        <v>0</v>
      </c>
      <c r="AF24" s="476">
        <f>IFERROR(AN_TME23[[#This Row],[Total Claims Excluded because of Truncation]]/AN_TME23[[#This Row],[TOTAL Non-Truncated Unadjusted Claims Expenses]], 0)</f>
        <v>0</v>
      </c>
    </row>
    <row r="25" spans="1:32" x14ac:dyDescent="0.25">
      <c r="A25" s="420"/>
      <c r="B25" s="421"/>
      <c r="C25" s="421"/>
      <c r="D25" s="422"/>
      <c r="E25" s="517"/>
      <c r="F25" s="423"/>
      <c r="G25" s="423"/>
      <c r="H25" s="423"/>
      <c r="I25" s="423"/>
      <c r="J25" s="423"/>
      <c r="K25" s="423"/>
      <c r="L25" s="423"/>
      <c r="M25" s="423"/>
      <c r="N25" s="423"/>
      <c r="O25" s="423"/>
      <c r="P25" s="423"/>
      <c r="Q25" s="423"/>
      <c r="R25" s="423"/>
      <c r="S25" s="423"/>
      <c r="T25" s="423"/>
      <c r="U25" s="423"/>
      <c r="V25" s="423"/>
      <c r="W25" s="435"/>
      <c r="X25" s="425">
        <f t="shared" si="1"/>
        <v>0</v>
      </c>
      <c r="Y25" s="425">
        <f>AN_TME23[[#This Row],[TOTAL Non-Truncated Unadjusted Claims Expenses]]-AN_TME23[[#This Row],[Total Claims Excluded because of Truncation]]</f>
        <v>0</v>
      </c>
      <c r="Z25" s="425">
        <f t="shared" si="0"/>
        <v>0</v>
      </c>
      <c r="AA25" s="425">
        <f>AN_TME23[[#This Row],[TOTAL Non-Truncated Unadjusted Claims Expenses]]+AN_TME23[[#This Row],[TOTAL Non-Claims Expenses]]</f>
        <v>0</v>
      </c>
      <c r="AB25" s="425">
        <f>AN_TME23[[#This Row],[TOTAL Truncated Unadjusted Claims Expenses (A21 -A19)]]+AN_TME23[[#This Row],[TOTAL Non-Claims Expenses]]</f>
        <v>0</v>
      </c>
      <c r="AC25" s="474">
        <f>IFERROR(AN_TME23[[#This Row],[TOTAL Non-Truncated Unadjusted Expenses (A21 + A23)]]/AN_TME23[[#This Row],[Member Months]],0)</f>
        <v>0</v>
      </c>
      <c r="AD25" s="474">
        <f>IFERROR(AN_TME23[[#This Row],[TOTAL Truncated Unadjusted Expenses (A22 + A23)]]/AN_TME23[[#This Row],[Member Months]],0)</f>
        <v>0</v>
      </c>
      <c r="AE25" s="441">
        <f>IFERROR(AN_TME23[[#This Row],[Total Claims Excluded because of Truncation]]/AN_TME23[[#This Row],[Count of Members with Claims Truncated]], 0)</f>
        <v>0</v>
      </c>
      <c r="AF25" s="476">
        <f>IFERROR(AN_TME23[[#This Row],[Total Claims Excluded because of Truncation]]/AN_TME23[[#This Row],[TOTAL Non-Truncated Unadjusted Claims Expenses]], 0)</f>
        <v>0</v>
      </c>
    </row>
    <row r="26" spans="1:32" x14ac:dyDescent="0.25">
      <c r="A26" s="426"/>
      <c r="B26" s="427"/>
      <c r="C26" s="427"/>
      <c r="D26" s="428"/>
      <c r="E26" s="517"/>
      <c r="F26" s="429"/>
      <c r="G26" s="429"/>
      <c r="H26" s="429"/>
      <c r="I26" s="429"/>
      <c r="J26" s="429"/>
      <c r="K26" s="429"/>
      <c r="L26" s="429"/>
      <c r="M26" s="429"/>
      <c r="N26" s="429"/>
      <c r="O26" s="429"/>
      <c r="P26" s="429"/>
      <c r="Q26" s="429"/>
      <c r="R26" s="429"/>
      <c r="S26" s="429"/>
      <c r="T26" s="429"/>
      <c r="U26" s="429"/>
      <c r="V26" s="429"/>
      <c r="W26" s="436"/>
      <c r="X26" s="431">
        <f t="shared" si="1"/>
        <v>0</v>
      </c>
      <c r="Y26" s="431">
        <f>AN_TME23[[#This Row],[TOTAL Non-Truncated Unadjusted Claims Expenses]]-AN_TME23[[#This Row],[Total Claims Excluded because of Truncation]]</f>
        <v>0</v>
      </c>
      <c r="Z26" s="431">
        <f t="shared" si="0"/>
        <v>0</v>
      </c>
      <c r="AA26" s="431">
        <f>AN_TME23[[#This Row],[TOTAL Non-Truncated Unadjusted Claims Expenses]]+AN_TME23[[#This Row],[TOTAL Non-Claims Expenses]]</f>
        <v>0</v>
      </c>
      <c r="AB26" s="431">
        <f>AN_TME23[[#This Row],[TOTAL Truncated Unadjusted Claims Expenses (A21 -A19)]]+AN_TME23[[#This Row],[TOTAL Non-Claims Expenses]]</f>
        <v>0</v>
      </c>
      <c r="AC26" s="475">
        <f>IFERROR(AN_TME23[[#This Row],[TOTAL Non-Truncated Unadjusted Expenses (A21 + A23)]]/AN_TME23[[#This Row],[Member Months]],0)</f>
        <v>0</v>
      </c>
      <c r="AD26" s="475">
        <f>IFERROR(AN_TME23[[#This Row],[TOTAL Truncated Unadjusted Expenses (A22 + A23)]]/AN_TME23[[#This Row],[Member Months]],0)</f>
        <v>0</v>
      </c>
      <c r="AE26" s="441">
        <f>IFERROR(AN_TME23[[#This Row],[Total Claims Excluded because of Truncation]]/AN_TME23[[#This Row],[Count of Members with Claims Truncated]], 0)</f>
        <v>0</v>
      </c>
      <c r="AF26" s="476">
        <f>IFERROR(AN_TME23[[#This Row],[Total Claims Excluded because of Truncation]]/AN_TME23[[#This Row],[TOTAL Non-Truncated Unadjusted Claims Expenses]], 0)</f>
        <v>0</v>
      </c>
    </row>
    <row r="27" spans="1:32" x14ac:dyDescent="0.25">
      <c r="A27" s="420"/>
      <c r="B27" s="421"/>
      <c r="C27" s="421"/>
      <c r="D27" s="422"/>
      <c r="E27" s="517"/>
      <c r="F27" s="423"/>
      <c r="G27" s="423"/>
      <c r="H27" s="423"/>
      <c r="I27" s="423"/>
      <c r="J27" s="423"/>
      <c r="K27" s="423"/>
      <c r="L27" s="423"/>
      <c r="M27" s="423"/>
      <c r="N27" s="423"/>
      <c r="O27" s="423"/>
      <c r="P27" s="423"/>
      <c r="Q27" s="423"/>
      <c r="R27" s="423"/>
      <c r="S27" s="423"/>
      <c r="T27" s="423"/>
      <c r="U27" s="423"/>
      <c r="V27" s="423"/>
      <c r="W27" s="435"/>
      <c r="X27" s="425">
        <f t="shared" si="1"/>
        <v>0</v>
      </c>
      <c r="Y27" s="425">
        <f>AN_TME23[[#This Row],[TOTAL Non-Truncated Unadjusted Claims Expenses]]-AN_TME23[[#This Row],[Total Claims Excluded because of Truncation]]</f>
        <v>0</v>
      </c>
      <c r="Z27" s="425">
        <f t="shared" si="0"/>
        <v>0</v>
      </c>
      <c r="AA27" s="425">
        <f>AN_TME23[[#This Row],[TOTAL Non-Truncated Unadjusted Claims Expenses]]+AN_TME23[[#This Row],[TOTAL Non-Claims Expenses]]</f>
        <v>0</v>
      </c>
      <c r="AB27" s="425">
        <f>AN_TME23[[#This Row],[TOTAL Truncated Unadjusted Claims Expenses (A21 -A19)]]+AN_TME23[[#This Row],[TOTAL Non-Claims Expenses]]</f>
        <v>0</v>
      </c>
      <c r="AC27" s="474">
        <f>IFERROR(AN_TME23[[#This Row],[TOTAL Non-Truncated Unadjusted Expenses (A21 + A23)]]/AN_TME23[[#This Row],[Member Months]],0)</f>
        <v>0</v>
      </c>
      <c r="AD27" s="474">
        <f>IFERROR(AN_TME23[[#This Row],[TOTAL Truncated Unadjusted Expenses (A22 + A23)]]/AN_TME23[[#This Row],[Member Months]],0)</f>
        <v>0</v>
      </c>
      <c r="AE27" s="441">
        <f>IFERROR(AN_TME23[[#This Row],[Total Claims Excluded because of Truncation]]/AN_TME23[[#This Row],[Count of Members with Claims Truncated]], 0)</f>
        <v>0</v>
      </c>
      <c r="AF27" s="476">
        <f>IFERROR(AN_TME23[[#This Row],[Total Claims Excluded because of Truncation]]/AN_TME23[[#This Row],[TOTAL Non-Truncated Unadjusted Claims Expenses]], 0)</f>
        <v>0</v>
      </c>
    </row>
    <row r="28" spans="1:32" x14ac:dyDescent="0.25">
      <c r="A28" s="426"/>
      <c r="B28" s="427"/>
      <c r="C28" s="427"/>
      <c r="D28" s="428"/>
      <c r="E28" s="517"/>
      <c r="F28" s="429"/>
      <c r="G28" s="429"/>
      <c r="H28" s="429"/>
      <c r="I28" s="429"/>
      <c r="J28" s="429"/>
      <c r="K28" s="429"/>
      <c r="L28" s="429"/>
      <c r="M28" s="429"/>
      <c r="N28" s="429"/>
      <c r="O28" s="429"/>
      <c r="P28" s="429"/>
      <c r="Q28" s="429"/>
      <c r="R28" s="429"/>
      <c r="S28" s="429"/>
      <c r="T28" s="429"/>
      <c r="U28" s="429"/>
      <c r="V28" s="429"/>
      <c r="W28" s="436"/>
      <c r="X28" s="431">
        <f t="shared" si="1"/>
        <v>0</v>
      </c>
      <c r="Y28" s="431">
        <f>AN_TME23[[#This Row],[TOTAL Non-Truncated Unadjusted Claims Expenses]]-AN_TME23[[#This Row],[Total Claims Excluded because of Truncation]]</f>
        <v>0</v>
      </c>
      <c r="Z28" s="431">
        <f t="shared" si="0"/>
        <v>0</v>
      </c>
      <c r="AA28" s="431">
        <f>AN_TME23[[#This Row],[TOTAL Non-Truncated Unadjusted Claims Expenses]]+AN_TME23[[#This Row],[TOTAL Non-Claims Expenses]]</f>
        <v>0</v>
      </c>
      <c r="AB28" s="431">
        <f>AN_TME23[[#This Row],[TOTAL Truncated Unadjusted Claims Expenses (A21 -A19)]]+AN_TME23[[#This Row],[TOTAL Non-Claims Expenses]]</f>
        <v>0</v>
      </c>
      <c r="AC28" s="475">
        <f>IFERROR(AN_TME23[[#This Row],[TOTAL Non-Truncated Unadjusted Expenses (A21 + A23)]]/AN_TME23[[#This Row],[Member Months]],0)</f>
        <v>0</v>
      </c>
      <c r="AD28" s="475">
        <f>IFERROR(AN_TME23[[#This Row],[TOTAL Truncated Unadjusted Expenses (A22 + A23)]]/AN_TME23[[#This Row],[Member Months]],0)</f>
        <v>0</v>
      </c>
      <c r="AE28" s="441">
        <f>IFERROR(AN_TME23[[#This Row],[Total Claims Excluded because of Truncation]]/AN_TME23[[#This Row],[Count of Members with Claims Truncated]], 0)</f>
        <v>0</v>
      </c>
      <c r="AF28" s="476">
        <f>IFERROR(AN_TME23[[#This Row],[Total Claims Excluded because of Truncation]]/AN_TME23[[#This Row],[TOTAL Non-Truncated Unadjusted Claims Expenses]], 0)</f>
        <v>0</v>
      </c>
    </row>
    <row r="29" spans="1:32" x14ac:dyDescent="0.25">
      <c r="A29" s="420"/>
      <c r="B29" s="421"/>
      <c r="C29" s="421"/>
      <c r="D29" s="422"/>
      <c r="E29" s="517"/>
      <c r="F29" s="423"/>
      <c r="G29" s="423"/>
      <c r="H29" s="423"/>
      <c r="I29" s="423"/>
      <c r="J29" s="423"/>
      <c r="K29" s="423"/>
      <c r="L29" s="423"/>
      <c r="M29" s="423"/>
      <c r="N29" s="423"/>
      <c r="O29" s="423"/>
      <c r="P29" s="423"/>
      <c r="Q29" s="423"/>
      <c r="R29" s="423"/>
      <c r="S29" s="423"/>
      <c r="T29" s="423"/>
      <c r="U29" s="423"/>
      <c r="V29" s="423"/>
      <c r="W29" s="435"/>
      <c r="X29" s="425">
        <f t="shared" si="1"/>
        <v>0</v>
      </c>
      <c r="Y29" s="425">
        <f>AN_TME23[[#This Row],[TOTAL Non-Truncated Unadjusted Claims Expenses]]-AN_TME23[[#This Row],[Total Claims Excluded because of Truncation]]</f>
        <v>0</v>
      </c>
      <c r="Z29" s="425">
        <f t="shared" si="0"/>
        <v>0</v>
      </c>
      <c r="AA29" s="425">
        <f>AN_TME23[[#This Row],[TOTAL Non-Truncated Unadjusted Claims Expenses]]+AN_TME23[[#This Row],[TOTAL Non-Claims Expenses]]</f>
        <v>0</v>
      </c>
      <c r="AB29" s="425">
        <f>AN_TME23[[#This Row],[TOTAL Truncated Unadjusted Claims Expenses (A21 -A19)]]+AN_TME23[[#This Row],[TOTAL Non-Claims Expenses]]</f>
        <v>0</v>
      </c>
      <c r="AC29" s="474">
        <f>IFERROR(AN_TME23[[#This Row],[TOTAL Non-Truncated Unadjusted Expenses (A21 + A23)]]/AN_TME23[[#This Row],[Member Months]],0)</f>
        <v>0</v>
      </c>
      <c r="AD29" s="474">
        <f>IFERROR(AN_TME23[[#This Row],[TOTAL Truncated Unadjusted Expenses (A22 + A23)]]/AN_TME23[[#This Row],[Member Months]],0)</f>
        <v>0</v>
      </c>
      <c r="AE29" s="441">
        <f>IFERROR(AN_TME23[[#This Row],[Total Claims Excluded because of Truncation]]/AN_TME23[[#This Row],[Count of Members with Claims Truncated]], 0)</f>
        <v>0</v>
      </c>
      <c r="AF29" s="476">
        <f>IFERROR(AN_TME23[[#This Row],[Total Claims Excluded because of Truncation]]/AN_TME23[[#This Row],[TOTAL Non-Truncated Unadjusted Claims Expenses]], 0)</f>
        <v>0</v>
      </c>
    </row>
    <row r="30" spans="1:32" x14ac:dyDescent="0.25">
      <c r="A30" s="426"/>
      <c r="B30" s="427"/>
      <c r="C30" s="427"/>
      <c r="D30" s="428"/>
      <c r="E30" s="517"/>
      <c r="F30" s="429"/>
      <c r="G30" s="429"/>
      <c r="H30" s="429"/>
      <c r="I30" s="429"/>
      <c r="J30" s="429"/>
      <c r="K30" s="429"/>
      <c r="L30" s="429"/>
      <c r="M30" s="429"/>
      <c r="N30" s="429"/>
      <c r="O30" s="429"/>
      <c r="P30" s="429"/>
      <c r="Q30" s="429"/>
      <c r="R30" s="429"/>
      <c r="S30" s="429"/>
      <c r="T30" s="429"/>
      <c r="U30" s="429"/>
      <c r="V30" s="429"/>
      <c r="W30" s="436"/>
      <c r="X30" s="431">
        <f t="shared" si="1"/>
        <v>0</v>
      </c>
      <c r="Y30" s="431">
        <f>AN_TME23[[#This Row],[TOTAL Non-Truncated Unadjusted Claims Expenses]]-AN_TME23[[#This Row],[Total Claims Excluded because of Truncation]]</f>
        <v>0</v>
      </c>
      <c r="Z30" s="431">
        <f t="shared" si="0"/>
        <v>0</v>
      </c>
      <c r="AA30" s="431">
        <f>AN_TME23[[#This Row],[TOTAL Non-Truncated Unadjusted Claims Expenses]]+AN_TME23[[#This Row],[TOTAL Non-Claims Expenses]]</f>
        <v>0</v>
      </c>
      <c r="AB30" s="431">
        <f>AN_TME23[[#This Row],[TOTAL Truncated Unadjusted Claims Expenses (A21 -A19)]]+AN_TME23[[#This Row],[TOTAL Non-Claims Expenses]]</f>
        <v>0</v>
      </c>
      <c r="AC30" s="475">
        <f>IFERROR(AN_TME23[[#This Row],[TOTAL Non-Truncated Unadjusted Expenses (A21 + A23)]]/AN_TME23[[#This Row],[Member Months]],0)</f>
        <v>0</v>
      </c>
      <c r="AD30" s="475">
        <f>IFERROR(AN_TME23[[#This Row],[TOTAL Truncated Unadjusted Expenses (A22 + A23)]]/AN_TME23[[#This Row],[Member Months]],0)</f>
        <v>0</v>
      </c>
      <c r="AE30" s="441">
        <f>IFERROR(AN_TME23[[#This Row],[Total Claims Excluded because of Truncation]]/AN_TME23[[#This Row],[Count of Members with Claims Truncated]], 0)</f>
        <v>0</v>
      </c>
      <c r="AF30" s="476">
        <f>IFERROR(AN_TME23[[#This Row],[Total Claims Excluded because of Truncation]]/AN_TME23[[#This Row],[TOTAL Non-Truncated Unadjusted Claims Expenses]], 0)</f>
        <v>0</v>
      </c>
    </row>
    <row r="31" spans="1:32" x14ac:dyDescent="0.25">
      <c r="A31" s="420"/>
      <c r="B31" s="421"/>
      <c r="C31" s="421"/>
      <c r="D31" s="422"/>
      <c r="E31" s="517"/>
      <c r="F31" s="423"/>
      <c r="G31" s="423"/>
      <c r="H31" s="423"/>
      <c r="I31" s="423"/>
      <c r="J31" s="423"/>
      <c r="K31" s="423"/>
      <c r="L31" s="423"/>
      <c r="M31" s="423"/>
      <c r="N31" s="423"/>
      <c r="O31" s="423"/>
      <c r="P31" s="423"/>
      <c r="Q31" s="423"/>
      <c r="R31" s="423"/>
      <c r="S31" s="423"/>
      <c r="T31" s="423"/>
      <c r="U31" s="423"/>
      <c r="V31" s="423"/>
      <c r="W31" s="435"/>
      <c r="X31" s="425">
        <f t="shared" si="1"/>
        <v>0</v>
      </c>
      <c r="Y31" s="425">
        <f>AN_TME23[[#This Row],[TOTAL Non-Truncated Unadjusted Claims Expenses]]-AN_TME23[[#This Row],[Total Claims Excluded because of Truncation]]</f>
        <v>0</v>
      </c>
      <c r="Z31" s="425">
        <f t="shared" si="0"/>
        <v>0</v>
      </c>
      <c r="AA31" s="425">
        <f>AN_TME23[[#This Row],[TOTAL Non-Truncated Unadjusted Claims Expenses]]+AN_TME23[[#This Row],[TOTAL Non-Claims Expenses]]</f>
        <v>0</v>
      </c>
      <c r="AB31" s="425">
        <f>AN_TME23[[#This Row],[TOTAL Truncated Unadjusted Claims Expenses (A21 -A19)]]+AN_TME23[[#This Row],[TOTAL Non-Claims Expenses]]</f>
        <v>0</v>
      </c>
      <c r="AC31" s="474">
        <f>IFERROR(AN_TME23[[#This Row],[TOTAL Non-Truncated Unadjusted Expenses (A21 + A23)]]/AN_TME23[[#This Row],[Member Months]],0)</f>
        <v>0</v>
      </c>
      <c r="AD31" s="474">
        <f>IFERROR(AN_TME23[[#This Row],[TOTAL Truncated Unadjusted Expenses (A22 + A23)]]/AN_TME23[[#This Row],[Member Months]],0)</f>
        <v>0</v>
      </c>
      <c r="AE31" s="441">
        <f>IFERROR(AN_TME23[[#This Row],[Total Claims Excluded because of Truncation]]/AN_TME23[[#This Row],[Count of Members with Claims Truncated]], 0)</f>
        <v>0</v>
      </c>
      <c r="AF31" s="476">
        <f>IFERROR(AN_TME23[[#This Row],[Total Claims Excluded because of Truncation]]/AN_TME23[[#This Row],[TOTAL Non-Truncated Unadjusted Claims Expenses]], 0)</f>
        <v>0</v>
      </c>
    </row>
    <row r="32" spans="1:32" x14ac:dyDescent="0.25">
      <c r="A32" s="426"/>
      <c r="B32" s="427"/>
      <c r="C32" s="427"/>
      <c r="D32" s="428"/>
      <c r="E32" s="517"/>
      <c r="F32" s="429"/>
      <c r="G32" s="429"/>
      <c r="H32" s="429"/>
      <c r="I32" s="429"/>
      <c r="J32" s="429"/>
      <c r="K32" s="429"/>
      <c r="L32" s="429"/>
      <c r="M32" s="429"/>
      <c r="N32" s="429"/>
      <c r="O32" s="429"/>
      <c r="P32" s="429"/>
      <c r="Q32" s="429"/>
      <c r="R32" s="429"/>
      <c r="S32" s="429"/>
      <c r="T32" s="429"/>
      <c r="U32" s="429"/>
      <c r="V32" s="429"/>
      <c r="W32" s="436"/>
      <c r="X32" s="431">
        <f t="shared" si="1"/>
        <v>0</v>
      </c>
      <c r="Y32" s="431">
        <f>AN_TME23[[#This Row],[TOTAL Non-Truncated Unadjusted Claims Expenses]]-AN_TME23[[#This Row],[Total Claims Excluded because of Truncation]]</f>
        <v>0</v>
      </c>
      <c r="Z32" s="431">
        <f t="shared" si="0"/>
        <v>0</v>
      </c>
      <c r="AA32" s="431">
        <f>AN_TME23[[#This Row],[TOTAL Non-Truncated Unadjusted Claims Expenses]]+AN_TME23[[#This Row],[TOTAL Non-Claims Expenses]]</f>
        <v>0</v>
      </c>
      <c r="AB32" s="431">
        <f>AN_TME23[[#This Row],[TOTAL Truncated Unadjusted Claims Expenses (A21 -A19)]]+AN_TME23[[#This Row],[TOTAL Non-Claims Expenses]]</f>
        <v>0</v>
      </c>
      <c r="AC32" s="475">
        <f>IFERROR(AN_TME23[[#This Row],[TOTAL Non-Truncated Unadjusted Expenses (A21 + A23)]]/AN_TME23[[#This Row],[Member Months]],0)</f>
        <v>0</v>
      </c>
      <c r="AD32" s="475">
        <f>IFERROR(AN_TME23[[#This Row],[TOTAL Truncated Unadjusted Expenses (A22 + A23)]]/AN_TME23[[#This Row],[Member Months]],0)</f>
        <v>0</v>
      </c>
      <c r="AE32" s="441">
        <f>IFERROR(AN_TME23[[#This Row],[Total Claims Excluded because of Truncation]]/AN_TME23[[#This Row],[Count of Members with Claims Truncated]], 0)</f>
        <v>0</v>
      </c>
      <c r="AF32" s="476">
        <f>IFERROR(AN_TME23[[#This Row],[Total Claims Excluded because of Truncation]]/AN_TME23[[#This Row],[TOTAL Non-Truncated Unadjusted Claims Expenses]], 0)</f>
        <v>0</v>
      </c>
    </row>
    <row r="33" spans="1:32" x14ac:dyDescent="0.25">
      <c r="A33" s="420"/>
      <c r="B33" s="421"/>
      <c r="C33" s="421"/>
      <c r="D33" s="422"/>
      <c r="E33" s="517"/>
      <c r="F33" s="423"/>
      <c r="G33" s="423"/>
      <c r="H33" s="423"/>
      <c r="I33" s="423"/>
      <c r="J33" s="423"/>
      <c r="K33" s="423"/>
      <c r="L33" s="423"/>
      <c r="M33" s="423"/>
      <c r="N33" s="423"/>
      <c r="O33" s="423"/>
      <c r="P33" s="423"/>
      <c r="Q33" s="423"/>
      <c r="R33" s="423"/>
      <c r="S33" s="423"/>
      <c r="T33" s="423"/>
      <c r="U33" s="423"/>
      <c r="V33" s="423"/>
      <c r="W33" s="435"/>
      <c r="X33" s="425">
        <f t="shared" si="1"/>
        <v>0</v>
      </c>
      <c r="Y33" s="425">
        <f>AN_TME23[[#This Row],[TOTAL Non-Truncated Unadjusted Claims Expenses]]-AN_TME23[[#This Row],[Total Claims Excluded because of Truncation]]</f>
        <v>0</v>
      </c>
      <c r="Z33" s="425">
        <f t="shared" si="0"/>
        <v>0</v>
      </c>
      <c r="AA33" s="425">
        <f>AN_TME23[[#This Row],[TOTAL Non-Truncated Unadjusted Claims Expenses]]+AN_TME23[[#This Row],[TOTAL Non-Claims Expenses]]</f>
        <v>0</v>
      </c>
      <c r="AB33" s="425">
        <f>AN_TME23[[#This Row],[TOTAL Truncated Unadjusted Claims Expenses (A21 -A19)]]+AN_TME23[[#This Row],[TOTAL Non-Claims Expenses]]</f>
        <v>0</v>
      </c>
      <c r="AC33" s="474">
        <f>IFERROR(AN_TME23[[#This Row],[TOTAL Non-Truncated Unadjusted Expenses (A21 + A23)]]/AN_TME23[[#This Row],[Member Months]],0)</f>
        <v>0</v>
      </c>
      <c r="AD33" s="474">
        <f>IFERROR(AN_TME23[[#This Row],[TOTAL Truncated Unadjusted Expenses (A22 + A23)]]/AN_TME23[[#This Row],[Member Months]],0)</f>
        <v>0</v>
      </c>
      <c r="AE33" s="441">
        <f>IFERROR(AN_TME23[[#This Row],[Total Claims Excluded because of Truncation]]/AN_TME23[[#This Row],[Count of Members with Claims Truncated]], 0)</f>
        <v>0</v>
      </c>
      <c r="AF33" s="476">
        <f>IFERROR(AN_TME23[[#This Row],[Total Claims Excluded because of Truncation]]/AN_TME23[[#This Row],[TOTAL Non-Truncated Unadjusted Claims Expenses]], 0)</f>
        <v>0</v>
      </c>
    </row>
    <row r="34" spans="1:32" x14ac:dyDescent="0.25">
      <c r="A34" s="426"/>
      <c r="B34" s="427"/>
      <c r="C34" s="427"/>
      <c r="D34" s="428"/>
      <c r="E34" s="517"/>
      <c r="F34" s="429"/>
      <c r="G34" s="429"/>
      <c r="H34" s="429"/>
      <c r="I34" s="429"/>
      <c r="J34" s="429"/>
      <c r="K34" s="429"/>
      <c r="L34" s="429"/>
      <c r="M34" s="429"/>
      <c r="N34" s="429"/>
      <c r="O34" s="429"/>
      <c r="P34" s="429"/>
      <c r="Q34" s="429"/>
      <c r="R34" s="429"/>
      <c r="S34" s="429"/>
      <c r="T34" s="429"/>
      <c r="U34" s="429"/>
      <c r="V34" s="429"/>
      <c r="W34" s="436"/>
      <c r="X34" s="431">
        <f t="shared" si="1"/>
        <v>0</v>
      </c>
      <c r="Y34" s="431">
        <f>AN_TME23[[#This Row],[TOTAL Non-Truncated Unadjusted Claims Expenses]]-AN_TME23[[#This Row],[Total Claims Excluded because of Truncation]]</f>
        <v>0</v>
      </c>
      <c r="Z34" s="431">
        <f t="shared" si="0"/>
        <v>0</v>
      </c>
      <c r="AA34" s="431">
        <f>AN_TME23[[#This Row],[TOTAL Non-Truncated Unadjusted Claims Expenses]]+AN_TME23[[#This Row],[TOTAL Non-Claims Expenses]]</f>
        <v>0</v>
      </c>
      <c r="AB34" s="431">
        <f>AN_TME23[[#This Row],[TOTAL Truncated Unadjusted Claims Expenses (A21 -A19)]]+AN_TME23[[#This Row],[TOTAL Non-Claims Expenses]]</f>
        <v>0</v>
      </c>
      <c r="AC34" s="475">
        <f>IFERROR(AN_TME23[[#This Row],[TOTAL Non-Truncated Unadjusted Expenses (A21 + A23)]]/AN_TME23[[#This Row],[Member Months]],0)</f>
        <v>0</v>
      </c>
      <c r="AD34" s="475">
        <f>IFERROR(AN_TME23[[#This Row],[TOTAL Truncated Unadjusted Expenses (A22 + A23)]]/AN_TME23[[#This Row],[Member Months]],0)</f>
        <v>0</v>
      </c>
      <c r="AE34" s="441">
        <f>IFERROR(AN_TME23[[#This Row],[Total Claims Excluded because of Truncation]]/AN_TME23[[#This Row],[Count of Members with Claims Truncated]], 0)</f>
        <v>0</v>
      </c>
      <c r="AF34" s="476">
        <f>IFERROR(AN_TME23[[#This Row],[Total Claims Excluded because of Truncation]]/AN_TME23[[#This Row],[TOTAL Non-Truncated Unadjusted Claims Expenses]], 0)</f>
        <v>0</v>
      </c>
    </row>
    <row r="35" spans="1:32" x14ac:dyDescent="0.25">
      <c r="A35" s="420"/>
      <c r="B35" s="421"/>
      <c r="C35" s="421"/>
      <c r="D35" s="422"/>
      <c r="E35" s="517"/>
      <c r="F35" s="423"/>
      <c r="G35" s="423"/>
      <c r="H35" s="423"/>
      <c r="I35" s="423"/>
      <c r="J35" s="423"/>
      <c r="K35" s="423"/>
      <c r="L35" s="423"/>
      <c r="M35" s="423"/>
      <c r="N35" s="423"/>
      <c r="O35" s="423"/>
      <c r="P35" s="423"/>
      <c r="Q35" s="423"/>
      <c r="R35" s="423"/>
      <c r="S35" s="423"/>
      <c r="T35" s="423"/>
      <c r="U35" s="423"/>
      <c r="V35" s="423"/>
      <c r="W35" s="435"/>
      <c r="X35" s="425">
        <f t="shared" si="1"/>
        <v>0</v>
      </c>
      <c r="Y35" s="425">
        <f>AN_TME23[[#This Row],[TOTAL Non-Truncated Unadjusted Claims Expenses]]-AN_TME23[[#This Row],[Total Claims Excluded because of Truncation]]</f>
        <v>0</v>
      </c>
      <c r="Z35" s="425">
        <f t="shared" si="0"/>
        <v>0</v>
      </c>
      <c r="AA35" s="425">
        <f>AN_TME23[[#This Row],[TOTAL Non-Truncated Unadjusted Claims Expenses]]+AN_TME23[[#This Row],[TOTAL Non-Claims Expenses]]</f>
        <v>0</v>
      </c>
      <c r="AB35" s="425">
        <f>AN_TME23[[#This Row],[TOTAL Truncated Unadjusted Claims Expenses (A21 -A19)]]+AN_TME23[[#This Row],[TOTAL Non-Claims Expenses]]</f>
        <v>0</v>
      </c>
      <c r="AC35" s="474">
        <f>IFERROR(AN_TME23[[#This Row],[TOTAL Non-Truncated Unadjusted Expenses (A21 + A23)]]/AN_TME23[[#This Row],[Member Months]],0)</f>
        <v>0</v>
      </c>
      <c r="AD35" s="474">
        <f>IFERROR(AN_TME23[[#This Row],[TOTAL Truncated Unadjusted Expenses (A22 + A23)]]/AN_TME23[[#This Row],[Member Months]],0)</f>
        <v>0</v>
      </c>
      <c r="AE35" s="441">
        <f>IFERROR(AN_TME23[[#This Row],[Total Claims Excluded because of Truncation]]/AN_TME23[[#This Row],[Count of Members with Claims Truncated]], 0)</f>
        <v>0</v>
      </c>
      <c r="AF35" s="476">
        <f>IFERROR(AN_TME23[[#This Row],[Total Claims Excluded because of Truncation]]/AN_TME23[[#This Row],[TOTAL Non-Truncated Unadjusted Claims Expenses]], 0)</f>
        <v>0</v>
      </c>
    </row>
    <row r="36" spans="1:32" x14ac:dyDescent="0.25">
      <c r="A36" s="426"/>
      <c r="B36" s="427"/>
      <c r="C36" s="427"/>
      <c r="D36" s="428"/>
      <c r="E36" s="517"/>
      <c r="F36" s="429"/>
      <c r="G36" s="429"/>
      <c r="H36" s="429"/>
      <c r="I36" s="429"/>
      <c r="J36" s="429"/>
      <c r="K36" s="429"/>
      <c r="L36" s="429"/>
      <c r="M36" s="429"/>
      <c r="N36" s="429"/>
      <c r="O36" s="429"/>
      <c r="P36" s="429"/>
      <c r="Q36" s="429"/>
      <c r="R36" s="429"/>
      <c r="S36" s="429"/>
      <c r="T36" s="429"/>
      <c r="U36" s="429"/>
      <c r="V36" s="429"/>
      <c r="W36" s="436"/>
      <c r="X36" s="431">
        <f t="shared" si="1"/>
        <v>0</v>
      </c>
      <c r="Y36" s="431">
        <f>AN_TME23[[#This Row],[TOTAL Non-Truncated Unadjusted Claims Expenses]]-AN_TME23[[#This Row],[Total Claims Excluded because of Truncation]]</f>
        <v>0</v>
      </c>
      <c r="Z36" s="431">
        <f t="shared" si="0"/>
        <v>0</v>
      </c>
      <c r="AA36" s="431">
        <f>AN_TME23[[#This Row],[TOTAL Non-Truncated Unadjusted Claims Expenses]]+AN_TME23[[#This Row],[TOTAL Non-Claims Expenses]]</f>
        <v>0</v>
      </c>
      <c r="AB36" s="431">
        <f>AN_TME23[[#This Row],[TOTAL Truncated Unadjusted Claims Expenses (A21 -A19)]]+AN_TME23[[#This Row],[TOTAL Non-Claims Expenses]]</f>
        <v>0</v>
      </c>
      <c r="AC36" s="475">
        <f>IFERROR(AN_TME23[[#This Row],[TOTAL Non-Truncated Unadjusted Expenses (A21 + A23)]]/AN_TME23[[#This Row],[Member Months]],0)</f>
        <v>0</v>
      </c>
      <c r="AD36" s="475">
        <f>IFERROR(AN_TME23[[#This Row],[TOTAL Truncated Unadjusted Expenses (A22 + A23)]]/AN_TME23[[#This Row],[Member Months]],0)</f>
        <v>0</v>
      </c>
      <c r="AE36" s="441">
        <f>IFERROR(AN_TME23[[#This Row],[Total Claims Excluded because of Truncation]]/AN_TME23[[#This Row],[Count of Members with Claims Truncated]], 0)</f>
        <v>0</v>
      </c>
      <c r="AF36" s="476">
        <f>IFERROR(AN_TME23[[#This Row],[Total Claims Excluded because of Truncation]]/AN_TME23[[#This Row],[TOTAL Non-Truncated Unadjusted Claims Expenses]], 0)</f>
        <v>0</v>
      </c>
    </row>
    <row r="37" spans="1:32" x14ac:dyDescent="0.25">
      <c r="A37" s="420"/>
      <c r="B37" s="421"/>
      <c r="C37" s="421"/>
      <c r="D37" s="422"/>
      <c r="E37" s="517"/>
      <c r="F37" s="423"/>
      <c r="G37" s="423"/>
      <c r="H37" s="423"/>
      <c r="I37" s="423"/>
      <c r="J37" s="423"/>
      <c r="K37" s="423"/>
      <c r="L37" s="423"/>
      <c r="M37" s="423"/>
      <c r="N37" s="423"/>
      <c r="O37" s="423"/>
      <c r="P37" s="423"/>
      <c r="Q37" s="423"/>
      <c r="R37" s="423"/>
      <c r="S37" s="423"/>
      <c r="T37" s="423"/>
      <c r="U37" s="423"/>
      <c r="V37" s="423"/>
      <c r="W37" s="435"/>
      <c r="X37" s="425">
        <f t="shared" si="1"/>
        <v>0</v>
      </c>
      <c r="Y37" s="425">
        <f>AN_TME23[[#This Row],[TOTAL Non-Truncated Unadjusted Claims Expenses]]-AN_TME23[[#This Row],[Total Claims Excluded because of Truncation]]</f>
        <v>0</v>
      </c>
      <c r="Z37" s="425">
        <f t="shared" si="0"/>
        <v>0</v>
      </c>
      <c r="AA37" s="425">
        <f>AN_TME23[[#This Row],[TOTAL Non-Truncated Unadjusted Claims Expenses]]+AN_TME23[[#This Row],[TOTAL Non-Claims Expenses]]</f>
        <v>0</v>
      </c>
      <c r="AB37" s="425">
        <f>AN_TME23[[#This Row],[TOTAL Truncated Unadjusted Claims Expenses (A21 -A19)]]+AN_TME23[[#This Row],[TOTAL Non-Claims Expenses]]</f>
        <v>0</v>
      </c>
      <c r="AC37" s="474">
        <f>IFERROR(AN_TME23[[#This Row],[TOTAL Non-Truncated Unadjusted Expenses (A21 + A23)]]/AN_TME23[[#This Row],[Member Months]],0)</f>
        <v>0</v>
      </c>
      <c r="AD37" s="474">
        <f>IFERROR(AN_TME23[[#This Row],[TOTAL Truncated Unadjusted Expenses (A22 + A23)]]/AN_TME23[[#This Row],[Member Months]],0)</f>
        <v>0</v>
      </c>
      <c r="AE37" s="441">
        <f>IFERROR(AN_TME23[[#This Row],[Total Claims Excluded because of Truncation]]/AN_TME23[[#This Row],[Count of Members with Claims Truncated]], 0)</f>
        <v>0</v>
      </c>
      <c r="AF37" s="476">
        <f>IFERROR(AN_TME23[[#This Row],[Total Claims Excluded because of Truncation]]/AN_TME23[[#This Row],[TOTAL Non-Truncated Unadjusted Claims Expenses]], 0)</f>
        <v>0</v>
      </c>
    </row>
    <row r="38" spans="1:32" x14ac:dyDescent="0.25">
      <c r="A38" s="426"/>
      <c r="B38" s="427"/>
      <c r="C38" s="427"/>
      <c r="D38" s="428"/>
      <c r="E38" s="517"/>
      <c r="F38" s="429"/>
      <c r="G38" s="429"/>
      <c r="H38" s="429"/>
      <c r="I38" s="429"/>
      <c r="J38" s="429"/>
      <c r="K38" s="429"/>
      <c r="L38" s="429"/>
      <c r="M38" s="429"/>
      <c r="N38" s="429"/>
      <c r="O38" s="429"/>
      <c r="P38" s="429"/>
      <c r="Q38" s="429"/>
      <c r="R38" s="429"/>
      <c r="S38" s="429"/>
      <c r="T38" s="429"/>
      <c r="U38" s="429"/>
      <c r="V38" s="429"/>
      <c r="W38" s="436"/>
      <c r="X38" s="431">
        <f t="shared" si="1"/>
        <v>0</v>
      </c>
      <c r="Y38" s="431">
        <f>AN_TME23[[#This Row],[TOTAL Non-Truncated Unadjusted Claims Expenses]]-AN_TME23[[#This Row],[Total Claims Excluded because of Truncation]]</f>
        <v>0</v>
      </c>
      <c r="Z38" s="431">
        <f t="shared" si="0"/>
        <v>0</v>
      </c>
      <c r="AA38" s="431">
        <f>AN_TME23[[#This Row],[TOTAL Non-Truncated Unadjusted Claims Expenses]]+AN_TME23[[#This Row],[TOTAL Non-Claims Expenses]]</f>
        <v>0</v>
      </c>
      <c r="AB38" s="431">
        <f>AN_TME23[[#This Row],[TOTAL Truncated Unadjusted Claims Expenses (A21 -A19)]]+AN_TME23[[#This Row],[TOTAL Non-Claims Expenses]]</f>
        <v>0</v>
      </c>
      <c r="AC38" s="475">
        <f>IFERROR(AN_TME23[[#This Row],[TOTAL Non-Truncated Unadjusted Expenses (A21 + A23)]]/AN_TME23[[#This Row],[Member Months]],0)</f>
        <v>0</v>
      </c>
      <c r="AD38" s="475">
        <f>IFERROR(AN_TME23[[#This Row],[TOTAL Truncated Unadjusted Expenses (A22 + A23)]]/AN_TME23[[#This Row],[Member Months]],0)</f>
        <v>0</v>
      </c>
      <c r="AE38" s="441">
        <f>IFERROR(AN_TME23[[#This Row],[Total Claims Excluded because of Truncation]]/AN_TME23[[#This Row],[Count of Members with Claims Truncated]], 0)</f>
        <v>0</v>
      </c>
      <c r="AF38" s="476">
        <f>IFERROR(AN_TME23[[#This Row],[Total Claims Excluded because of Truncation]]/AN_TME23[[#This Row],[TOTAL Non-Truncated Unadjusted Claims Expenses]], 0)</f>
        <v>0</v>
      </c>
    </row>
    <row r="39" spans="1:32" x14ac:dyDescent="0.25">
      <c r="A39" s="420"/>
      <c r="B39" s="421"/>
      <c r="C39" s="421"/>
      <c r="D39" s="422"/>
      <c r="E39" s="517"/>
      <c r="F39" s="423"/>
      <c r="G39" s="423"/>
      <c r="H39" s="423"/>
      <c r="I39" s="423"/>
      <c r="J39" s="423"/>
      <c r="K39" s="423"/>
      <c r="L39" s="423"/>
      <c r="M39" s="423"/>
      <c r="N39" s="423"/>
      <c r="O39" s="423"/>
      <c r="P39" s="423"/>
      <c r="Q39" s="423"/>
      <c r="R39" s="423"/>
      <c r="S39" s="423"/>
      <c r="T39" s="423"/>
      <c r="U39" s="423"/>
      <c r="V39" s="423"/>
      <c r="W39" s="435"/>
      <c r="X39" s="425">
        <f t="shared" si="1"/>
        <v>0</v>
      </c>
      <c r="Y39" s="425">
        <f>AN_TME23[[#This Row],[TOTAL Non-Truncated Unadjusted Claims Expenses]]-AN_TME23[[#This Row],[Total Claims Excluded because of Truncation]]</f>
        <v>0</v>
      </c>
      <c r="Z39" s="425">
        <f t="shared" si="0"/>
        <v>0</v>
      </c>
      <c r="AA39" s="425">
        <f>AN_TME23[[#This Row],[TOTAL Non-Truncated Unadjusted Claims Expenses]]+AN_TME23[[#This Row],[TOTAL Non-Claims Expenses]]</f>
        <v>0</v>
      </c>
      <c r="AB39" s="425">
        <f>AN_TME23[[#This Row],[TOTAL Truncated Unadjusted Claims Expenses (A21 -A19)]]+AN_TME23[[#This Row],[TOTAL Non-Claims Expenses]]</f>
        <v>0</v>
      </c>
      <c r="AC39" s="474">
        <f>IFERROR(AN_TME23[[#This Row],[TOTAL Non-Truncated Unadjusted Expenses (A21 + A23)]]/AN_TME23[[#This Row],[Member Months]],0)</f>
        <v>0</v>
      </c>
      <c r="AD39" s="474">
        <f>IFERROR(AN_TME23[[#This Row],[TOTAL Truncated Unadjusted Expenses (A22 + A23)]]/AN_TME23[[#This Row],[Member Months]],0)</f>
        <v>0</v>
      </c>
      <c r="AE39" s="441">
        <f>IFERROR(AN_TME23[[#This Row],[Total Claims Excluded because of Truncation]]/AN_TME23[[#This Row],[Count of Members with Claims Truncated]], 0)</f>
        <v>0</v>
      </c>
      <c r="AF39" s="476">
        <f>IFERROR(AN_TME23[[#This Row],[Total Claims Excluded because of Truncation]]/AN_TME23[[#This Row],[TOTAL Non-Truncated Unadjusted Claims Expenses]], 0)</f>
        <v>0</v>
      </c>
    </row>
    <row r="40" spans="1:32" x14ac:dyDescent="0.25">
      <c r="A40" s="426"/>
      <c r="B40" s="427"/>
      <c r="C40" s="427"/>
      <c r="D40" s="428"/>
      <c r="E40" s="517"/>
      <c r="F40" s="429"/>
      <c r="G40" s="429"/>
      <c r="H40" s="429"/>
      <c r="I40" s="429"/>
      <c r="J40" s="429"/>
      <c r="K40" s="429"/>
      <c r="L40" s="429"/>
      <c r="M40" s="429"/>
      <c r="N40" s="429"/>
      <c r="O40" s="429"/>
      <c r="P40" s="429"/>
      <c r="Q40" s="429"/>
      <c r="R40" s="429"/>
      <c r="S40" s="429"/>
      <c r="T40" s="429"/>
      <c r="U40" s="429"/>
      <c r="V40" s="429"/>
      <c r="W40" s="436"/>
      <c r="X40" s="431">
        <f t="shared" si="1"/>
        <v>0</v>
      </c>
      <c r="Y40" s="431">
        <f>AN_TME23[[#This Row],[TOTAL Non-Truncated Unadjusted Claims Expenses]]-AN_TME23[[#This Row],[Total Claims Excluded because of Truncation]]</f>
        <v>0</v>
      </c>
      <c r="Z40" s="431">
        <f t="shared" si="0"/>
        <v>0</v>
      </c>
      <c r="AA40" s="431">
        <f>AN_TME23[[#This Row],[TOTAL Non-Truncated Unadjusted Claims Expenses]]+AN_TME23[[#This Row],[TOTAL Non-Claims Expenses]]</f>
        <v>0</v>
      </c>
      <c r="AB40" s="431">
        <f>AN_TME23[[#This Row],[TOTAL Truncated Unadjusted Claims Expenses (A21 -A19)]]+AN_TME23[[#This Row],[TOTAL Non-Claims Expenses]]</f>
        <v>0</v>
      </c>
      <c r="AC40" s="475">
        <f>IFERROR(AN_TME23[[#This Row],[TOTAL Non-Truncated Unadjusted Expenses (A21 + A23)]]/AN_TME23[[#This Row],[Member Months]],0)</f>
        <v>0</v>
      </c>
      <c r="AD40" s="475">
        <f>IFERROR(AN_TME23[[#This Row],[TOTAL Truncated Unadjusted Expenses (A22 + A23)]]/AN_TME23[[#This Row],[Member Months]],0)</f>
        <v>0</v>
      </c>
      <c r="AE40" s="441">
        <f>IFERROR(AN_TME23[[#This Row],[Total Claims Excluded because of Truncation]]/AN_TME23[[#This Row],[Count of Members with Claims Truncated]], 0)</f>
        <v>0</v>
      </c>
      <c r="AF40" s="476">
        <f>IFERROR(AN_TME23[[#This Row],[Total Claims Excluded because of Truncation]]/AN_TME23[[#This Row],[TOTAL Non-Truncated Unadjusted Claims Expenses]], 0)</f>
        <v>0</v>
      </c>
    </row>
    <row r="41" spans="1:32" x14ac:dyDescent="0.25">
      <c r="A41" s="420"/>
      <c r="B41" s="421"/>
      <c r="C41" s="421"/>
      <c r="D41" s="422"/>
      <c r="E41" s="516"/>
      <c r="F41" s="423"/>
      <c r="G41" s="423"/>
      <c r="H41" s="423"/>
      <c r="I41" s="423"/>
      <c r="J41" s="423"/>
      <c r="K41" s="423"/>
      <c r="L41" s="423"/>
      <c r="M41" s="423"/>
      <c r="N41" s="423"/>
      <c r="O41" s="423"/>
      <c r="P41" s="423"/>
      <c r="Q41" s="423"/>
      <c r="R41" s="423"/>
      <c r="S41" s="423"/>
      <c r="T41" s="423"/>
      <c r="U41" s="423"/>
      <c r="V41" s="423"/>
      <c r="W41" s="435"/>
      <c r="X41" s="425">
        <f t="shared" si="1"/>
        <v>0</v>
      </c>
      <c r="Y41" s="425">
        <f>AN_TME23[[#This Row],[TOTAL Non-Truncated Unadjusted Claims Expenses]]-AN_TME23[[#This Row],[Total Claims Excluded because of Truncation]]</f>
        <v>0</v>
      </c>
      <c r="Z41" s="425">
        <f t="shared" si="0"/>
        <v>0</v>
      </c>
      <c r="AA41" s="425">
        <f>AN_TME23[[#This Row],[TOTAL Non-Truncated Unadjusted Claims Expenses]]+AN_TME23[[#This Row],[TOTAL Non-Claims Expenses]]</f>
        <v>0</v>
      </c>
      <c r="AB41" s="425">
        <f>AN_TME23[[#This Row],[TOTAL Truncated Unadjusted Claims Expenses (A21 -A19)]]+AN_TME23[[#This Row],[TOTAL Non-Claims Expenses]]</f>
        <v>0</v>
      </c>
      <c r="AC41" s="474">
        <f>IFERROR(AN_TME23[[#This Row],[TOTAL Non-Truncated Unadjusted Expenses (A21 + A23)]]/AN_TME23[[#This Row],[Member Months]],0)</f>
        <v>0</v>
      </c>
      <c r="AD41" s="474">
        <f>IFERROR(AN_TME23[[#This Row],[TOTAL Truncated Unadjusted Expenses (A22 + A23)]]/AN_TME23[[#This Row],[Member Months]],0)</f>
        <v>0</v>
      </c>
      <c r="AE41" s="441">
        <f>IFERROR(AN_TME23[[#This Row],[Total Claims Excluded because of Truncation]]/AN_TME23[[#This Row],[Count of Members with Claims Truncated]], 0)</f>
        <v>0</v>
      </c>
      <c r="AF41" s="476">
        <f>IFERROR(AN_TME23[[#This Row],[Total Claims Excluded because of Truncation]]/AN_TME23[[#This Row],[TOTAL Non-Truncated Unadjusted Claims Expenses]], 0)</f>
        <v>0</v>
      </c>
    </row>
    <row r="42" spans="1:32" x14ac:dyDescent="0.25">
      <c r="A42" s="426"/>
      <c r="B42" s="427"/>
      <c r="C42" s="427"/>
      <c r="D42" s="428"/>
      <c r="E42" s="517"/>
      <c r="F42" s="429"/>
      <c r="G42" s="429"/>
      <c r="H42" s="429"/>
      <c r="I42" s="429"/>
      <c r="J42" s="429"/>
      <c r="K42" s="429"/>
      <c r="L42" s="429"/>
      <c r="M42" s="429"/>
      <c r="N42" s="429"/>
      <c r="O42" s="429"/>
      <c r="P42" s="429"/>
      <c r="Q42" s="429"/>
      <c r="R42" s="429"/>
      <c r="S42" s="429"/>
      <c r="T42" s="429"/>
      <c r="U42" s="429"/>
      <c r="V42" s="429"/>
      <c r="W42" s="436"/>
      <c r="X42" s="431">
        <f t="shared" si="1"/>
        <v>0</v>
      </c>
      <c r="Y42" s="431">
        <f>AN_TME23[[#This Row],[TOTAL Non-Truncated Unadjusted Claims Expenses]]-AN_TME23[[#This Row],[Total Claims Excluded because of Truncation]]</f>
        <v>0</v>
      </c>
      <c r="Z42" s="431">
        <f t="shared" si="0"/>
        <v>0</v>
      </c>
      <c r="AA42" s="431">
        <f>AN_TME23[[#This Row],[TOTAL Non-Truncated Unadjusted Claims Expenses]]+AN_TME23[[#This Row],[TOTAL Non-Claims Expenses]]</f>
        <v>0</v>
      </c>
      <c r="AB42" s="431">
        <f>AN_TME23[[#This Row],[TOTAL Truncated Unadjusted Claims Expenses (A21 -A19)]]+AN_TME23[[#This Row],[TOTAL Non-Claims Expenses]]</f>
        <v>0</v>
      </c>
      <c r="AC42" s="475">
        <f>IFERROR(AN_TME23[[#This Row],[TOTAL Non-Truncated Unadjusted Expenses (A21 + A23)]]/AN_TME23[[#This Row],[Member Months]],0)</f>
        <v>0</v>
      </c>
      <c r="AD42" s="475">
        <f>IFERROR(AN_TME23[[#This Row],[TOTAL Truncated Unadjusted Expenses (A22 + A23)]]/AN_TME23[[#This Row],[Member Months]],0)</f>
        <v>0</v>
      </c>
      <c r="AE42" s="441">
        <f>IFERROR(AN_TME23[[#This Row],[Total Claims Excluded because of Truncation]]/AN_TME23[[#This Row],[Count of Members with Claims Truncated]], 0)</f>
        <v>0</v>
      </c>
      <c r="AF42" s="476">
        <f>IFERROR(AN_TME23[[#This Row],[Total Claims Excluded because of Truncation]]/AN_TME23[[#This Row],[TOTAL Non-Truncated Unadjusted Claims Expenses]], 0)</f>
        <v>0</v>
      </c>
    </row>
    <row r="43" spans="1:32" x14ac:dyDescent="0.25">
      <c r="A43" s="420"/>
      <c r="B43" s="421"/>
      <c r="C43" s="421"/>
      <c r="D43" s="422"/>
      <c r="E43" s="517"/>
      <c r="F43" s="423"/>
      <c r="G43" s="423"/>
      <c r="H43" s="423"/>
      <c r="I43" s="423"/>
      <c r="J43" s="423"/>
      <c r="K43" s="423"/>
      <c r="L43" s="423"/>
      <c r="M43" s="423"/>
      <c r="N43" s="423"/>
      <c r="O43" s="423"/>
      <c r="P43" s="423"/>
      <c r="Q43" s="423"/>
      <c r="R43" s="423"/>
      <c r="S43" s="423"/>
      <c r="T43" s="423"/>
      <c r="U43" s="423"/>
      <c r="V43" s="423"/>
      <c r="W43" s="435"/>
      <c r="X43" s="425">
        <f t="shared" ref="X43:X74" si="2">SUM(F43:H43)+SUM(J43:N43)</f>
        <v>0</v>
      </c>
      <c r="Y43" s="425">
        <f>AN_TME23[[#This Row],[TOTAL Non-Truncated Unadjusted Claims Expenses]]-AN_TME23[[#This Row],[Total Claims Excluded because of Truncation]]</f>
        <v>0</v>
      </c>
      <c r="Z43" s="425">
        <f t="shared" ref="Z43:Z74" si="3">SUM(O43:T43)</f>
        <v>0</v>
      </c>
      <c r="AA43" s="425">
        <f>AN_TME23[[#This Row],[TOTAL Non-Truncated Unadjusted Claims Expenses]]+AN_TME23[[#This Row],[TOTAL Non-Claims Expenses]]</f>
        <v>0</v>
      </c>
      <c r="AB43" s="425">
        <f>AN_TME23[[#This Row],[TOTAL Truncated Unadjusted Claims Expenses (A21 -A19)]]+AN_TME23[[#This Row],[TOTAL Non-Claims Expenses]]</f>
        <v>0</v>
      </c>
      <c r="AC43" s="474">
        <f>IFERROR(AN_TME23[[#This Row],[TOTAL Non-Truncated Unadjusted Expenses (A21 + A23)]]/AN_TME23[[#This Row],[Member Months]],0)</f>
        <v>0</v>
      </c>
      <c r="AD43" s="474">
        <f>IFERROR(AN_TME23[[#This Row],[TOTAL Truncated Unadjusted Expenses (A22 + A23)]]/AN_TME23[[#This Row],[Member Months]],0)</f>
        <v>0</v>
      </c>
      <c r="AE43" s="441">
        <f>IFERROR(AN_TME23[[#This Row],[Total Claims Excluded because of Truncation]]/AN_TME23[[#This Row],[Count of Members with Claims Truncated]], 0)</f>
        <v>0</v>
      </c>
      <c r="AF43" s="476">
        <f>IFERROR(AN_TME23[[#This Row],[Total Claims Excluded because of Truncation]]/AN_TME23[[#This Row],[TOTAL Non-Truncated Unadjusted Claims Expenses]], 0)</f>
        <v>0</v>
      </c>
    </row>
    <row r="44" spans="1:32" x14ac:dyDescent="0.25">
      <c r="A44" s="426"/>
      <c r="B44" s="427"/>
      <c r="C44" s="427"/>
      <c r="D44" s="428"/>
      <c r="E44" s="517"/>
      <c r="F44" s="429"/>
      <c r="G44" s="429"/>
      <c r="H44" s="429"/>
      <c r="I44" s="429"/>
      <c r="J44" s="429"/>
      <c r="K44" s="429"/>
      <c r="L44" s="429"/>
      <c r="M44" s="429"/>
      <c r="N44" s="429"/>
      <c r="O44" s="429"/>
      <c r="P44" s="429"/>
      <c r="Q44" s="429"/>
      <c r="R44" s="429"/>
      <c r="S44" s="429"/>
      <c r="T44" s="429"/>
      <c r="U44" s="429"/>
      <c r="V44" s="429"/>
      <c r="W44" s="436"/>
      <c r="X44" s="431">
        <f t="shared" si="2"/>
        <v>0</v>
      </c>
      <c r="Y44" s="431">
        <f>AN_TME23[[#This Row],[TOTAL Non-Truncated Unadjusted Claims Expenses]]-AN_TME23[[#This Row],[Total Claims Excluded because of Truncation]]</f>
        <v>0</v>
      </c>
      <c r="Z44" s="431">
        <f t="shared" si="3"/>
        <v>0</v>
      </c>
      <c r="AA44" s="431">
        <f>AN_TME23[[#This Row],[TOTAL Non-Truncated Unadjusted Claims Expenses]]+AN_TME23[[#This Row],[TOTAL Non-Claims Expenses]]</f>
        <v>0</v>
      </c>
      <c r="AB44" s="431">
        <f>AN_TME23[[#This Row],[TOTAL Truncated Unadjusted Claims Expenses (A21 -A19)]]+AN_TME23[[#This Row],[TOTAL Non-Claims Expenses]]</f>
        <v>0</v>
      </c>
      <c r="AC44" s="475">
        <f>IFERROR(AN_TME23[[#This Row],[TOTAL Non-Truncated Unadjusted Expenses (A21 + A23)]]/AN_TME23[[#This Row],[Member Months]],0)</f>
        <v>0</v>
      </c>
      <c r="AD44" s="475">
        <f>IFERROR(AN_TME23[[#This Row],[TOTAL Truncated Unadjusted Expenses (A22 + A23)]]/AN_TME23[[#This Row],[Member Months]],0)</f>
        <v>0</v>
      </c>
      <c r="AE44" s="441">
        <f>IFERROR(AN_TME23[[#This Row],[Total Claims Excluded because of Truncation]]/AN_TME23[[#This Row],[Count of Members with Claims Truncated]], 0)</f>
        <v>0</v>
      </c>
      <c r="AF44" s="476">
        <f>IFERROR(AN_TME23[[#This Row],[Total Claims Excluded because of Truncation]]/AN_TME23[[#This Row],[TOTAL Non-Truncated Unadjusted Claims Expenses]], 0)</f>
        <v>0</v>
      </c>
    </row>
    <row r="45" spans="1:32" x14ac:dyDescent="0.25">
      <c r="A45" s="420"/>
      <c r="B45" s="421"/>
      <c r="C45" s="421"/>
      <c r="D45" s="422"/>
      <c r="E45" s="517"/>
      <c r="F45" s="423"/>
      <c r="G45" s="423"/>
      <c r="H45" s="423"/>
      <c r="I45" s="423"/>
      <c r="J45" s="423"/>
      <c r="K45" s="423"/>
      <c r="L45" s="423"/>
      <c r="M45" s="423"/>
      <c r="N45" s="423"/>
      <c r="O45" s="423"/>
      <c r="P45" s="423"/>
      <c r="Q45" s="423"/>
      <c r="R45" s="423"/>
      <c r="S45" s="423"/>
      <c r="T45" s="423"/>
      <c r="U45" s="423"/>
      <c r="V45" s="423"/>
      <c r="W45" s="435"/>
      <c r="X45" s="425">
        <f t="shared" si="2"/>
        <v>0</v>
      </c>
      <c r="Y45" s="425">
        <f>AN_TME23[[#This Row],[TOTAL Non-Truncated Unadjusted Claims Expenses]]-AN_TME23[[#This Row],[Total Claims Excluded because of Truncation]]</f>
        <v>0</v>
      </c>
      <c r="Z45" s="425">
        <f t="shared" si="3"/>
        <v>0</v>
      </c>
      <c r="AA45" s="425">
        <f>AN_TME23[[#This Row],[TOTAL Non-Truncated Unadjusted Claims Expenses]]+AN_TME23[[#This Row],[TOTAL Non-Claims Expenses]]</f>
        <v>0</v>
      </c>
      <c r="AB45" s="425">
        <f>AN_TME23[[#This Row],[TOTAL Truncated Unadjusted Claims Expenses (A21 -A19)]]+AN_TME23[[#This Row],[TOTAL Non-Claims Expenses]]</f>
        <v>0</v>
      </c>
      <c r="AC45" s="474">
        <f>IFERROR(AN_TME23[[#This Row],[TOTAL Non-Truncated Unadjusted Expenses (A21 + A23)]]/AN_TME23[[#This Row],[Member Months]],0)</f>
        <v>0</v>
      </c>
      <c r="AD45" s="474">
        <f>IFERROR(AN_TME23[[#This Row],[TOTAL Truncated Unadjusted Expenses (A22 + A23)]]/AN_TME23[[#This Row],[Member Months]],0)</f>
        <v>0</v>
      </c>
      <c r="AE45" s="441">
        <f>IFERROR(AN_TME23[[#This Row],[Total Claims Excluded because of Truncation]]/AN_TME23[[#This Row],[Count of Members with Claims Truncated]], 0)</f>
        <v>0</v>
      </c>
      <c r="AF45" s="476">
        <f>IFERROR(AN_TME23[[#This Row],[Total Claims Excluded because of Truncation]]/AN_TME23[[#This Row],[TOTAL Non-Truncated Unadjusted Claims Expenses]], 0)</f>
        <v>0</v>
      </c>
    </row>
    <row r="46" spans="1:32" x14ac:dyDescent="0.25">
      <c r="A46" s="426"/>
      <c r="B46" s="427"/>
      <c r="C46" s="427"/>
      <c r="D46" s="428"/>
      <c r="E46" s="517"/>
      <c r="F46" s="429"/>
      <c r="G46" s="429"/>
      <c r="H46" s="429"/>
      <c r="I46" s="429"/>
      <c r="J46" s="429"/>
      <c r="K46" s="429"/>
      <c r="L46" s="429"/>
      <c r="M46" s="429"/>
      <c r="N46" s="429"/>
      <c r="O46" s="429"/>
      <c r="P46" s="429"/>
      <c r="Q46" s="429"/>
      <c r="R46" s="429"/>
      <c r="S46" s="429"/>
      <c r="T46" s="429"/>
      <c r="U46" s="429"/>
      <c r="V46" s="429"/>
      <c r="W46" s="436"/>
      <c r="X46" s="431">
        <f t="shared" si="2"/>
        <v>0</v>
      </c>
      <c r="Y46" s="431">
        <f>AN_TME23[[#This Row],[TOTAL Non-Truncated Unadjusted Claims Expenses]]-AN_TME23[[#This Row],[Total Claims Excluded because of Truncation]]</f>
        <v>0</v>
      </c>
      <c r="Z46" s="431">
        <f t="shared" si="3"/>
        <v>0</v>
      </c>
      <c r="AA46" s="431">
        <f>AN_TME23[[#This Row],[TOTAL Non-Truncated Unadjusted Claims Expenses]]+AN_TME23[[#This Row],[TOTAL Non-Claims Expenses]]</f>
        <v>0</v>
      </c>
      <c r="AB46" s="431">
        <f>AN_TME23[[#This Row],[TOTAL Truncated Unadjusted Claims Expenses (A21 -A19)]]+AN_TME23[[#This Row],[TOTAL Non-Claims Expenses]]</f>
        <v>0</v>
      </c>
      <c r="AC46" s="475">
        <f>IFERROR(AN_TME23[[#This Row],[TOTAL Non-Truncated Unadjusted Expenses (A21 + A23)]]/AN_TME23[[#This Row],[Member Months]],0)</f>
        <v>0</v>
      </c>
      <c r="AD46" s="475">
        <f>IFERROR(AN_TME23[[#This Row],[TOTAL Truncated Unadjusted Expenses (A22 + A23)]]/AN_TME23[[#This Row],[Member Months]],0)</f>
        <v>0</v>
      </c>
      <c r="AE46" s="441">
        <f>IFERROR(AN_TME23[[#This Row],[Total Claims Excluded because of Truncation]]/AN_TME23[[#This Row],[Count of Members with Claims Truncated]], 0)</f>
        <v>0</v>
      </c>
      <c r="AF46" s="476">
        <f>IFERROR(AN_TME23[[#This Row],[Total Claims Excluded because of Truncation]]/AN_TME23[[#This Row],[TOTAL Non-Truncated Unadjusted Claims Expenses]], 0)</f>
        <v>0</v>
      </c>
    </row>
    <row r="47" spans="1:32" x14ac:dyDescent="0.25">
      <c r="A47" s="420"/>
      <c r="B47" s="421"/>
      <c r="C47" s="421"/>
      <c r="D47" s="422"/>
      <c r="E47" s="517"/>
      <c r="F47" s="423"/>
      <c r="G47" s="423"/>
      <c r="H47" s="423"/>
      <c r="I47" s="423"/>
      <c r="J47" s="423"/>
      <c r="K47" s="423"/>
      <c r="L47" s="423"/>
      <c r="M47" s="423"/>
      <c r="N47" s="423"/>
      <c r="O47" s="423"/>
      <c r="P47" s="423"/>
      <c r="Q47" s="423"/>
      <c r="R47" s="423"/>
      <c r="S47" s="423"/>
      <c r="T47" s="423"/>
      <c r="U47" s="423"/>
      <c r="V47" s="423"/>
      <c r="W47" s="435"/>
      <c r="X47" s="425">
        <f t="shared" si="2"/>
        <v>0</v>
      </c>
      <c r="Y47" s="425">
        <f>AN_TME23[[#This Row],[TOTAL Non-Truncated Unadjusted Claims Expenses]]-AN_TME23[[#This Row],[Total Claims Excluded because of Truncation]]</f>
        <v>0</v>
      </c>
      <c r="Z47" s="425">
        <f t="shared" si="3"/>
        <v>0</v>
      </c>
      <c r="AA47" s="425">
        <f>AN_TME23[[#This Row],[TOTAL Non-Truncated Unadjusted Claims Expenses]]+AN_TME23[[#This Row],[TOTAL Non-Claims Expenses]]</f>
        <v>0</v>
      </c>
      <c r="AB47" s="425">
        <f>AN_TME23[[#This Row],[TOTAL Truncated Unadjusted Claims Expenses (A21 -A19)]]+AN_TME23[[#This Row],[TOTAL Non-Claims Expenses]]</f>
        <v>0</v>
      </c>
      <c r="AC47" s="474">
        <f>IFERROR(AN_TME23[[#This Row],[TOTAL Non-Truncated Unadjusted Expenses (A21 + A23)]]/AN_TME23[[#This Row],[Member Months]],0)</f>
        <v>0</v>
      </c>
      <c r="AD47" s="474">
        <f>IFERROR(AN_TME23[[#This Row],[TOTAL Truncated Unadjusted Expenses (A22 + A23)]]/AN_TME23[[#This Row],[Member Months]],0)</f>
        <v>0</v>
      </c>
      <c r="AE47" s="441">
        <f>IFERROR(AN_TME23[[#This Row],[Total Claims Excluded because of Truncation]]/AN_TME23[[#This Row],[Count of Members with Claims Truncated]], 0)</f>
        <v>0</v>
      </c>
      <c r="AF47" s="476">
        <f>IFERROR(AN_TME23[[#This Row],[Total Claims Excluded because of Truncation]]/AN_TME23[[#This Row],[TOTAL Non-Truncated Unadjusted Claims Expenses]], 0)</f>
        <v>0</v>
      </c>
    </row>
    <row r="48" spans="1:32" x14ac:dyDescent="0.25">
      <c r="A48" s="426"/>
      <c r="B48" s="427"/>
      <c r="C48" s="427"/>
      <c r="D48" s="428"/>
      <c r="E48" s="517"/>
      <c r="F48" s="429"/>
      <c r="G48" s="429"/>
      <c r="H48" s="429"/>
      <c r="I48" s="429"/>
      <c r="J48" s="429"/>
      <c r="K48" s="429"/>
      <c r="L48" s="429"/>
      <c r="M48" s="429"/>
      <c r="N48" s="429"/>
      <c r="O48" s="429"/>
      <c r="P48" s="429"/>
      <c r="Q48" s="429"/>
      <c r="R48" s="429"/>
      <c r="S48" s="429"/>
      <c r="T48" s="429"/>
      <c r="U48" s="429"/>
      <c r="V48" s="429"/>
      <c r="W48" s="436"/>
      <c r="X48" s="431">
        <f t="shared" si="2"/>
        <v>0</v>
      </c>
      <c r="Y48" s="431">
        <f>AN_TME23[[#This Row],[TOTAL Non-Truncated Unadjusted Claims Expenses]]-AN_TME23[[#This Row],[Total Claims Excluded because of Truncation]]</f>
        <v>0</v>
      </c>
      <c r="Z48" s="431">
        <f t="shared" si="3"/>
        <v>0</v>
      </c>
      <c r="AA48" s="431">
        <f>AN_TME23[[#This Row],[TOTAL Non-Truncated Unadjusted Claims Expenses]]+AN_TME23[[#This Row],[TOTAL Non-Claims Expenses]]</f>
        <v>0</v>
      </c>
      <c r="AB48" s="431">
        <f>AN_TME23[[#This Row],[TOTAL Truncated Unadjusted Claims Expenses (A21 -A19)]]+AN_TME23[[#This Row],[TOTAL Non-Claims Expenses]]</f>
        <v>0</v>
      </c>
      <c r="AC48" s="475">
        <f>IFERROR(AN_TME23[[#This Row],[TOTAL Non-Truncated Unadjusted Expenses (A21 + A23)]]/AN_TME23[[#This Row],[Member Months]],0)</f>
        <v>0</v>
      </c>
      <c r="AD48" s="475">
        <f>IFERROR(AN_TME23[[#This Row],[TOTAL Truncated Unadjusted Expenses (A22 + A23)]]/AN_TME23[[#This Row],[Member Months]],0)</f>
        <v>0</v>
      </c>
      <c r="AE48" s="441">
        <f>IFERROR(AN_TME23[[#This Row],[Total Claims Excluded because of Truncation]]/AN_TME23[[#This Row],[Count of Members with Claims Truncated]], 0)</f>
        <v>0</v>
      </c>
      <c r="AF48" s="476">
        <f>IFERROR(AN_TME23[[#This Row],[Total Claims Excluded because of Truncation]]/AN_TME23[[#This Row],[TOTAL Non-Truncated Unadjusted Claims Expenses]], 0)</f>
        <v>0</v>
      </c>
    </row>
    <row r="49" spans="1:32" x14ac:dyDescent="0.25">
      <c r="A49" s="420"/>
      <c r="B49" s="421"/>
      <c r="C49" s="421"/>
      <c r="D49" s="422"/>
      <c r="E49" s="517"/>
      <c r="F49" s="423"/>
      <c r="G49" s="423"/>
      <c r="H49" s="423"/>
      <c r="I49" s="423"/>
      <c r="J49" s="423"/>
      <c r="K49" s="423"/>
      <c r="L49" s="423"/>
      <c r="M49" s="423"/>
      <c r="N49" s="423"/>
      <c r="O49" s="423"/>
      <c r="P49" s="423"/>
      <c r="Q49" s="423"/>
      <c r="R49" s="423"/>
      <c r="S49" s="423"/>
      <c r="T49" s="423"/>
      <c r="U49" s="423"/>
      <c r="V49" s="423"/>
      <c r="W49" s="435"/>
      <c r="X49" s="425">
        <f t="shared" si="2"/>
        <v>0</v>
      </c>
      <c r="Y49" s="425">
        <f>AN_TME23[[#This Row],[TOTAL Non-Truncated Unadjusted Claims Expenses]]-AN_TME23[[#This Row],[Total Claims Excluded because of Truncation]]</f>
        <v>0</v>
      </c>
      <c r="Z49" s="425">
        <f t="shared" si="3"/>
        <v>0</v>
      </c>
      <c r="AA49" s="425">
        <f>AN_TME23[[#This Row],[TOTAL Non-Truncated Unadjusted Claims Expenses]]+AN_TME23[[#This Row],[TOTAL Non-Claims Expenses]]</f>
        <v>0</v>
      </c>
      <c r="AB49" s="425">
        <f>AN_TME23[[#This Row],[TOTAL Truncated Unadjusted Claims Expenses (A21 -A19)]]+AN_TME23[[#This Row],[TOTAL Non-Claims Expenses]]</f>
        <v>0</v>
      </c>
      <c r="AC49" s="474">
        <f>IFERROR(AN_TME23[[#This Row],[TOTAL Non-Truncated Unadjusted Expenses (A21 + A23)]]/AN_TME23[[#This Row],[Member Months]],0)</f>
        <v>0</v>
      </c>
      <c r="AD49" s="474">
        <f>IFERROR(AN_TME23[[#This Row],[TOTAL Truncated Unadjusted Expenses (A22 + A23)]]/AN_TME23[[#This Row],[Member Months]],0)</f>
        <v>0</v>
      </c>
      <c r="AE49" s="441">
        <f>IFERROR(AN_TME23[[#This Row],[Total Claims Excluded because of Truncation]]/AN_TME23[[#This Row],[Count of Members with Claims Truncated]], 0)</f>
        <v>0</v>
      </c>
      <c r="AF49" s="476">
        <f>IFERROR(AN_TME23[[#This Row],[Total Claims Excluded because of Truncation]]/AN_TME23[[#This Row],[TOTAL Non-Truncated Unadjusted Claims Expenses]], 0)</f>
        <v>0</v>
      </c>
    </row>
    <row r="50" spans="1:32" x14ac:dyDescent="0.25">
      <c r="A50" s="426"/>
      <c r="B50" s="427"/>
      <c r="C50" s="427"/>
      <c r="D50" s="428"/>
      <c r="E50" s="517"/>
      <c r="F50" s="429"/>
      <c r="G50" s="429"/>
      <c r="H50" s="429"/>
      <c r="I50" s="429"/>
      <c r="J50" s="429"/>
      <c r="K50" s="429"/>
      <c r="L50" s="429"/>
      <c r="M50" s="429"/>
      <c r="N50" s="429"/>
      <c r="O50" s="429"/>
      <c r="P50" s="429"/>
      <c r="Q50" s="429"/>
      <c r="R50" s="429"/>
      <c r="S50" s="429"/>
      <c r="T50" s="429"/>
      <c r="U50" s="429"/>
      <c r="V50" s="429"/>
      <c r="W50" s="436"/>
      <c r="X50" s="431">
        <f t="shared" si="2"/>
        <v>0</v>
      </c>
      <c r="Y50" s="431">
        <f>AN_TME23[[#This Row],[TOTAL Non-Truncated Unadjusted Claims Expenses]]-AN_TME23[[#This Row],[Total Claims Excluded because of Truncation]]</f>
        <v>0</v>
      </c>
      <c r="Z50" s="431">
        <f t="shared" si="3"/>
        <v>0</v>
      </c>
      <c r="AA50" s="431">
        <f>AN_TME23[[#This Row],[TOTAL Non-Truncated Unadjusted Claims Expenses]]+AN_TME23[[#This Row],[TOTAL Non-Claims Expenses]]</f>
        <v>0</v>
      </c>
      <c r="AB50" s="431">
        <f>AN_TME23[[#This Row],[TOTAL Truncated Unadjusted Claims Expenses (A21 -A19)]]+AN_TME23[[#This Row],[TOTAL Non-Claims Expenses]]</f>
        <v>0</v>
      </c>
      <c r="AC50" s="475">
        <f>IFERROR(AN_TME23[[#This Row],[TOTAL Non-Truncated Unadjusted Expenses (A21 + A23)]]/AN_TME23[[#This Row],[Member Months]],0)</f>
        <v>0</v>
      </c>
      <c r="AD50" s="475">
        <f>IFERROR(AN_TME23[[#This Row],[TOTAL Truncated Unadjusted Expenses (A22 + A23)]]/AN_TME23[[#This Row],[Member Months]],0)</f>
        <v>0</v>
      </c>
      <c r="AE50" s="441">
        <f>IFERROR(AN_TME23[[#This Row],[Total Claims Excluded because of Truncation]]/AN_TME23[[#This Row],[Count of Members with Claims Truncated]], 0)</f>
        <v>0</v>
      </c>
      <c r="AF50" s="476">
        <f>IFERROR(AN_TME23[[#This Row],[Total Claims Excluded because of Truncation]]/AN_TME23[[#This Row],[TOTAL Non-Truncated Unadjusted Claims Expenses]], 0)</f>
        <v>0</v>
      </c>
    </row>
    <row r="51" spans="1:32" x14ac:dyDescent="0.25">
      <c r="A51" s="420"/>
      <c r="B51" s="421"/>
      <c r="C51" s="421"/>
      <c r="D51" s="422"/>
      <c r="E51" s="517"/>
      <c r="F51" s="423"/>
      <c r="G51" s="423"/>
      <c r="H51" s="423"/>
      <c r="I51" s="423"/>
      <c r="J51" s="423"/>
      <c r="K51" s="423"/>
      <c r="L51" s="423"/>
      <c r="M51" s="423"/>
      <c r="N51" s="423"/>
      <c r="O51" s="423"/>
      <c r="P51" s="423"/>
      <c r="Q51" s="423"/>
      <c r="R51" s="423"/>
      <c r="S51" s="423"/>
      <c r="T51" s="423"/>
      <c r="U51" s="423"/>
      <c r="V51" s="423"/>
      <c r="W51" s="435"/>
      <c r="X51" s="425">
        <f t="shared" si="2"/>
        <v>0</v>
      </c>
      <c r="Y51" s="425">
        <f>AN_TME23[[#This Row],[TOTAL Non-Truncated Unadjusted Claims Expenses]]-AN_TME23[[#This Row],[Total Claims Excluded because of Truncation]]</f>
        <v>0</v>
      </c>
      <c r="Z51" s="425">
        <f t="shared" si="3"/>
        <v>0</v>
      </c>
      <c r="AA51" s="425">
        <f>AN_TME23[[#This Row],[TOTAL Non-Truncated Unadjusted Claims Expenses]]+AN_TME23[[#This Row],[TOTAL Non-Claims Expenses]]</f>
        <v>0</v>
      </c>
      <c r="AB51" s="425">
        <f>AN_TME23[[#This Row],[TOTAL Truncated Unadjusted Claims Expenses (A21 -A19)]]+AN_TME23[[#This Row],[TOTAL Non-Claims Expenses]]</f>
        <v>0</v>
      </c>
      <c r="AC51" s="474">
        <f>IFERROR(AN_TME23[[#This Row],[TOTAL Non-Truncated Unadjusted Expenses (A21 + A23)]]/AN_TME23[[#This Row],[Member Months]],0)</f>
        <v>0</v>
      </c>
      <c r="AD51" s="474">
        <f>IFERROR(AN_TME23[[#This Row],[TOTAL Truncated Unadjusted Expenses (A22 + A23)]]/AN_TME23[[#This Row],[Member Months]],0)</f>
        <v>0</v>
      </c>
      <c r="AE51" s="441">
        <f>IFERROR(AN_TME23[[#This Row],[Total Claims Excluded because of Truncation]]/AN_TME23[[#This Row],[Count of Members with Claims Truncated]], 0)</f>
        <v>0</v>
      </c>
      <c r="AF51" s="476">
        <f>IFERROR(AN_TME23[[#This Row],[Total Claims Excluded because of Truncation]]/AN_TME23[[#This Row],[TOTAL Non-Truncated Unadjusted Claims Expenses]], 0)</f>
        <v>0</v>
      </c>
    </row>
    <row r="52" spans="1:32" x14ac:dyDescent="0.25">
      <c r="A52" s="426"/>
      <c r="B52" s="427"/>
      <c r="C52" s="427"/>
      <c r="D52" s="428"/>
      <c r="E52" s="517"/>
      <c r="F52" s="429"/>
      <c r="G52" s="429"/>
      <c r="H52" s="429"/>
      <c r="I52" s="429"/>
      <c r="J52" s="429"/>
      <c r="K52" s="429"/>
      <c r="L52" s="429"/>
      <c r="M52" s="429"/>
      <c r="N52" s="429"/>
      <c r="O52" s="429"/>
      <c r="P52" s="429"/>
      <c r="Q52" s="429"/>
      <c r="R52" s="429"/>
      <c r="S52" s="429"/>
      <c r="T52" s="429"/>
      <c r="U52" s="429"/>
      <c r="V52" s="429"/>
      <c r="W52" s="436"/>
      <c r="X52" s="431">
        <f t="shared" si="2"/>
        <v>0</v>
      </c>
      <c r="Y52" s="431">
        <f>AN_TME23[[#This Row],[TOTAL Non-Truncated Unadjusted Claims Expenses]]-AN_TME23[[#This Row],[Total Claims Excluded because of Truncation]]</f>
        <v>0</v>
      </c>
      <c r="Z52" s="431">
        <f t="shared" si="3"/>
        <v>0</v>
      </c>
      <c r="AA52" s="431">
        <f>AN_TME23[[#This Row],[TOTAL Non-Truncated Unadjusted Claims Expenses]]+AN_TME23[[#This Row],[TOTAL Non-Claims Expenses]]</f>
        <v>0</v>
      </c>
      <c r="AB52" s="431">
        <f>AN_TME23[[#This Row],[TOTAL Truncated Unadjusted Claims Expenses (A21 -A19)]]+AN_TME23[[#This Row],[TOTAL Non-Claims Expenses]]</f>
        <v>0</v>
      </c>
      <c r="AC52" s="475">
        <f>IFERROR(AN_TME23[[#This Row],[TOTAL Non-Truncated Unadjusted Expenses (A21 + A23)]]/AN_TME23[[#This Row],[Member Months]],0)</f>
        <v>0</v>
      </c>
      <c r="AD52" s="475">
        <f>IFERROR(AN_TME23[[#This Row],[TOTAL Truncated Unadjusted Expenses (A22 + A23)]]/AN_TME23[[#This Row],[Member Months]],0)</f>
        <v>0</v>
      </c>
      <c r="AE52" s="441">
        <f>IFERROR(AN_TME23[[#This Row],[Total Claims Excluded because of Truncation]]/AN_TME23[[#This Row],[Count of Members with Claims Truncated]], 0)</f>
        <v>0</v>
      </c>
      <c r="AF52" s="476">
        <f>IFERROR(AN_TME23[[#This Row],[Total Claims Excluded because of Truncation]]/AN_TME23[[#This Row],[TOTAL Non-Truncated Unadjusted Claims Expenses]], 0)</f>
        <v>0</v>
      </c>
    </row>
    <row r="53" spans="1:32" x14ac:dyDescent="0.25">
      <c r="A53" s="420"/>
      <c r="B53" s="421"/>
      <c r="C53" s="421"/>
      <c r="D53" s="422"/>
      <c r="E53" s="517"/>
      <c r="F53" s="423"/>
      <c r="G53" s="423"/>
      <c r="H53" s="423"/>
      <c r="I53" s="423"/>
      <c r="J53" s="423"/>
      <c r="K53" s="423"/>
      <c r="L53" s="423"/>
      <c r="M53" s="423"/>
      <c r="N53" s="423"/>
      <c r="O53" s="423"/>
      <c r="P53" s="423"/>
      <c r="Q53" s="423"/>
      <c r="R53" s="423"/>
      <c r="S53" s="423"/>
      <c r="T53" s="423"/>
      <c r="U53" s="423"/>
      <c r="V53" s="423"/>
      <c r="W53" s="435"/>
      <c r="X53" s="425">
        <f t="shared" si="2"/>
        <v>0</v>
      </c>
      <c r="Y53" s="425">
        <f>AN_TME23[[#This Row],[TOTAL Non-Truncated Unadjusted Claims Expenses]]-AN_TME23[[#This Row],[Total Claims Excluded because of Truncation]]</f>
        <v>0</v>
      </c>
      <c r="Z53" s="425">
        <f t="shared" si="3"/>
        <v>0</v>
      </c>
      <c r="AA53" s="425">
        <f>AN_TME23[[#This Row],[TOTAL Non-Truncated Unadjusted Claims Expenses]]+AN_TME23[[#This Row],[TOTAL Non-Claims Expenses]]</f>
        <v>0</v>
      </c>
      <c r="AB53" s="425">
        <f>AN_TME23[[#This Row],[TOTAL Truncated Unadjusted Claims Expenses (A21 -A19)]]+AN_TME23[[#This Row],[TOTAL Non-Claims Expenses]]</f>
        <v>0</v>
      </c>
      <c r="AC53" s="474">
        <f>IFERROR(AN_TME23[[#This Row],[TOTAL Non-Truncated Unadjusted Expenses (A21 + A23)]]/AN_TME23[[#This Row],[Member Months]],0)</f>
        <v>0</v>
      </c>
      <c r="AD53" s="474">
        <f>IFERROR(AN_TME23[[#This Row],[TOTAL Truncated Unadjusted Expenses (A22 + A23)]]/AN_TME23[[#This Row],[Member Months]],0)</f>
        <v>0</v>
      </c>
      <c r="AE53" s="441">
        <f>IFERROR(AN_TME23[[#This Row],[Total Claims Excluded because of Truncation]]/AN_TME23[[#This Row],[Count of Members with Claims Truncated]], 0)</f>
        <v>0</v>
      </c>
      <c r="AF53" s="476">
        <f>IFERROR(AN_TME23[[#This Row],[Total Claims Excluded because of Truncation]]/AN_TME23[[#This Row],[TOTAL Non-Truncated Unadjusted Claims Expenses]], 0)</f>
        <v>0</v>
      </c>
    </row>
    <row r="54" spans="1:32" x14ac:dyDescent="0.25">
      <c r="A54" s="426"/>
      <c r="B54" s="427"/>
      <c r="C54" s="427"/>
      <c r="D54" s="428"/>
      <c r="E54" s="517"/>
      <c r="F54" s="429"/>
      <c r="G54" s="429"/>
      <c r="H54" s="429"/>
      <c r="I54" s="429"/>
      <c r="J54" s="429"/>
      <c r="K54" s="429"/>
      <c r="L54" s="429"/>
      <c r="M54" s="429"/>
      <c r="N54" s="429"/>
      <c r="O54" s="429"/>
      <c r="P54" s="429"/>
      <c r="Q54" s="429"/>
      <c r="R54" s="429"/>
      <c r="S54" s="429"/>
      <c r="T54" s="429"/>
      <c r="U54" s="429"/>
      <c r="V54" s="429"/>
      <c r="W54" s="436"/>
      <c r="X54" s="431">
        <f t="shared" si="2"/>
        <v>0</v>
      </c>
      <c r="Y54" s="431">
        <f>AN_TME23[[#This Row],[TOTAL Non-Truncated Unadjusted Claims Expenses]]-AN_TME23[[#This Row],[Total Claims Excluded because of Truncation]]</f>
        <v>0</v>
      </c>
      <c r="Z54" s="431">
        <f t="shared" si="3"/>
        <v>0</v>
      </c>
      <c r="AA54" s="431">
        <f>AN_TME23[[#This Row],[TOTAL Non-Truncated Unadjusted Claims Expenses]]+AN_TME23[[#This Row],[TOTAL Non-Claims Expenses]]</f>
        <v>0</v>
      </c>
      <c r="AB54" s="431">
        <f>AN_TME23[[#This Row],[TOTAL Truncated Unadjusted Claims Expenses (A21 -A19)]]+AN_TME23[[#This Row],[TOTAL Non-Claims Expenses]]</f>
        <v>0</v>
      </c>
      <c r="AC54" s="475">
        <f>IFERROR(AN_TME23[[#This Row],[TOTAL Non-Truncated Unadjusted Expenses (A21 + A23)]]/AN_TME23[[#This Row],[Member Months]],0)</f>
        <v>0</v>
      </c>
      <c r="AD54" s="475">
        <f>IFERROR(AN_TME23[[#This Row],[TOTAL Truncated Unadjusted Expenses (A22 + A23)]]/AN_TME23[[#This Row],[Member Months]],0)</f>
        <v>0</v>
      </c>
      <c r="AE54" s="441">
        <f>IFERROR(AN_TME23[[#This Row],[Total Claims Excluded because of Truncation]]/AN_TME23[[#This Row],[Count of Members with Claims Truncated]], 0)</f>
        <v>0</v>
      </c>
      <c r="AF54" s="476">
        <f>IFERROR(AN_TME23[[#This Row],[Total Claims Excluded because of Truncation]]/AN_TME23[[#This Row],[TOTAL Non-Truncated Unadjusted Claims Expenses]], 0)</f>
        <v>0</v>
      </c>
    </row>
    <row r="55" spans="1:32" x14ac:dyDescent="0.25">
      <c r="A55" s="420"/>
      <c r="B55" s="421"/>
      <c r="C55" s="421"/>
      <c r="D55" s="422"/>
      <c r="E55" s="517"/>
      <c r="F55" s="423"/>
      <c r="G55" s="423"/>
      <c r="H55" s="423"/>
      <c r="I55" s="423"/>
      <c r="J55" s="423"/>
      <c r="K55" s="423"/>
      <c r="L55" s="423"/>
      <c r="M55" s="423"/>
      <c r="N55" s="423"/>
      <c r="O55" s="423"/>
      <c r="P55" s="423"/>
      <c r="Q55" s="423"/>
      <c r="R55" s="423"/>
      <c r="S55" s="423"/>
      <c r="T55" s="423"/>
      <c r="U55" s="423"/>
      <c r="V55" s="423"/>
      <c r="W55" s="435"/>
      <c r="X55" s="425">
        <f t="shared" si="2"/>
        <v>0</v>
      </c>
      <c r="Y55" s="425">
        <f>AN_TME23[[#This Row],[TOTAL Non-Truncated Unadjusted Claims Expenses]]-AN_TME23[[#This Row],[Total Claims Excluded because of Truncation]]</f>
        <v>0</v>
      </c>
      <c r="Z55" s="425">
        <f t="shared" si="3"/>
        <v>0</v>
      </c>
      <c r="AA55" s="425">
        <f>AN_TME23[[#This Row],[TOTAL Non-Truncated Unadjusted Claims Expenses]]+AN_TME23[[#This Row],[TOTAL Non-Claims Expenses]]</f>
        <v>0</v>
      </c>
      <c r="AB55" s="425">
        <f>AN_TME23[[#This Row],[TOTAL Truncated Unadjusted Claims Expenses (A21 -A19)]]+AN_TME23[[#This Row],[TOTAL Non-Claims Expenses]]</f>
        <v>0</v>
      </c>
      <c r="AC55" s="474">
        <f>IFERROR(AN_TME23[[#This Row],[TOTAL Non-Truncated Unadjusted Expenses (A21 + A23)]]/AN_TME23[[#This Row],[Member Months]],0)</f>
        <v>0</v>
      </c>
      <c r="AD55" s="474">
        <f>IFERROR(AN_TME23[[#This Row],[TOTAL Truncated Unadjusted Expenses (A22 + A23)]]/AN_TME23[[#This Row],[Member Months]],0)</f>
        <v>0</v>
      </c>
      <c r="AE55" s="441">
        <f>IFERROR(AN_TME23[[#This Row],[Total Claims Excluded because of Truncation]]/AN_TME23[[#This Row],[Count of Members with Claims Truncated]], 0)</f>
        <v>0</v>
      </c>
      <c r="AF55" s="476">
        <f>IFERROR(AN_TME23[[#This Row],[Total Claims Excluded because of Truncation]]/AN_TME23[[#This Row],[TOTAL Non-Truncated Unadjusted Claims Expenses]], 0)</f>
        <v>0</v>
      </c>
    </row>
    <row r="56" spans="1:32" x14ac:dyDescent="0.25">
      <c r="A56" s="426"/>
      <c r="B56" s="427"/>
      <c r="C56" s="427"/>
      <c r="D56" s="428"/>
      <c r="E56" s="517"/>
      <c r="F56" s="429"/>
      <c r="G56" s="429"/>
      <c r="H56" s="429"/>
      <c r="I56" s="429"/>
      <c r="J56" s="429"/>
      <c r="K56" s="429"/>
      <c r="L56" s="429"/>
      <c r="M56" s="429"/>
      <c r="N56" s="429"/>
      <c r="O56" s="429"/>
      <c r="P56" s="429"/>
      <c r="Q56" s="429"/>
      <c r="R56" s="429"/>
      <c r="S56" s="429"/>
      <c r="T56" s="429"/>
      <c r="U56" s="429"/>
      <c r="V56" s="429"/>
      <c r="W56" s="436"/>
      <c r="X56" s="431">
        <f t="shared" si="2"/>
        <v>0</v>
      </c>
      <c r="Y56" s="431">
        <f>AN_TME23[[#This Row],[TOTAL Non-Truncated Unadjusted Claims Expenses]]-AN_TME23[[#This Row],[Total Claims Excluded because of Truncation]]</f>
        <v>0</v>
      </c>
      <c r="Z56" s="431">
        <f t="shared" si="3"/>
        <v>0</v>
      </c>
      <c r="AA56" s="431">
        <f>AN_TME23[[#This Row],[TOTAL Non-Truncated Unadjusted Claims Expenses]]+AN_TME23[[#This Row],[TOTAL Non-Claims Expenses]]</f>
        <v>0</v>
      </c>
      <c r="AB56" s="431">
        <f>AN_TME23[[#This Row],[TOTAL Truncated Unadjusted Claims Expenses (A21 -A19)]]+AN_TME23[[#This Row],[TOTAL Non-Claims Expenses]]</f>
        <v>0</v>
      </c>
      <c r="AC56" s="475">
        <f>IFERROR(AN_TME23[[#This Row],[TOTAL Non-Truncated Unadjusted Expenses (A21 + A23)]]/AN_TME23[[#This Row],[Member Months]],0)</f>
        <v>0</v>
      </c>
      <c r="AD56" s="475">
        <f>IFERROR(AN_TME23[[#This Row],[TOTAL Truncated Unadjusted Expenses (A22 + A23)]]/AN_TME23[[#This Row],[Member Months]],0)</f>
        <v>0</v>
      </c>
      <c r="AE56" s="441">
        <f>IFERROR(AN_TME23[[#This Row],[Total Claims Excluded because of Truncation]]/AN_TME23[[#This Row],[Count of Members with Claims Truncated]], 0)</f>
        <v>0</v>
      </c>
      <c r="AF56" s="476">
        <f>IFERROR(AN_TME23[[#This Row],[Total Claims Excluded because of Truncation]]/AN_TME23[[#This Row],[TOTAL Non-Truncated Unadjusted Claims Expenses]], 0)</f>
        <v>0</v>
      </c>
    </row>
    <row r="57" spans="1:32" x14ac:dyDescent="0.25">
      <c r="A57" s="420"/>
      <c r="B57" s="421"/>
      <c r="C57" s="421"/>
      <c r="D57" s="422"/>
      <c r="E57" s="517"/>
      <c r="F57" s="423"/>
      <c r="G57" s="423"/>
      <c r="H57" s="423"/>
      <c r="I57" s="423"/>
      <c r="J57" s="423"/>
      <c r="K57" s="423"/>
      <c r="L57" s="423"/>
      <c r="M57" s="423"/>
      <c r="N57" s="423"/>
      <c r="O57" s="423"/>
      <c r="P57" s="423"/>
      <c r="Q57" s="423"/>
      <c r="R57" s="423"/>
      <c r="S57" s="423"/>
      <c r="T57" s="423"/>
      <c r="U57" s="423"/>
      <c r="V57" s="423"/>
      <c r="W57" s="435"/>
      <c r="X57" s="425">
        <f t="shared" si="2"/>
        <v>0</v>
      </c>
      <c r="Y57" s="425">
        <f>AN_TME23[[#This Row],[TOTAL Non-Truncated Unadjusted Claims Expenses]]-AN_TME23[[#This Row],[Total Claims Excluded because of Truncation]]</f>
        <v>0</v>
      </c>
      <c r="Z57" s="425">
        <f t="shared" si="3"/>
        <v>0</v>
      </c>
      <c r="AA57" s="425">
        <f>AN_TME23[[#This Row],[TOTAL Non-Truncated Unadjusted Claims Expenses]]+AN_TME23[[#This Row],[TOTAL Non-Claims Expenses]]</f>
        <v>0</v>
      </c>
      <c r="AB57" s="425">
        <f>AN_TME23[[#This Row],[TOTAL Truncated Unadjusted Claims Expenses (A21 -A19)]]+AN_TME23[[#This Row],[TOTAL Non-Claims Expenses]]</f>
        <v>0</v>
      </c>
      <c r="AC57" s="474">
        <f>IFERROR(AN_TME23[[#This Row],[TOTAL Non-Truncated Unadjusted Expenses (A21 + A23)]]/AN_TME23[[#This Row],[Member Months]],0)</f>
        <v>0</v>
      </c>
      <c r="AD57" s="474">
        <f>IFERROR(AN_TME23[[#This Row],[TOTAL Truncated Unadjusted Expenses (A22 + A23)]]/AN_TME23[[#This Row],[Member Months]],0)</f>
        <v>0</v>
      </c>
      <c r="AE57" s="441">
        <f>IFERROR(AN_TME23[[#This Row],[Total Claims Excluded because of Truncation]]/AN_TME23[[#This Row],[Count of Members with Claims Truncated]], 0)</f>
        <v>0</v>
      </c>
      <c r="AF57" s="476">
        <f>IFERROR(AN_TME23[[#This Row],[Total Claims Excluded because of Truncation]]/AN_TME23[[#This Row],[TOTAL Non-Truncated Unadjusted Claims Expenses]], 0)</f>
        <v>0</v>
      </c>
    </row>
    <row r="58" spans="1:32" x14ac:dyDescent="0.25">
      <c r="A58" s="426"/>
      <c r="B58" s="427"/>
      <c r="C58" s="427"/>
      <c r="D58" s="428"/>
      <c r="E58" s="517"/>
      <c r="F58" s="429"/>
      <c r="G58" s="429"/>
      <c r="H58" s="429"/>
      <c r="I58" s="429"/>
      <c r="J58" s="429"/>
      <c r="K58" s="429"/>
      <c r="L58" s="429"/>
      <c r="M58" s="429"/>
      <c r="N58" s="429"/>
      <c r="O58" s="429"/>
      <c r="P58" s="429"/>
      <c r="Q58" s="429"/>
      <c r="R58" s="429"/>
      <c r="S58" s="429"/>
      <c r="T58" s="429"/>
      <c r="U58" s="429"/>
      <c r="V58" s="429"/>
      <c r="W58" s="436"/>
      <c r="X58" s="431">
        <f t="shared" si="2"/>
        <v>0</v>
      </c>
      <c r="Y58" s="431">
        <f>AN_TME23[[#This Row],[TOTAL Non-Truncated Unadjusted Claims Expenses]]-AN_TME23[[#This Row],[Total Claims Excluded because of Truncation]]</f>
        <v>0</v>
      </c>
      <c r="Z58" s="431">
        <f t="shared" si="3"/>
        <v>0</v>
      </c>
      <c r="AA58" s="431">
        <f>AN_TME23[[#This Row],[TOTAL Non-Truncated Unadjusted Claims Expenses]]+AN_TME23[[#This Row],[TOTAL Non-Claims Expenses]]</f>
        <v>0</v>
      </c>
      <c r="AB58" s="431">
        <f>AN_TME23[[#This Row],[TOTAL Truncated Unadjusted Claims Expenses (A21 -A19)]]+AN_TME23[[#This Row],[TOTAL Non-Claims Expenses]]</f>
        <v>0</v>
      </c>
      <c r="AC58" s="475">
        <f>IFERROR(AN_TME23[[#This Row],[TOTAL Non-Truncated Unadjusted Expenses (A21 + A23)]]/AN_TME23[[#This Row],[Member Months]],0)</f>
        <v>0</v>
      </c>
      <c r="AD58" s="475">
        <f>IFERROR(AN_TME23[[#This Row],[TOTAL Truncated Unadjusted Expenses (A22 + A23)]]/AN_TME23[[#This Row],[Member Months]],0)</f>
        <v>0</v>
      </c>
      <c r="AE58" s="441">
        <f>IFERROR(AN_TME23[[#This Row],[Total Claims Excluded because of Truncation]]/AN_TME23[[#This Row],[Count of Members with Claims Truncated]], 0)</f>
        <v>0</v>
      </c>
      <c r="AF58" s="476">
        <f>IFERROR(AN_TME23[[#This Row],[Total Claims Excluded because of Truncation]]/AN_TME23[[#This Row],[TOTAL Non-Truncated Unadjusted Claims Expenses]], 0)</f>
        <v>0</v>
      </c>
    </row>
    <row r="59" spans="1:32" x14ac:dyDescent="0.25">
      <c r="A59" s="420"/>
      <c r="B59" s="421"/>
      <c r="C59" s="421"/>
      <c r="D59" s="422"/>
      <c r="E59" s="517"/>
      <c r="F59" s="423"/>
      <c r="G59" s="423"/>
      <c r="H59" s="423"/>
      <c r="I59" s="423"/>
      <c r="J59" s="423"/>
      <c r="K59" s="423"/>
      <c r="L59" s="423"/>
      <c r="M59" s="423"/>
      <c r="N59" s="423"/>
      <c r="O59" s="423"/>
      <c r="P59" s="423"/>
      <c r="Q59" s="423"/>
      <c r="R59" s="423"/>
      <c r="S59" s="423"/>
      <c r="T59" s="423"/>
      <c r="U59" s="423"/>
      <c r="V59" s="423"/>
      <c r="W59" s="435"/>
      <c r="X59" s="425">
        <f t="shared" si="2"/>
        <v>0</v>
      </c>
      <c r="Y59" s="425">
        <f>AN_TME23[[#This Row],[TOTAL Non-Truncated Unadjusted Claims Expenses]]-AN_TME23[[#This Row],[Total Claims Excluded because of Truncation]]</f>
        <v>0</v>
      </c>
      <c r="Z59" s="425">
        <f t="shared" si="3"/>
        <v>0</v>
      </c>
      <c r="AA59" s="425">
        <f>AN_TME23[[#This Row],[TOTAL Non-Truncated Unadjusted Claims Expenses]]+AN_TME23[[#This Row],[TOTAL Non-Claims Expenses]]</f>
        <v>0</v>
      </c>
      <c r="AB59" s="425">
        <f>AN_TME23[[#This Row],[TOTAL Truncated Unadjusted Claims Expenses (A21 -A19)]]+AN_TME23[[#This Row],[TOTAL Non-Claims Expenses]]</f>
        <v>0</v>
      </c>
      <c r="AC59" s="474">
        <f>IFERROR(AN_TME23[[#This Row],[TOTAL Non-Truncated Unadjusted Expenses (A21 + A23)]]/AN_TME23[[#This Row],[Member Months]],0)</f>
        <v>0</v>
      </c>
      <c r="AD59" s="474">
        <f>IFERROR(AN_TME23[[#This Row],[TOTAL Truncated Unadjusted Expenses (A22 + A23)]]/AN_TME23[[#This Row],[Member Months]],0)</f>
        <v>0</v>
      </c>
      <c r="AE59" s="441">
        <f>IFERROR(AN_TME23[[#This Row],[Total Claims Excluded because of Truncation]]/AN_TME23[[#This Row],[Count of Members with Claims Truncated]], 0)</f>
        <v>0</v>
      </c>
      <c r="AF59" s="476">
        <f>IFERROR(AN_TME23[[#This Row],[Total Claims Excluded because of Truncation]]/AN_TME23[[#This Row],[TOTAL Non-Truncated Unadjusted Claims Expenses]], 0)</f>
        <v>0</v>
      </c>
    </row>
    <row r="60" spans="1:32" x14ac:dyDescent="0.25">
      <c r="A60" s="426"/>
      <c r="B60" s="427"/>
      <c r="C60" s="427"/>
      <c r="D60" s="428"/>
      <c r="E60" s="517"/>
      <c r="F60" s="429"/>
      <c r="G60" s="429"/>
      <c r="H60" s="429"/>
      <c r="I60" s="429"/>
      <c r="J60" s="429"/>
      <c r="K60" s="429"/>
      <c r="L60" s="429"/>
      <c r="M60" s="429"/>
      <c r="N60" s="429"/>
      <c r="O60" s="429"/>
      <c r="P60" s="429"/>
      <c r="Q60" s="429"/>
      <c r="R60" s="429"/>
      <c r="S60" s="429"/>
      <c r="T60" s="429"/>
      <c r="U60" s="429"/>
      <c r="V60" s="429"/>
      <c r="W60" s="436"/>
      <c r="X60" s="431">
        <f t="shared" si="2"/>
        <v>0</v>
      </c>
      <c r="Y60" s="431">
        <f>AN_TME23[[#This Row],[TOTAL Non-Truncated Unadjusted Claims Expenses]]-AN_TME23[[#This Row],[Total Claims Excluded because of Truncation]]</f>
        <v>0</v>
      </c>
      <c r="Z60" s="431">
        <f t="shared" si="3"/>
        <v>0</v>
      </c>
      <c r="AA60" s="431">
        <f>AN_TME23[[#This Row],[TOTAL Non-Truncated Unadjusted Claims Expenses]]+AN_TME23[[#This Row],[TOTAL Non-Claims Expenses]]</f>
        <v>0</v>
      </c>
      <c r="AB60" s="431">
        <f>AN_TME23[[#This Row],[TOTAL Truncated Unadjusted Claims Expenses (A21 -A19)]]+AN_TME23[[#This Row],[TOTAL Non-Claims Expenses]]</f>
        <v>0</v>
      </c>
      <c r="AC60" s="475">
        <f>IFERROR(AN_TME23[[#This Row],[TOTAL Non-Truncated Unadjusted Expenses (A21 + A23)]]/AN_TME23[[#This Row],[Member Months]],0)</f>
        <v>0</v>
      </c>
      <c r="AD60" s="475">
        <f>IFERROR(AN_TME23[[#This Row],[TOTAL Truncated Unadjusted Expenses (A22 + A23)]]/AN_TME23[[#This Row],[Member Months]],0)</f>
        <v>0</v>
      </c>
      <c r="AE60" s="441">
        <f>IFERROR(AN_TME23[[#This Row],[Total Claims Excluded because of Truncation]]/AN_TME23[[#This Row],[Count of Members with Claims Truncated]], 0)</f>
        <v>0</v>
      </c>
      <c r="AF60" s="476">
        <f>IFERROR(AN_TME23[[#This Row],[Total Claims Excluded because of Truncation]]/AN_TME23[[#This Row],[TOTAL Non-Truncated Unadjusted Claims Expenses]], 0)</f>
        <v>0</v>
      </c>
    </row>
    <row r="61" spans="1:32" x14ac:dyDescent="0.25">
      <c r="A61" s="420"/>
      <c r="B61" s="421"/>
      <c r="C61" s="421"/>
      <c r="D61" s="422"/>
      <c r="E61" s="517"/>
      <c r="F61" s="423"/>
      <c r="G61" s="423"/>
      <c r="H61" s="423"/>
      <c r="I61" s="423"/>
      <c r="J61" s="423"/>
      <c r="K61" s="423"/>
      <c r="L61" s="423"/>
      <c r="M61" s="423"/>
      <c r="N61" s="423"/>
      <c r="O61" s="423"/>
      <c r="P61" s="423"/>
      <c r="Q61" s="423"/>
      <c r="R61" s="423"/>
      <c r="S61" s="423"/>
      <c r="T61" s="423"/>
      <c r="U61" s="423"/>
      <c r="V61" s="423"/>
      <c r="W61" s="435"/>
      <c r="X61" s="425">
        <f t="shared" si="2"/>
        <v>0</v>
      </c>
      <c r="Y61" s="425">
        <f>AN_TME23[[#This Row],[TOTAL Non-Truncated Unadjusted Claims Expenses]]-AN_TME23[[#This Row],[Total Claims Excluded because of Truncation]]</f>
        <v>0</v>
      </c>
      <c r="Z61" s="425">
        <f t="shared" si="3"/>
        <v>0</v>
      </c>
      <c r="AA61" s="425">
        <f>AN_TME23[[#This Row],[TOTAL Non-Truncated Unadjusted Claims Expenses]]+AN_TME23[[#This Row],[TOTAL Non-Claims Expenses]]</f>
        <v>0</v>
      </c>
      <c r="AB61" s="425">
        <f>AN_TME23[[#This Row],[TOTAL Truncated Unadjusted Claims Expenses (A21 -A19)]]+AN_TME23[[#This Row],[TOTAL Non-Claims Expenses]]</f>
        <v>0</v>
      </c>
      <c r="AC61" s="474">
        <f>IFERROR(AN_TME23[[#This Row],[TOTAL Non-Truncated Unadjusted Expenses (A21 + A23)]]/AN_TME23[[#This Row],[Member Months]],0)</f>
        <v>0</v>
      </c>
      <c r="AD61" s="474">
        <f>IFERROR(AN_TME23[[#This Row],[TOTAL Truncated Unadjusted Expenses (A22 + A23)]]/AN_TME23[[#This Row],[Member Months]],0)</f>
        <v>0</v>
      </c>
      <c r="AE61" s="441">
        <f>IFERROR(AN_TME23[[#This Row],[Total Claims Excluded because of Truncation]]/AN_TME23[[#This Row],[Count of Members with Claims Truncated]], 0)</f>
        <v>0</v>
      </c>
      <c r="AF61" s="476">
        <f>IFERROR(AN_TME23[[#This Row],[Total Claims Excluded because of Truncation]]/AN_TME23[[#This Row],[TOTAL Non-Truncated Unadjusted Claims Expenses]], 0)</f>
        <v>0</v>
      </c>
    </row>
    <row r="62" spans="1:32" x14ac:dyDescent="0.25">
      <c r="A62" s="426"/>
      <c r="B62" s="427"/>
      <c r="C62" s="427"/>
      <c r="D62" s="428"/>
      <c r="E62" s="517"/>
      <c r="F62" s="429"/>
      <c r="G62" s="429"/>
      <c r="H62" s="429"/>
      <c r="I62" s="429"/>
      <c r="J62" s="429"/>
      <c r="K62" s="429"/>
      <c r="L62" s="429"/>
      <c r="M62" s="429"/>
      <c r="N62" s="429"/>
      <c r="O62" s="429"/>
      <c r="P62" s="429"/>
      <c r="Q62" s="429"/>
      <c r="R62" s="429"/>
      <c r="S62" s="429"/>
      <c r="T62" s="429"/>
      <c r="U62" s="429"/>
      <c r="V62" s="429"/>
      <c r="W62" s="436"/>
      <c r="X62" s="431">
        <f t="shared" si="2"/>
        <v>0</v>
      </c>
      <c r="Y62" s="431">
        <f>AN_TME23[[#This Row],[TOTAL Non-Truncated Unadjusted Claims Expenses]]-AN_TME23[[#This Row],[Total Claims Excluded because of Truncation]]</f>
        <v>0</v>
      </c>
      <c r="Z62" s="431">
        <f t="shared" si="3"/>
        <v>0</v>
      </c>
      <c r="AA62" s="431">
        <f>AN_TME23[[#This Row],[TOTAL Non-Truncated Unadjusted Claims Expenses]]+AN_TME23[[#This Row],[TOTAL Non-Claims Expenses]]</f>
        <v>0</v>
      </c>
      <c r="AB62" s="431">
        <f>AN_TME23[[#This Row],[TOTAL Truncated Unadjusted Claims Expenses (A21 -A19)]]+AN_TME23[[#This Row],[TOTAL Non-Claims Expenses]]</f>
        <v>0</v>
      </c>
      <c r="AC62" s="475">
        <f>IFERROR(AN_TME23[[#This Row],[TOTAL Non-Truncated Unadjusted Expenses (A21 + A23)]]/AN_TME23[[#This Row],[Member Months]],0)</f>
        <v>0</v>
      </c>
      <c r="AD62" s="475">
        <f>IFERROR(AN_TME23[[#This Row],[TOTAL Truncated Unadjusted Expenses (A22 + A23)]]/AN_TME23[[#This Row],[Member Months]],0)</f>
        <v>0</v>
      </c>
      <c r="AE62" s="441">
        <f>IFERROR(AN_TME23[[#This Row],[Total Claims Excluded because of Truncation]]/AN_TME23[[#This Row],[Count of Members with Claims Truncated]], 0)</f>
        <v>0</v>
      </c>
      <c r="AF62" s="476">
        <f>IFERROR(AN_TME23[[#This Row],[Total Claims Excluded because of Truncation]]/AN_TME23[[#This Row],[TOTAL Non-Truncated Unadjusted Claims Expenses]], 0)</f>
        <v>0</v>
      </c>
    </row>
    <row r="63" spans="1:32" x14ac:dyDescent="0.25">
      <c r="A63" s="420"/>
      <c r="B63" s="421"/>
      <c r="C63" s="421"/>
      <c r="D63" s="422"/>
      <c r="E63" s="517"/>
      <c r="F63" s="423"/>
      <c r="G63" s="423"/>
      <c r="H63" s="423"/>
      <c r="I63" s="423"/>
      <c r="J63" s="423"/>
      <c r="K63" s="423"/>
      <c r="L63" s="423"/>
      <c r="M63" s="423"/>
      <c r="N63" s="423"/>
      <c r="O63" s="423"/>
      <c r="P63" s="423"/>
      <c r="Q63" s="423"/>
      <c r="R63" s="423"/>
      <c r="S63" s="423"/>
      <c r="T63" s="423"/>
      <c r="U63" s="423"/>
      <c r="V63" s="423"/>
      <c r="W63" s="435"/>
      <c r="X63" s="425">
        <f t="shared" si="2"/>
        <v>0</v>
      </c>
      <c r="Y63" s="425">
        <f>AN_TME23[[#This Row],[TOTAL Non-Truncated Unadjusted Claims Expenses]]-AN_TME23[[#This Row],[Total Claims Excluded because of Truncation]]</f>
        <v>0</v>
      </c>
      <c r="Z63" s="425">
        <f t="shared" si="3"/>
        <v>0</v>
      </c>
      <c r="AA63" s="425">
        <f>AN_TME23[[#This Row],[TOTAL Non-Truncated Unadjusted Claims Expenses]]+AN_TME23[[#This Row],[TOTAL Non-Claims Expenses]]</f>
        <v>0</v>
      </c>
      <c r="AB63" s="425">
        <f>AN_TME23[[#This Row],[TOTAL Truncated Unadjusted Claims Expenses (A21 -A19)]]+AN_TME23[[#This Row],[TOTAL Non-Claims Expenses]]</f>
        <v>0</v>
      </c>
      <c r="AC63" s="474">
        <f>IFERROR(AN_TME23[[#This Row],[TOTAL Non-Truncated Unadjusted Expenses (A21 + A23)]]/AN_TME23[[#This Row],[Member Months]],0)</f>
        <v>0</v>
      </c>
      <c r="AD63" s="474">
        <f>IFERROR(AN_TME23[[#This Row],[TOTAL Truncated Unadjusted Expenses (A22 + A23)]]/AN_TME23[[#This Row],[Member Months]],0)</f>
        <v>0</v>
      </c>
      <c r="AE63" s="441">
        <f>IFERROR(AN_TME23[[#This Row],[Total Claims Excluded because of Truncation]]/AN_TME23[[#This Row],[Count of Members with Claims Truncated]], 0)</f>
        <v>0</v>
      </c>
      <c r="AF63" s="476">
        <f>IFERROR(AN_TME23[[#This Row],[Total Claims Excluded because of Truncation]]/AN_TME23[[#This Row],[TOTAL Non-Truncated Unadjusted Claims Expenses]], 0)</f>
        <v>0</v>
      </c>
    </row>
    <row r="64" spans="1:32" x14ac:dyDescent="0.25">
      <c r="A64" s="426"/>
      <c r="B64" s="427"/>
      <c r="C64" s="427"/>
      <c r="D64" s="428"/>
      <c r="E64" s="517"/>
      <c r="F64" s="429"/>
      <c r="G64" s="429"/>
      <c r="H64" s="429"/>
      <c r="I64" s="429"/>
      <c r="J64" s="429"/>
      <c r="K64" s="429"/>
      <c r="L64" s="429"/>
      <c r="M64" s="429"/>
      <c r="N64" s="429"/>
      <c r="O64" s="429"/>
      <c r="P64" s="429"/>
      <c r="Q64" s="429"/>
      <c r="R64" s="429"/>
      <c r="S64" s="429"/>
      <c r="T64" s="429"/>
      <c r="U64" s="429"/>
      <c r="V64" s="429"/>
      <c r="W64" s="436"/>
      <c r="X64" s="431">
        <f t="shared" si="2"/>
        <v>0</v>
      </c>
      <c r="Y64" s="431">
        <f>AN_TME23[[#This Row],[TOTAL Non-Truncated Unadjusted Claims Expenses]]-AN_TME23[[#This Row],[Total Claims Excluded because of Truncation]]</f>
        <v>0</v>
      </c>
      <c r="Z64" s="431">
        <f t="shared" si="3"/>
        <v>0</v>
      </c>
      <c r="AA64" s="431">
        <f>AN_TME23[[#This Row],[TOTAL Non-Truncated Unadjusted Claims Expenses]]+AN_TME23[[#This Row],[TOTAL Non-Claims Expenses]]</f>
        <v>0</v>
      </c>
      <c r="AB64" s="431">
        <f>AN_TME23[[#This Row],[TOTAL Truncated Unadjusted Claims Expenses (A21 -A19)]]+AN_TME23[[#This Row],[TOTAL Non-Claims Expenses]]</f>
        <v>0</v>
      </c>
      <c r="AC64" s="475">
        <f>IFERROR(AN_TME23[[#This Row],[TOTAL Non-Truncated Unadjusted Expenses (A21 + A23)]]/AN_TME23[[#This Row],[Member Months]],0)</f>
        <v>0</v>
      </c>
      <c r="AD64" s="475">
        <f>IFERROR(AN_TME23[[#This Row],[TOTAL Truncated Unadjusted Expenses (A22 + A23)]]/AN_TME23[[#This Row],[Member Months]],0)</f>
        <v>0</v>
      </c>
      <c r="AE64" s="441">
        <f>IFERROR(AN_TME23[[#This Row],[Total Claims Excluded because of Truncation]]/AN_TME23[[#This Row],[Count of Members with Claims Truncated]], 0)</f>
        <v>0</v>
      </c>
      <c r="AF64" s="476">
        <f>IFERROR(AN_TME23[[#This Row],[Total Claims Excluded because of Truncation]]/AN_TME23[[#This Row],[TOTAL Non-Truncated Unadjusted Claims Expenses]], 0)</f>
        <v>0</v>
      </c>
    </row>
    <row r="65" spans="1:32" x14ac:dyDescent="0.25">
      <c r="A65" s="420"/>
      <c r="B65" s="421"/>
      <c r="C65" s="421"/>
      <c r="D65" s="422"/>
      <c r="E65" s="517"/>
      <c r="F65" s="423"/>
      <c r="G65" s="423"/>
      <c r="H65" s="423"/>
      <c r="I65" s="423"/>
      <c r="J65" s="423"/>
      <c r="K65" s="423"/>
      <c r="L65" s="423"/>
      <c r="M65" s="423"/>
      <c r="N65" s="423"/>
      <c r="O65" s="423"/>
      <c r="P65" s="423"/>
      <c r="Q65" s="423"/>
      <c r="R65" s="423"/>
      <c r="S65" s="423"/>
      <c r="T65" s="423"/>
      <c r="U65" s="423"/>
      <c r="V65" s="423"/>
      <c r="W65" s="435"/>
      <c r="X65" s="425">
        <f t="shared" si="2"/>
        <v>0</v>
      </c>
      <c r="Y65" s="425">
        <f>AN_TME23[[#This Row],[TOTAL Non-Truncated Unadjusted Claims Expenses]]-AN_TME23[[#This Row],[Total Claims Excluded because of Truncation]]</f>
        <v>0</v>
      </c>
      <c r="Z65" s="425">
        <f t="shared" si="3"/>
        <v>0</v>
      </c>
      <c r="AA65" s="425">
        <f>AN_TME23[[#This Row],[TOTAL Non-Truncated Unadjusted Claims Expenses]]+AN_TME23[[#This Row],[TOTAL Non-Claims Expenses]]</f>
        <v>0</v>
      </c>
      <c r="AB65" s="425">
        <f>AN_TME23[[#This Row],[TOTAL Truncated Unadjusted Claims Expenses (A21 -A19)]]+AN_TME23[[#This Row],[TOTAL Non-Claims Expenses]]</f>
        <v>0</v>
      </c>
      <c r="AC65" s="474">
        <f>IFERROR(AN_TME23[[#This Row],[TOTAL Non-Truncated Unadjusted Expenses (A21 + A23)]]/AN_TME23[[#This Row],[Member Months]],0)</f>
        <v>0</v>
      </c>
      <c r="AD65" s="474">
        <f>IFERROR(AN_TME23[[#This Row],[TOTAL Truncated Unadjusted Expenses (A22 + A23)]]/AN_TME23[[#This Row],[Member Months]],0)</f>
        <v>0</v>
      </c>
      <c r="AE65" s="441">
        <f>IFERROR(AN_TME23[[#This Row],[Total Claims Excluded because of Truncation]]/AN_TME23[[#This Row],[Count of Members with Claims Truncated]], 0)</f>
        <v>0</v>
      </c>
      <c r="AF65" s="476">
        <f>IFERROR(AN_TME23[[#This Row],[Total Claims Excluded because of Truncation]]/AN_TME23[[#This Row],[TOTAL Non-Truncated Unadjusted Claims Expenses]], 0)</f>
        <v>0</v>
      </c>
    </row>
    <row r="66" spans="1:32" x14ac:dyDescent="0.25">
      <c r="A66" s="426"/>
      <c r="B66" s="427"/>
      <c r="C66" s="427"/>
      <c r="D66" s="428"/>
      <c r="E66" s="517"/>
      <c r="F66" s="429"/>
      <c r="G66" s="429"/>
      <c r="H66" s="429"/>
      <c r="I66" s="429"/>
      <c r="J66" s="429"/>
      <c r="K66" s="429"/>
      <c r="L66" s="429"/>
      <c r="M66" s="429"/>
      <c r="N66" s="429"/>
      <c r="O66" s="429"/>
      <c r="P66" s="429"/>
      <c r="Q66" s="429"/>
      <c r="R66" s="429"/>
      <c r="S66" s="429"/>
      <c r="T66" s="429"/>
      <c r="U66" s="429"/>
      <c r="V66" s="429"/>
      <c r="W66" s="436"/>
      <c r="X66" s="431">
        <f t="shared" si="2"/>
        <v>0</v>
      </c>
      <c r="Y66" s="431">
        <f>AN_TME23[[#This Row],[TOTAL Non-Truncated Unadjusted Claims Expenses]]-AN_TME23[[#This Row],[Total Claims Excluded because of Truncation]]</f>
        <v>0</v>
      </c>
      <c r="Z66" s="431">
        <f t="shared" si="3"/>
        <v>0</v>
      </c>
      <c r="AA66" s="431">
        <f>AN_TME23[[#This Row],[TOTAL Non-Truncated Unadjusted Claims Expenses]]+AN_TME23[[#This Row],[TOTAL Non-Claims Expenses]]</f>
        <v>0</v>
      </c>
      <c r="AB66" s="431">
        <f>AN_TME23[[#This Row],[TOTAL Truncated Unadjusted Claims Expenses (A21 -A19)]]+AN_TME23[[#This Row],[TOTAL Non-Claims Expenses]]</f>
        <v>0</v>
      </c>
      <c r="AC66" s="475">
        <f>IFERROR(AN_TME23[[#This Row],[TOTAL Non-Truncated Unadjusted Expenses (A21 + A23)]]/AN_TME23[[#This Row],[Member Months]],0)</f>
        <v>0</v>
      </c>
      <c r="AD66" s="475">
        <f>IFERROR(AN_TME23[[#This Row],[TOTAL Truncated Unadjusted Expenses (A22 + A23)]]/AN_TME23[[#This Row],[Member Months]],0)</f>
        <v>0</v>
      </c>
      <c r="AE66" s="441">
        <f>IFERROR(AN_TME23[[#This Row],[Total Claims Excluded because of Truncation]]/AN_TME23[[#This Row],[Count of Members with Claims Truncated]], 0)</f>
        <v>0</v>
      </c>
      <c r="AF66" s="476">
        <f>IFERROR(AN_TME23[[#This Row],[Total Claims Excluded because of Truncation]]/AN_TME23[[#This Row],[TOTAL Non-Truncated Unadjusted Claims Expenses]], 0)</f>
        <v>0</v>
      </c>
    </row>
    <row r="67" spans="1:32" x14ac:dyDescent="0.25">
      <c r="A67" s="420"/>
      <c r="B67" s="421"/>
      <c r="C67" s="421"/>
      <c r="D67" s="422"/>
      <c r="E67" s="517"/>
      <c r="F67" s="423"/>
      <c r="G67" s="423"/>
      <c r="H67" s="423"/>
      <c r="I67" s="423"/>
      <c r="J67" s="423"/>
      <c r="K67" s="423"/>
      <c r="L67" s="423"/>
      <c r="M67" s="423"/>
      <c r="N67" s="423"/>
      <c r="O67" s="423"/>
      <c r="P67" s="423"/>
      <c r="Q67" s="423"/>
      <c r="R67" s="423"/>
      <c r="S67" s="423"/>
      <c r="T67" s="423"/>
      <c r="U67" s="423"/>
      <c r="V67" s="423"/>
      <c r="W67" s="435"/>
      <c r="X67" s="425">
        <f t="shared" si="2"/>
        <v>0</v>
      </c>
      <c r="Y67" s="425">
        <f>AN_TME23[[#This Row],[TOTAL Non-Truncated Unadjusted Claims Expenses]]-AN_TME23[[#This Row],[Total Claims Excluded because of Truncation]]</f>
        <v>0</v>
      </c>
      <c r="Z67" s="425">
        <f t="shared" si="3"/>
        <v>0</v>
      </c>
      <c r="AA67" s="425">
        <f>AN_TME23[[#This Row],[TOTAL Non-Truncated Unadjusted Claims Expenses]]+AN_TME23[[#This Row],[TOTAL Non-Claims Expenses]]</f>
        <v>0</v>
      </c>
      <c r="AB67" s="425">
        <f>AN_TME23[[#This Row],[TOTAL Truncated Unadjusted Claims Expenses (A21 -A19)]]+AN_TME23[[#This Row],[TOTAL Non-Claims Expenses]]</f>
        <v>0</v>
      </c>
      <c r="AC67" s="474">
        <f>IFERROR(AN_TME23[[#This Row],[TOTAL Non-Truncated Unadjusted Expenses (A21 + A23)]]/AN_TME23[[#This Row],[Member Months]],0)</f>
        <v>0</v>
      </c>
      <c r="AD67" s="474">
        <f>IFERROR(AN_TME23[[#This Row],[TOTAL Truncated Unadjusted Expenses (A22 + A23)]]/AN_TME23[[#This Row],[Member Months]],0)</f>
        <v>0</v>
      </c>
      <c r="AE67" s="441">
        <f>IFERROR(AN_TME23[[#This Row],[Total Claims Excluded because of Truncation]]/AN_TME23[[#This Row],[Count of Members with Claims Truncated]], 0)</f>
        <v>0</v>
      </c>
      <c r="AF67" s="476">
        <f>IFERROR(AN_TME23[[#This Row],[Total Claims Excluded because of Truncation]]/AN_TME23[[#This Row],[TOTAL Non-Truncated Unadjusted Claims Expenses]], 0)</f>
        <v>0</v>
      </c>
    </row>
    <row r="68" spans="1:32" x14ac:dyDescent="0.25">
      <c r="A68" s="426"/>
      <c r="B68" s="427"/>
      <c r="C68" s="427"/>
      <c r="D68" s="428"/>
      <c r="E68" s="517"/>
      <c r="F68" s="429"/>
      <c r="G68" s="429"/>
      <c r="H68" s="429"/>
      <c r="I68" s="429"/>
      <c r="J68" s="429"/>
      <c r="K68" s="429"/>
      <c r="L68" s="429"/>
      <c r="M68" s="429"/>
      <c r="N68" s="429"/>
      <c r="O68" s="429"/>
      <c r="P68" s="429"/>
      <c r="Q68" s="429"/>
      <c r="R68" s="429"/>
      <c r="S68" s="429"/>
      <c r="T68" s="429"/>
      <c r="U68" s="429"/>
      <c r="V68" s="429"/>
      <c r="W68" s="436"/>
      <c r="X68" s="431">
        <f t="shared" si="2"/>
        <v>0</v>
      </c>
      <c r="Y68" s="431">
        <f>AN_TME23[[#This Row],[TOTAL Non-Truncated Unadjusted Claims Expenses]]-AN_TME23[[#This Row],[Total Claims Excluded because of Truncation]]</f>
        <v>0</v>
      </c>
      <c r="Z68" s="431">
        <f t="shared" si="3"/>
        <v>0</v>
      </c>
      <c r="AA68" s="431">
        <f>AN_TME23[[#This Row],[TOTAL Non-Truncated Unadjusted Claims Expenses]]+AN_TME23[[#This Row],[TOTAL Non-Claims Expenses]]</f>
        <v>0</v>
      </c>
      <c r="AB68" s="431">
        <f>AN_TME23[[#This Row],[TOTAL Truncated Unadjusted Claims Expenses (A21 -A19)]]+AN_TME23[[#This Row],[TOTAL Non-Claims Expenses]]</f>
        <v>0</v>
      </c>
      <c r="AC68" s="475">
        <f>IFERROR(AN_TME23[[#This Row],[TOTAL Non-Truncated Unadjusted Expenses (A21 + A23)]]/AN_TME23[[#This Row],[Member Months]],0)</f>
        <v>0</v>
      </c>
      <c r="AD68" s="475">
        <f>IFERROR(AN_TME23[[#This Row],[TOTAL Truncated Unadjusted Expenses (A22 + A23)]]/AN_TME23[[#This Row],[Member Months]],0)</f>
        <v>0</v>
      </c>
      <c r="AE68" s="441">
        <f>IFERROR(AN_TME23[[#This Row],[Total Claims Excluded because of Truncation]]/AN_TME23[[#This Row],[Count of Members with Claims Truncated]], 0)</f>
        <v>0</v>
      </c>
      <c r="AF68" s="476">
        <f>IFERROR(AN_TME23[[#This Row],[Total Claims Excluded because of Truncation]]/AN_TME23[[#This Row],[TOTAL Non-Truncated Unadjusted Claims Expenses]], 0)</f>
        <v>0</v>
      </c>
    </row>
    <row r="69" spans="1:32" x14ac:dyDescent="0.25">
      <c r="A69" s="420"/>
      <c r="B69" s="421"/>
      <c r="C69" s="421"/>
      <c r="D69" s="422"/>
      <c r="E69" s="517"/>
      <c r="F69" s="423"/>
      <c r="G69" s="423"/>
      <c r="H69" s="423"/>
      <c r="I69" s="423"/>
      <c r="J69" s="423"/>
      <c r="K69" s="423"/>
      <c r="L69" s="423"/>
      <c r="M69" s="423"/>
      <c r="N69" s="423"/>
      <c r="O69" s="423"/>
      <c r="P69" s="423"/>
      <c r="Q69" s="423"/>
      <c r="R69" s="423"/>
      <c r="S69" s="423"/>
      <c r="T69" s="423"/>
      <c r="U69" s="423"/>
      <c r="V69" s="423"/>
      <c r="W69" s="435"/>
      <c r="X69" s="425">
        <f t="shared" si="2"/>
        <v>0</v>
      </c>
      <c r="Y69" s="425">
        <f>AN_TME23[[#This Row],[TOTAL Non-Truncated Unadjusted Claims Expenses]]-AN_TME23[[#This Row],[Total Claims Excluded because of Truncation]]</f>
        <v>0</v>
      </c>
      <c r="Z69" s="425">
        <f t="shared" si="3"/>
        <v>0</v>
      </c>
      <c r="AA69" s="425">
        <f>AN_TME23[[#This Row],[TOTAL Non-Truncated Unadjusted Claims Expenses]]+AN_TME23[[#This Row],[TOTAL Non-Claims Expenses]]</f>
        <v>0</v>
      </c>
      <c r="AB69" s="425">
        <f>AN_TME23[[#This Row],[TOTAL Truncated Unadjusted Claims Expenses (A21 -A19)]]+AN_TME23[[#This Row],[TOTAL Non-Claims Expenses]]</f>
        <v>0</v>
      </c>
      <c r="AC69" s="474">
        <f>IFERROR(AN_TME23[[#This Row],[TOTAL Non-Truncated Unadjusted Expenses (A21 + A23)]]/AN_TME23[[#This Row],[Member Months]],0)</f>
        <v>0</v>
      </c>
      <c r="AD69" s="474">
        <f>IFERROR(AN_TME23[[#This Row],[TOTAL Truncated Unadjusted Expenses (A22 + A23)]]/AN_TME23[[#This Row],[Member Months]],0)</f>
        <v>0</v>
      </c>
      <c r="AE69" s="441">
        <f>IFERROR(AN_TME23[[#This Row],[Total Claims Excluded because of Truncation]]/AN_TME23[[#This Row],[Count of Members with Claims Truncated]], 0)</f>
        <v>0</v>
      </c>
      <c r="AF69" s="476">
        <f>IFERROR(AN_TME23[[#This Row],[Total Claims Excluded because of Truncation]]/AN_TME23[[#This Row],[TOTAL Non-Truncated Unadjusted Claims Expenses]], 0)</f>
        <v>0</v>
      </c>
    </row>
    <row r="70" spans="1:32" x14ac:dyDescent="0.25">
      <c r="A70" s="426"/>
      <c r="B70" s="427"/>
      <c r="C70" s="427"/>
      <c r="D70" s="428"/>
      <c r="E70" s="517"/>
      <c r="F70" s="429"/>
      <c r="G70" s="429"/>
      <c r="H70" s="429"/>
      <c r="I70" s="429"/>
      <c r="J70" s="429"/>
      <c r="K70" s="429"/>
      <c r="L70" s="429"/>
      <c r="M70" s="429"/>
      <c r="N70" s="429"/>
      <c r="O70" s="429"/>
      <c r="P70" s="429"/>
      <c r="Q70" s="429"/>
      <c r="R70" s="429"/>
      <c r="S70" s="429"/>
      <c r="T70" s="429"/>
      <c r="U70" s="429"/>
      <c r="V70" s="429"/>
      <c r="W70" s="436"/>
      <c r="X70" s="431">
        <f t="shared" si="2"/>
        <v>0</v>
      </c>
      <c r="Y70" s="431">
        <f>AN_TME23[[#This Row],[TOTAL Non-Truncated Unadjusted Claims Expenses]]-AN_TME23[[#This Row],[Total Claims Excluded because of Truncation]]</f>
        <v>0</v>
      </c>
      <c r="Z70" s="431">
        <f t="shared" si="3"/>
        <v>0</v>
      </c>
      <c r="AA70" s="431">
        <f>AN_TME23[[#This Row],[TOTAL Non-Truncated Unadjusted Claims Expenses]]+AN_TME23[[#This Row],[TOTAL Non-Claims Expenses]]</f>
        <v>0</v>
      </c>
      <c r="AB70" s="431">
        <f>AN_TME23[[#This Row],[TOTAL Truncated Unadjusted Claims Expenses (A21 -A19)]]+AN_TME23[[#This Row],[TOTAL Non-Claims Expenses]]</f>
        <v>0</v>
      </c>
      <c r="AC70" s="475">
        <f>IFERROR(AN_TME23[[#This Row],[TOTAL Non-Truncated Unadjusted Expenses (A21 + A23)]]/AN_TME23[[#This Row],[Member Months]],0)</f>
        <v>0</v>
      </c>
      <c r="AD70" s="475">
        <f>IFERROR(AN_TME23[[#This Row],[TOTAL Truncated Unadjusted Expenses (A22 + A23)]]/AN_TME23[[#This Row],[Member Months]],0)</f>
        <v>0</v>
      </c>
      <c r="AE70" s="441">
        <f>IFERROR(AN_TME23[[#This Row],[Total Claims Excluded because of Truncation]]/AN_TME23[[#This Row],[Count of Members with Claims Truncated]], 0)</f>
        <v>0</v>
      </c>
      <c r="AF70" s="476">
        <f>IFERROR(AN_TME23[[#This Row],[Total Claims Excluded because of Truncation]]/AN_TME23[[#This Row],[TOTAL Non-Truncated Unadjusted Claims Expenses]], 0)</f>
        <v>0</v>
      </c>
    </row>
    <row r="71" spans="1:32" x14ac:dyDescent="0.25">
      <c r="A71" s="420"/>
      <c r="B71" s="421"/>
      <c r="C71" s="421"/>
      <c r="D71" s="422"/>
      <c r="E71" s="517"/>
      <c r="F71" s="423"/>
      <c r="G71" s="423"/>
      <c r="H71" s="423"/>
      <c r="I71" s="423"/>
      <c r="J71" s="423"/>
      <c r="K71" s="423"/>
      <c r="L71" s="423"/>
      <c r="M71" s="423"/>
      <c r="N71" s="423"/>
      <c r="O71" s="423"/>
      <c r="P71" s="423"/>
      <c r="Q71" s="423"/>
      <c r="R71" s="423"/>
      <c r="S71" s="423"/>
      <c r="T71" s="423"/>
      <c r="U71" s="423"/>
      <c r="V71" s="423"/>
      <c r="W71" s="435"/>
      <c r="X71" s="425">
        <f t="shared" si="2"/>
        <v>0</v>
      </c>
      <c r="Y71" s="425">
        <f>AN_TME23[[#This Row],[TOTAL Non-Truncated Unadjusted Claims Expenses]]-AN_TME23[[#This Row],[Total Claims Excluded because of Truncation]]</f>
        <v>0</v>
      </c>
      <c r="Z71" s="425">
        <f t="shared" si="3"/>
        <v>0</v>
      </c>
      <c r="AA71" s="425">
        <f>AN_TME23[[#This Row],[TOTAL Non-Truncated Unadjusted Claims Expenses]]+AN_TME23[[#This Row],[TOTAL Non-Claims Expenses]]</f>
        <v>0</v>
      </c>
      <c r="AB71" s="425">
        <f>AN_TME23[[#This Row],[TOTAL Truncated Unadjusted Claims Expenses (A21 -A19)]]+AN_TME23[[#This Row],[TOTAL Non-Claims Expenses]]</f>
        <v>0</v>
      </c>
      <c r="AC71" s="474">
        <f>IFERROR(AN_TME23[[#This Row],[TOTAL Non-Truncated Unadjusted Expenses (A21 + A23)]]/AN_TME23[[#This Row],[Member Months]],0)</f>
        <v>0</v>
      </c>
      <c r="AD71" s="474">
        <f>IFERROR(AN_TME23[[#This Row],[TOTAL Truncated Unadjusted Expenses (A22 + A23)]]/AN_TME23[[#This Row],[Member Months]],0)</f>
        <v>0</v>
      </c>
      <c r="AE71" s="441">
        <f>IFERROR(AN_TME23[[#This Row],[Total Claims Excluded because of Truncation]]/AN_TME23[[#This Row],[Count of Members with Claims Truncated]], 0)</f>
        <v>0</v>
      </c>
      <c r="AF71" s="476">
        <f>IFERROR(AN_TME23[[#This Row],[Total Claims Excluded because of Truncation]]/AN_TME23[[#This Row],[TOTAL Non-Truncated Unadjusted Claims Expenses]], 0)</f>
        <v>0</v>
      </c>
    </row>
    <row r="72" spans="1:32" x14ac:dyDescent="0.25">
      <c r="A72" s="426"/>
      <c r="B72" s="427"/>
      <c r="C72" s="427"/>
      <c r="D72" s="428"/>
      <c r="E72" s="517"/>
      <c r="F72" s="429"/>
      <c r="G72" s="429"/>
      <c r="H72" s="429"/>
      <c r="I72" s="429"/>
      <c r="J72" s="429"/>
      <c r="K72" s="429"/>
      <c r="L72" s="429"/>
      <c r="M72" s="429"/>
      <c r="N72" s="429"/>
      <c r="O72" s="429"/>
      <c r="P72" s="429"/>
      <c r="Q72" s="429"/>
      <c r="R72" s="429"/>
      <c r="S72" s="429"/>
      <c r="T72" s="429"/>
      <c r="U72" s="429"/>
      <c r="V72" s="429"/>
      <c r="W72" s="436"/>
      <c r="X72" s="431">
        <f t="shared" si="2"/>
        <v>0</v>
      </c>
      <c r="Y72" s="431">
        <f>AN_TME23[[#This Row],[TOTAL Non-Truncated Unadjusted Claims Expenses]]-AN_TME23[[#This Row],[Total Claims Excluded because of Truncation]]</f>
        <v>0</v>
      </c>
      <c r="Z72" s="431">
        <f t="shared" si="3"/>
        <v>0</v>
      </c>
      <c r="AA72" s="431">
        <f>AN_TME23[[#This Row],[TOTAL Non-Truncated Unadjusted Claims Expenses]]+AN_TME23[[#This Row],[TOTAL Non-Claims Expenses]]</f>
        <v>0</v>
      </c>
      <c r="AB72" s="431">
        <f>AN_TME23[[#This Row],[TOTAL Truncated Unadjusted Claims Expenses (A21 -A19)]]+AN_TME23[[#This Row],[TOTAL Non-Claims Expenses]]</f>
        <v>0</v>
      </c>
      <c r="AC72" s="475">
        <f>IFERROR(AN_TME23[[#This Row],[TOTAL Non-Truncated Unadjusted Expenses (A21 + A23)]]/AN_TME23[[#This Row],[Member Months]],0)</f>
        <v>0</v>
      </c>
      <c r="AD72" s="475">
        <f>IFERROR(AN_TME23[[#This Row],[TOTAL Truncated Unadjusted Expenses (A22 + A23)]]/AN_TME23[[#This Row],[Member Months]],0)</f>
        <v>0</v>
      </c>
      <c r="AE72" s="441">
        <f>IFERROR(AN_TME23[[#This Row],[Total Claims Excluded because of Truncation]]/AN_TME23[[#This Row],[Count of Members with Claims Truncated]], 0)</f>
        <v>0</v>
      </c>
      <c r="AF72" s="476">
        <f>IFERROR(AN_TME23[[#This Row],[Total Claims Excluded because of Truncation]]/AN_TME23[[#This Row],[TOTAL Non-Truncated Unadjusted Claims Expenses]], 0)</f>
        <v>0</v>
      </c>
    </row>
    <row r="73" spans="1:32" x14ac:dyDescent="0.25">
      <c r="A73" s="420"/>
      <c r="B73" s="421"/>
      <c r="C73" s="421"/>
      <c r="D73" s="422"/>
      <c r="E73" s="517"/>
      <c r="F73" s="423"/>
      <c r="G73" s="423"/>
      <c r="H73" s="423"/>
      <c r="I73" s="423"/>
      <c r="J73" s="423"/>
      <c r="K73" s="423"/>
      <c r="L73" s="423"/>
      <c r="M73" s="423"/>
      <c r="N73" s="423"/>
      <c r="O73" s="423"/>
      <c r="P73" s="423"/>
      <c r="Q73" s="423"/>
      <c r="R73" s="423"/>
      <c r="S73" s="423"/>
      <c r="T73" s="423"/>
      <c r="U73" s="423"/>
      <c r="V73" s="423"/>
      <c r="W73" s="435"/>
      <c r="X73" s="425">
        <f t="shared" si="2"/>
        <v>0</v>
      </c>
      <c r="Y73" s="425">
        <f>AN_TME23[[#This Row],[TOTAL Non-Truncated Unadjusted Claims Expenses]]-AN_TME23[[#This Row],[Total Claims Excluded because of Truncation]]</f>
        <v>0</v>
      </c>
      <c r="Z73" s="425">
        <f t="shared" si="3"/>
        <v>0</v>
      </c>
      <c r="AA73" s="425">
        <f>AN_TME23[[#This Row],[TOTAL Non-Truncated Unadjusted Claims Expenses]]+AN_TME23[[#This Row],[TOTAL Non-Claims Expenses]]</f>
        <v>0</v>
      </c>
      <c r="AB73" s="425">
        <f>AN_TME23[[#This Row],[TOTAL Truncated Unadjusted Claims Expenses (A21 -A19)]]+AN_TME23[[#This Row],[TOTAL Non-Claims Expenses]]</f>
        <v>0</v>
      </c>
      <c r="AC73" s="474">
        <f>IFERROR(AN_TME23[[#This Row],[TOTAL Non-Truncated Unadjusted Expenses (A21 + A23)]]/AN_TME23[[#This Row],[Member Months]],0)</f>
        <v>0</v>
      </c>
      <c r="AD73" s="474">
        <f>IFERROR(AN_TME23[[#This Row],[TOTAL Truncated Unadjusted Expenses (A22 + A23)]]/AN_TME23[[#This Row],[Member Months]],0)</f>
        <v>0</v>
      </c>
      <c r="AE73" s="441">
        <f>IFERROR(AN_TME23[[#This Row],[Total Claims Excluded because of Truncation]]/AN_TME23[[#This Row],[Count of Members with Claims Truncated]], 0)</f>
        <v>0</v>
      </c>
      <c r="AF73" s="476">
        <f>IFERROR(AN_TME23[[#This Row],[Total Claims Excluded because of Truncation]]/AN_TME23[[#This Row],[TOTAL Non-Truncated Unadjusted Claims Expenses]], 0)</f>
        <v>0</v>
      </c>
    </row>
    <row r="74" spans="1:32" x14ac:dyDescent="0.25">
      <c r="A74" s="426"/>
      <c r="B74" s="427"/>
      <c r="C74" s="427"/>
      <c r="D74" s="428"/>
      <c r="E74" s="517"/>
      <c r="F74" s="429"/>
      <c r="G74" s="429"/>
      <c r="H74" s="429"/>
      <c r="I74" s="429"/>
      <c r="J74" s="429"/>
      <c r="K74" s="429"/>
      <c r="L74" s="429"/>
      <c r="M74" s="429"/>
      <c r="N74" s="429"/>
      <c r="O74" s="429"/>
      <c r="P74" s="429"/>
      <c r="Q74" s="429"/>
      <c r="R74" s="429"/>
      <c r="S74" s="429"/>
      <c r="T74" s="429"/>
      <c r="U74" s="429"/>
      <c r="V74" s="429"/>
      <c r="W74" s="436"/>
      <c r="X74" s="431">
        <f t="shared" si="2"/>
        <v>0</v>
      </c>
      <c r="Y74" s="431">
        <f>AN_TME23[[#This Row],[TOTAL Non-Truncated Unadjusted Claims Expenses]]-AN_TME23[[#This Row],[Total Claims Excluded because of Truncation]]</f>
        <v>0</v>
      </c>
      <c r="Z74" s="431">
        <f t="shared" si="3"/>
        <v>0</v>
      </c>
      <c r="AA74" s="431">
        <f>AN_TME23[[#This Row],[TOTAL Non-Truncated Unadjusted Claims Expenses]]+AN_TME23[[#This Row],[TOTAL Non-Claims Expenses]]</f>
        <v>0</v>
      </c>
      <c r="AB74" s="431">
        <f>AN_TME23[[#This Row],[TOTAL Truncated Unadjusted Claims Expenses (A21 -A19)]]+AN_TME23[[#This Row],[TOTAL Non-Claims Expenses]]</f>
        <v>0</v>
      </c>
      <c r="AC74" s="475">
        <f>IFERROR(AN_TME23[[#This Row],[TOTAL Non-Truncated Unadjusted Expenses (A21 + A23)]]/AN_TME23[[#This Row],[Member Months]],0)</f>
        <v>0</v>
      </c>
      <c r="AD74" s="475">
        <f>IFERROR(AN_TME23[[#This Row],[TOTAL Truncated Unadjusted Expenses (A22 + A23)]]/AN_TME23[[#This Row],[Member Months]],0)</f>
        <v>0</v>
      </c>
      <c r="AE74" s="441">
        <f>IFERROR(AN_TME23[[#This Row],[Total Claims Excluded because of Truncation]]/AN_TME23[[#This Row],[Count of Members with Claims Truncated]], 0)</f>
        <v>0</v>
      </c>
      <c r="AF74" s="476">
        <f>IFERROR(AN_TME23[[#This Row],[Total Claims Excluded because of Truncation]]/AN_TME23[[#This Row],[TOTAL Non-Truncated Unadjusted Claims Expenses]], 0)</f>
        <v>0</v>
      </c>
    </row>
    <row r="75" spans="1:32" x14ac:dyDescent="0.25">
      <c r="A75" s="420"/>
      <c r="B75" s="421"/>
      <c r="C75" s="421"/>
      <c r="D75" s="422"/>
      <c r="E75" s="517"/>
      <c r="F75" s="423"/>
      <c r="G75" s="423"/>
      <c r="H75" s="423"/>
      <c r="I75" s="423"/>
      <c r="J75" s="423"/>
      <c r="K75" s="423"/>
      <c r="L75" s="423"/>
      <c r="M75" s="423"/>
      <c r="N75" s="423"/>
      <c r="O75" s="423"/>
      <c r="P75" s="423"/>
      <c r="Q75" s="423"/>
      <c r="R75" s="423"/>
      <c r="S75" s="423"/>
      <c r="T75" s="423"/>
      <c r="U75" s="423"/>
      <c r="V75" s="423"/>
      <c r="W75" s="435"/>
      <c r="X75" s="425">
        <f t="shared" ref="X75:X106" si="4">SUM(F75:H75)+SUM(J75:N75)</f>
        <v>0</v>
      </c>
      <c r="Y75" s="425">
        <f>AN_TME23[[#This Row],[TOTAL Non-Truncated Unadjusted Claims Expenses]]-AN_TME23[[#This Row],[Total Claims Excluded because of Truncation]]</f>
        <v>0</v>
      </c>
      <c r="Z75" s="425">
        <f t="shared" ref="Z75:Z106" si="5">SUM(O75:T75)</f>
        <v>0</v>
      </c>
      <c r="AA75" s="425">
        <f>AN_TME23[[#This Row],[TOTAL Non-Truncated Unadjusted Claims Expenses]]+AN_TME23[[#This Row],[TOTAL Non-Claims Expenses]]</f>
        <v>0</v>
      </c>
      <c r="AB75" s="425">
        <f>AN_TME23[[#This Row],[TOTAL Truncated Unadjusted Claims Expenses (A21 -A19)]]+AN_TME23[[#This Row],[TOTAL Non-Claims Expenses]]</f>
        <v>0</v>
      </c>
      <c r="AC75" s="474">
        <f>IFERROR(AN_TME23[[#This Row],[TOTAL Non-Truncated Unadjusted Expenses (A21 + A23)]]/AN_TME23[[#This Row],[Member Months]],0)</f>
        <v>0</v>
      </c>
      <c r="AD75" s="474">
        <f>IFERROR(AN_TME23[[#This Row],[TOTAL Truncated Unadjusted Expenses (A22 + A23)]]/AN_TME23[[#This Row],[Member Months]],0)</f>
        <v>0</v>
      </c>
      <c r="AE75" s="441">
        <f>IFERROR(AN_TME23[[#This Row],[Total Claims Excluded because of Truncation]]/AN_TME23[[#This Row],[Count of Members with Claims Truncated]], 0)</f>
        <v>0</v>
      </c>
      <c r="AF75" s="476">
        <f>IFERROR(AN_TME23[[#This Row],[Total Claims Excluded because of Truncation]]/AN_TME23[[#This Row],[TOTAL Non-Truncated Unadjusted Claims Expenses]], 0)</f>
        <v>0</v>
      </c>
    </row>
    <row r="76" spans="1:32" x14ac:dyDescent="0.25">
      <c r="A76" s="426"/>
      <c r="B76" s="427"/>
      <c r="C76" s="427"/>
      <c r="D76" s="428"/>
      <c r="E76" s="517"/>
      <c r="F76" s="429"/>
      <c r="G76" s="429"/>
      <c r="H76" s="429"/>
      <c r="I76" s="429"/>
      <c r="J76" s="429"/>
      <c r="K76" s="429"/>
      <c r="L76" s="429"/>
      <c r="M76" s="429"/>
      <c r="N76" s="429"/>
      <c r="O76" s="429"/>
      <c r="P76" s="429"/>
      <c r="Q76" s="429"/>
      <c r="R76" s="429"/>
      <c r="S76" s="429"/>
      <c r="T76" s="429"/>
      <c r="U76" s="429"/>
      <c r="V76" s="429"/>
      <c r="W76" s="436"/>
      <c r="X76" s="431">
        <f t="shared" si="4"/>
        <v>0</v>
      </c>
      <c r="Y76" s="431">
        <f>AN_TME23[[#This Row],[TOTAL Non-Truncated Unadjusted Claims Expenses]]-AN_TME23[[#This Row],[Total Claims Excluded because of Truncation]]</f>
        <v>0</v>
      </c>
      <c r="Z76" s="431">
        <f t="shared" si="5"/>
        <v>0</v>
      </c>
      <c r="AA76" s="431">
        <f>AN_TME23[[#This Row],[TOTAL Non-Truncated Unadjusted Claims Expenses]]+AN_TME23[[#This Row],[TOTAL Non-Claims Expenses]]</f>
        <v>0</v>
      </c>
      <c r="AB76" s="431">
        <f>AN_TME23[[#This Row],[TOTAL Truncated Unadjusted Claims Expenses (A21 -A19)]]+AN_TME23[[#This Row],[TOTAL Non-Claims Expenses]]</f>
        <v>0</v>
      </c>
      <c r="AC76" s="475">
        <f>IFERROR(AN_TME23[[#This Row],[TOTAL Non-Truncated Unadjusted Expenses (A21 + A23)]]/AN_TME23[[#This Row],[Member Months]],0)</f>
        <v>0</v>
      </c>
      <c r="AD76" s="475">
        <f>IFERROR(AN_TME23[[#This Row],[TOTAL Truncated Unadjusted Expenses (A22 + A23)]]/AN_TME23[[#This Row],[Member Months]],0)</f>
        <v>0</v>
      </c>
      <c r="AE76" s="441">
        <f>IFERROR(AN_TME23[[#This Row],[Total Claims Excluded because of Truncation]]/AN_TME23[[#This Row],[Count of Members with Claims Truncated]], 0)</f>
        <v>0</v>
      </c>
      <c r="AF76" s="476">
        <f>IFERROR(AN_TME23[[#This Row],[Total Claims Excluded because of Truncation]]/AN_TME23[[#This Row],[TOTAL Non-Truncated Unadjusted Claims Expenses]], 0)</f>
        <v>0</v>
      </c>
    </row>
    <row r="77" spans="1:32" x14ac:dyDescent="0.25">
      <c r="A77" s="420"/>
      <c r="B77" s="421"/>
      <c r="C77" s="421"/>
      <c r="D77" s="422"/>
      <c r="E77" s="517"/>
      <c r="F77" s="423"/>
      <c r="G77" s="423"/>
      <c r="H77" s="423"/>
      <c r="I77" s="423"/>
      <c r="J77" s="423"/>
      <c r="K77" s="423"/>
      <c r="L77" s="423"/>
      <c r="M77" s="423"/>
      <c r="N77" s="423"/>
      <c r="O77" s="423"/>
      <c r="P77" s="423"/>
      <c r="Q77" s="423"/>
      <c r="R77" s="423"/>
      <c r="S77" s="423"/>
      <c r="T77" s="423"/>
      <c r="U77" s="423"/>
      <c r="V77" s="423"/>
      <c r="W77" s="435"/>
      <c r="X77" s="425">
        <f t="shared" si="4"/>
        <v>0</v>
      </c>
      <c r="Y77" s="425">
        <f>AN_TME23[[#This Row],[TOTAL Non-Truncated Unadjusted Claims Expenses]]-AN_TME23[[#This Row],[Total Claims Excluded because of Truncation]]</f>
        <v>0</v>
      </c>
      <c r="Z77" s="425">
        <f t="shared" si="5"/>
        <v>0</v>
      </c>
      <c r="AA77" s="425">
        <f>AN_TME23[[#This Row],[TOTAL Non-Truncated Unadjusted Claims Expenses]]+AN_TME23[[#This Row],[TOTAL Non-Claims Expenses]]</f>
        <v>0</v>
      </c>
      <c r="AB77" s="425">
        <f>AN_TME23[[#This Row],[TOTAL Truncated Unadjusted Claims Expenses (A21 -A19)]]+AN_TME23[[#This Row],[TOTAL Non-Claims Expenses]]</f>
        <v>0</v>
      </c>
      <c r="AC77" s="474">
        <f>IFERROR(AN_TME23[[#This Row],[TOTAL Non-Truncated Unadjusted Expenses (A21 + A23)]]/AN_TME23[[#This Row],[Member Months]],0)</f>
        <v>0</v>
      </c>
      <c r="AD77" s="474">
        <f>IFERROR(AN_TME23[[#This Row],[TOTAL Truncated Unadjusted Expenses (A22 + A23)]]/AN_TME23[[#This Row],[Member Months]],0)</f>
        <v>0</v>
      </c>
      <c r="AE77" s="441">
        <f>IFERROR(AN_TME23[[#This Row],[Total Claims Excluded because of Truncation]]/AN_TME23[[#This Row],[Count of Members with Claims Truncated]], 0)</f>
        <v>0</v>
      </c>
      <c r="AF77" s="476">
        <f>IFERROR(AN_TME23[[#This Row],[Total Claims Excluded because of Truncation]]/AN_TME23[[#This Row],[TOTAL Non-Truncated Unadjusted Claims Expenses]], 0)</f>
        <v>0</v>
      </c>
    </row>
    <row r="78" spans="1:32" x14ac:dyDescent="0.25">
      <c r="A78" s="426"/>
      <c r="B78" s="427"/>
      <c r="C78" s="427"/>
      <c r="D78" s="428"/>
      <c r="E78" s="517"/>
      <c r="F78" s="429"/>
      <c r="G78" s="429"/>
      <c r="H78" s="429"/>
      <c r="I78" s="429"/>
      <c r="J78" s="429"/>
      <c r="K78" s="429"/>
      <c r="L78" s="429"/>
      <c r="M78" s="429"/>
      <c r="N78" s="429"/>
      <c r="O78" s="429"/>
      <c r="P78" s="429"/>
      <c r="Q78" s="429"/>
      <c r="R78" s="429"/>
      <c r="S78" s="429"/>
      <c r="T78" s="429"/>
      <c r="U78" s="429"/>
      <c r="V78" s="429"/>
      <c r="W78" s="436"/>
      <c r="X78" s="431">
        <f t="shared" si="4"/>
        <v>0</v>
      </c>
      <c r="Y78" s="431">
        <f>AN_TME23[[#This Row],[TOTAL Non-Truncated Unadjusted Claims Expenses]]-AN_TME23[[#This Row],[Total Claims Excluded because of Truncation]]</f>
        <v>0</v>
      </c>
      <c r="Z78" s="431">
        <f t="shared" si="5"/>
        <v>0</v>
      </c>
      <c r="AA78" s="431">
        <f>AN_TME23[[#This Row],[TOTAL Non-Truncated Unadjusted Claims Expenses]]+AN_TME23[[#This Row],[TOTAL Non-Claims Expenses]]</f>
        <v>0</v>
      </c>
      <c r="AB78" s="431">
        <f>AN_TME23[[#This Row],[TOTAL Truncated Unadjusted Claims Expenses (A21 -A19)]]+AN_TME23[[#This Row],[TOTAL Non-Claims Expenses]]</f>
        <v>0</v>
      </c>
      <c r="AC78" s="475">
        <f>IFERROR(AN_TME23[[#This Row],[TOTAL Non-Truncated Unadjusted Expenses (A21 + A23)]]/AN_TME23[[#This Row],[Member Months]],0)</f>
        <v>0</v>
      </c>
      <c r="AD78" s="475">
        <f>IFERROR(AN_TME23[[#This Row],[TOTAL Truncated Unadjusted Expenses (A22 + A23)]]/AN_TME23[[#This Row],[Member Months]],0)</f>
        <v>0</v>
      </c>
      <c r="AE78" s="441">
        <f>IFERROR(AN_TME23[[#This Row],[Total Claims Excluded because of Truncation]]/AN_TME23[[#This Row],[Count of Members with Claims Truncated]], 0)</f>
        <v>0</v>
      </c>
      <c r="AF78" s="476">
        <f>IFERROR(AN_TME23[[#This Row],[Total Claims Excluded because of Truncation]]/AN_TME23[[#This Row],[TOTAL Non-Truncated Unadjusted Claims Expenses]], 0)</f>
        <v>0</v>
      </c>
    </row>
    <row r="79" spans="1:32" x14ac:dyDescent="0.25">
      <c r="A79" s="420"/>
      <c r="B79" s="421"/>
      <c r="C79" s="421"/>
      <c r="D79" s="422"/>
      <c r="E79" s="517"/>
      <c r="F79" s="423"/>
      <c r="G79" s="423"/>
      <c r="H79" s="423"/>
      <c r="I79" s="423"/>
      <c r="J79" s="423"/>
      <c r="K79" s="423"/>
      <c r="L79" s="423"/>
      <c r="M79" s="423"/>
      <c r="N79" s="423"/>
      <c r="O79" s="423"/>
      <c r="P79" s="423"/>
      <c r="Q79" s="423"/>
      <c r="R79" s="423"/>
      <c r="S79" s="423"/>
      <c r="T79" s="423"/>
      <c r="U79" s="423"/>
      <c r="V79" s="423"/>
      <c r="W79" s="435"/>
      <c r="X79" s="425">
        <f t="shared" si="4"/>
        <v>0</v>
      </c>
      <c r="Y79" s="425">
        <f>AN_TME23[[#This Row],[TOTAL Non-Truncated Unadjusted Claims Expenses]]-AN_TME23[[#This Row],[Total Claims Excluded because of Truncation]]</f>
        <v>0</v>
      </c>
      <c r="Z79" s="425">
        <f t="shared" si="5"/>
        <v>0</v>
      </c>
      <c r="AA79" s="425">
        <f>AN_TME23[[#This Row],[TOTAL Non-Truncated Unadjusted Claims Expenses]]+AN_TME23[[#This Row],[TOTAL Non-Claims Expenses]]</f>
        <v>0</v>
      </c>
      <c r="AB79" s="425">
        <f>AN_TME23[[#This Row],[TOTAL Truncated Unadjusted Claims Expenses (A21 -A19)]]+AN_TME23[[#This Row],[TOTAL Non-Claims Expenses]]</f>
        <v>0</v>
      </c>
      <c r="AC79" s="474">
        <f>IFERROR(AN_TME23[[#This Row],[TOTAL Non-Truncated Unadjusted Expenses (A21 + A23)]]/AN_TME23[[#This Row],[Member Months]],0)</f>
        <v>0</v>
      </c>
      <c r="AD79" s="474">
        <f>IFERROR(AN_TME23[[#This Row],[TOTAL Truncated Unadjusted Expenses (A22 + A23)]]/AN_TME23[[#This Row],[Member Months]],0)</f>
        <v>0</v>
      </c>
      <c r="AE79" s="441">
        <f>IFERROR(AN_TME23[[#This Row],[Total Claims Excluded because of Truncation]]/AN_TME23[[#This Row],[Count of Members with Claims Truncated]], 0)</f>
        <v>0</v>
      </c>
      <c r="AF79" s="476">
        <f>IFERROR(AN_TME23[[#This Row],[Total Claims Excluded because of Truncation]]/AN_TME23[[#This Row],[TOTAL Non-Truncated Unadjusted Claims Expenses]], 0)</f>
        <v>0</v>
      </c>
    </row>
    <row r="80" spans="1:32" x14ac:dyDescent="0.25">
      <c r="A80" s="426"/>
      <c r="B80" s="427"/>
      <c r="C80" s="427"/>
      <c r="D80" s="428"/>
      <c r="E80" s="517"/>
      <c r="F80" s="429"/>
      <c r="G80" s="429"/>
      <c r="H80" s="429"/>
      <c r="I80" s="429"/>
      <c r="J80" s="429"/>
      <c r="K80" s="429"/>
      <c r="L80" s="429"/>
      <c r="M80" s="429"/>
      <c r="N80" s="429"/>
      <c r="O80" s="429"/>
      <c r="P80" s="429"/>
      <c r="Q80" s="429"/>
      <c r="R80" s="429"/>
      <c r="S80" s="429"/>
      <c r="T80" s="429"/>
      <c r="U80" s="429"/>
      <c r="V80" s="429"/>
      <c r="W80" s="436"/>
      <c r="X80" s="431">
        <f t="shared" si="4"/>
        <v>0</v>
      </c>
      <c r="Y80" s="431">
        <f>AN_TME23[[#This Row],[TOTAL Non-Truncated Unadjusted Claims Expenses]]-AN_TME23[[#This Row],[Total Claims Excluded because of Truncation]]</f>
        <v>0</v>
      </c>
      <c r="Z80" s="431">
        <f t="shared" si="5"/>
        <v>0</v>
      </c>
      <c r="AA80" s="431">
        <f>AN_TME23[[#This Row],[TOTAL Non-Truncated Unadjusted Claims Expenses]]+AN_TME23[[#This Row],[TOTAL Non-Claims Expenses]]</f>
        <v>0</v>
      </c>
      <c r="AB80" s="431">
        <f>AN_TME23[[#This Row],[TOTAL Truncated Unadjusted Claims Expenses (A21 -A19)]]+AN_TME23[[#This Row],[TOTAL Non-Claims Expenses]]</f>
        <v>0</v>
      </c>
      <c r="AC80" s="475">
        <f>IFERROR(AN_TME23[[#This Row],[TOTAL Non-Truncated Unadjusted Expenses (A21 + A23)]]/AN_TME23[[#This Row],[Member Months]],0)</f>
        <v>0</v>
      </c>
      <c r="AD80" s="475">
        <f>IFERROR(AN_TME23[[#This Row],[TOTAL Truncated Unadjusted Expenses (A22 + A23)]]/AN_TME23[[#This Row],[Member Months]],0)</f>
        <v>0</v>
      </c>
      <c r="AE80" s="441">
        <f>IFERROR(AN_TME23[[#This Row],[Total Claims Excluded because of Truncation]]/AN_TME23[[#This Row],[Count of Members with Claims Truncated]], 0)</f>
        <v>0</v>
      </c>
      <c r="AF80" s="476">
        <f>IFERROR(AN_TME23[[#This Row],[Total Claims Excluded because of Truncation]]/AN_TME23[[#This Row],[TOTAL Non-Truncated Unadjusted Claims Expenses]], 0)</f>
        <v>0</v>
      </c>
    </row>
    <row r="81" spans="1:32" x14ac:dyDescent="0.25">
      <c r="A81" s="420"/>
      <c r="B81" s="421"/>
      <c r="C81" s="421"/>
      <c r="D81" s="422"/>
      <c r="E81" s="517"/>
      <c r="F81" s="423"/>
      <c r="G81" s="423"/>
      <c r="H81" s="423"/>
      <c r="I81" s="423"/>
      <c r="J81" s="423"/>
      <c r="K81" s="423"/>
      <c r="L81" s="423"/>
      <c r="M81" s="423"/>
      <c r="N81" s="423"/>
      <c r="O81" s="423"/>
      <c r="P81" s="423"/>
      <c r="Q81" s="423"/>
      <c r="R81" s="423"/>
      <c r="S81" s="423"/>
      <c r="T81" s="423"/>
      <c r="U81" s="423"/>
      <c r="V81" s="423"/>
      <c r="W81" s="435"/>
      <c r="X81" s="425">
        <f t="shared" si="4"/>
        <v>0</v>
      </c>
      <c r="Y81" s="425">
        <f>AN_TME23[[#This Row],[TOTAL Non-Truncated Unadjusted Claims Expenses]]-AN_TME23[[#This Row],[Total Claims Excluded because of Truncation]]</f>
        <v>0</v>
      </c>
      <c r="Z81" s="425">
        <f t="shared" si="5"/>
        <v>0</v>
      </c>
      <c r="AA81" s="425">
        <f>AN_TME23[[#This Row],[TOTAL Non-Truncated Unadjusted Claims Expenses]]+AN_TME23[[#This Row],[TOTAL Non-Claims Expenses]]</f>
        <v>0</v>
      </c>
      <c r="AB81" s="425">
        <f>AN_TME23[[#This Row],[TOTAL Truncated Unadjusted Claims Expenses (A21 -A19)]]+AN_TME23[[#This Row],[TOTAL Non-Claims Expenses]]</f>
        <v>0</v>
      </c>
      <c r="AC81" s="474">
        <f>IFERROR(AN_TME23[[#This Row],[TOTAL Non-Truncated Unadjusted Expenses (A21 + A23)]]/AN_TME23[[#This Row],[Member Months]],0)</f>
        <v>0</v>
      </c>
      <c r="AD81" s="474">
        <f>IFERROR(AN_TME23[[#This Row],[TOTAL Truncated Unadjusted Expenses (A22 + A23)]]/AN_TME23[[#This Row],[Member Months]],0)</f>
        <v>0</v>
      </c>
      <c r="AE81" s="441">
        <f>IFERROR(AN_TME23[[#This Row],[Total Claims Excluded because of Truncation]]/AN_TME23[[#This Row],[Count of Members with Claims Truncated]], 0)</f>
        <v>0</v>
      </c>
      <c r="AF81" s="476">
        <f>IFERROR(AN_TME23[[#This Row],[Total Claims Excluded because of Truncation]]/AN_TME23[[#This Row],[TOTAL Non-Truncated Unadjusted Claims Expenses]], 0)</f>
        <v>0</v>
      </c>
    </row>
    <row r="82" spans="1:32" x14ac:dyDescent="0.25">
      <c r="A82" s="426"/>
      <c r="B82" s="427"/>
      <c r="C82" s="427"/>
      <c r="D82" s="428"/>
      <c r="E82" s="517"/>
      <c r="F82" s="429"/>
      <c r="G82" s="429"/>
      <c r="H82" s="429"/>
      <c r="I82" s="429"/>
      <c r="J82" s="429"/>
      <c r="K82" s="429"/>
      <c r="L82" s="429"/>
      <c r="M82" s="429"/>
      <c r="N82" s="429"/>
      <c r="O82" s="429"/>
      <c r="P82" s="429"/>
      <c r="Q82" s="429"/>
      <c r="R82" s="429"/>
      <c r="S82" s="429"/>
      <c r="T82" s="429"/>
      <c r="U82" s="429"/>
      <c r="V82" s="429"/>
      <c r="W82" s="436"/>
      <c r="X82" s="431">
        <f t="shared" si="4"/>
        <v>0</v>
      </c>
      <c r="Y82" s="431">
        <f>AN_TME23[[#This Row],[TOTAL Non-Truncated Unadjusted Claims Expenses]]-AN_TME23[[#This Row],[Total Claims Excluded because of Truncation]]</f>
        <v>0</v>
      </c>
      <c r="Z82" s="431">
        <f t="shared" si="5"/>
        <v>0</v>
      </c>
      <c r="AA82" s="431">
        <f>AN_TME23[[#This Row],[TOTAL Non-Truncated Unadjusted Claims Expenses]]+AN_TME23[[#This Row],[TOTAL Non-Claims Expenses]]</f>
        <v>0</v>
      </c>
      <c r="AB82" s="431">
        <f>AN_TME23[[#This Row],[TOTAL Truncated Unadjusted Claims Expenses (A21 -A19)]]+AN_TME23[[#This Row],[TOTAL Non-Claims Expenses]]</f>
        <v>0</v>
      </c>
      <c r="AC82" s="475">
        <f>IFERROR(AN_TME23[[#This Row],[TOTAL Non-Truncated Unadjusted Expenses (A21 + A23)]]/AN_TME23[[#This Row],[Member Months]],0)</f>
        <v>0</v>
      </c>
      <c r="AD82" s="475">
        <f>IFERROR(AN_TME23[[#This Row],[TOTAL Truncated Unadjusted Expenses (A22 + A23)]]/AN_TME23[[#This Row],[Member Months]],0)</f>
        <v>0</v>
      </c>
      <c r="AE82" s="441">
        <f>IFERROR(AN_TME23[[#This Row],[Total Claims Excluded because of Truncation]]/AN_TME23[[#This Row],[Count of Members with Claims Truncated]], 0)</f>
        <v>0</v>
      </c>
      <c r="AF82" s="476">
        <f>IFERROR(AN_TME23[[#This Row],[Total Claims Excluded because of Truncation]]/AN_TME23[[#This Row],[TOTAL Non-Truncated Unadjusted Claims Expenses]], 0)</f>
        <v>0</v>
      </c>
    </row>
    <row r="83" spans="1:32" x14ac:dyDescent="0.25">
      <c r="A83" s="420"/>
      <c r="B83" s="421"/>
      <c r="C83" s="421"/>
      <c r="D83" s="422"/>
      <c r="E83" s="517"/>
      <c r="F83" s="423"/>
      <c r="G83" s="423"/>
      <c r="H83" s="423"/>
      <c r="I83" s="423"/>
      <c r="J83" s="423"/>
      <c r="K83" s="423"/>
      <c r="L83" s="423"/>
      <c r="M83" s="423"/>
      <c r="N83" s="423"/>
      <c r="O83" s="423"/>
      <c r="P83" s="423"/>
      <c r="Q83" s="423"/>
      <c r="R83" s="423"/>
      <c r="S83" s="423"/>
      <c r="T83" s="423"/>
      <c r="U83" s="423"/>
      <c r="V83" s="423"/>
      <c r="W83" s="435"/>
      <c r="X83" s="425">
        <f t="shared" si="4"/>
        <v>0</v>
      </c>
      <c r="Y83" s="425">
        <f>AN_TME23[[#This Row],[TOTAL Non-Truncated Unadjusted Claims Expenses]]-AN_TME23[[#This Row],[Total Claims Excluded because of Truncation]]</f>
        <v>0</v>
      </c>
      <c r="Z83" s="425">
        <f t="shared" si="5"/>
        <v>0</v>
      </c>
      <c r="AA83" s="425">
        <f>AN_TME23[[#This Row],[TOTAL Non-Truncated Unadjusted Claims Expenses]]+AN_TME23[[#This Row],[TOTAL Non-Claims Expenses]]</f>
        <v>0</v>
      </c>
      <c r="AB83" s="425">
        <f>AN_TME23[[#This Row],[TOTAL Truncated Unadjusted Claims Expenses (A21 -A19)]]+AN_TME23[[#This Row],[TOTAL Non-Claims Expenses]]</f>
        <v>0</v>
      </c>
      <c r="AC83" s="474">
        <f>IFERROR(AN_TME23[[#This Row],[TOTAL Non-Truncated Unadjusted Expenses (A21 + A23)]]/AN_TME23[[#This Row],[Member Months]],0)</f>
        <v>0</v>
      </c>
      <c r="AD83" s="474">
        <f>IFERROR(AN_TME23[[#This Row],[TOTAL Truncated Unadjusted Expenses (A22 + A23)]]/AN_TME23[[#This Row],[Member Months]],0)</f>
        <v>0</v>
      </c>
      <c r="AE83" s="441">
        <f>IFERROR(AN_TME23[[#This Row],[Total Claims Excluded because of Truncation]]/AN_TME23[[#This Row],[Count of Members with Claims Truncated]], 0)</f>
        <v>0</v>
      </c>
      <c r="AF83" s="476">
        <f>IFERROR(AN_TME23[[#This Row],[Total Claims Excluded because of Truncation]]/AN_TME23[[#This Row],[TOTAL Non-Truncated Unadjusted Claims Expenses]], 0)</f>
        <v>0</v>
      </c>
    </row>
    <row r="84" spans="1:32" x14ac:dyDescent="0.25">
      <c r="A84" s="426"/>
      <c r="B84" s="427"/>
      <c r="C84" s="427"/>
      <c r="D84" s="428"/>
      <c r="E84" s="517"/>
      <c r="F84" s="429"/>
      <c r="G84" s="429"/>
      <c r="H84" s="429"/>
      <c r="I84" s="429"/>
      <c r="J84" s="429"/>
      <c r="K84" s="429"/>
      <c r="L84" s="429"/>
      <c r="M84" s="429"/>
      <c r="N84" s="429"/>
      <c r="O84" s="429"/>
      <c r="P84" s="429"/>
      <c r="Q84" s="429"/>
      <c r="R84" s="429"/>
      <c r="S84" s="429"/>
      <c r="T84" s="429"/>
      <c r="U84" s="429"/>
      <c r="V84" s="429"/>
      <c r="W84" s="436"/>
      <c r="X84" s="431">
        <f t="shared" si="4"/>
        <v>0</v>
      </c>
      <c r="Y84" s="431">
        <f>AN_TME23[[#This Row],[TOTAL Non-Truncated Unadjusted Claims Expenses]]-AN_TME23[[#This Row],[Total Claims Excluded because of Truncation]]</f>
        <v>0</v>
      </c>
      <c r="Z84" s="431">
        <f t="shared" si="5"/>
        <v>0</v>
      </c>
      <c r="AA84" s="431">
        <f>AN_TME23[[#This Row],[TOTAL Non-Truncated Unadjusted Claims Expenses]]+AN_TME23[[#This Row],[TOTAL Non-Claims Expenses]]</f>
        <v>0</v>
      </c>
      <c r="AB84" s="431">
        <f>AN_TME23[[#This Row],[TOTAL Truncated Unadjusted Claims Expenses (A21 -A19)]]+AN_TME23[[#This Row],[TOTAL Non-Claims Expenses]]</f>
        <v>0</v>
      </c>
      <c r="AC84" s="475">
        <f>IFERROR(AN_TME23[[#This Row],[TOTAL Non-Truncated Unadjusted Expenses (A21 + A23)]]/AN_TME23[[#This Row],[Member Months]],0)</f>
        <v>0</v>
      </c>
      <c r="AD84" s="475">
        <f>IFERROR(AN_TME23[[#This Row],[TOTAL Truncated Unadjusted Expenses (A22 + A23)]]/AN_TME23[[#This Row],[Member Months]],0)</f>
        <v>0</v>
      </c>
      <c r="AE84" s="441">
        <f>IFERROR(AN_TME23[[#This Row],[Total Claims Excluded because of Truncation]]/AN_TME23[[#This Row],[Count of Members with Claims Truncated]], 0)</f>
        <v>0</v>
      </c>
      <c r="AF84" s="476">
        <f>IFERROR(AN_TME23[[#This Row],[Total Claims Excluded because of Truncation]]/AN_TME23[[#This Row],[TOTAL Non-Truncated Unadjusted Claims Expenses]], 0)</f>
        <v>0</v>
      </c>
    </row>
    <row r="85" spans="1:32" x14ac:dyDescent="0.25">
      <c r="A85" s="420"/>
      <c r="B85" s="421"/>
      <c r="C85" s="421"/>
      <c r="D85" s="422"/>
      <c r="E85" s="517"/>
      <c r="F85" s="423"/>
      <c r="G85" s="423"/>
      <c r="H85" s="423"/>
      <c r="I85" s="423"/>
      <c r="J85" s="423"/>
      <c r="K85" s="423"/>
      <c r="L85" s="423"/>
      <c r="M85" s="423"/>
      <c r="N85" s="423"/>
      <c r="O85" s="423"/>
      <c r="P85" s="423"/>
      <c r="Q85" s="423"/>
      <c r="R85" s="423"/>
      <c r="S85" s="423"/>
      <c r="T85" s="423"/>
      <c r="U85" s="423"/>
      <c r="V85" s="423"/>
      <c r="W85" s="435"/>
      <c r="X85" s="425">
        <f t="shared" si="4"/>
        <v>0</v>
      </c>
      <c r="Y85" s="425">
        <f>AN_TME23[[#This Row],[TOTAL Non-Truncated Unadjusted Claims Expenses]]-AN_TME23[[#This Row],[Total Claims Excluded because of Truncation]]</f>
        <v>0</v>
      </c>
      <c r="Z85" s="425">
        <f t="shared" si="5"/>
        <v>0</v>
      </c>
      <c r="AA85" s="425">
        <f>AN_TME23[[#This Row],[TOTAL Non-Truncated Unadjusted Claims Expenses]]+AN_TME23[[#This Row],[TOTAL Non-Claims Expenses]]</f>
        <v>0</v>
      </c>
      <c r="AB85" s="425">
        <f>AN_TME23[[#This Row],[TOTAL Truncated Unadjusted Claims Expenses (A21 -A19)]]+AN_TME23[[#This Row],[TOTAL Non-Claims Expenses]]</f>
        <v>0</v>
      </c>
      <c r="AC85" s="474">
        <f>IFERROR(AN_TME23[[#This Row],[TOTAL Non-Truncated Unadjusted Expenses (A21 + A23)]]/AN_TME23[[#This Row],[Member Months]],0)</f>
        <v>0</v>
      </c>
      <c r="AD85" s="474">
        <f>IFERROR(AN_TME23[[#This Row],[TOTAL Truncated Unadjusted Expenses (A22 + A23)]]/AN_TME23[[#This Row],[Member Months]],0)</f>
        <v>0</v>
      </c>
      <c r="AE85" s="441">
        <f>IFERROR(AN_TME23[[#This Row],[Total Claims Excluded because of Truncation]]/AN_TME23[[#This Row],[Count of Members with Claims Truncated]], 0)</f>
        <v>0</v>
      </c>
      <c r="AF85" s="476">
        <f>IFERROR(AN_TME23[[#This Row],[Total Claims Excluded because of Truncation]]/AN_TME23[[#This Row],[TOTAL Non-Truncated Unadjusted Claims Expenses]], 0)</f>
        <v>0</v>
      </c>
    </row>
    <row r="86" spans="1:32" x14ac:dyDescent="0.25">
      <c r="A86" s="426"/>
      <c r="B86" s="427"/>
      <c r="C86" s="427"/>
      <c r="D86" s="428"/>
      <c r="E86" s="517"/>
      <c r="F86" s="429"/>
      <c r="G86" s="429"/>
      <c r="H86" s="429"/>
      <c r="I86" s="429"/>
      <c r="J86" s="429"/>
      <c r="K86" s="429"/>
      <c r="L86" s="429"/>
      <c r="M86" s="429"/>
      <c r="N86" s="429"/>
      <c r="O86" s="429"/>
      <c r="P86" s="429"/>
      <c r="Q86" s="429"/>
      <c r="R86" s="429"/>
      <c r="S86" s="429"/>
      <c r="T86" s="429"/>
      <c r="U86" s="429"/>
      <c r="V86" s="429"/>
      <c r="W86" s="436"/>
      <c r="X86" s="431">
        <f t="shared" si="4"/>
        <v>0</v>
      </c>
      <c r="Y86" s="431">
        <f>AN_TME23[[#This Row],[TOTAL Non-Truncated Unadjusted Claims Expenses]]-AN_TME23[[#This Row],[Total Claims Excluded because of Truncation]]</f>
        <v>0</v>
      </c>
      <c r="Z86" s="431">
        <f t="shared" si="5"/>
        <v>0</v>
      </c>
      <c r="AA86" s="431">
        <f>AN_TME23[[#This Row],[TOTAL Non-Truncated Unadjusted Claims Expenses]]+AN_TME23[[#This Row],[TOTAL Non-Claims Expenses]]</f>
        <v>0</v>
      </c>
      <c r="AB86" s="431">
        <f>AN_TME23[[#This Row],[TOTAL Truncated Unadjusted Claims Expenses (A21 -A19)]]+AN_TME23[[#This Row],[TOTAL Non-Claims Expenses]]</f>
        <v>0</v>
      </c>
      <c r="AC86" s="475">
        <f>IFERROR(AN_TME23[[#This Row],[TOTAL Non-Truncated Unadjusted Expenses (A21 + A23)]]/AN_TME23[[#This Row],[Member Months]],0)</f>
        <v>0</v>
      </c>
      <c r="AD86" s="475">
        <f>IFERROR(AN_TME23[[#This Row],[TOTAL Truncated Unadjusted Expenses (A22 + A23)]]/AN_TME23[[#This Row],[Member Months]],0)</f>
        <v>0</v>
      </c>
      <c r="AE86" s="441">
        <f>IFERROR(AN_TME23[[#This Row],[Total Claims Excluded because of Truncation]]/AN_TME23[[#This Row],[Count of Members with Claims Truncated]], 0)</f>
        <v>0</v>
      </c>
      <c r="AF86" s="476">
        <f>IFERROR(AN_TME23[[#This Row],[Total Claims Excluded because of Truncation]]/AN_TME23[[#This Row],[TOTAL Non-Truncated Unadjusted Claims Expenses]], 0)</f>
        <v>0</v>
      </c>
    </row>
    <row r="87" spans="1:32" x14ac:dyDescent="0.25">
      <c r="A87" s="420"/>
      <c r="B87" s="421"/>
      <c r="C87" s="421"/>
      <c r="D87" s="422"/>
      <c r="E87" s="517"/>
      <c r="F87" s="423"/>
      <c r="G87" s="423"/>
      <c r="H87" s="423"/>
      <c r="I87" s="423"/>
      <c r="J87" s="423"/>
      <c r="K87" s="423"/>
      <c r="L87" s="423"/>
      <c r="M87" s="423"/>
      <c r="N87" s="423"/>
      <c r="O87" s="423"/>
      <c r="P87" s="423"/>
      <c r="Q87" s="423"/>
      <c r="R87" s="423"/>
      <c r="S87" s="423"/>
      <c r="T87" s="423"/>
      <c r="U87" s="423"/>
      <c r="V87" s="423"/>
      <c r="W87" s="435"/>
      <c r="X87" s="425">
        <f t="shared" si="4"/>
        <v>0</v>
      </c>
      <c r="Y87" s="425">
        <f>AN_TME23[[#This Row],[TOTAL Non-Truncated Unadjusted Claims Expenses]]-AN_TME23[[#This Row],[Total Claims Excluded because of Truncation]]</f>
        <v>0</v>
      </c>
      <c r="Z87" s="425">
        <f t="shared" si="5"/>
        <v>0</v>
      </c>
      <c r="AA87" s="425">
        <f>AN_TME23[[#This Row],[TOTAL Non-Truncated Unadjusted Claims Expenses]]+AN_TME23[[#This Row],[TOTAL Non-Claims Expenses]]</f>
        <v>0</v>
      </c>
      <c r="AB87" s="425">
        <f>AN_TME23[[#This Row],[TOTAL Truncated Unadjusted Claims Expenses (A21 -A19)]]+AN_TME23[[#This Row],[TOTAL Non-Claims Expenses]]</f>
        <v>0</v>
      </c>
      <c r="AC87" s="474">
        <f>IFERROR(AN_TME23[[#This Row],[TOTAL Non-Truncated Unadjusted Expenses (A21 + A23)]]/AN_TME23[[#This Row],[Member Months]],0)</f>
        <v>0</v>
      </c>
      <c r="AD87" s="474">
        <f>IFERROR(AN_TME23[[#This Row],[TOTAL Truncated Unadjusted Expenses (A22 + A23)]]/AN_TME23[[#This Row],[Member Months]],0)</f>
        <v>0</v>
      </c>
      <c r="AE87" s="441">
        <f>IFERROR(AN_TME23[[#This Row],[Total Claims Excluded because of Truncation]]/AN_TME23[[#This Row],[Count of Members with Claims Truncated]], 0)</f>
        <v>0</v>
      </c>
      <c r="AF87" s="476">
        <f>IFERROR(AN_TME23[[#This Row],[Total Claims Excluded because of Truncation]]/AN_TME23[[#This Row],[TOTAL Non-Truncated Unadjusted Claims Expenses]], 0)</f>
        <v>0</v>
      </c>
    </row>
    <row r="88" spans="1:32" x14ac:dyDescent="0.25">
      <c r="A88" s="426"/>
      <c r="B88" s="427"/>
      <c r="C88" s="427"/>
      <c r="D88" s="428"/>
      <c r="E88" s="517"/>
      <c r="F88" s="429"/>
      <c r="G88" s="429"/>
      <c r="H88" s="429"/>
      <c r="I88" s="429"/>
      <c r="J88" s="429"/>
      <c r="K88" s="429"/>
      <c r="L88" s="429"/>
      <c r="M88" s="429"/>
      <c r="N88" s="429"/>
      <c r="O88" s="429"/>
      <c r="P88" s="429"/>
      <c r="Q88" s="429"/>
      <c r="R88" s="429"/>
      <c r="S88" s="429"/>
      <c r="T88" s="429"/>
      <c r="U88" s="429"/>
      <c r="V88" s="429"/>
      <c r="W88" s="436"/>
      <c r="X88" s="431">
        <f t="shared" si="4"/>
        <v>0</v>
      </c>
      <c r="Y88" s="431">
        <f>AN_TME23[[#This Row],[TOTAL Non-Truncated Unadjusted Claims Expenses]]-AN_TME23[[#This Row],[Total Claims Excluded because of Truncation]]</f>
        <v>0</v>
      </c>
      <c r="Z88" s="431">
        <f t="shared" si="5"/>
        <v>0</v>
      </c>
      <c r="AA88" s="431">
        <f>AN_TME23[[#This Row],[TOTAL Non-Truncated Unadjusted Claims Expenses]]+AN_TME23[[#This Row],[TOTAL Non-Claims Expenses]]</f>
        <v>0</v>
      </c>
      <c r="AB88" s="431">
        <f>AN_TME23[[#This Row],[TOTAL Truncated Unadjusted Claims Expenses (A21 -A19)]]+AN_TME23[[#This Row],[TOTAL Non-Claims Expenses]]</f>
        <v>0</v>
      </c>
      <c r="AC88" s="475">
        <f>IFERROR(AN_TME23[[#This Row],[TOTAL Non-Truncated Unadjusted Expenses (A21 + A23)]]/AN_TME23[[#This Row],[Member Months]],0)</f>
        <v>0</v>
      </c>
      <c r="AD88" s="475">
        <f>IFERROR(AN_TME23[[#This Row],[TOTAL Truncated Unadjusted Expenses (A22 + A23)]]/AN_TME23[[#This Row],[Member Months]],0)</f>
        <v>0</v>
      </c>
      <c r="AE88" s="441">
        <f>IFERROR(AN_TME23[[#This Row],[Total Claims Excluded because of Truncation]]/AN_TME23[[#This Row],[Count of Members with Claims Truncated]], 0)</f>
        <v>0</v>
      </c>
      <c r="AF88" s="476">
        <f>IFERROR(AN_TME23[[#This Row],[Total Claims Excluded because of Truncation]]/AN_TME23[[#This Row],[TOTAL Non-Truncated Unadjusted Claims Expenses]], 0)</f>
        <v>0</v>
      </c>
    </row>
    <row r="89" spans="1:32" x14ac:dyDescent="0.25">
      <c r="A89" s="420"/>
      <c r="B89" s="421"/>
      <c r="C89" s="421"/>
      <c r="D89" s="422"/>
      <c r="E89" s="517"/>
      <c r="F89" s="423"/>
      <c r="G89" s="423"/>
      <c r="H89" s="423"/>
      <c r="I89" s="423"/>
      <c r="J89" s="423"/>
      <c r="K89" s="423"/>
      <c r="L89" s="423"/>
      <c r="M89" s="423"/>
      <c r="N89" s="423"/>
      <c r="O89" s="423"/>
      <c r="P89" s="423"/>
      <c r="Q89" s="423"/>
      <c r="R89" s="423"/>
      <c r="S89" s="423"/>
      <c r="T89" s="423"/>
      <c r="U89" s="423"/>
      <c r="V89" s="423"/>
      <c r="W89" s="435"/>
      <c r="X89" s="425">
        <f t="shared" si="4"/>
        <v>0</v>
      </c>
      <c r="Y89" s="425">
        <f>AN_TME23[[#This Row],[TOTAL Non-Truncated Unadjusted Claims Expenses]]-AN_TME23[[#This Row],[Total Claims Excluded because of Truncation]]</f>
        <v>0</v>
      </c>
      <c r="Z89" s="425">
        <f t="shared" si="5"/>
        <v>0</v>
      </c>
      <c r="AA89" s="425">
        <f>AN_TME23[[#This Row],[TOTAL Non-Truncated Unadjusted Claims Expenses]]+AN_TME23[[#This Row],[TOTAL Non-Claims Expenses]]</f>
        <v>0</v>
      </c>
      <c r="AB89" s="425">
        <f>AN_TME23[[#This Row],[TOTAL Truncated Unadjusted Claims Expenses (A21 -A19)]]+AN_TME23[[#This Row],[TOTAL Non-Claims Expenses]]</f>
        <v>0</v>
      </c>
      <c r="AC89" s="474">
        <f>IFERROR(AN_TME23[[#This Row],[TOTAL Non-Truncated Unadjusted Expenses (A21 + A23)]]/AN_TME23[[#This Row],[Member Months]],0)</f>
        <v>0</v>
      </c>
      <c r="AD89" s="474">
        <f>IFERROR(AN_TME23[[#This Row],[TOTAL Truncated Unadjusted Expenses (A22 + A23)]]/AN_TME23[[#This Row],[Member Months]],0)</f>
        <v>0</v>
      </c>
      <c r="AE89" s="441">
        <f>IFERROR(AN_TME23[[#This Row],[Total Claims Excluded because of Truncation]]/AN_TME23[[#This Row],[Count of Members with Claims Truncated]], 0)</f>
        <v>0</v>
      </c>
      <c r="AF89" s="476">
        <f>IFERROR(AN_TME23[[#This Row],[Total Claims Excluded because of Truncation]]/AN_TME23[[#This Row],[TOTAL Non-Truncated Unadjusted Claims Expenses]], 0)</f>
        <v>0</v>
      </c>
    </row>
    <row r="90" spans="1:32" x14ac:dyDescent="0.25">
      <c r="A90" s="426"/>
      <c r="B90" s="427"/>
      <c r="C90" s="427"/>
      <c r="D90" s="428"/>
      <c r="E90" s="517"/>
      <c r="F90" s="429"/>
      <c r="G90" s="429"/>
      <c r="H90" s="429"/>
      <c r="I90" s="429"/>
      <c r="J90" s="429"/>
      <c r="K90" s="429"/>
      <c r="L90" s="429"/>
      <c r="M90" s="429"/>
      <c r="N90" s="429"/>
      <c r="O90" s="429"/>
      <c r="P90" s="429"/>
      <c r="Q90" s="429"/>
      <c r="R90" s="429"/>
      <c r="S90" s="429"/>
      <c r="T90" s="429"/>
      <c r="U90" s="429"/>
      <c r="V90" s="429"/>
      <c r="W90" s="436"/>
      <c r="X90" s="431">
        <f t="shared" si="4"/>
        <v>0</v>
      </c>
      <c r="Y90" s="431">
        <f>AN_TME23[[#This Row],[TOTAL Non-Truncated Unadjusted Claims Expenses]]-AN_TME23[[#This Row],[Total Claims Excluded because of Truncation]]</f>
        <v>0</v>
      </c>
      <c r="Z90" s="431">
        <f t="shared" si="5"/>
        <v>0</v>
      </c>
      <c r="AA90" s="431">
        <f>AN_TME23[[#This Row],[TOTAL Non-Truncated Unadjusted Claims Expenses]]+AN_TME23[[#This Row],[TOTAL Non-Claims Expenses]]</f>
        <v>0</v>
      </c>
      <c r="AB90" s="431">
        <f>AN_TME23[[#This Row],[TOTAL Truncated Unadjusted Claims Expenses (A21 -A19)]]+AN_TME23[[#This Row],[TOTAL Non-Claims Expenses]]</f>
        <v>0</v>
      </c>
      <c r="AC90" s="475">
        <f>IFERROR(AN_TME23[[#This Row],[TOTAL Non-Truncated Unadjusted Expenses (A21 + A23)]]/AN_TME23[[#This Row],[Member Months]],0)</f>
        <v>0</v>
      </c>
      <c r="AD90" s="475">
        <f>IFERROR(AN_TME23[[#This Row],[TOTAL Truncated Unadjusted Expenses (A22 + A23)]]/AN_TME23[[#This Row],[Member Months]],0)</f>
        <v>0</v>
      </c>
      <c r="AE90" s="441">
        <f>IFERROR(AN_TME23[[#This Row],[Total Claims Excluded because of Truncation]]/AN_TME23[[#This Row],[Count of Members with Claims Truncated]], 0)</f>
        <v>0</v>
      </c>
      <c r="AF90" s="476">
        <f>IFERROR(AN_TME23[[#This Row],[Total Claims Excluded because of Truncation]]/AN_TME23[[#This Row],[TOTAL Non-Truncated Unadjusted Claims Expenses]], 0)</f>
        <v>0</v>
      </c>
    </row>
    <row r="91" spans="1:32" x14ac:dyDescent="0.25">
      <c r="A91" s="420"/>
      <c r="B91" s="421"/>
      <c r="C91" s="421"/>
      <c r="D91" s="422"/>
      <c r="E91" s="517"/>
      <c r="F91" s="423"/>
      <c r="G91" s="423"/>
      <c r="H91" s="423"/>
      <c r="I91" s="423"/>
      <c r="J91" s="423"/>
      <c r="K91" s="423"/>
      <c r="L91" s="423"/>
      <c r="M91" s="423"/>
      <c r="N91" s="423"/>
      <c r="O91" s="423"/>
      <c r="P91" s="423"/>
      <c r="Q91" s="423"/>
      <c r="R91" s="423"/>
      <c r="S91" s="423"/>
      <c r="T91" s="423"/>
      <c r="U91" s="423"/>
      <c r="V91" s="423"/>
      <c r="W91" s="435"/>
      <c r="X91" s="425">
        <f t="shared" si="4"/>
        <v>0</v>
      </c>
      <c r="Y91" s="425">
        <f>AN_TME23[[#This Row],[TOTAL Non-Truncated Unadjusted Claims Expenses]]-AN_TME23[[#This Row],[Total Claims Excluded because of Truncation]]</f>
        <v>0</v>
      </c>
      <c r="Z91" s="425">
        <f t="shared" si="5"/>
        <v>0</v>
      </c>
      <c r="AA91" s="425">
        <f>AN_TME23[[#This Row],[TOTAL Non-Truncated Unadjusted Claims Expenses]]+AN_TME23[[#This Row],[TOTAL Non-Claims Expenses]]</f>
        <v>0</v>
      </c>
      <c r="AB91" s="425">
        <f>AN_TME23[[#This Row],[TOTAL Truncated Unadjusted Claims Expenses (A21 -A19)]]+AN_TME23[[#This Row],[TOTAL Non-Claims Expenses]]</f>
        <v>0</v>
      </c>
      <c r="AC91" s="474">
        <f>IFERROR(AN_TME23[[#This Row],[TOTAL Non-Truncated Unadjusted Expenses (A21 + A23)]]/AN_TME23[[#This Row],[Member Months]],0)</f>
        <v>0</v>
      </c>
      <c r="AD91" s="474">
        <f>IFERROR(AN_TME23[[#This Row],[TOTAL Truncated Unadjusted Expenses (A22 + A23)]]/AN_TME23[[#This Row],[Member Months]],0)</f>
        <v>0</v>
      </c>
      <c r="AE91" s="441">
        <f>IFERROR(AN_TME23[[#This Row],[Total Claims Excluded because of Truncation]]/AN_TME23[[#This Row],[Count of Members with Claims Truncated]], 0)</f>
        <v>0</v>
      </c>
      <c r="AF91" s="476">
        <f>IFERROR(AN_TME23[[#This Row],[Total Claims Excluded because of Truncation]]/AN_TME23[[#This Row],[TOTAL Non-Truncated Unadjusted Claims Expenses]], 0)</f>
        <v>0</v>
      </c>
    </row>
    <row r="92" spans="1:32" x14ac:dyDescent="0.25">
      <c r="A92" s="426"/>
      <c r="B92" s="427"/>
      <c r="C92" s="427"/>
      <c r="D92" s="428"/>
      <c r="E92" s="517"/>
      <c r="F92" s="429"/>
      <c r="G92" s="429"/>
      <c r="H92" s="429"/>
      <c r="I92" s="429"/>
      <c r="J92" s="429"/>
      <c r="K92" s="429"/>
      <c r="L92" s="429"/>
      <c r="M92" s="429"/>
      <c r="N92" s="429"/>
      <c r="O92" s="429"/>
      <c r="P92" s="429"/>
      <c r="Q92" s="429"/>
      <c r="R92" s="429"/>
      <c r="S92" s="429"/>
      <c r="T92" s="429"/>
      <c r="U92" s="429"/>
      <c r="V92" s="429"/>
      <c r="W92" s="436"/>
      <c r="X92" s="431">
        <f t="shared" si="4"/>
        <v>0</v>
      </c>
      <c r="Y92" s="431">
        <f>AN_TME23[[#This Row],[TOTAL Non-Truncated Unadjusted Claims Expenses]]-AN_TME23[[#This Row],[Total Claims Excluded because of Truncation]]</f>
        <v>0</v>
      </c>
      <c r="Z92" s="431">
        <f t="shared" si="5"/>
        <v>0</v>
      </c>
      <c r="AA92" s="431">
        <f>AN_TME23[[#This Row],[TOTAL Non-Truncated Unadjusted Claims Expenses]]+AN_TME23[[#This Row],[TOTAL Non-Claims Expenses]]</f>
        <v>0</v>
      </c>
      <c r="AB92" s="431">
        <f>AN_TME23[[#This Row],[TOTAL Truncated Unadjusted Claims Expenses (A21 -A19)]]+AN_TME23[[#This Row],[TOTAL Non-Claims Expenses]]</f>
        <v>0</v>
      </c>
      <c r="AC92" s="475">
        <f>IFERROR(AN_TME23[[#This Row],[TOTAL Non-Truncated Unadjusted Expenses (A21 + A23)]]/AN_TME23[[#This Row],[Member Months]],0)</f>
        <v>0</v>
      </c>
      <c r="AD92" s="475">
        <f>IFERROR(AN_TME23[[#This Row],[TOTAL Truncated Unadjusted Expenses (A22 + A23)]]/AN_TME23[[#This Row],[Member Months]],0)</f>
        <v>0</v>
      </c>
      <c r="AE92" s="441">
        <f>IFERROR(AN_TME23[[#This Row],[Total Claims Excluded because of Truncation]]/AN_TME23[[#This Row],[Count of Members with Claims Truncated]], 0)</f>
        <v>0</v>
      </c>
      <c r="AF92" s="476">
        <f>IFERROR(AN_TME23[[#This Row],[Total Claims Excluded because of Truncation]]/AN_TME23[[#This Row],[TOTAL Non-Truncated Unadjusted Claims Expenses]], 0)</f>
        <v>0</v>
      </c>
    </row>
    <row r="93" spans="1:32" x14ac:dyDescent="0.25">
      <c r="A93" s="420"/>
      <c r="B93" s="421"/>
      <c r="C93" s="421"/>
      <c r="D93" s="422"/>
      <c r="E93" s="517"/>
      <c r="F93" s="423"/>
      <c r="G93" s="423"/>
      <c r="H93" s="423"/>
      <c r="I93" s="423"/>
      <c r="J93" s="423"/>
      <c r="K93" s="423"/>
      <c r="L93" s="423"/>
      <c r="M93" s="423"/>
      <c r="N93" s="423"/>
      <c r="O93" s="423"/>
      <c r="P93" s="423"/>
      <c r="Q93" s="423"/>
      <c r="R93" s="423"/>
      <c r="S93" s="423"/>
      <c r="T93" s="423"/>
      <c r="U93" s="423"/>
      <c r="V93" s="423"/>
      <c r="W93" s="435"/>
      <c r="X93" s="425">
        <f t="shared" si="4"/>
        <v>0</v>
      </c>
      <c r="Y93" s="425">
        <f>AN_TME23[[#This Row],[TOTAL Non-Truncated Unadjusted Claims Expenses]]-AN_TME23[[#This Row],[Total Claims Excluded because of Truncation]]</f>
        <v>0</v>
      </c>
      <c r="Z93" s="425">
        <f t="shared" si="5"/>
        <v>0</v>
      </c>
      <c r="AA93" s="425">
        <f>AN_TME23[[#This Row],[TOTAL Non-Truncated Unadjusted Claims Expenses]]+AN_TME23[[#This Row],[TOTAL Non-Claims Expenses]]</f>
        <v>0</v>
      </c>
      <c r="AB93" s="425">
        <f>AN_TME23[[#This Row],[TOTAL Truncated Unadjusted Claims Expenses (A21 -A19)]]+AN_TME23[[#This Row],[TOTAL Non-Claims Expenses]]</f>
        <v>0</v>
      </c>
      <c r="AC93" s="474">
        <f>IFERROR(AN_TME23[[#This Row],[TOTAL Non-Truncated Unadjusted Expenses (A21 + A23)]]/AN_TME23[[#This Row],[Member Months]],0)</f>
        <v>0</v>
      </c>
      <c r="AD93" s="474">
        <f>IFERROR(AN_TME23[[#This Row],[TOTAL Truncated Unadjusted Expenses (A22 + A23)]]/AN_TME23[[#This Row],[Member Months]],0)</f>
        <v>0</v>
      </c>
      <c r="AE93" s="441">
        <f>IFERROR(AN_TME23[[#This Row],[Total Claims Excluded because of Truncation]]/AN_TME23[[#This Row],[Count of Members with Claims Truncated]], 0)</f>
        <v>0</v>
      </c>
      <c r="AF93" s="476">
        <f>IFERROR(AN_TME23[[#This Row],[Total Claims Excluded because of Truncation]]/AN_TME23[[#This Row],[TOTAL Non-Truncated Unadjusted Claims Expenses]], 0)</f>
        <v>0</v>
      </c>
    </row>
    <row r="94" spans="1:32" x14ac:dyDescent="0.25">
      <c r="A94" s="426"/>
      <c r="B94" s="427"/>
      <c r="C94" s="427"/>
      <c r="D94" s="428"/>
      <c r="E94" s="517"/>
      <c r="F94" s="429"/>
      <c r="G94" s="429"/>
      <c r="H94" s="429"/>
      <c r="I94" s="429"/>
      <c r="J94" s="429"/>
      <c r="K94" s="429"/>
      <c r="L94" s="429"/>
      <c r="M94" s="429"/>
      <c r="N94" s="429"/>
      <c r="O94" s="429"/>
      <c r="P94" s="429"/>
      <c r="Q94" s="429"/>
      <c r="R94" s="429"/>
      <c r="S94" s="429"/>
      <c r="T94" s="429"/>
      <c r="U94" s="429"/>
      <c r="V94" s="429"/>
      <c r="W94" s="436"/>
      <c r="X94" s="431">
        <f t="shared" si="4"/>
        <v>0</v>
      </c>
      <c r="Y94" s="431">
        <f>AN_TME23[[#This Row],[TOTAL Non-Truncated Unadjusted Claims Expenses]]-AN_TME23[[#This Row],[Total Claims Excluded because of Truncation]]</f>
        <v>0</v>
      </c>
      <c r="Z94" s="431">
        <f t="shared" si="5"/>
        <v>0</v>
      </c>
      <c r="AA94" s="431">
        <f>AN_TME23[[#This Row],[TOTAL Non-Truncated Unadjusted Claims Expenses]]+AN_TME23[[#This Row],[TOTAL Non-Claims Expenses]]</f>
        <v>0</v>
      </c>
      <c r="AB94" s="431">
        <f>AN_TME23[[#This Row],[TOTAL Truncated Unadjusted Claims Expenses (A21 -A19)]]+AN_TME23[[#This Row],[TOTAL Non-Claims Expenses]]</f>
        <v>0</v>
      </c>
      <c r="AC94" s="475">
        <f>IFERROR(AN_TME23[[#This Row],[TOTAL Non-Truncated Unadjusted Expenses (A21 + A23)]]/AN_TME23[[#This Row],[Member Months]],0)</f>
        <v>0</v>
      </c>
      <c r="AD94" s="475">
        <f>IFERROR(AN_TME23[[#This Row],[TOTAL Truncated Unadjusted Expenses (A22 + A23)]]/AN_TME23[[#This Row],[Member Months]],0)</f>
        <v>0</v>
      </c>
      <c r="AE94" s="441">
        <f>IFERROR(AN_TME23[[#This Row],[Total Claims Excluded because of Truncation]]/AN_TME23[[#This Row],[Count of Members with Claims Truncated]], 0)</f>
        <v>0</v>
      </c>
      <c r="AF94" s="476">
        <f>IFERROR(AN_TME23[[#This Row],[Total Claims Excluded because of Truncation]]/AN_TME23[[#This Row],[TOTAL Non-Truncated Unadjusted Claims Expenses]], 0)</f>
        <v>0</v>
      </c>
    </row>
    <row r="95" spans="1:32" x14ac:dyDescent="0.25">
      <c r="A95" s="420"/>
      <c r="B95" s="421"/>
      <c r="C95" s="421"/>
      <c r="D95" s="422"/>
      <c r="E95" s="517"/>
      <c r="F95" s="423"/>
      <c r="G95" s="423"/>
      <c r="H95" s="423"/>
      <c r="I95" s="423"/>
      <c r="J95" s="423"/>
      <c r="K95" s="423"/>
      <c r="L95" s="423"/>
      <c r="M95" s="423"/>
      <c r="N95" s="423"/>
      <c r="O95" s="423"/>
      <c r="P95" s="423"/>
      <c r="Q95" s="423"/>
      <c r="R95" s="423"/>
      <c r="S95" s="423"/>
      <c r="T95" s="423"/>
      <c r="U95" s="423"/>
      <c r="V95" s="423"/>
      <c r="W95" s="435"/>
      <c r="X95" s="425">
        <f t="shared" si="4"/>
        <v>0</v>
      </c>
      <c r="Y95" s="425">
        <f>AN_TME23[[#This Row],[TOTAL Non-Truncated Unadjusted Claims Expenses]]-AN_TME23[[#This Row],[Total Claims Excluded because of Truncation]]</f>
        <v>0</v>
      </c>
      <c r="Z95" s="425">
        <f t="shared" si="5"/>
        <v>0</v>
      </c>
      <c r="AA95" s="425">
        <f>AN_TME23[[#This Row],[TOTAL Non-Truncated Unadjusted Claims Expenses]]+AN_TME23[[#This Row],[TOTAL Non-Claims Expenses]]</f>
        <v>0</v>
      </c>
      <c r="AB95" s="425">
        <f>AN_TME23[[#This Row],[TOTAL Truncated Unadjusted Claims Expenses (A21 -A19)]]+AN_TME23[[#This Row],[TOTAL Non-Claims Expenses]]</f>
        <v>0</v>
      </c>
      <c r="AC95" s="474">
        <f>IFERROR(AN_TME23[[#This Row],[TOTAL Non-Truncated Unadjusted Expenses (A21 + A23)]]/AN_TME23[[#This Row],[Member Months]],0)</f>
        <v>0</v>
      </c>
      <c r="AD95" s="474">
        <f>IFERROR(AN_TME23[[#This Row],[TOTAL Truncated Unadjusted Expenses (A22 + A23)]]/AN_TME23[[#This Row],[Member Months]],0)</f>
        <v>0</v>
      </c>
      <c r="AE95" s="441">
        <f>IFERROR(AN_TME23[[#This Row],[Total Claims Excluded because of Truncation]]/AN_TME23[[#This Row],[Count of Members with Claims Truncated]], 0)</f>
        <v>0</v>
      </c>
      <c r="AF95" s="476">
        <f>IFERROR(AN_TME23[[#This Row],[Total Claims Excluded because of Truncation]]/AN_TME23[[#This Row],[TOTAL Non-Truncated Unadjusted Claims Expenses]], 0)</f>
        <v>0</v>
      </c>
    </row>
    <row r="96" spans="1:32" x14ac:dyDescent="0.25">
      <c r="A96" s="426"/>
      <c r="B96" s="427"/>
      <c r="C96" s="427"/>
      <c r="D96" s="428"/>
      <c r="E96" s="517"/>
      <c r="F96" s="429"/>
      <c r="G96" s="429"/>
      <c r="H96" s="429"/>
      <c r="I96" s="429"/>
      <c r="J96" s="429"/>
      <c r="K96" s="429"/>
      <c r="L96" s="429"/>
      <c r="M96" s="429"/>
      <c r="N96" s="429"/>
      <c r="O96" s="429"/>
      <c r="P96" s="429"/>
      <c r="Q96" s="429"/>
      <c r="R96" s="429"/>
      <c r="S96" s="429"/>
      <c r="T96" s="429"/>
      <c r="U96" s="429"/>
      <c r="V96" s="429"/>
      <c r="W96" s="436"/>
      <c r="X96" s="431">
        <f t="shared" si="4"/>
        <v>0</v>
      </c>
      <c r="Y96" s="431">
        <f>AN_TME23[[#This Row],[TOTAL Non-Truncated Unadjusted Claims Expenses]]-AN_TME23[[#This Row],[Total Claims Excluded because of Truncation]]</f>
        <v>0</v>
      </c>
      <c r="Z96" s="431">
        <f t="shared" si="5"/>
        <v>0</v>
      </c>
      <c r="AA96" s="431">
        <f>AN_TME23[[#This Row],[TOTAL Non-Truncated Unadjusted Claims Expenses]]+AN_TME23[[#This Row],[TOTAL Non-Claims Expenses]]</f>
        <v>0</v>
      </c>
      <c r="AB96" s="431">
        <f>AN_TME23[[#This Row],[TOTAL Truncated Unadjusted Claims Expenses (A21 -A19)]]+AN_TME23[[#This Row],[TOTAL Non-Claims Expenses]]</f>
        <v>0</v>
      </c>
      <c r="AC96" s="475">
        <f>IFERROR(AN_TME23[[#This Row],[TOTAL Non-Truncated Unadjusted Expenses (A21 + A23)]]/AN_TME23[[#This Row],[Member Months]],0)</f>
        <v>0</v>
      </c>
      <c r="AD96" s="475">
        <f>IFERROR(AN_TME23[[#This Row],[TOTAL Truncated Unadjusted Expenses (A22 + A23)]]/AN_TME23[[#This Row],[Member Months]],0)</f>
        <v>0</v>
      </c>
      <c r="AE96" s="441">
        <f>IFERROR(AN_TME23[[#This Row],[Total Claims Excluded because of Truncation]]/AN_TME23[[#This Row],[Count of Members with Claims Truncated]], 0)</f>
        <v>0</v>
      </c>
      <c r="AF96" s="476">
        <f>IFERROR(AN_TME23[[#This Row],[Total Claims Excluded because of Truncation]]/AN_TME23[[#This Row],[TOTAL Non-Truncated Unadjusted Claims Expenses]], 0)</f>
        <v>0</v>
      </c>
    </row>
    <row r="97" spans="1:32" x14ac:dyDescent="0.25">
      <c r="A97" s="420"/>
      <c r="B97" s="421"/>
      <c r="C97" s="421"/>
      <c r="D97" s="422"/>
      <c r="E97" s="517"/>
      <c r="F97" s="423"/>
      <c r="G97" s="423"/>
      <c r="H97" s="423"/>
      <c r="I97" s="423"/>
      <c r="J97" s="423"/>
      <c r="K97" s="423"/>
      <c r="L97" s="423"/>
      <c r="M97" s="423"/>
      <c r="N97" s="423"/>
      <c r="O97" s="423"/>
      <c r="P97" s="423"/>
      <c r="Q97" s="423"/>
      <c r="R97" s="423"/>
      <c r="S97" s="423"/>
      <c r="T97" s="423"/>
      <c r="U97" s="423"/>
      <c r="V97" s="423"/>
      <c r="W97" s="435"/>
      <c r="X97" s="425">
        <f t="shared" si="4"/>
        <v>0</v>
      </c>
      <c r="Y97" s="425">
        <f>AN_TME23[[#This Row],[TOTAL Non-Truncated Unadjusted Claims Expenses]]-AN_TME23[[#This Row],[Total Claims Excluded because of Truncation]]</f>
        <v>0</v>
      </c>
      <c r="Z97" s="425">
        <f t="shared" si="5"/>
        <v>0</v>
      </c>
      <c r="AA97" s="425">
        <f>AN_TME23[[#This Row],[TOTAL Non-Truncated Unadjusted Claims Expenses]]+AN_TME23[[#This Row],[TOTAL Non-Claims Expenses]]</f>
        <v>0</v>
      </c>
      <c r="AB97" s="425">
        <f>AN_TME23[[#This Row],[TOTAL Truncated Unadjusted Claims Expenses (A21 -A19)]]+AN_TME23[[#This Row],[TOTAL Non-Claims Expenses]]</f>
        <v>0</v>
      </c>
      <c r="AC97" s="474">
        <f>IFERROR(AN_TME23[[#This Row],[TOTAL Non-Truncated Unadjusted Expenses (A21 + A23)]]/AN_TME23[[#This Row],[Member Months]],0)</f>
        <v>0</v>
      </c>
      <c r="AD97" s="474">
        <f>IFERROR(AN_TME23[[#This Row],[TOTAL Truncated Unadjusted Expenses (A22 + A23)]]/AN_TME23[[#This Row],[Member Months]],0)</f>
        <v>0</v>
      </c>
      <c r="AE97" s="441">
        <f>IFERROR(AN_TME23[[#This Row],[Total Claims Excluded because of Truncation]]/AN_TME23[[#This Row],[Count of Members with Claims Truncated]], 0)</f>
        <v>0</v>
      </c>
      <c r="AF97" s="476">
        <f>IFERROR(AN_TME23[[#This Row],[Total Claims Excluded because of Truncation]]/AN_TME23[[#This Row],[TOTAL Non-Truncated Unadjusted Claims Expenses]], 0)</f>
        <v>0</v>
      </c>
    </row>
    <row r="98" spans="1:32" x14ac:dyDescent="0.25">
      <c r="A98" s="426"/>
      <c r="B98" s="427"/>
      <c r="C98" s="427"/>
      <c r="D98" s="428"/>
      <c r="E98" s="517"/>
      <c r="F98" s="429"/>
      <c r="G98" s="429"/>
      <c r="H98" s="429"/>
      <c r="I98" s="429"/>
      <c r="J98" s="429"/>
      <c r="K98" s="429"/>
      <c r="L98" s="429"/>
      <c r="M98" s="429"/>
      <c r="N98" s="429"/>
      <c r="O98" s="429"/>
      <c r="P98" s="429"/>
      <c r="Q98" s="429"/>
      <c r="R98" s="429"/>
      <c r="S98" s="429"/>
      <c r="T98" s="429"/>
      <c r="U98" s="429"/>
      <c r="V98" s="429"/>
      <c r="W98" s="436"/>
      <c r="X98" s="431">
        <f t="shared" si="4"/>
        <v>0</v>
      </c>
      <c r="Y98" s="431">
        <f>AN_TME23[[#This Row],[TOTAL Non-Truncated Unadjusted Claims Expenses]]-AN_TME23[[#This Row],[Total Claims Excluded because of Truncation]]</f>
        <v>0</v>
      </c>
      <c r="Z98" s="431">
        <f t="shared" si="5"/>
        <v>0</v>
      </c>
      <c r="AA98" s="431">
        <f>AN_TME23[[#This Row],[TOTAL Non-Truncated Unadjusted Claims Expenses]]+AN_TME23[[#This Row],[TOTAL Non-Claims Expenses]]</f>
        <v>0</v>
      </c>
      <c r="AB98" s="431">
        <f>AN_TME23[[#This Row],[TOTAL Truncated Unadjusted Claims Expenses (A21 -A19)]]+AN_TME23[[#This Row],[TOTAL Non-Claims Expenses]]</f>
        <v>0</v>
      </c>
      <c r="AC98" s="475">
        <f>IFERROR(AN_TME23[[#This Row],[TOTAL Non-Truncated Unadjusted Expenses (A21 + A23)]]/AN_TME23[[#This Row],[Member Months]],0)</f>
        <v>0</v>
      </c>
      <c r="AD98" s="475">
        <f>IFERROR(AN_TME23[[#This Row],[TOTAL Truncated Unadjusted Expenses (A22 + A23)]]/AN_TME23[[#This Row],[Member Months]],0)</f>
        <v>0</v>
      </c>
      <c r="AE98" s="441">
        <f>IFERROR(AN_TME23[[#This Row],[Total Claims Excluded because of Truncation]]/AN_TME23[[#This Row],[Count of Members with Claims Truncated]], 0)</f>
        <v>0</v>
      </c>
      <c r="AF98" s="476">
        <f>IFERROR(AN_TME23[[#This Row],[Total Claims Excluded because of Truncation]]/AN_TME23[[#This Row],[TOTAL Non-Truncated Unadjusted Claims Expenses]], 0)</f>
        <v>0</v>
      </c>
    </row>
    <row r="99" spans="1:32" x14ac:dyDescent="0.25">
      <c r="A99" s="420"/>
      <c r="B99" s="421"/>
      <c r="C99" s="421"/>
      <c r="D99" s="422"/>
      <c r="E99" s="517"/>
      <c r="F99" s="423"/>
      <c r="G99" s="423"/>
      <c r="H99" s="423"/>
      <c r="I99" s="423"/>
      <c r="J99" s="423"/>
      <c r="K99" s="423"/>
      <c r="L99" s="423"/>
      <c r="M99" s="423"/>
      <c r="N99" s="423"/>
      <c r="O99" s="423"/>
      <c r="P99" s="423"/>
      <c r="Q99" s="423"/>
      <c r="R99" s="423"/>
      <c r="S99" s="423"/>
      <c r="T99" s="423"/>
      <c r="U99" s="423"/>
      <c r="V99" s="423"/>
      <c r="W99" s="435"/>
      <c r="X99" s="425">
        <f t="shared" si="4"/>
        <v>0</v>
      </c>
      <c r="Y99" s="425">
        <f>AN_TME23[[#This Row],[TOTAL Non-Truncated Unadjusted Claims Expenses]]-AN_TME23[[#This Row],[Total Claims Excluded because of Truncation]]</f>
        <v>0</v>
      </c>
      <c r="Z99" s="425">
        <f t="shared" si="5"/>
        <v>0</v>
      </c>
      <c r="AA99" s="425">
        <f>AN_TME23[[#This Row],[TOTAL Non-Truncated Unadjusted Claims Expenses]]+AN_TME23[[#This Row],[TOTAL Non-Claims Expenses]]</f>
        <v>0</v>
      </c>
      <c r="AB99" s="425">
        <f>AN_TME23[[#This Row],[TOTAL Truncated Unadjusted Claims Expenses (A21 -A19)]]+AN_TME23[[#This Row],[TOTAL Non-Claims Expenses]]</f>
        <v>0</v>
      </c>
      <c r="AC99" s="474">
        <f>IFERROR(AN_TME23[[#This Row],[TOTAL Non-Truncated Unadjusted Expenses (A21 + A23)]]/AN_TME23[[#This Row],[Member Months]],0)</f>
        <v>0</v>
      </c>
      <c r="AD99" s="474">
        <f>IFERROR(AN_TME23[[#This Row],[TOTAL Truncated Unadjusted Expenses (A22 + A23)]]/AN_TME23[[#This Row],[Member Months]],0)</f>
        <v>0</v>
      </c>
      <c r="AE99" s="441">
        <f>IFERROR(AN_TME23[[#This Row],[Total Claims Excluded because of Truncation]]/AN_TME23[[#This Row],[Count of Members with Claims Truncated]], 0)</f>
        <v>0</v>
      </c>
      <c r="AF99" s="476">
        <f>IFERROR(AN_TME23[[#This Row],[Total Claims Excluded because of Truncation]]/AN_TME23[[#This Row],[TOTAL Non-Truncated Unadjusted Claims Expenses]], 0)</f>
        <v>0</v>
      </c>
    </row>
    <row r="100" spans="1:32" x14ac:dyDescent="0.25">
      <c r="A100" s="426"/>
      <c r="B100" s="427"/>
      <c r="C100" s="427"/>
      <c r="D100" s="428"/>
      <c r="E100" s="517"/>
      <c r="F100" s="429"/>
      <c r="G100" s="429"/>
      <c r="H100" s="429"/>
      <c r="I100" s="429"/>
      <c r="J100" s="429"/>
      <c r="K100" s="429"/>
      <c r="L100" s="429"/>
      <c r="M100" s="429"/>
      <c r="N100" s="429"/>
      <c r="O100" s="429"/>
      <c r="P100" s="429"/>
      <c r="Q100" s="429"/>
      <c r="R100" s="429"/>
      <c r="S100" s="429"/>
      <c r="T100" s="429"/>
      <c r="U100" s="429"/>
      <c r="V100" s="429"/>
      <c r="W100" s="436"/>
      <c r="X100" s="431">
        <f t="shared" si="4"/>
        <v>0</v>
      </c>
      <c r="Y100" s="431">
        <f>AN_TME23[[#This Row],[TOTAL Non-Truncated Unadjusted Claims Expenses]]-AN_TME23[[#This Row],[Total Claims Excluded because of Truncation]]</f>
        <v>0</v>
      </c>
      <c r="Z100" s="431">
        <f t="shared" si="5"/>
        <v>0</v>
      </c>
      <c r="AA100" s="431">
        <f>AN_TME23[[#This Row],[TOTAL Non-Truncated Unadjusted Claims Expenses]]+AN_TME23[[#This Row],[TOTAL Non-Claims Expenses]]</f>
        <v>0</v>
      </c>
      <c r="AB100" s="431">
        <f>AN_TME23[[#This Row],[TOTAL Truncated Unadjusted Claims Expenses (A21 -A19)]]+AN_TME23[[#This Row],[TOTAL Non-Claims Expenses]]</f>
        <v>0</v>
      </c>
      <c r="AC100" s="475">
        <f>IFERROR(AN_TME23[[#This Row],[TOTAL Non-Truncated Unadjusted Expenses (A21 + A23)]]/AN_TME23[[#This Row],[Member Months]],0)</f>
        <v>0</v>
      </c>
      <c r="AD100" s="475">
        <f>IFERROR(AN_TME23[[#This Row],[TOTAL Truncated Unadjusted Expenses (A22 + A23)]]/AN_TME23[[#This Row],[Member Months]],0)</f>
        <v>0</v>
      </c>
      <c r="AE100" s="441">
        <f>IFERROR(AN_TME23[[#This Row],[Total Claims Excluded because of Truncation]]/AN_TME23[[#This Row],[Count of Members with Claims Truncated]], 0)</f>
        <v>0</v>
      </c>
      <c r="AF100" s="476">
        <f>IFERROR(AN_TME23[[#This Row],[Total Claims Excluded because of Truncation]]/AN_TME23[[#This Row],[TOTAL Non-Truncated Unadjusted Claims Expenses]], 0)</f>
        <v>0</v>
      </c>
    </row>
    <row r="101" spans="1:32" x14ac:dyDescent="0.25">
      <c r="A101" s="420"/>
      <c r="B101" s="421"/>
      <c r="C101" s="421"/>
      <c r="D101" s="422"/>
      <c r="E101" s="517"/>
      <c r="F101" s="423"/>
      <c r="G101" s="423"/>
      <c r="H101" s="423"/>
      <c r="I101" s="423"/>
      <c r="J101" s="423"/>
      <c r="K101" s="423"/>
      <c r="L101" s="423"/>
      <c r="M101" s="423"/>
      <c r="N101" s="423"/>
      <c r="O101" s="423"/>
      <c r="P101" s="423"/>
      <c r="Q101" s="423"/>
      <c r="R101" s="423"/>
      <c r="S101" s="423"/>
      <c r="T101" s="423"/>
      <c r="U101" s="423"/>
      <c r="V101" s="423"/>
      <c r="W101" s="435"/>
      <c r="X101" s="425">
        <f t="shared" si="4"/>
        <v>0</v>
      </c>
      <c r="Y101" s="425">
        <f>AN_TME23[[#This Row],[TOTAL Non-Truncated Unadjusted Claims Expenses]]-AN_TME23[[#This Row],[Total Claims Excluded because of Truncation]]</f>
        <v>0</v>
      </c>
      <c r="Z101" s="425">
        <f t="shared" si="5"/>
        <v>0</v>
      </c>
      <c r="AA101" s="425">
        <f>AN_TME23[[#This Row],[TOTAL Non-Truncated Unadjusted Claims Expenses]]+AN_TME23[[#This Row],[TOTAL Non-Claims Expenses]]</f>
        <v>0</v>
      </c>
      <c r="AB101" s="425">
        <f>AN_TME23[[#This Row],[TOTAL Truncated Unadjusted Claims Expenses (A21 -A19)]]+AN_TME23[[#This Row],[TOTAL Non-Claims Expenses]]</f>
        <v>0</v>
      </c>
      <c r="AC101" s="474">
        <f>IFERROR(AN_TME23[[#This Row],[TOTAL Non-Truncated Unadjusted Expenses (A21 + A23)]]/AN_TME23[[#This Row],[Member Months]],0)</f>
        <v>0</v>
      </c>
      <c r="AD101" s="474">
        <f>IFERROR(AN_TME23[[#This Row],[TOTAL Truncated Unadjusted Expenses (A22 + A23)]]/AN_TME23[[#This Row],[Member Months]],0)</f>
        <v>0</v>
      </c>
      <c r="AE101" s="441">
        <f>IFERROR(AN_TME23[[#This Row],[Total Claims Excluded because of Truncation]]/AN_TME23[[#This Row],[Count of Members with Claims Truncated]], 0)</f>
        <v>0</v>
      </c>
      <c r="AF101" s="476">
        <f>IFERROR(AN_TME23[[#This Row],[Total Claims Excluded because of Truncation]]/AN_TME23[[#This Row],[TOTAL Non-Truncated Unadjusted Claims Expenses]], 0)</f>
        <v>0</v>
      </c>
    </row>
    <row r="102" spans="1:32" x14ac:dyDescent="0.25">
      <c r="A102" s="426"/>
      <c r="B102" s="427"/>
      <c r="C102" s="427"/>
      <c r="D102" s="428"/>
      <c r="E102" s="517"/>
      <c r="F102" s="429"/>
      <c r="G102" s="429"/>
      <c r="H102" s="429"/>
      <c r="I102" s="429"/>
      <c r="J102" s="429"/>
      <c r="K102" s="429"/>
      <c r="L102" s="429"/>
      <c r="M102" s="429"/>
      <c r="N102" s="429"/>
      <c r="O102" s="429"/>
      <c r="P102" s="429"/>
      <c r="Q102" s="429"/>
      <c r="R102" s="429"/>
      <c r="S102" s="429"/>
      <c r="T102" s="429"/>
      <c r="U102" s="429"/>
      <c r="V102" s="429"/>
      <c r="W102" s="436"/>
      <c r="X102" s="431">
        <f t="shared" si="4"/>
        <v>0</v>
      </c>
      <c r="Y102" s="431">
        <f>AN_TME23[[#This Row],[TOTAL Non-Truncated Unadjusted Claims Expenses]]-AN_TME23[[#This Row],[Total Claims Excluded because of Truncation]]</f>
        <v>0</v>
      </c>
      <c r="Z102" s="431">
        <f t="shared" si="5"/>
        <v>0</v>
      </c>
      <c r="AA102" s="431">
        <f>AN_TME23[[#This Row],[TOTAL Non-Truncated Unadjusted Claims Expenses]]+AN_TME23[[#This Row],[TOTAL Non-Claims Expenses]]</f>
        <v>0</v>
      </c>
      <c r="AB102" s="431">
        <f>AN_TME23[[#This Row],[TOTAL Truncated Unadjusted Claims Expenses (A21 -A19)]]+AN_TME23[[#This Row],[TOTAL Non-Claims Expenses]]</f>
        <v>0</v>
      </c>
      <c r="AC102" s="475">
        <f>IFERROR(AN_TME23[[#This Row],[TOTAL Non-Truncated Unadjusted Expenses (A21 + A23)]]/AN_TME23[[#This Row],[Member Months]],0)</f>
        <v>0</v>
      </c>
      <c r="AD102" s="475">
        <f>IFERROR(AN_TME23[[#This Row],[TOTAL Truncated Unadjusted Expenses (A22 + A23)]]/AN_TME23[[#This Row],[Member Months]],0)</f>
        <v>0</v>
      </c>
      <c r="AE102" s="441">
        <f>IFERROR(AN_TME23[[#This Row],[Total Claims Excluded because of Truncation]]/AN_TME23[[#This Row],[Count of Members with Claims Truncated]], 0)</f>
        <v>0</v>
      </c>
      <c r="AF102" s="476">
        <f>IFERROR(AN_TME23[[#This Row],[Total Claims Excluded because of Truncation]]/AN_TME23[[#This Row],[TOTAL Non-Truncated Unadjusted Claims Expenses]], 0)</f>
        <v>0</v>
      </c>
    </row>
    <row r="103" spans="1:32" x14ac:dyDescent="0.25">
      <c r="A103" s="420"/>
      <c r="B103" s="421"/>
      <c r="C103" s="421"/>
      <c r="D103" s="422"/>
      <c r="E103" s="517"/>
      <c r="F103" s="423"/>
      <c r="G103" s="423"/>
      <c r="H103" s="423"/>
      <c r="I103" s="423"/>
      <c r="J103" s="423"/>
      <c r="K103" s="423"/>
      <c r="L103" s="423"/>
      <c r="M103" s="423"/>
      <c r="N103" s="423"/>
      <c r="O103" s="423"/>
      <c r="P103" s="423"/>
      <c r="Q103" s="423"/>
      <c r="R103" s="423"/>
      <c r="S103" s="423"/>
      <c r="T103" s="423"/>
      <c r="U103" s="423"/>
      <c r="V103" s="423"/>
      <c r="W103" s="435"/>
      <c r="X103" s="425">
        <f t="shared" si="4"/>
        <v>0</v>
      </c>
      <c r="Y103" s="425">
        <f>AN_TME23[[#This Row],[TOTAL Non-Truncated Unadjusted Claims Expenses]]-AN_TME23[[#This Row],[Total Claims Excluded because of Truncation]]</f>
        <v>0</v>
      </c>
      <c r="Z103" s="425">
        <f t="shared" si="5"/>
        <v>0</v>
      </c>
      <c r="AA103" s="425">
        <f>AN_TME23[[#This Row],[TOTAL Non-Truncated Unadjusted Claims Expenses]]+AN_TME23[[#This Row],[TOTAL Non-Claims Expenses]]</f>
        <v>0</v>
      </c>
      <c r="AB103" s="425">
        <f>AN_TME23[[#This Row],[TOTAL Truncated Unadjusted Claims Expenses (A21 -A19)]]+AN_TME23[[#This Row],[TOTAL Non-Claims Expenses]]</f>
        <v>0</v>
      </c>
      <c r="AC103" s="474">
        <f>IFERROR(AN_TME23[[#This Row],[TOTAL Non-Truncated Unadjusted Expenses (A21 + A23)]]/AN_TME23[[#This Row],[Member Months]],0)</f>
        <v>0</v>
      </c>
      <c r="AD103" s="474">
        <f>IFERROR(AN_TME23[[#This Row],[TOTAL Truncated Unadjusted Expenses (A22 + A23)]]/AN_TME23[[#This Row],[Member Months]],0)</f>
        <v>0</v>
      </c>
      <c r="AE103" s="441">
        <f>IFERROR(AN_TME23[[#This Row],[Total Claims Excluded because of Truncation]]/AN_TME23[[#This Row],[Count of Members with Claims Truncated]], 0)</f>
        <v>0</v>
      </c>
      <c r="AF103" s="476">
        <f>IFERROR(AN_TME23[[#This Row],[Total Claims Excluded because of Truncation]]/AN_TME23[[#This Row],[TOTAL Non-Truncated Unadjusted Claims Expenses]], 0)</f>
        <v>0</v>
      </c>
    </row>
    <row r="104" spans="1:32" x14ac:dyDescent="0.25">
      <c r="A104" s="426"/>
      <c r="B104" s="427"/>
      <c r="C104" s="427"/>
      <c r="D104" s="428"/>
      <c r="E104" s="517"/>
      <c r="F104" s="429"/>
      <c r="G104" s="429"/>
      <c r="H104" s="429"/>
      <c r="I104" s="429"/>
      <c r="J104" s="429"/>
      <c r="K104" s="429"/>
      <c r="L104" s="429"/>
      <c r="M104" s="429"/>
      <c r="N104" s="429"/>
      <c r="O104" s="429"/>
      <c r="P104" s="429"/>
      <c r="Q104" s="429"/>
      <c r="R104" s="429"/>
      <c r="S104" s="429"/>
      <c r="T104" s="429"/>
      <c r="U104" s="429"/>
      <c r="V104" s="429"/>
      <c r="W104" s="436"/>
      <c r="X104" s="431">
        <f t="shared" si="4"/>
        <v>0</v>
      </c>
      <c r="Y104" s="431">
        <f>AN_TME23[[#This Row],[TOTAL Non-Truncated Unadjusted Claims Expenses]]-AN_TME23[[#This Row],[Total Claims Excluded because of Truncation]]</f>
        <v>0</v>
      </c>
      <c r="Z104" s="431">
        <f t="shared" si="5"/>
        <v>0</v>
      </c>
      <c r="AA104" s="431">
        <f>AN_TME23[[#This Row],[TOTAL Non-Truncated Unadjusted Claims Expenses]]+AN_TME23[[#This Row],[TOTAL Non-Claims Expenses]]</f>
        <v>0</v>
      </c>
      <c r="AB104" s="431">
        <f>AN_TME23[[#This Row],[TOTAL Truncated Unadjusted Claims Expenses (A21 -A19)]]+AN_TME23[[#This Row],[TOTAL Non-Claims Expenses]]</f>
        <v>0</v>
      </c>
      <c r="AC104" s="475">
        <f>IFERROR(AN_TME23[[#This Row],[TOTAL Non-Truncated Unadjusted Expenses (A21 + A23)]]/AN_TME23[[#This Row],[Member Months]],0)</f>
        <v>0</v>
      </c>
      <c r="AD104" s="475">
        <f>IFERROR(AN_TME23[[#This Row],[TOTAL Truncated Unadjusted Expenses (A22 + A23)]]/AN_TME23[[#This Row],[Member Months]],0)</f>
        <v>0</v>
      </c>
      <c r="AE104" s="441">
        <f>IFERROR(AN_TME23[[#This Row],[Total Claims Excluded because of Truncation]]/AN_TME23[[#This Row],[Count of Members with Claims Truncated]], 0)</f>
        <v>0</v>
      </c>
      <c r="AF104" s="476">
        <f>IFERROR(AN_TME23[[#This Row],[Total Claims Excluded because of Truncation]]/AN_TME23[[#This Row],[TOTAL Non-Truncated Unadjusted Claims Expenses]], 0)</f>
        <v>0</v>
      </c>
    </row>
    <row r="105" spans="1:32" x14ac:dyDescent="0.25">
      <c r="A105" s="420"/>
      <c r="B105" s="421"/>
      <c r="C105" s="421"/>
      <c r="D105" s="422"/>
      <c r="E105" s="517"/>
      <c r="F105" s="423"/>
      <c r="G105" s="423"/>
      <c r="H105" s="423"/>
      <c r="I105" s="423"/>
      <c r="J105" s="423"/>
      <c r="K105" s="423"/>
      <c r="L105" s="423"/>
      <c r="M105" s="423"/>
      <c r="N105" s="423"/>
      <c r="O105" s="423"/>
      <c r="P105" s="423"/>
      <c r="Q105" s="423"/>
      <c r="R105" s="423"/>
      <c r="S105" s="423"/>
      <c r="T105" s="423"/>
      <c r="U105" s="423"/>
      <c r="V105" s="423"/>
      <c r="W105" s="435"/>
      <c r="X105" s="425">
        <f t="shared" si="4"/>
        <v>0</v>
      </c>
      <c r="Y105" s="425">
        <f>AN_TME23[[#This Row],[TOTAL Non-Truncated Unadjusted Claims Expenses]]-AN_TME23[[#This Row],[Total Claims Excluded because of Truncation]]</f>
        <v>0</v>
      </c>
      <c r="Z105" s="425">
        <f t="shared" si="5"/>
        <v>0</v>
      </c>
      <c r="AA105" s="425">
        <f>AN_TME23[[#This Row],[TOTAL Non-Truncated Unadjusted Claims Expenses]]+AN_TME23[[#This Row],[TOTAL Non-Claims Expenses]]</f>
        <v>0</v>
      </c>
      <c r="AB105" s="425">
        <f>AN_TME23[[#This Row],[TOTAL Truncated Unadjusted Claims Expenses (A21 -A19)]]+AN_TME23[[#This Row],[TOTAL Non-Claims Expenses]]</f>
        <v>0</v>
      </c>
      <c r="AC105" s="474">
        <f>IFERROR(AN_TME23[[#This Row],[TOTAL Non-Truncated Unadjusted Expenses (A21 + A23)]]/AN_TME23[[#This Row],[Member Months]],0)</f>
        <v>0</v>
      </c>
      <c r="AD105" s="474">
        <f>IFERROR(AN_TME23[[#This Row],[TOTAL Truncated Unadjusted Expenses (A22 + A23)]]/AN_TME23[[#This Row],[Member Months]],0)</f>
        <v>0</v>
      </c>
      <c r="AE105" s="441">
        <f>IFERROR(AN_TME23[[#This Row],[Total Claims Excluded because of Truncation]]/AN_TME23[[#This Row],[Count of Members with Claims Truncated]], 0)</f>
        <v>0</v>
      </c>
      <c r="AF105" s="476">
        <f>IFERROR(AN_TME23[[#This Row],[Total Claims Excluded because of Truncation]]/AN_TME23[[#This Row],[TOTAL Non-Truncated Unadjusted Claims Expenses]], 0)</f>
        <v>0</v>
      </c>
    </row>
    <row r="106" spans="1:32" x14ac:dyDescent="0.25">
      <c r="A106" s="426"/>
      <c r="B106" s="427"/>
      <c r="C106" s="427"/>
      <c r="D106" s="428"/>
      <c r="E106" s="517"/>
      <c r="F106" s="429"/>
      <c r="G106" s="429"/>
      <c r="H106" s="429"/>
      <c r="I106" s="429"/>
      <c r="J106" s="429"/>
      <c r="K106" s="429"/>
      <c r="L106" s="429"/>
      <c r="M106" s="429"/>
      <c r="N106" s="429"/>
      <c r="O106" s="429"/>
      <c r="P106" s="429"/>
      <c r="Q106" s="429"/>
      <c r="R106" s="429"/>
      <c r="S106" s="429"/>
      <c r="T106" s="429"/>
      <c r="U106" s="429"/>
      <c r="V106" s="429"/>
      <c r="W106" s="436"/>
      <c r="X106" s="431">
        <f t="shared" si="4"/>
        <v>0</v>
      </c>
      <c r="Y106" s="431">
        <f>AN_TME23[[#This Row],[TOTAL Non-Truncated Unadjusted Claims Expenses]]-AN_TME23[[#This Row],[Total Claims Excluded because of Truncation]]</f>
        <v>0</v>
      </c>
      <c r="Z106" s="431">
        <f t="shared" si="5"/>
        <v>0</v>
      </c>
      <c r="AA106" s="431">
        <f>AN_TME23[[#This Row],[TOTAL Non-Truncated Unadjusted Claims Expenses]]+AN_TME23[[#This Row],[TOTAL Non-Claims Expenses]]</f>
        <v>0</v>
      </c>
      <c r="AB106" s="431">
        <f>AN_TME23[[#This Row],[TOTAL Truncated Unadjusted Claims Expenses (A21 -A19)]]+AN_TME23[[#This Row],[TOTAL Non-Claims Expenses]]</f>
        <v>0</v>
      </c>
      <c r="AC106" s="475">
        <f>IFERROR(AN_TME23[[#This Row],[TOTAL Non-Truncated Unadjusted Expenses (A21 + A23)]]/AN_TME23[[#This Row],[Member Months]],0)</f>
        <v>0</v>
      </c>
      <c r="AD106" s="475">
        <f>IFERROR(AN_TME23[[#This Row],[TOTAL Truncated Unadjusted Expenses (A22 + A23)]]/AN_TME23[[#This Row],[Member Months]],0)</f>
        <v>0</v>
      </c>
      <c r="AE106" s="441">
        <f>IFERROR(AN_TME23[[#This Row],[Total Claims Excluded because of Truncation]]/AN_TME23[[#This Row],[Count of Members with Claims Truncated]], 0)</f>
        <v>0</v>
      </c>
      <c r="AF106" s="476">
        <f>IFERROR(AN_TME23[[#This Row],[Total Claims Excluded because of Truncation]]/AN_TME23[[#This Row],[TOTAL Non-Truncated Unadjusted Claims Expenses]], 0)</f>
        <v>0</v>
      </c>
    </row>
    <row r="107" spans="1:32" x14ac:dyDescent="0.25">
      <c r="A107" s="420"/>
      <c r="B107" s="421"/>
      <c r="C107" s="421"/>
      <c r="D107" s="422"/>
      <c r="E107" s="517"/>
      <c r="F107" s="423"/>
      <c r="G107" s="423"/>
      <c r="H107" s="423"/>
      <c r="I107" s="423"/>
      <c r="J107" s="423"/>
      <c r="K107" s="423"/>
      <c r="L107" s="423"/>
      <c r="M107" s="423"/>
      <c r="N107" s="423"/>
      <c r="O107" s="423"/>
      <c r="P107" s="423"/>
      <c r="Q107" s="423"/>
      <c r="R107" s="423"/>
      <c r="S107" s="423"/>
      <c r="T107" s="423"/>
      <c r="U107" s="423"/>
      <c r="V107" s="423"/>
      <c r="W107" s="435"/>
      <c r="X107" s="425">
        <f t="shared" ref="X107:X134" si="6">SUM(F107:H107)+SUM(J107:N107)</f>
        <v>0</v>
      </c>
      <c r="Y107" s="425">
        <f>AN_TME23[[#This Row],[TOTAL Non-Truncated Unadjusted Claims Expenses]]-AN_TME23[[#This Row],[Total Claims Excluded because of Truncation]]</f>
        <v>0</v>
      </c>
      <c r="Z107" s="425">
        <f t="shared" ref="Z107:Z134" si="7">SUM(O107:T107)</f>
        <v>0</v>
      </c>
      <c r="AA107" s="425">
        <f>AN_TME23[[#This Row],[TOTAL Non-Truncated Unadjusted Claims Expenses]]+AN_TME23[[#This Row],[TOTAL Non-Claims Expenses]]</f>
        <v>0</v>
      </c>
      <c r="AB107" s="425">
        <f>AN_TME23[[#This Row],[TOTAL Truncated Unadjusted Claims Expenses (A21 -A19)]]+AN_TME23[[#This Row],[TOTAL Non-Claims Expenses]]</f>
        <v>0</v>
      </c>
      <c r="AC107" s="474">
        <f>IFERROR(AN_TME23[[#This Row],[TOTAL Non-Truncated Unadjusted Expenses (A21 + A23)]]/AN_TME23[[#This Row],[Member Months]],0)</f>
        <v>0</v>
      </c>
      <c r="AD107" s="474">
        <f>IFERROR(AN_TME23[[#This Row],[TOTAL Truncated Unadjusted Expenses (A22 + A23)]]/AN_TME23[[#This Row],[Member Months]],0)</f>
        <v>0</v>
      </c>
      <c r="AE107" s="441">
        <f>IFERROR(AN_TME23[[#This Row],[Total Claims Excluded because of Truncation]]/AN_TME23[[#This Row],[Count of Members with Claims Truncated]], 0)</f>
        <v>0</v>
      </c>
      <c r="AF107" s="476">
        <f>IFERROR(AN_TME23[[#This Row],[Total Claims Excluded because of Truncation]]/AN_TME23[[#This Row],[TOTAL Non-Truncated Unadjusted Claims Expenses]], 0)</f>
        <v>0</v>
      </c>
    </row>
    <row r="108" spans="1:32" x14ac:dyDescent="0.25">
      <c r="A108" s="426"/>
      <c r="B108" s="427"/>
      <c r="C108" s="427"/>
      <c r="D108" s="428"/>
      <c r="E108" s="517"/>
      <c r="F108" s="429"/>
      <c r="G108" s="429"/>
      <c r="H108" s="429"/>
      <c r="I108" s="429"/>
      <c r="J108" s="429"/>
      <c r="K108" s="429"/>
      <c r="L108" s="429"/>
      <c r="M108" s="429"/>
      <c r="N108" s="429"/>
      <c r="O108" s="429"/>
      <c r="P108" s="429"/>
      <c r="Q108" s="429"/>
      <c r="R108" s="429"/>
      <c r="S108" s="429"/>
      <c r="T108" s="429"/>
      <c r="U108" s="429"/>
      <c r="V108" s="429"/>
      <c r="W108" s="436"/>
      <c r="X108" s="431">
        <f t="shared" si="6"/>
        <v>0</v>
      </c>
      <c r="Y108" s="431">
        <f>AN_TME23[[#This Row],[TOTAL Non-Truncated Unadjusted Claims Expenses]]-AN_TME23[[#This Row],[Total Claims Excluded because of Truncation]]</f>
        <v>0</v>
      </c>
      <c r="Z108" s="431">
        <f t="shared" si="7"/>
        <v>0</v>
      </c>
      <c r="AA108" s="431">
        <f>AN_TME23[[#This Row],[TOTAL Non-Truncated Unadjusted Claims Expenses]]+AN_TME23[[#This Row],[TOTAL Non-Claims Expenses]]</f>
        <v>0</v>
      </c>
      <c r="AB108" s="431">
        <f>AN_TME23[[#This Row],[TOTAL Truncated Unadjusted Claims Expenses (A21 -A19)]]+AN_TME23[[#This Row],[TOTAL Non-Claims Expenses]]</f>
        <v>0</v>
      </c>
      <c r="AC108" s="475">
        <f>IFERROR(AN_TME23[[#This Row],[TOTAL Non-Truncated Unadjusted Expenses (A21 + A23)]]/AN_TME23[[#This Row],[Member Months]],0)</f>
        <v>0</v>
      </c>
      <c r="AD108" s="475">
        <f>IFERROR(AN_TME23[[#This Row],[TOTAL Truncated Unadjusted Expenses (A22 + A23)]]/AN_TME23[[#This Row],[Member Months]],0)</f>
        <v>0</v>
      </c>
      <c r="AE108" s="441">
        <f>IFERROR(AN_TME23[[#This Row],[Total Claims Excluded because of Truncation]]/AN_TME23[[#This Row],[Count of Members with Claims Truncated]], 0)</f>
        <v>0</v>
      </c>
      <c r="AF108" s="476">
        <f>IFERROR(AN_TME23[[#This Row],[Total Claims Excluded because of Truncation]]/AN_TME23[[#This Row],[TOTAL Non-Truncated Unadjusted Claims Expenses]], 0)</f>
        <v>0</v>
      </c>
    </row>
    <row r="109" spans="1:32" x14ac:dyDescent="0.25">
      <c r="A109" s="420"/>
      <c r="B109" s="421"/>
      <c r="C109" s="421"/>
      <c r="D109" s="422"/>
      <c r="E109" s="517"/>
      <c r="F109" s="423"/>
      <c r="G109" s="423"/>
      <c r="H109" s="423"/>
      <c r="I109" s="423"/>
      <c r="J109" s="423"/>
      <c r="K109" s="423"/>
      <c r="L109" s="423"/>
      <c r="M109" s="423"/>
      <c r="N109" s="423"/>
      <c r="O109" s="423"/>
      <c r="P109" s="423"/>
      <c r="Q109" s="423"/>
      <c r="R109" s="423"/>
      <c r="S109" s="423"/>
      <c r="T109" s="423"/>
      <c r="U109" s="423"/>
      <c r="V109" s="423"/>
      <c r="W109" s="435"/>
      <c r="X109" s="425">
        <f t="shared" si="6"/>
        <v>0</v>
      </c>
      <c r="Y109" s="425">
        <f>AN_TME23[[#This Row],[TOTAL Non-Truncated Unadjusted Claims Expenses]]-AN_TME23[[#This Row],[Total Claims Excluded because of Truncation]]</f>
        <v>0</v>
      </c>
      <c r="Z109" s="425">
        <f t="shared" si="7"/>
        <v>0</v>
      </c>
      <c r="AA109" s="425">
        <f>AN_TME23[[#This Row],[TOTAL Non-Truncated Unadjusted Claims Expenses]]+AN_TME23[[#This Row],[TOTAL Non-Claims Expenses]]</f>
        <v>0</v>
      </c>
      <c r="AB109" s="425">
        <f>AN_TME23[[#This Row],[TOTAL Truncated Unadjusted Claims Expenses (A21 -A19)]]+AN_TME23[[#This Row],[TOTAL Non-Claims Expenses]]</f>
        <v>0</v>
      </c>
      <c r="AC109" s="474">
        <f>IFERROR(AN_TME23[[#This Row],[TOTAL Non-Truncated Unadjusted Expenses (A21 + A23)]]/AN_TME23[[#This Row],[Member Months]],0)</f>
        <v>0</v>
      </c>
      <c r="AD109" s="474">
        <f>IFERROR(AN_TME23[[#This Row],[TOTAL Truncated Unadjusted Expenses (A22 + A23)]]/AN_TME23[[#This Row],[Member Months]],0)</f>
        <v>0</v>
      </c>
      <c r="AE109" s="441">
        <f>IFERROR(AN_TME23[[#This Row],[Total Claims Excluded because of Truncation]]/AN_TME23[[#This Row],[Count of Members with Claims Truncated]], 0)</f>
        <v>0</v>
      </c>
      <c r="AF109" s="476">
        <f>IFERROR(AN_TME23[[#This Row],[Total Claims Excluded because of Truncation]]/AN_TME23[[#This Row],[TOTAL Non-Truncated Unadjusted Claims Expenses]], 0)</f>
        <v>0</v>
      </c>
    </row>
    <row r="110" spans="1:32" x14ac:dyDescent="0.25">
      <c r="A110" s="426"/>
      <c r="B110" s="427"/>
      <c r="C110" s="427"/>
      <c r="D110" s="428"/>
      <c r="E110" s="517"/>
      <c r="F110" s="429"/>
      <c r="G110" s="429"/>
      <c r="H110" s="429"/>
      <c r="I110" s="429"/>
      <c r="J110" s="429"/>
      <c r="K110" s="429"/>
      <c r="L110" s="429"/>
      <c r="M110" s="429"/>
      <c r="N110" s="429"/>
      <c r="O110" s="429"/>
      <c r="P110" s="429"/>
      <c r="Q110" s="429"/>
      <c r="R110" s="429"/>
      <c r="S110" s="429"/>
      <c r="T110" s="429"/>
      <c r="U110" s="429"/>
      <c r="V110" s="429"/>
      <c r="W110" s="436"/>
      <c r="X110" s="431">
        <f t="shared" si="6"/>
        <v>0</v>
      </c>
      <c r="Y110" s="431">
        <f>AN_TME23[[#This Row],[TOTAL Non-Truncated Unadjusted Claims Expenses]]-AN_TME23[[#This Row],[Total Claims Excluded because of Truncation]]</f>
        <v>0</v>
      </c>
      <c r="Z110" s="431">
        <f t="shared" si="7"/>
        <v>0</v>
      </c>
      <c r="AA110" s="431">
        <f>AN_TME23[[#This Row],[TOTAL Non-Truncated Unadjusted Claims Expenses]]+AN_TME23[[#This Row],[TOTAL Non-Claims Expenses]]</f>
        <v>0</v>
      </c>
      <c r="AB110" s="431">
        <f>AN_TME23[[#This Row],[TOTAL Truncated Unadjusted Claims Expenses (A21 -A19)]]+AN_TME23[[#This Row],[TOTAL Non-Claims Expenses]]</f>
        <v>0</v>
      </c>
      <c r="AC110" s="475">
        <f>IFERROR(AN_TME23[[#This Row],[TOTAL Non-Truncated Unadjusted Expenses (A21 + A23)]]/AN_TME23[[#This Row],[Member Months]],0)</f>
        <v>0</v>
      </c>
      <c r="AD110" s="475">
        <f>IFERROR(AN_TME23[[#This Row],[TOTAL Truncated Unadjusted Expenses (A22 + A23)]]/AN_TME23[[#This Row],[Member Months]],0)</f>
        <v>0</v>
      </c>
      <c r="AE110" s="441">
        <f>IFERROR(AN_TME23[[#This Row],[Total Claims Excluded because of Truncation]]/AN_TME23[[#This Row],[Count of Members with Claims Truncated]], 0)</f>
        <v>0</v>
      </c>
      <c r="AF110" s="476">
        <f>IFERROR(AN_TME23[[#This Row],[Total Claims Excluded because of Truncation]]/AN_TME23[[#This Row],[TOTAL Non-Truncated Unadjusted Claims Expenses]], 0)</f>
        <v>0</v>
      </c>
    </row>
    <row r="111" spans="1:32" x14ac:dyDescent="0.25">
      <c r="A111" s="420"/>
      <c r="B111" s="421"/>
      <c r="C111" s="421"/>
      <c r="D111" s="422"/>
      <c r="E111" s="517"/>
      <c r="F111" s="423"/>
      <c r="G111" s="423"/>
      <c r="H111" s="423"/>
      <c r="I111" s="423"/>
      <c r="J111" s="423"/>
      <c r="K111" s="423"/>
      <c r="L111" s="423"/>
      <c r="M111" s="423"/>
      <c r="N111" s="423"/>
      <c r="O111" s="423"/>
      <c r="P111" s="423"/>
      <c r="Q111" s="423"/>
      <c r="R111" s="423"/>
      <c r="S111" s="423"/>
      <c r="T111" s="423"/>
      <c r="U111" s="423"/>
      <c r="V111" s="423"/>
      <c r="W111" s="435"/>
      <c r="X111" s="425">
        <f t="shared" si="6"/>
        <v>0</v>
      </c>
      <c r="Y111" s="425">
        <f>AN_TME23[[#This Row],[TOTAL Non-Truncated Unadjusted Claims Expenses]]-AN_TME23[[#This Row],[Total Claims Excluded because of Truncation]]</f>
        <v>0</v>
      </c>
      <c r="Z111" s="425">
        <f t="shared" si="7"/>
        <v>0</v>
      </c>
      <c r="AA111" s="425">
        <f>AN_TME23[[#This Row],[TOTAL Non-Truncated Unadjusted Claims Expenses]]+AN_TME23[[#This Row],[TOTAL Non-Claims Expenses]]</f>
        <v>0</v>
      </c>
      <c r="AB111" s="425">
        <f>AN_TME23[[#This Row],[TOTAL Truncated Unadjusted Claims Expenses (A21 -A19)]]+AN_TME23[[#This Row],[TOTAL Non-Claims Expenses]]</f>
        <v>0</v>
      </c>
      <c r="AC111" s="474">
        <f>IFERROR(AN_TME23[[#This Row],[TOTAL Non-Truncated Unadjusted Expenses (A21 + A23)]]/AN_TME23[[#This Row],[Member Months]],0)</f>
        <v>0</v>
      </c>
      <c r="AD111" s="474">
        <f>IFERROR(AN_TME23[[#This Row],[TOTAL Truncated Unadjusted Expenses (A22 + A23)]]/AN_TME23[[#This Row],[Member Months]],0)</f>
        <v>0</v>
      </c>
      <c r="AE111" s="441">
        <f>IFERROR(AN_TME23[[#This Row],[Total Claims Excluded because of Truncation]]/AN_TME23[[#This Row],[Count of Members with Claims Truncated]], 0)</f>
        <v>0</v>
      </c>
      <c r="AF111" s="476">
        <f>IFERROR(AN_TME23[[#This Row],[Total Claims Excluded because of Truncation]]/AN_TME23[[#This Row],[TOTAL Non-Truncated Unadjusted Claims Expenses]], 0)</f>
        <v>0</v>
      </c>
    </row>
    <row r="112" spans="1:32" x14ac:dyDescent="0.25">
      <c r="A112" s="426"/>
      <c r="B112" s="427"/>
      <c r="C112" s="427"/>
      <c r="D112" s="428"/>
      <c r="E112" s="517"/>
      <c r="F112" s="429"/>
      <c r="G112" s="429"/>
      <c r="H112" s="429"/>
      <c r="I112" s="429"/>
      <c r="J112" s="429"/>
      <c r="K112" s="429"/>
      <c r="L112" s="429"/>
      <c r="M112" s="429"/>
      <c r="N112" s="429"/>
      <c r="O112" s="429"/>
      <c r="P112" s="429"/>
      <c r="Q112" s="429"/>
      <c r="R112" s="429"/>
      <c r="S112" s="429"/>
      <c r="T112" s="429"/>
      <c r="U112" s="429"/>
      <c r="V112" s="429"/>
      <c r="W112" s="436"/>
      <c r="X112" s="431">
        <f t="shared" si="6"/>
        <v>0</v>
      </c>
      <c r="Y112" s="431">
        <f>AN_TME23[[#This Row],[TOTAL Non-Truncated Unadjusted Claims Expenses]]-AN_TME23[[#This Row],[Total Claims Excluded because of Truncation]]</f>
        <v>0</v>
      </c>
      <c r="Z112" s="431">
        <f t="shared" si="7"/>
        <v>0</v>
      </c>
      <c r="AA112" s="431">
        <f>AN_TME23[[#This Row],[TOTAL Non-Truncated Unadjusted Claims Expenses]]+AN_TME23[[#This Row],[TOTAL Non-Claims Expenses]]</f>
        <v>0</v>
      </c>
      <c r="AB112" s="431">
        <f>AN_TME23[[#This Row],[TOTAL Truncated Unadjusted Claims Expenses (A21 -A19)]]+AN_TME23[[#This Row],[TOTAL Non-Claims Expenses]]</f>
        <v>0</v>
      </c>
      <c r="AC112" s="475">
        <f>IFERROR(AN_TME23[[#This Row],[TOTAL Non-Truncated Unadjusted Expenses (A21 + A23)]]/AN_TME23[[#This Row],[Member Months]],0)</f>
        <v>0</v>
      </c>
      <c r="AD112" s="475">
        <f>IFERROR(AN_TME23[[#This Row],[TOTAL Truncated Unadjusted Expenses (A22 + A23)]]/AN_TME23[[#This Row],[Member Months]],0)</f>
        <v>0</v>
      </c>
      <c r="AE112" s="441">
        <f>IFERROR(AN_TME23[[#This Row],[Total Claims Excluded because of Truncation]]/AN_TME23[[#This Row],[Count of Members with Claims Truncated]], 0)</f>
        <v>0</v>
      </c>
      <c r="AF112" s="476">
        <f>IFERROR(AN_TME23[[#This Row],[Total Claims Excluded because of Truncation]]/AN_TME23[[#This Row],[TOTAL Non-Truncated Unadjusted Claims Expenses]], 0)</f>
        <v>0</v>
      </c>
    </row>
    <row r="113" spans="1:32" x14ac:dyDescent="0.25">
      <c r="A113" s="420"/>
      <c r="B113" s="421"/>
      <c r="C113" s="421"/>
      <c r="D113" s="422"/>
      <c r="E113" s="517"/>
      <c r="F113" s="423"/>
      <c r="G113" s="423"/>
      <c r="H113" s="423"/>
      <c r="I113" s="423"/>
      <c r="J113" s="423"/>
      <c r="K113" s="423"/>
      <c r="L113" s="423"/>
      <c r="M113" s="423"/>
      <c r="N113" s="423"/>
      <c r="O113" s="423"/>
      <c r="P113" s="423"/>
      <c r="Q113" s="423"/>
      <c r="R113" s="423"/>
      <c r="S113" s="423"/>
      <c r="T113" s="423"/>
      <c r="U113" s="423"/>
      <c r="V113" s="423"/>
      <c r="W113" s="435"/>
      <c r="X113" s="425">
        <f t="shared" si="6"/>
        <v>0</v>
      </c>
      <c r="Y113" s="425">
        <f>AN_TME23[[#This Row],[TOTAL Non-Truncated Unadjusted Claims Expenses]]-AN_TME23[[#This Row],[Total Claims Excluded because of Truncation]]</f>
        <v>0</v>
      </c>
      <c r="Z113" s="425">
        <f t="shared" si="7"/>
        <v>0</v>
      </c>
      <c r="AA113" s="425">
        <f>AN_TME23[[#This Row],[TOTAL Non-Truncated Unadjusted Claims Expenses]]+AN_TME23[[#This Row],[TOTAL Non-Claims Expenses]]</f>
        <v>0</v>
      </c>
      <c r="AB113" s="425">
        <f>AN_TME23[[#This Row],[TOTAL Truncated Unadjusted Claims Expenses (A21 -A19)]]+AN_TME23[[#This Row],[TOTAL Non-Claims Expenses]]</f>
        <v>0</v>
      </c>
      <c r="AC113" s="474">
        <f>IFERROR(AN_TME23[[#This Row],[TOTAL Non-Truncated Unadjusted Expenses (A21 + A23)]]/AN_TME23[[#This Row],[Member Months]],0)</f>
        <v>0</v>
      </c>
      <c r="AD113" s="474">
        <f>IFERROR(AN_TME23[[#This Row],[TOTAL Truncated Unadjusted Expenses (A22 + A23)]]/AN_TME23[[#This Row],[Member Months]],0)</f>
        <v>0</v>
      </c>
      <c r="AE113" s="441">
        <f>IFERROR(AN_TME23[[#This Row],[Total Claims Excluded because of Truncation]]/AN_TME23[[#This Row],[Count of Members with Claims Truncated]], 0)</f>
        <v>0</v>
      </c>
      <c r="AF113" s="476">
        <f>IFERROR(AN_TME23[[#This Row],[Total Claims Excluded because of Truncation]]/AN_TME23[[#This Row],[TOTAL Non-Truncated Unadjusted Claims Expenses]], 0)</f>
        <v>0</v>
      </c>
    </row>
    <row r="114" spans="1:32" x14ac:dyDescent="0.25">
      <c r="A114" s="426"/>
      <c r="B114" s="427"/>
      <c r="C114" s="427"/>
      <c r="D114" s="428"/>
      <c r="E114" s="517"/>
      <c r="F114" s="429"/>
      <c r="G114" s="429"/>
      <c r="H114" s="429"/>
      <c r="I114" s="429"/>
      <c r="J114" s="429"/>
      <c r="K114" s="429"/>
      <c r="L114" s="429"/>
      <c r="M114" s="429"/>
      <c r="N114" s="429"/>
      <c r="O114" s="429"/>
      <c r="P114" s="429"/>
      <c r="Q114" s="429"/>
      <c r="R114" s="429"/>
      <c r="S114" s="429"/>
      <c r="T114" s="429"/>
      <c r="U114" s="429"/>
      <c r="V114" s="429"/>
      <c r="W114" s="436"/>
      <c r="X114" s="431">
        <f t="shared" si="6"/>
        <v>0</v>
      </c>
      <c r="Y114" s="431">
        <f>AN_TME23[[#This Row],[TOTAL Non-Truncated Unadjusted Claims Expenses]]-AN_TME23[[#This Row],[Total Claims Excluded because of Truncation]]</f>
        <v>0</v>
      </c>
      <c r="Z114" s="431">
        <f t="shared" si="7"/>
        <v>0</v>
      </c>
      <c r="AA114" s="431">
        <f>AN_TME23[[#This Row],[TOTAL Non-Truncated Unadjusted Claims Expenses]]+AN_TME23[[#This Row],[TOTAL Non-Claims Expenses]]</f>
        <v>0</v>
      </c>
      <c r="AB114" s="431">
        <f>AN_TME23[[#This Row],[TOTAL Truncated Unadjusted Claims Expenses (A21 -A19)]]+AN_TME23[[#This Row],[TOTAL Non-Claims Expenses]]</f>
        <v>0</v>
      </c>
      <c r="AC114" s="475">
        <f>IFERROR(AN_TME23[[#This Row],[TOTAL Non-Truncated Unadjusted Expenses (A21 + A23)]]/AN_TME23[[#This Row],[Member Months]],0)</f>
        <v>0</v>
      </c>
      <c r="AD114" s="475">
        <f>IFERROR(AN_TME23[[#This Row],[TOTAL Truncated Unadjusted Expenses (A22 + A23)]]/AN_TME23[[#This Row],[Member Months]],0)</f>
        <v>0</v>
      </c>
      <c r="AE114" s="441">
        <f>IFERROR(AN_TME23[[#This Row],[Total Claims Excluded because of Truncation]]/AN_TME23[[#This Row],[Count of Members with Claims Truncated]], 0)</f>
        <v>0</v>
      </c>
      <c r="AF114" s="476">
        <f>IFERROR(AN_TME23[[#This Row],[Total Claims Excluded because of Truncation]]/AN_TME23[[#This Row],[TOTAL Non-Truncated Unadjusted Claims Expenses]], 0)</f>
        <v>0</v>
      </c>
    </row>
    <row r="115" spans="1:32" x14ac:dyDescent="0.25">
      <c r="A115" s="420"/>
      <c r="B115" s="421"/>
      <c r="C115" s="421"/>
      <c r="D115" s="422"/>
      <c r="E115" s="517"/>
      <c r="F115" s="423"/>
      <c r="G115" s="423"/>
      <c r="H115" s="423"/>
      <c r="I115" s="423"/>
      <c r="J115" s="423"/>
      <c r="K115" s="423"/>
      <c r="L115" s="423"/>
      <c r="M115" s="423"/>
      <c r="N115" s="423"/>
      <c r="O115" s="423"/>
      <c r="P115" s="423"/>
      <c r="Q115" s="423"/>
      <c r="R115" s="423"/>
      <c r="S115" s="423"/>
      <c r="T115" s="423"/>
      <c r="U115" s="423"/>
      <c r="V115" s="423"/>
      <c r="W115" s="435"/>
      <c r="X115" s="425">
        <f t="shared" si="6"/>
        <v>0</v>
      </c>
      <c r="Y115" s="425">
        <f>AN_TME23[[#This Row],[TOTAL Non-Truncated Unadjusted Claims Expenses]]-AN_TME23[[#This Row],[Total Claims Excluded because of Truncation]]</f>
        <v>0</v>
      </c>
      <c r="Z115" s="425">
        <f t="shared" si="7"/>
        <v>0</v>
      </c>
      <c r="AA115" s="425">
        <f>AN_TME23[[#This Row],[TOTAL Non-Truncated Unadjusted Claims Expenses]]+AN_TME23[[#This Row],[TOTAL Non-Claims Expenses]]</f>
        <v>0</v>
      </c>
      <c r="AB115" s="425">
        <f>AN_TME23[[#This Row],[TOTAL Truncated Unadjusted Claims Expenses (A21 -A19)]]+AN_TME23[[#This Row],[TOTAL Non-Claims Expenses]]</f>
        <v>0</v>
      </c>
      <c r="AC115" s="474">
        <f>IFERROR(AN_TME23[[#This Row],[TOTAL Non-Truncated Unadjusted Expenses (A21 + A23)]]/AN_TME23[[#This Row],[Member Months]],0)</f>
        <v>0</v>
      </c>
      <c r="AD115" s="474">
        <f>IFERROR(AN_TME23[[#This Row],[TOTAL Truncated Unadjusted Expenses (A22 + A23)]]/AN_TME23[[#This Row],[Member Months]],0)</f>
        <v>0</v>
      </c>
      <c r="AE115" s="441">
        <f>IFERROR(AN_TME23[[#This Row],[Total Claims Excluded because of Truncation]]/AN_TME23[[#This Row],[Count of Members with Claims Truncated]], 0)</f>
        <v>0</v>
      </c>
      <c r="AF115" s="476">
        <f>IFERROR(AN_TME23[[#This Row],[Total Claims Excluded because of Truncation]]/AN_TME23[[#This Row],[TOTAL Non-Truncated Unadjusted Claims Expenses]], 0)</f>
        <v>0</v>
      </c>
    </row>
    <row r="116" spans="1:32" x14ac:dyDescent="0.25">
      <c r="A116" s="426"/>
      <c r="B116" s="427"/>
      <c r="C116" s="427"/>
      <c r="D116" s="428"/>
      <c r="E116" s="517"/>
      <c r="F116" s="429"/>
      <c r="G116" s="429"/>
      <c r="H116" s="429"/>
      <c r="I116" s="429"/>
      <c r="J116" s="429"/>
      <c r="K116" s="429"/>
      <c r="L116" s="429"/>
      <c r="M116" s="429"/>
      <c r="N116" s="429"/>
      <c r="O116" s="429"/>
      <c r="P116" s="429"/>
      <c r="Q116" s="429"/>
      <c r="R116" s="429"/>
      <c r="S116" s="429"/>
      <c r="T116" s="429"/>
      <c r="U116" s="429"/>
      <c r="V116" s="429"/>
      <c r="W116" s="436"/>
      <c r="X116" s="431">
        <f t="shared" si="6"/>
        <v>0</v>
      </c>
      <c r="Y116" s="431">
        <f>AN_TME23[[#This Row],[TOTAL Non-Truncated Unadjusted Claims Expenses]]-AN_TME23[[#This Row],[Total Claims Excluded because of Truncation]]</f>
        <v>0</v>
      </c>
      <c r="Z116" s="431">
        <f t="shared" si="7"/>
        <v>0</v>
      </c>
      <c r="AA116" s="431">
        <f>AN_TME23[[#This Row],[TOTAL Non-Truncated Unadjusted Claims Expenses]]+AN_TME23[[#This Row],[TOTAL Non-Claims Expenses]]</f>
        <v>0</v>
      </c>
      <c r="AB116" s="431">
        <f>AN_TME23[[#This Row],[TOTAL Truncated Unadjusted Claims Expenses (A21 -A19)]]+AN_TME23[[#This Row],[TOTAL Non-Claims Expenses]]</f>
        <v>0</v>
      </c>
      <c r="AC116" s="475">
        <f>IFERROR(AN_TME23[[#This Row],[TOTAL Non-Truncated Unadjusted Expenses (A21 + A23)]]/AN_TME23[[#This Row],[Member Months]],0)</f>
        <v>0</v>
      </c>
      <c r="AD116" s="475">
        <f>IFERROR(AN_TME23[[#This Row],[TOTAL Truncated Unadjusted Expenses (A22 + A23)]]/AN_TME23[[#This Row],[Member Months]],0)</f>
        <v>0</v>
      </c>
      <c r="AE116" s="441">
        <f>IFERROR(AN_TME23[[#This Row],[Total Claims Excluded because of Truncation]]/AN_TME23[[#This Row],[Count of Members with Claims Truncated]], 0)</f>
        <v>0</v>
      </c>
      <c r="AF116" s="476">
        <f>IFERROR(AN_TME23[[#This Row],[Total Claims Excluded because of Truncation]]/AN_TME23[[#This Row],[TOTAL Non-Truncated Unadjusted Claims Expenses]], 0)</f>
        <v>0</v>
      </c>
    </row>
    <row r="117" spans="1:32" x14ac:dyDescent="0.25">
      <c r="A117" s="420"/>
      <c r="B117" s="421"/>
      <c r="C117" s="421"/>
      <c r="D117" s="422"/>
      <c r="E117" s="517"/>
      <c r="F117" s="423"/>
      <c r="G117" s="423"/>
      <c r="H117" s="423"/>
      <c r="I117" s="423"/>
      <c r="J117" s="423"/>
      <c r="K117" s="423"/>
      <c r="L117" s="423"/>
      <c r="M117" s="423"/>
      <c r="N117" s="423"/>
      <c r="O117" s="423"/>
      <c r="P117" s="423"/>
      <c r="Q117" s="423"/>
      <c r="R117" s="423"/>
      <c r="S117" s="423"/>
      <c r="T117" s="423"/>
      <c r="U117" s="423"/>
      <c r="V117" s="423"/>
      <c r="W117" s="435"/>
      <c r="X117" s="425">
        <f t="shared" si="6"/>
        <v>0</v>
      </c>
      <c r="Y117" s="425">
        <f>AN_TME23[[#This Row],[TOTAL Non-Truncated Unadjusted Claims Expenses]]-AN_TME23[[#This Row],[Total Claims Excluded because of Truncation]]</f>
        <v>0</v>
      </c>
      <c r="Z117" s="425">
        <f t="shared" si="7"/>
        <v>0</v>
      </c>
      <c r="AA117" s="425">
        <f>AN_TME23[[#This Row],[TOTAL Non-Truncated Unadjusted Claims Expenses]]+AN_TME23[[#This Row],[TOTAL Non-Claims Expenses]]</f>
        <v>0</v>
      </c>
      <c r="AB117" s="425">
        <f>AN_TME23[[#This Row],[TOTAL Truncated Unadjusted Claims Expenses (A21 -A19)]]+AN_TME23[[#This Row],[TOTAL Non-Claims Expenses]]</f>
        <v>0</v>
      </c>
      <c r="AC117" s="474">
        <f>IFERROR(AN_TME23[[#This Row],[TOTAL Non-Truncated Unadjusted Expenses (A21 + A23)]]/AN_TME23[[#This Row],[Member Months]],0)</f>
        <v>0</v>
      </c>
      <c r="AD117" s="474">
        <f>IFERROR(AN_TME23[[#This Row],[TOTAL Truncated Unadjusted Expenses (A22 + A23)]]/AN_TME23[[#This Row],[Member Months]],0)</f>
        <v>0</v>
      </c>
      <c r="AE117" s="441">
        <f>IFERROR(AN_TME23[[#This Row],[Total Claims Excluded because of Truncation]]/AN_TME23[[#This Row],[Count of Members with Claims Truncated]], 0)</f>
        <v>0</v>
      </c>
      <c r="AF117" s="476">
        <f>IFERROR(AN_TME23[[#This Row],[Total Claims Excluded because of Truncation]]/AN_TME23[[#This Row],[TOTAL Non-Truncated Unadjusted Claims Expenses]], 0)</f>
        <v>0</v>
      </c>
    </row>
    <row r="118" spans="1:32" x14ac:dyDescent="0.25">
      <c r="A118" s="426"/>
      <c r="B118" s="427"/>
      <c r="C118" s="427"/>
      <c r="D118" s="428"/>
      <c r="E118" s="517"/>
      <c r="F118" s="429"/>
      <c r="G118" s="429"/>
      <c r="H118" s="429"/>
      <c r="I118" s="429"/>
      <c r="J118" s="429"/>
      <c r="K118" s="429"/>
      <c r="L118" s="429"/>
      <c r="M118" s="429"/>
      <c r="N118" s="429"/>
      <c r="O118" s="429"/>
      <c r="P118" s="429"/>
      <c r="Q118" s="429"/>
      <c r="R118" s="429"/>
      <c r="S118" s="429"/>
      <c r="T118" s="429"/>
      <c r="U118" s="429"/>
      <c r="V118" s="429"/>
      <c r="W118" s="436"/>
      <c r="X118" s="431">
        <f t="shared" si="6"/>
        <v>0</v>
      </c>
      <c r="Y118" s="431">
        <f>AN_TME23[[#This Row],[TOTAL Non-Truncated Unadjusted Claims Expenses]]-AN_TME23[[#This Row],[Total Claims Excluded because of Truncation]]</f>
        <v>0</v>
      </c>
      <c r="Z118" s="431">
        <f t="shared" si="7"/>
        <v>0</v>
      </c>
      <c r="AA118" s="431">
        <f>AN_TME23[[#This Row],[TOTAL Non-Truncated Unadjusted Claims Expenses]]+AN_TME23[[#This Row],[TOTAL Non-Claims Expenses]]</f>
        <v>0</v>
      </c>
      <c r="AB118" s="431">
        <f>AN_TME23[[#This Row],[TOTAL Truncated Unadjusted Claims Expenses (A21 -A19)]]+AN_TME23[[#This Row],[TOTAL Non-Claims Expenses]]</f>
        <v>0</v>
      </c>
      <c r="AC118" s="475">
        <f>IFERROR(AN_TME23[[#This Row],[TOTAL Non-Truncated Unadjusted Expenses (A21 + A23)]]/AN_TME23[[#This Row],[Member Months]],0)</f>
        <v>0</v>
      </c>
      <c r="AD118" s="475">
        <f>IFERROR(AN_TME23[[#This Row],[TOTAL Truncated Unadjusted Expenses (A22 + A23)]]/AN_TME23[[#This Row],[Member Months]],0)</f>
        <v>0</v>
      </c>
      <c r="AE118" s="441">
        <f>IFERROR(AN_TME23[[#This Row],[Total Claims Excluded because of Truncation]]/AN_TME23[[#This Row],[Count of Members with Claims Truncated]], 0)</f>
        <v>0</v>
      </c>
      <c r="AF118" s="476">
        <f>IFERROR(AN_TME23[[#This Row],[Total Claims Excluded because of Truncation]]/AN_TME23[[#This Row],[TOTAL Non-Truncated Unadjusted Claims Expenses]], 0)</f>
        <v>0</v>
      </c>
    </row>
    <row r="119" spans="1:32" x14ac:dyDescent="0.25">
      <c r="A119" s="420"/>
      <c r="B119" s="421"/>
      <c r="C119" s="421"/>
      <c r="D119" s="422"/>
      <c r="E119" s="517"/>
      <c r="F119" s="423"/>
      <c r="G119" s="423"/>
      <c r="H119" s="423"/>
      <c r="I119" s="423"/>
      <c r="J119" s="423"/>
      <c r="K119" s="423"/>
      <c r="L119" s="423"/>
      <c r="M119" s="423"/>
      <c r="N119" s="423"/>
      <c r="O119" s="423"/>
      <c r="P119" s="423"/>
      <c r="Q119" s="423"/>
      <c r="R119" s="423"/>
      <c r="S119" s="423"/>
      <c r="T119" s="423"/>
      <c r="U119" s="423"/>
      <c r="V119" s="423"/>
      <c r="W119" s="435"/>
      <c r="X119" s="425">
        <f t="shared" si="6"/>
        <v>0</v>
      </c>
      <c r="Y119" s="425">
        <f>AN_TME23[[#This Row],[TOTAL Non-Truncated Unadjusted Claims Expenses]]-AN_TME23[[#This Row],[Total Claims Excluded because of Truncation]]</f>
        <v>0</v>
      </c>
      <c r="Z119" s="425">
        <f t="shared" si="7"/>
        <v>0</v>
      </c>
      <c r="AA119" s="425">
        <f>AN_TME23[[#This Row],[TOTAL Non-Truncated Unadjusted Claims Expenses]]+AN_TME23[[#This Row],[TOTAL Non-Claims Expenses]]</f>
        <v>0</v>
      </c>
      <c r="AB119" s="425">
        <f>AN_TME23[[#This Row],[TOTAL Truncated Unadjusted Claims Expenses (A21 -A19)]]+AN_TME23[[#This Row],[TOTAL Non-Claims Expenses]]</f>
        <v>0</v>
      </c>
      <c r="AC119" s="474">
        <f>IFERROR(AN_TME23[[#This Row],[TOTAL Non-Truncated Unadjusted Expenses (A21 + A23)]]/AN_TME23[[#This Row],[Member Months]],0)</f>
        <v>0</v>
      </c>
      <c r="AD119" s="474">
        <f>IFERROR(AN_TME23[[#This Row],[TOTAL Truncated Unadjusted Expenses (A22 + A23)]]/AN_TME23[[#This Row],[Member Months]],0)</f>
        <v>0</v>
      </c>
      <c r="AE119" s="441">
        <f>IFERROR(AN_TME23[[#This Row],[Total Claims Excluded because of Truncation]]/AN_TME23[[#This Row],[Count of Members with Claims Truncated]], 0)</f>
        <v>0</v>
      </c>
      <c r="AF119" s="476">
        <f>IFERROR(AN_TME23[[#This Row],[Total Claims Excluded because of Truncation]]/AN_TME23[[#This Row],[TOTAL Non-Truncated Unadjusted Claims Expenses]], 0)</f>
        <v>0</v>
      </c>
    </row>
    <row r="120" spans="1:32" x14ac:dyDescent="0.25">
      <c r="A120" s="426"/>
      <c r="B120" s="427"/>
      <c r="C120" s="427"/>
      <c r="D120" s="428"/>
      <c r="E120" s="517"/>
      <c r="F120" s="429"/>
      <c r="G120" s="429"/>
      <c r="H120" s="429"/>
      <c r="I120" s="429"/>
      <c r="J120" s="429"/>
      <c r="K120" s="429"/>
      <c r="L120" s="429"/>
      <c r="M120" s="429"/>
      <c r="N120" s="429"/>
      <c r="O120" s="429"/>
      <c r="P120" s="429"/>
      <c r="Q120" s="429"/>
      <c r="R120" s="429"/>
      <c r="S120" s="429"/>
      <c r="T120" s="429"/>
      <c r="U120" s="429"/>
      <c r="V120" s="429"/>
      <c r="W120" s="436"/>
      <c r="X120" s="431">
        <f t="shared" si="6"/>
        <v>0</v>
      </c>
      <c r="Y120" s="431">
        <f>AN_TME23[[#This Row],[TOTAL Non-Truncated Unadjusted Claims Expenses]]-AN_TME23[[#This Row],[Total Claims Excluded because of Truncation]]</f>
        <v>0</v>
      </c>
      <c r="Z120" s="431">
        <f t="shared" si="7"/>
        <v>0</v>
      </c>
      <c r="AA120" s="431">
        <f>AN_TME23[[#This Row],[TOTAL Non-Truncated Unadjusted Claims Expenses]]+AN_TME23[[#This Row],[TOTAL Non-Claims Expenses]]</f>
        <v>0</v>
      </c>
      <c r="AB120" s="431">
        <f>AN_TME23[[#This Row],[TOTAL Truncated Unadjusted Claims Expenses (A21 -A19)]]+AN_TME23[[#This Row],[TOTAL Non-Claims Expenses]]</f>
        <v>0</v>
      </c>
      <c r="AC120" s="475">
        <f>IFERROR(AN_TME23[[#This Row],[TOTAL Non-Truncated Unadjusted Expenses (A21 + A23)]]/AN_TME23[[#This Row],[Member Months]],0)</f>
        <v>0</v>
      </c>
      <c r="AD120" s="475">
        <f>IFERROR(AN_TME23[[#This Row],[TOTAL Truncated Unadjusted Expenses (A22 + A23)]]/AN_TME23[[#This Row],[Member Months]],0)</f>
        <v>0</v>
      </c>
      <c r="AE120" s="441">
        <f>IFERROR(AN_TME23[[#This Row],[Total Claims Excluded because of Truncation]]/AN_TME23[[#This Row],[Count of Members with Claims Truncated]], 0)</f>
        <v>0</v>
      </c>
      <c r="AF120" s="476">
        <f>IFERROR(AN_TME23[[#This Row],[Total Claims Excluded because of Truncation]]/AN_TME23[[#This Row],[TOTAL Non-Truncated Unadjusted Claims Expenses]], 0)</f>
        <v>0</v>
      </c>
    </row>
    <row r="121" spans="1:32" x14ac:dyDescent="0.25">
      <c r="A121" s="420"/>
      <c r="B121" s="421"/>
      <c r="C121" s="421"/>
      <c r="D121" s="422"/>
      <c r="E121" s="517"/>
      <c r="F121" s="423"/>
      <c r="G121" s="423"/>
      <c r="H121" s="423"/>
      <c r="I121" s="423"/>
      <c r="J121" s="423"/>
      <c r="K121" s="423"/>
      <c r="L121" s="423"/>
      <c r="M121" s="423"/>
      <c r="N121" s="423"/>
      <c r="O121" s="423"/>
      <c r="P121" s="423"/>
      <c r="Q121" s="423"/>
      <c r="R121" s="423"/>
      <c r="S121" s="423"/>
      <c r="T121" s="423"/>
      <c r="U121" s="423"/>
      <c r="V121" s="423"/>
      <c r="W121" s="435"/>
      <c r="X121" s="425">
        <f t="shared" si="6"/>
        <v>0</v>
      </c>
      <c r="Y121" s="425">
        <f>AN_TME23[[#This Row],[TOTAL Non-Truncated Unadjusted Claims Expenses]]-AN_TME23[[#This Row],[Total Claims Excluded because of Truncation]]</f>
        <v>0</v>
      </c>
      <c r="Z121" s="425">
        <f t="shared" si="7"/>
        <v>0</v>
      </c>
      <c r="AA121" s="425">
        <f>AN_TME23[[#This Row],[TOTAL Non-Truncated Unadjusted Claims Expenses]]+AN_TME23[[#This Row],[TOTAL Non-Claims Expenses]]</f>
        <v>0</v>
      </c>
      <c r="AB121" s="425">
        <f>AN_TME23[[#This Row],[TOTAL Truncated Unadjusted Claims Expenses (A21 -A19)]]+AN_TME23[[#This Row],[TOTAL Non-Claims Expenses]]</f>
        <v>0</v>
      </c>
      <c r="AC121" s="474">
        <f>IFERROR(AN_TME23[[#This Row],[TOTAL Non-Truncated Unadjusted Expenses (A21 + A23)]]/AN_TME23[[#This Row],[Member Months]],0)</f>
        <v>0</v>
      </c>
      <c r="AD121" s="474">
        <f>IFERROR(AN_TME23[[#This Row],[TOTAL Truncated Unadjusted Expenses (A22 + A23)]]/AN_TME23[[#This Row],[Member Months]],0)</f>
        <v>0</v>
      </c>
      <c r="AE121" s="441">
        <f>IFERROR(AN_TME23[[#This Row],[Total Claims Excluded because of Truncation]]/AN_TME23[[#This Row],[Count of Members with Claims Truncated]], 0)</f>
        <v>0</v>
      </c>
      <c r="AF121" s="476">
        <f>IFERROR(AN_TME23[[#This Row],[Total Claims Excluded because of Truncation]]/AN_TME23[[#This Row],[TOTAL Non-Truncated Unadjusted Claims Expenses]], 0)</f>
        <v>0</v>
      </c>
    </row>
    <row r="122" spans="1:32" x14ac:dyDescent="0.25">
      <c r="A122" s="426"/>
      <c r="B122" s="427"/>
      <c r="C122" s="427"/>
      <c r="D122" s="428"/>
      <c r="E122" s="517"/>
      <c r="F122" s="429"/>
      <c r="G122" s="429"/>
      <c r="H122" s="429"/>
      <c r="I122" s="429"/>
      <c r="J122" s="429"/>
      <c r="K122" s="429"/>
      <c r="L122" s="429"/>
      <c r="M122" s="429"/>
      <c r="N122" s="429"/>
      <c r="O122" s="429"/>
      <c r="P122" s="429"/>
      <c r="Q122" s="429"/>
      <c r="R122" s="429"/>
      <c r="S122" s="429"/>
      <c r="T122" s="429"/>
      <c r="U122" s="429"/>
      <c r="V122" s="429"/>
      <c r="W122" s="436"/>
      <c r="X122" s="431">
        <f t="shared" si="6"/>
        <v>0</v>
      </c>
      <c r="Y122" s="431">
        <f>AN_TME23[[#This Row],[TOTAL Non-Truncated Unadjusted Claims Expenses]]-AN_TME23[[#This Row],[Total Claims Excluded because of Truncation]]</f>
        <v>0</v>
      </c>
      <c r="Z122" s="431">
        <f t="shared" si="7"/>
        <v>0</v>
      </c>
      <c r="AA122" s="431">
        <f>AN_TME23[[#This Row],[TOTAL Non-Truncated Unadjusted Claims Expenses]]+AN_TME23[[#This Row],[TOTAL Non-Claims Expenses]]</f>
        <v>0</v>
      </c>
      <c r="AB122" s="431">
        <f>AN_TME23[[#This Row],[TOTAL Truncated Unadjusted Claims Expenses (A21 -A19)]]+AN_TME23[[#This Row],[TOTAL Non-Claims Expenses]]</f>
        <v>0</v>
      </c>
      <c r="AC122" s="475">
        <f>IFERROR(AN_TME23[[#This Row],[TOTAL Non-Truncated Unadjusted Expenses (A21 + A23)]]/AN_TME23[[#This Row],[Member Months]],0)</f>
        <v>0</v>
      </c>
      <c r="AD122" s="475">
        <f>IFERROR(AN_TME23[[#This Row],[TOTAL Truncated Unadjusted Expenses (A22 + A23)]]/AN_TME23[[#This Row],[Member Months]],0)</f>
        <v>0</v>
      </c>
      <c r="AE122" s="441">
        <f>IFERROR(AN_TME23[[#This Row],[Total Claims Excluded because of Truncation]]/AN_TME23[[#This Row],[Count of Members with Claims Truncated]], 0)</f>
        <v>0</v>
      </c>
      <c r="AF122" s="476">
        <f>IFERROR(AN_TME23[[#This Row],[Total Claims Excluded because of Truncation]]/AN_TME23[[#This Row],[TOTAL Non-Truncated Unadjusted Claims Expenses]], 0)</f>
        <v>0</v>
      </c>
    </row>
    <row r="123" spans="1:32" x14ac:dyDescent="0.25">
      <c r="A123" s="420"/>
      <c r="B123" s="421"/>
      <c r="C123" s="421"/>
      <c r="D123" s="422"/>
      <c r="E123" s="517"/>
      <c r="F123" s="423"/>
      <c r="G123" s="423"/>
      <c r="H123" s="423"/>
      <c r="I123" s="423"/>
      <c r="J123" s="423"/>
      <c r="K123" s="423"/>
      <c r="L123" s="423"/>
      <c r="M123" s="423"/>
      <c r="N123" s="423"/>
      <c r="O123" s="423"/>
      <c r="P123" s="423"/>
      <c r="Q123" s="423"/>
      <c r="R123" s="423"/>
      <c r="S123" s="423"/>
      <c r="T123" s="423"/>
      <c r="U123" s="423"/>
      <c r="V123" s="423"/>
      <c r="W123" s="435"/>
      <c r="X123" s="425">
        <f t="shared" si="6"/>
        <v>0</v>
      </c>
      <c r="Y123" s="425">
        <f>AN_TME23[[#This Row],[TOTAL Non-Truncated Unadjusted Claims Expenses]]-AN_TME23[[#This Row],[Total Claims Excluded because of Truncation]]</f>
        <v>0</v>
      </c>
      <c r="Z123" s="425">
        <f t="shared" si="7"/>
        <v>0</v>
      </c>
      <c r="AA123" s="425">
        <f>AN_TME23[[#This Row],[TOTAL Non-Truncated Unadjusted Claims Expenses]]+AN_TME23[[#This Row],[TOTAL Non-Claims Expenses]]</f>
        <v>0</v>
      </c>
      <c r="AB123" s="425">
        <f>AN_TME23[[#This Row],[TOTAL Truncated Unadjusted Claims Expenses (A21 -A19)]]+AN_TME23[[#This Row],[TOTAL Non-Claims Expenses]]</f>
        <v>0</v>
      </c>
      <c r="AC123" s="474">
        <f>IFERROR(AN_TME23[[#This Row],[TOTAL Non-Truncated Unadjusted Expenses (A21 + A23)]]/AN_TME23[[#This Row],[Member Months]],0)</f>
        <v>0</v>
      </c>
      <c r="AD123" s="474">
        <f>IFERROR(AN_TME23[[#This Row],[TOTAL Truncated Unadjusted Expenses (A22 + A23)]]/AN_TME23[[#This Row],[Member Months]],0)</f>
        <v>0</v>
      </c>
      <c r="AE123" s="441">
        <f>IFERROR(AN_TME23[[#This Row],[Total Claims Excluded because of Truncation]]/AN_TME23[[#This Row],[Count of Members with Claims Truncated]], 0)</f>
        <v>0</v>
      </c>
      <c r="AF123" s="476">
        <f>IFERROR(AN_TME23[[#This Row],[Total Claims Excluded because of Truncation]]/AN_TME23[[#This Row],[TOTAL Non-Truncated Unadjusted Claims Expenses]], 0)</f>
        <v>0</v>
      </c>
    </row>
    <row r="124" spans="1:32" x14ac:dyDescent="0.25">
      <c r="A124" s="426"/>
      <c r="B124" s="427"/>
      <c r="C124" s="427"/>
      <c r="D124" s="428"/>
      <c r="E124" s="517"/>
      <c r="F124" s="429"/>
      <c r="G124" s="429"/>
      <c r="H124" s="429"/>
      <c r="I124" s="429"/>
      <c r="J124" s="429"/>
      <c r="K124" s="429"/>
      <c r="L124" s="429"/>
      <c r="M124" s="429"/>
      <c r="N124" s="429"/>
      <c r="O124" s="429"/>
      <c r="P124" s="429"/>
      <c r="Q124" s="429"/>
      <c r="R124" s="429"/>
      <c r="S124" s="429"/>
      <c r="T124" s="429"/>
      <c r="U124" s="429"/>
      <c r="V124" s="429"/>
      <c r="W124" s="436"/>
      <c r="X124" s="431">
        <f t="shared" si="6"/>
        <v>0</v>
      </c>
      <c r="Y124" s="431">
        <f>AN_TME23[[#This Row],[TOTAL Non-Truncated Unadjusted Claims Expenses]]-AN_TME23[[#This Row],[Total Claims Excluded because of Truncation]]</f>
        <v>0</v>
      </c>
      <c r="Z124" s="431">
        <f t="shared" si="7"/>
        <v>0</v>
      </c>
      <c r="AA124" s="431">
        <f>AN_TME23[[#This Row],[TOTAL Non-Truncated Unadjusted Claims Expenses]]+AN_TME23[[#This Row],[TOTAL Non-Claims Expenses]]</f>
        <v>0</v>
      </c>
      <c r="AB124" s="431">
        <f>AN_TME23[[#This Row],[TOTAL Truncated Unadjusted Claims Expenses (A21 -A19)]]+AN_TME23[[#This Row],[TOTAL Non-Claims Expenses]]</f>
        <v>0</v>
      </c>
      <c r="AC124" s="475">
        <f>IFERROR(AN_TME23[[#This Row],[TOTAL Non-Truncated Unadjusted Expenses (A21 + A23)]]/AN_TME23[[#This Row],[Member Months]],0)</f>
        <v>0</v>
      </c>
      <c r="AD124" s="475">
        <f>IFERROR(AN_TME23[[#This Row],[TOTAL Truncated Unadjusted Expenses (A22 + A23)]]/AN_TME23[[#This Row],[Member Months]],0)</f>
        <v>0</v>
      </c>
      <c r="AE124" s="441">
        <f>IFERROR(AN_TME23[[#This Row],[Total Claims Excluded because of Truncation]]/AN_TME23[[#This Row],[Count of Members with Claims Truncated]], 0)</f>
        <v>0</v>
      </c>
      <c r="AF124" s="476">
        <f>IFERROR(AN_TME23[[#This Row],[Total Claims Excluded because of Truncation]]/AN_TME23[[#This Row],[TOTAL Non-Truncated Unadjusted Claims Expenses]], 0)</f>
        <v>0</v>
      </c>
    </row>
    <row r="125" spans="1:32" x14ac:dyDescent="0.25">
      <c r="A125" s="420"/>
      <c r="B125" s="421"/>
      <c r="C125" s="421"/>
      <c r="D125" s="422"/>
      <c r="E125" s="517"/>
      <c r="F125" s="423"/>
      <c r="G125" s="423"/>
      <c r="H125" s="423"/>
      <c r="I125" s="423"/>
      <c r="J125" s="423"/>
      <c r="K125" s="423"/>
      <c r="L125" s="423"/>
      <c r="M125" s="423"/>
      <c r="N125" s="423"/>
      <c r="O125" s="423"/>
      <c r="P125" s="423"/>
      <c r="Q125" s="423"/>
      <c r="R125" s="423"/>
      <c r="S125" s="423"/>
      <c r="T125" s="423"/>
      <c r="U125" s="423"/>
      <c r="V125" s="423"/>
      <c r="W125" s="435"/>
      <c r="X125" s="425">
        <f t="shared" si="6"/>
        <v>0</v>
      </c>
      <c r="Y125" s="425">
        <f>AN_TME23[[#This Row],[TOTAL Non-Truncated Unadjusted Claims Expenses]]-AN_TME23[[#This Row],[Total Claims Excluded because of Truncation]]</f>
        <v>0</v>
      </c>
      <c r="Z125" s="425">
        <f t="shared" si="7"/>
        <v>0</v>
      </c>
      <c r="AA125" s="425">
        <f>AN_TME23[[#This Row],[TOTAL Non-Truncated Unadjusted Claims Expenses]]+AN_TME23[[#This Row],[TOTAL Non-Claims Expenses]]</f>
        <v>0</v>
      </c>
      <c r="AB125" s="425">
        <f>AN_TME23[[#This Row],[TOTAL Truncated Unadjusted Claims Expenses (A21 -A19)]]+AN_TME23[[#This Row],[TOTAL Non-Claims Expenses]]</f>
        <v>0</v>
      </c>
      <c r="AC125" s="474">
        <f>IFERROR(AN_TME23[[#This Row],[TOTAL Non-Truncated Unadjusted Expenses (A21 + A23)]]/AN_TME23[[#This Row],[Member Months]],0)</f>
        <v>0</v>
      </c>
      <c r="AD125" s="474">
        <f>IFERROR(AN_TME23[[#This Row],[TOTAL Truncated Unadjusted Expenses (A22 + A23)]]/AN_TME23[[#This Row],[Member Months]],0)</f>
        <v>0</v>
      </c>
      <c r="AE125" s="441">
        <f>IFERROR(AN_TME23[[#This Row],[Total Claims Excluded because of Truncation]]/AN_TME23[[#This Row],[Count of Members with Claims Truncated]], 0)</f>
        <v>0</v>
      </c>
      <c r="AF125" s="476">
        <f>IFERROR(AN_TME23[[#This Row],[Total Claims Excluded because of Truncation]]/AN_TME23[[#This Row],[TOTAL Non-Truncated Unadjusted Claims Expenses]], 0)</f>
        <v>0</v>
      </c>
    </row>
    <row r="126" spans="1:32" x14ac:dyDescent="0.25">
      <c r="A126" s="426"/>
      <c r="B126" s="427"/>
      <c r="C126" s="427"/>
      <c r="D126" s="428"/>
      <c r="E126" s="517"/>
      <c r="F126" s="429"/>
      <c r="G126" s="429"/>
      <c r="H126" s="429"/>
      <c r="I126" s="429"/>
      <c r="J126" s="429"/>
      <c r="K126" s="429"/>
      <c r="L126" s="429"/>
      <c r="M126" s="429"/>
      <c r="N126" s="429"/>
      <c r="O126" s="429"/>
      <c r="P126" s="429"/>
      <c r="Q126" s="429"/>
      <c r="R126" s="429"/>
      <c r="S126" s="429"/>
      <c r="T126" s="429"/>
      <c r="U126" s="429"/>
      <c r="V126" s="429"/>
      <c r="W126" s="436"/>
      <c r="X126" s="431">
        <f t="shared" si="6"/>
        <v>0</v>
      </c>
      <c r="Y126" s="431">
        <f>AN_TME23[[#This Row],[TOTAL Non-Truncated Unadjusted Claims Expenses]]-AN_TME23[[#This Row],[Total Claims Excluded because of Truncation]]</f>
        <v>0</v>
      </c>
      <c r="Z126" s="431">
        <f t="shared" si="7"/>
        <v>0</v>
      </c>
      <c r="AA126" s="431">
        <f>AN_TME23[[#This Row],[TOTAL Non-Truncated Unadjusted Claims Expenses]]+AN_TME23[[#This Row],[TOTAL Non-Claims Expenses]]</f>
        <v>0</v>
      </c>
      <c r="AB126" s="431">
        <f>AN_TME23[[#This Row],[TOTAL Truncated Unadjusted Claims Expenses (A21 -A19)]]+AN_TME23[[#This Row],[TOTAL Non-Claims Expenses]]</f>
        <v>0</v>
      </c>
      <c r="AC126" s="475">
        <f>IFERROR(AN_TME23[[#This Row],[TOTAL Non-Truncated Unadjusted Expenses (A21 + A23)]]/AN_TME23[[#This Row],[Member Months]],0)</f>
        <v>0</v>
      </c>
      <c r="AD126" s="475">
        <f>IFERROR(AN_TME23[[#This Row],[TOTAL Truncated Unadjusted Expenses (A22 + A23)]]/AN_TME23[[#This Row],[Member Months]],0)</f>
        <v>0</v>
      </c>
      <c r="AE126" s="441">
        <f>IFERROR(AN_TME23[[#This Row],[Total Claims Excluded because of Truncation]]/AN_TME23[[#This Row],[Count of Members with Claims Truncated]], 0)</f>
        <v>0</v>
      </c>
      <c r="AF126" s="476">
        <f>IFERROR(AN_TME23[[#This Row],[Total Claims Excluded because of Truncation]]/AN_TME23[[#This Row],[TOTAL Non-Truncated Unadjusted Claims Expenses]], 0)</f>
        <v>0</v>
      </c>
    </row>
    <row r="127" spans="1:32" x14ac:dyDescent="0.25">
      <c r="A127" s="420"/>
      <c r="B127" s="421"/>
      <c r="C127" s="421"/>
      <c r="D127" s="422"/>
      <c r="E127" s="517"/>
      <c r="F127" s="423"/>
      <c r="G127" s="423"/>
      <c r="H127" s="423"/>
      <c r="I127" s="423"/>
      <c r="J127" s="423"/>
      <c r="K127" s="423"/>
      <c r="L127" s="423"/>
      <c r="M127" s="423"/>
      <c r="N127" s="423"/>
      <c r="O127" s="423"/>
      <c r="P127" s="423"/>
      <c r="Q127" s="423"/>
      <c r="R127" s="423"/>
      <c r="S127" s="423"/>
      <c r="T127" s="423"/>
      <c r="U127" s="423"/>
      <c r="V127" s="423"/>
      <c r="W127" s="435"/>
      <c r="X127" s="425">
        <f t="shared" si="6"/>
        <v>0</v>
      </c>
      <c r="Y127" s="425">
        <f>AN_TME23[[#This Row],[TOTAL Non-Truncated Unadjusted Claims Expenses]]-AN_TME23[[#This Row],[Total Claims Excluded because of Truncation]]</f>
        <v>0</v>
      </c>
      <c r="Z127" s="425">
        <f t="shared" si="7"/>
        <v>0</v>
      </c>
      <c r="AA127" s="425">
        <f>AN_TME23[[#This Row],[TOTAL Non-Truncated Unadjusted Claims Expenses]]+AN_TME23[[#This Row],[TOTAL Non-Claims Expenses]]</f>
        <v>0</v>
      </c>
      <c r="AB127" s="425">
        <f>AN_TME23[[#This Row],[TOTAL Truncated Unadjusted Claims Expenses (A21 -A19)]]+AN_TME23[[#This Row],[TOTAL Non-Claims Expenses]]</f>
        <v>0</v>
      </c>
      <c r="AC127" s="474">
        <f>IFERROR(AN_TME23[[#This Row],[TOTAL Non-Truncated Unadjusted Expenses (A21 + A23)]]/AN_TME23[[#This Row],[Member Months]],0)</f>
        <v>0</v>
      </c>
      <c r="AD127" s="474">
        <f>IFERROR(AN_TME23[[#This Row],[TOTAL Truncated Unadjusted Expenses (A22 + A23)]]/AN_TME23[[#This Row],[Member Months]],0)</f>
        <v>0</v>
      </c>
      <c r="AE127" s="441">
        <f>IFERROR(AN_TME23[[#This Row],[Total Claims Excluded because of Truncation]]/AN_TME23[[#This Row],[Count of Members with Claims Truncated]], 0)</f>
        <v>0</v>
      </c>
      <c r="AF127" s="476">
        <f>IFERROR(AN_TME23[[#This Row],[Total Claims Excluded because of Truncation]]/AN_TME23[[#This Row],[TOTAL Non-Truncated Unadjusted Claims Expenses]], 0)</f>
        <v>0</v>
      </c>
    </row>
    <row r="128" spans="1:32" x14ac:dyDescent="0.25">
      <c r="A128" s="426"/>
      <c r="B128" s="427"/>
      <c r="C128" s="427"/>
      <c r="D128" s="428"/>
      <c r="E128" s="517"/>
      <c r="F128" s="429"/>
      <c r="G128" s="429"/>
      <c r="H128" s="429"/>
      <c r="I128" s="429"/>
      <c r="J128" s="429"/>
      <c r="K128" s="429"/>
      <c r="L128" s="429"/>
      <c r="M128" s="429"/>
      <c r="N128" s="429"/>
      <c r="O128" s="429"/>
      <c r="P128" s="429"/>
      <c r="Q128" s="429"/>
      <c r="R128" s="429"/>
      <c r="S128" s="429"/>
      <c r="T128" s="429"/>
      <c r="U128" s="429"/>
      <c r="V128" s="429"/>
      <c r="W128" s="436"/>
      <c r="X128" s="431">
        <f t="shared" si="6"/>
        <v>0</v>
      </c>
      <c r="Y128" s="431">
        <f>AN_TME23[[#This Row],[TOTAL Non-Truncated Unadjusted Claims Expenses]]-AN_TME23[[#This Row],[Total Claims Excluded because of Truncation]]</f>
        <v>0</v>
      </c>
      <c r="Z128" s="431">
        <f t="shared" si="7"/>
        <v>0</v>
      </c>
      <c r="AA128" s="431">
        <f>AN_TME23[[#This Row],[TOTAL Non-Truncated Unadjusted Claims Expenses]]+AN_TME23[[#This Row],[TOTAL Non-Claims Expenses]]</f>
        <v>0</v>
      </c>
      <c r="AB128" s="431">
        <f>AN_TME23[[#This Row],[TOTAL Truncated Unadjusted Claims Expenses (A21 -A19)]]+AN_TME23[[#This Row],[TOTAL Non-Claims Expenses]]</f>
        <v>0</v>
      </c>
      <c r="AC128" s="475">
        <f>IFERROR(AN_TME23[[#This Row],[TOTAL Non-Truncated Unadjusted Expenses (A21 + A23)]]/AN_TME23[[#This Row],[Member Months]],0)</f>
        <v>0</v>
      </c>
      <c r="AD128" s="475">
        <f>IFERROR(AN_TME23[[#This Row],[TOTAL Truncated Unadjusted Expenses (A22 + A23)]]/AN_TME23[[#This Row],[Member Months]],0)</f>
        <v>0</v>
      </c>
      <c r="AE128" s="441">
        <f>IFERROR(AN_TME23[[#This Row],[Total Claims Excluded because of Truncation]]/AN_TME23[[#This Row],[Count of Members with Claims Truncated]], 0)</f>
        <v>0</v>
      </c>
      <c r="AF128" s="476">
        <f>IFERROR(AN_TME23[[#This Row],[Total Claims Excluded because of Truncation]]/AN_TME23[[#This Row],[TOTAL Non-Truncated Unadjusted Claims Expenses]], 0)</f>
        <v>0</v>
      </c>
    </row>
    <row r="129" spans="1:32" x14ac:dyDescent="0.25">
      <c r="A129" s="420"/>
      <c r="B129" s="421"/>
      <c r="C129" s="421"/>
      <c r="D129" s="422"/>
      <c r="E129" s="517"/>
      <c r="F129" s="423"/>
      <c r="G129" s="423"/>
      <c r="H129" s="423"/>
      <c r="I129" s="423"/>
      <c r="J129" s="423"/>
      <c r="K129" s="423"/>
      <c r="L129" s="423"/>
      <c r="M129" s="423"/>
      <c r="N129" s="423"/>
      <c r="O129" s="423"/>
      <c r="P129" s="423"/>
      <c r="Q129" s="423"/>
      <c r="R129" s="423"/>
      <c r="S129" s="423"/>
      <c r="T129" s="423"/>
      <c r="U129" s="423"/>
      <c r="V129" s="423"/>
      <c r="W129" s="435"/>
      <c r="X129" s="425">
        <f t="shared" si="6"/>
        <v>0</v>
      </c>
      <c r="Y129" s="425">
        <f>AN_TME23[[#This Row],[TOTAL Non-Truncated Unadjusted Claims Expenses]]-AN_TME23[[#This Row],[Total Claims Excluded because of Truncation]]</f>
        <v>0</v>
      </c>
      <c r="Z129" s="425">
        <f t="shared" si="7"/>
        <v>0</v>
      </c>
      <c r="AA129" s="425">
        <f>AN_TME23[[#This Row],[TOTAL Non-Truncated Unadjusted Claims Expenses]]+AN_TME23[[#This Row],[TOTAL Non-Claims Expenses]]</f>
        <v>0</v>
      </c>
      <c r="AB129" s="425">
        <f>AN_TME23[[#This Row],[TOTAL Truncated Unadjusted Claims Expenses (A21 -A19)]]+AN_TME23[[#This Row],[TOTAL Non-Claims Expenses]]</f>
        <v>0</v>
      </c>
      <c r="AC129" s="474">
        <f>IFERROR(AN_TME23[[#This Row],[TOTAL Non-Truncated Unadjusted Expenses (A21 + A23)]]/AN_TME23[[#This Row],[Member Months]],0)</f>
        <v>0</v>
      </c>
      <c r="AD129" s="474">
        <f>IFERROR(AN_TME23[[#This Row],[TOTAL Truncated Unadjusted Expenses (A22 + A23)]]/AN_TME23[[#This Row],[Member Months]],0)</f>
        <v>0</v>
      </c>
      <c r="AE129" s="441">
        <f>IFERROR(AN_TME23[[#This Row],[Total Claims Excluded because of Truncation]]/AN_TME23[[#This Row],[Count of Members with Claims Truncated]], 0)</f>
        <v>0</v>
      </c>
      <c r="AF129" s="476">
        <f>IFERROR(AN_TME23[[#This Row],[Total Claims Excluded because of Truncation]]/AN_TME23[[#This Row],[TOTAL Non-Truncated Unadjusted Claims Expenses]], 0)</f>
        <v>0</v>
      </c>
    </row>
    <row r="130" spans="1:32" x14ac:dyDescent="0.25">
      <c r="A130" s="426"/>
      <c r="B130" s="427"/>
      <c r="C130" s="427"/>
      <c r="D130" s="428"/>
      <c r="E130" s="517"/>
      <c r="F130" s="429"/>
      <c r="G130" s="429"/>
      <c r="H130" s="429"/>
      <c r="I130" s="429"/>
      <c r="J130" s="429"/>
      <c r="K130" s="429"/>
      <c r="L130" s="429"/>
      <c r="M130" s="429"/>
      <c r="N130" s="429"/>
      <c r="O130" s="429"/>
      <c r="P130" s="429"/>
      <c r="Q130" s="429"/>
      <c r="R130" s="429"/>
      <c r="S130" s="429"/>
      <c r="T130" s="429"/>
      <c r="U130" s="429"/>
      <c r="V130" s="429"/>
      <c r="W130" s="436"/>
      <c r="X130" s="431">
        <f t="shared" si="6"/>
        <v>0</v>
      </c>
      <c r="Y130" s="431">
        <f>AN_TME23[[#This Row],[TOTAL Non-Truncated Unadjusted Claims Expenses]]-AN_TME23[[#This Row],[Total Claims Excluded because of Truncation]]</f>
        <v>0</v>
      </c>
      <c r="Z130" s="431">
        <f t="shared" si="7"/>
        <v>0</v>
      </c>
      <c r="AA130" s="431">
        <f>AN_TME23[[#This Row],[TOTAL Non-Truncated Unadjusted Claims Expenses]]+AN_TME23[[#This Row],[TOTAL Non-Claims Expenses]]</f>
        <v>0</v>
      </c>
      <c r="AB130" s="431">
        <f>AN_TME23[[#This Row],[TOTAL Truncated Unadjusted Claims Expenses (A21 -A19)]]+AN_TME23[[#This Row],[TOTAL Non-Claims Expenses]]</f>
        <v>0</v>
      </c>
      <c r="AC130" s="475">
        <f>IFERROR(AN_TME23[[#This Row],[TOTAL Non-Truncated Unadjusted Expenses (A21 + A23)]]/AN_TME23[[#This Row],[Member Months]],0)</f>
        <v>0</v>
      </c>
      <c r="AD130" s="475">
        <f>IFERROR(AN_TME23[[#This Row],[TOTAL Truncated Unadjusted Expenses (A22 + A23)]]/AN_TME23[[#This Row],[Member Months]],0)</f>
        <v>0</v>
      </c>
      <c r="AE130" s="441">
        <f>IFERROR(AN_TME23[[#This Row],[Total Claims Excluded because of Truncation]]/AN_TME23[[#This Row],[Count of Members with Claims Truncated]], 0)</f>
        <v>0</v>
      </c>
      <c r="AF130" s="476">
        <f>IFERROR(AN_TME23[[#This Row],[Total Claims Excluded because of Truncation]]/AN_TME23[[#This Row],[TOTAL Non-Truncated Unadjusted Claims Expenses]], 0)</f>
        <v>0</v>
      </c>
    </row>
    <row r="131" spans="1:32" x14ac:dyDescent="0.25">
      <c r="A131" s="420"/>
      <c r="B131" s="421"/>
      <c r="C131" s="421"/>
      <c r="D131" s="422"/>
      <c r="E131" s="517"/>
      <c r="F131" s="423"/>
      <c r="G131" s="423"/>
      <c r="H131" s="423"/>
      <c r="I131" s="423"/>
      <c r="J131" s="423"/>
      <c r="K131" s="423"/>
      <c r="L131" s="423"/>
      <c r="M131" s="423"/>
      <c r="N131" s="423"/>
      <c r="O131" s="423"/>
      <c r="P131" s="423"/>
      <c r="Q131" s="423"/>
      <c r="R131" s="423"/>
      <c r="S131" s="423"/>
      <c r="T131" s="423"/>
      <c r="U131" s="423"/>
      <c r="V131" s="423"/>
      <c r="W131" s="435"/>
      <c r="X131" s="425">
        <f t="shared" si="6"/>
        <v>0</v>
      </c>
      <c r="Y131" s="425">
        <f>AN_TME23[[#This Row],[TOTAL Non-Truncated Unadjusted Claims Expenses]]-AN_TME23[[#This Row],[Total Claims Excluded because of Truncation]]</f>
        <v>0</v>
      </c>
      <c r="Z131" s="425">
        <f t="shared" si="7"/>
        <v>0</v>
      </c>
      <c r="AA131" s="425">
        <f>AN_TME23[[#This Row],[TOTAL Non-Truncated Unadjusted Claims Expenses]]+AN_TME23[[#This Row],[TOTAL Non-Claims Expenses]]</f>
        <v>0</v>
      </c>
      <c r="AB131" s="425">
        <f>AN_TME23[[#This Row],[TOTAL Truncated Unadjusted Claims Expenses (A21 -A19)]]+AN_TME23[[#This Row],[TOTAL Non-Claims Expenses]]</f>
        <v>0</v>
      </c>
      <c r="AC131" s="474">
        <f>IFERROR(AN_TME23[[#This Row],[TOTAL Non-Truncated Unadjusted Expenses (A21 + A23)]]/AN_TME23[[#This Row],[Member Months]],0)</f>
        <v>0</v>
      </c>
      <c r="AD131" s="474">
        <f>IFERROR(AN_TME23[[#This Row],[TOTAL Truncated Unadjusted Expenses (A22 + A23)]]/AN_TME23[[#This Row],[Member Months]],0)</f>
        <v>0</v>
      </c>
      <c r="AE131" s="441">
        <f>IFERROR(AN_TME23[[#This Row],[Total Claims Excluded because of Truncation]]/AN_TME23[[#This Row],[Count of Members with Claims Truncated]], 0)</f>
        <v>0</v>
      </c>
      <c r="AF131" s="476">
        <f>IFERROR(AN_TME23[[#This Row],[Total Claims Excluded because of Truncation]]/AN_TME23[[#This Row],[TOTAL Non-Truncated Unadjusted Claims Expenses]], 0)</f>
        <v>0</v>
      </c>
    </row>
    <row r="132" spans="1:32" x14ac:dyDescent="0.25">
      <c r="A132" s="426"/>
      <c r="B132" s="427"/>
      <c r="C132" s="427"/>
      <c r="D132" s="428"/>
      <c r="E132" s="517"/>
      <c r="F132" s="429"/>
      <c r="G132" s="429"/>
      <c r="H132" s="429"/>
      <c r="I132" s="429"/>
      <c r="J132" s="429"/>
      <c r="K132" s="429"/>
      <c r="L132" s="429"/>
      <c r="M132" s="429"/>
      <c r="N132" s="429"/>
      <c r="O132" s="429"/>
      <c r="P132" s="429"/>
      <c r="Q132" s="429"/>
      <c r="R132" s="429"/>
      <c r="S132" s="429"/>
      <c r="T132" s="429"/>
      <c r="U132" s="429"/>
      <c r="V132" s="429"/>
      <c r="W132" s="436"/>
      <c r="X132" s="431">
        <f t="shared" si="6"/>
        <v>0</v>
      </c>
      <c r="Y132" s="431">
        <f>AN_TME23[[#This Row],[TOTAL Non-Truncated Unadjusted Claims Expenses]]-AN_TME23[[#This Row],[Total Claims Excluded because of Truncation]]</f>
        <v>0</v>
      </c>
      <c r="Z132" s="431">
        <f t="shared" si="7"/>
        <v>0</v>
      </c>
      <c r="AA132" s="431">
        <f>AN_TME23[[#This Row],[TOTAL Non-Truncated Unadjusted Claims Expenses]]+AN_TME23[[#This Row],[TOTAL Non-Claims Expenses]]</f>
        <v>0</v>
      </c>
      <c r="AB132" s="431">
        <f>AN_TME23[[#This Row],[TOTAL Truncated Unadjusted Claims Expenses (A21 -A19)]]+AN_TME23[[#This Row],[TOTAL Non-Claims Expenses]]</f>
        <v>0</v>
      </c>
      <c r="AC132" s="475">
        <f>IFERROR(AN_TME23[[#This Row],[TOTAL Non-Truncated Unadjusted Expenses (A21 + A23)]]/AN_TME23[[#This Row],[Member Months]],0)</f>
        <v>0</v>
      </c>
      <c r="AD132" s="475">
        <f>IFERROR(AN_TME23[[#This Row],[TOTAL Truncated Unadjusted Expenses (A22 + A23)]]/AN_TME23[[#This Row],[Member Months]],0)</f>
        <v>0</v>
      </c>
      <c r="AE132" s="441">
        <f>IFERROR(AN_TME23[[#This Row],[Total Claims Excluded because of Truncation]]/AN_TME23[[#This Row],[Count of Members with Claims Truncated]], 0)</f>
        <v>0</v>
      </c>
      <c r="AF132" s="476">
        <f>IFERROR(AN_TME23[[#This Row],[Total Claims Excluded because of Truncation]]/AN_TME23[[#This Row],[TOTAL Non-Truncated Unadjusted Claims Expenses]], 0)</f>
        <v>0</v>
      </c>
    </row>
    <row r="133" spans="1:32" x14ac:dyDescent="0.25">
      <c r="A133" s="420"/>
      <c r="B133" s="421"/>
      <c r="C133" s="421"/>
      <c r="D133" s="422"/>
      <c r="E133" s="517"/>
      <c r="F133" s="423"/>
      <c r="G133" s="423"/>
      <c r="H133" s="423"/>
      <c r="I133" s="423"/>
      <c r="J133" s="423"/>
      <c r="K133" s="423"/>
      <c r="L133" s="423"/>
      <c r="M133" s="423"/>
      <c r="N133" s="423"/>
      <c r="O133" s="423"/>
      <c r="P133" s="423"/>
      <c r="Q133" s="423"/>
      <c r="R133" s="423"/>
      <c r="S133" s="423"/>
      <c r="T133" s="423"/>
      <c r="U133" s="423"/>
      <c r="V133" s="423"/>
      <c r="W133" s="435"/>
      <c r="X133" s="425">
        <f t="shared" si="6"/>
        <v>0</v>
      </c>
      <c r="Y133" s="425">
        <f>AN_TME23[[#This Row],[TOTAL Non-Truncated Unadjusted Claims Expenses]]-AN_TME23[[#This Row],[Total Claims Excluded because of Truncation]]</f>
        <v>0</v>
      </c>
      <c r="Z133" s="425">
        <f t="shared" si="7"/>
        <v>0</v>
      </c>
      <c r="AA133" s="425">
        <f>AN_TME23[[#This Row],[TOTAL Non-Truncated Unadjusted Claims Expenses]]+AN_TME23[[#This Row],[TOTAL Non-Claims Expenses]]</f>
        <v>0</v>
      </c>
      <c r="AB133" s="425">
        <f>AN_TME23[[#This Row],[TOTAL Truncated Unadjusted Claims Expenses (A21 -A19)]]+AN_TME23[[#This Row],[TOTAL Non-Claims Expenses]]</f>
        <v>0</v>
      </c>
      <c r="AC133" s="474">
        <f>IFERROR(AN_TME23[[#This Row],[TOTAL Non-Truncated Unadjusted Expenses (A21 + A23)]]/AN_TME23[[#This Row],[Member Months]],0)</f>
        <v>0</v>
      </c>
      <c r="AD133" s="474">
        <f>IFERROR(AN_TME23[[#This Row],[TOTAL Truncated Unadjusted Expenses (A22 + A23)]]/AN_TME23[[#This Row],[Member Months]],0)</f>
        <v>0</v>
      </c>
      <c r="AE133" s="441">
        <f>IFERROR(AN_TME23[[#This Row],[Total Claims Excluded because of Truncation]]/AN_TME23[[#This Row],[Count of Members with Claims Truncated]], 0)</f>
        <v>0</v>
      </c>
      <c r="AF133" s="476">
        <f>IFERROR(AN_TME23[[#This Row],[Total Claims Excluded because of Truncation]]/AN_TME23[[#This Row],[TOTAL Non-Truncated Unadjusted Claims Expenses]], 0)</f>
        <v>0</v>
      </c>
    </row>
    <row r="134" spans="1:32" x14ac:dyDescent="0.25">
      <c r="A134" s="426"/>
      <c r="B134" s="427"/>
      <c r="C134" s="427"/>
      <c r="D134" s="428"/>
      <c r="E134" s="517"/>
      <c r="F134" s="429"/>
      <c r="G134" s="429"/>
      <c r="H134" s="429"/>
      <c r="I134" s="429"/>
      <c r="J134" s="429"/>
      <c r="K134" s="429"/>
      <c r="L134" s="429"/>
      <c r="M134" s="429"/>
      <c r="N134" s="429"/>
      <c r="O134" s="429"/>
      <c r="P134" s="429"/>
      <c r="Q134" s="429"/>
      <c r="R134" s="429"/>
      <c r="S134" s="429"/>
      <c r="T134" s="429"/>
      <c r="U134" s="429"/>
      <c r="V134" s="429"/>
      <c r="W134" s="436"/>
      <c r="X134" s="431">
        <f t="shared" si="6"/>
        <v>0</v>
      </c>
      <c r="Y134" s="431">
        <f>AN_TME23[[#This Row],[TOTAL Non-Truncated Unadjusted Claims Expenses]]-AN_TME23[[#This Row],[Total Claims Excluded because of Truncation]]</f>
        <v>0</v>
      </c>
      <c r="Z134" s="431">
        <f t="shared" si="7"/>
        <v>0</v>
      </c>
      <c r="AA134" s="431">
        <f>AN_TME23[[#This Row],[TOTAL Non-Truncated Unadjusted Claims Expenses]]+AN_TME23[[#This Row],[TOTAL Non-Claims Expenses]]</f>
        <v>0</v>
      </c>
      <c r="AB134" s="431">
        <f>AN_TME23[[#This Row],[TOTAL Truncated Unadjusted Claims Expenses (A21 -A19)]]+AN_TME23[[#This Row],[TOTAL Non-Claims Expenses]]</f>
        <v>0</v>
      </c>
      <c r="AC134" s="475">
        <f>IFERROR(AN_TME23[[#This Row],[TOTAL Non-Truncated Unadjusted Expenses (A21 + A23)]]/AN_TME23[[#This Row],[Member Months]],0)</f>
        <v>0</v>
      </c>
      <c r="AD134" s="475">
        <f>IFERROR(AN_TME23[[#This Row],[TOTAL Truncated Unadjusted Expenses (A22 + A23)]]/AN_TME23[[#This Row],[Member Months]],0)</f>
        <v>0</v>
      </c>
      <c r="AE134" s="441">
        <f>IFERROR(AN_TME23[[#This Row],[Total Claims Excluded because of Truncation]]/AN_TME23[[#This Row],[Count of Members with Claims Truncated]], 0)</f>
        <v>0</v>
      </c>
      <c r="AF134" s="476">
        <f>IFERROR(AN_TME23[[#This Row],[Total Claims Excluded because of Truncation]]/AN_TME23[[#This Row],[TOTAL Non-Truncated Unadjusted Claims Expenses]], 0)</f>
        <v>0</v>
      </c>
    </row>
    <row r="135" spans="1:32" x14ac:dyDescent="0.25">
      <c r="A135" s="420"/>
      <c r="B135" s="421"/>
      <c r="C135" s="421"/>
      <c r="D135" s="422"/>
      <c r="E135" s="517"/>
      <c r="F135" s="423"/>
      <c r="G135" s="423"/>
      <c r="H135" s="423"/>
      <c r="I135" s="423"/>
      <c r="J135" s="423"/>
      <c r="K135" s="423"/>
      <c r="L135" s="423"/>
      <c r="M135" s="423"/>
      <c r="N135" s="423"/>
      <c r="O135" s="423"/>
      <c r="P135" s="423"/>
      <c r="Q135" s="423"/>
      <c r="R135" s="423"/>
      <c r="S135" s="423"/>
      <c r="T135" s="423"/>
      <c r="U135" s="423"/>
      <c r="V135" s="423"/>
      <c r="W135" s="435"/>
      <c r="X135" s="425">
        <f t="shared" ref="X135:X198" si="8">SUM(F135:H135)+SUM(J135:N135)</f>
        <v>0</v>
      </c>
      <c r="Y135" s="425">
        <f>AN_TME23[[#This Row],[TOTAL Non-Truncated Unadjusted Claims Expenses]]-AN_TME23[[#This Row],[Total Claims Excluded because of Truncation]]</f>
        <v>0</v>
      </c>
      <c r="Z135" s="425">
        <f t="shared" ref="Z135:Z198" si="9">SUM(O135:T135)</f>
        <v>0</v>
      </c>
      <c r="AA135" s="425">
        <f>AN_TME23[[#This Row],[TOTAL Non-Truncated Unadjusted Claims Expenses]]+AN_TME23[[#This Row],[TOTAL Non-Claims Expenses]]</f>
        <v>0</v>
      </c>
      <c r="AB135" s="425">
        <f>AN_TME23[[#This Row],[TOTAL Truncated Unadjusted Claims Expenses (A21 -A19)]]+AN_TME23[[#This Row],[TOTAL Non-Claims Expenses]]</f>
        <v>0</v>
      </c>
      <c r="AC135" s="474">
        <f>IFERROR(AN_TME23[[#This Row],[TOTAL Non-Truncated Unadjusted Expenses (A21 + A23)]]/AN_TME23[[#This Row],[Member Months]],0)</f>
        <v>0</v>
      </c>
      <c r="AD135" s="474">
        <f>IFERROR(AN_TME23[[#This Row],[TOTAL Truncated Unadjusted Expenses (A22 + A23)]]/AN_TME23[[#This Row],[Member Months]],0)</f>
        <v>0</v>
      </c>
      <c r="AE135" s="441">
        <f>IFERROR(AN_TME23[[#This Row],[Total Claims Excluded because of Truncation]]/AN_TME23[[#This Row],[Count of Members with Claims Truncated]], 0)</f>
        <v>0</v>
      </c>
      <c r="AF135" s="476">
        <f>IFERROR(AN_TME23[[#This Row],[Total Claims Excluded because of Truncation]]/AN_TME23[[#This Row],[TOTAL Non-Truncated Unadjusted Claims Expenses]], 0)</f>
        <v>0</v>
      </c>
    </row>
    <row r="136" spans="1:32" x14ac:dyDescent="0.25">
      <c r="A136" s="426"/>
      <c r="B136" s="427"/>
      <c r="C136" s="427"/>
      <c r="D136" s="428"/>
      <c r="E136" s="517"/>
      <c r="F136" s="429"/>
      <c r="G136" s="429"/>
      <c r="H136" s="429"/>
      <c r="I136" s="429"/>
      <c r="J136" s="429"/>
      <c r="K136" s="429"/>
      <c r="L136" s="429"/>
      <c r="M136" s="429"/>
      <c r="N136" s="429"/>
      <c r="O136" s="429"/>
      <c r="P136" s="429"/>
      <c r="Q136" s="429"/>
      <c r="R136" s="429"/>
      <c r="S136" s="429"/>
      <c r="T136" s="429"/>
      <c r="U136" s="429"/>
      <c r="V136" s="429"/>
      <c r="W136" s="436"/>
      <c r="X136" s="431">
        <f t="shared" si="8"/>
        <v>0</v>
      </c>
      <c r="Y136" s="431">
        <f>AN_TME23[[#This Row],[TOTAL Non-Truncated Unadjusted Claims Expenses]]-AN_TME23[[#This Row],[Total Claims Excluded because of Truncation]]</f>
        <v>0</v>
      </c>
      <c r="Z136" s="431">
        <f t="shared" si="9"/>
        <v>0</v>
      </c>
      <c r="AA136" s="431">
        <f>AN_TME23[[#This Row],[TOTAL Non-Truncated Unadjusted Claims Expenses]]+AN_TME23[[#This Row],[TOTAL Non-Claims Expenses]]</f>
        <v>0</v>
      </c>
      <c r="AB136" s="431">
        <f>AN_TME23[[#This Row],[TOTAL Truncated Unadjusted Claims Expenses (A21 -A19)]]+AN_TME23[[#This Row],[TOTAL Non-Claims Expenses]]</f>
        <v>0</v>
      </c>
      <c r="AC136" s="475">
        <f>IFERROR(AN_TME23[[#This Row],[TOTAL Non-Truncated Unadjusted Expenses (A21 + A23)]]/AN_TME23[[#This Row],[Member Months]],0)</f>
        <v>0</v>
      </c>
      <c r="AD136" s="475">
        <f>IFERROR(AN_TME23[[#This Row],[TOTAL Truncated Unadjusted Expenses (A22 + A23)]]/AN_TME23[[#This Row],[Member Months]],0)</f>
        <v>0</v>
      </c>
      <c r="AE136" s="441">
        <f>IFERROR(AN_TME23[[#This Row],[Total Claims Excluded because of Truncation]]/AN_TME23[[#This Row],[Count of Members with Claims Truncated]], 0)</f>
        <v>0</v>
      </c>
      <c r="AF136" s="476">
        <f>IFERROR(AN_TME23[[#This Row],[Total Claims Excluded because of Truncation]]/AN_TME23[[#This Row],[TOTAL Non-Truncated Unadjusted Claims Expenses]], 0)</f>
        <v>0</v>
      </c>
    </row>
    <row r="137" spans="1:32" x14ac:dyDescent="0.25">
      <c r="A137" s="420"/>
      <c r="B137" s="421"/>
      <c r="C137" s="421"/>
      <c r="D137" s="422"/>
      <c r="E137" s="517"/>
      <c r="F137" s="423"/>
      <c r="G137" s="423"/>
      <c r="H137" s="423"/>
      <c r="I137" s="423"/>
      <c r="J137" s="423"/>
      <c r="K137" s="423"/>
      <c r="L137" s="423"/>
      <c r="M137" s="423"/>
      <c r="N137" s="423"/>
      <c r="O137" s="423"/>
      <c r="P137" s="423"/>
      <c r="Q137" s="423"/>
      <c r="R137" s="423"/>
      <c r="S137" s="423"/>
      <c r="T137" s="423"/>
      <c r="U137" s="423"/>
      <c r="V137" s="423"/>
      <c r="W137" s="435"/>
      <c r="X137" s="425">
        <f t="shared" si="8"/>
        <v>0</v>
      </c>
      <c r="Y137" s="425">
        <f>AN_TME23[[#This Row],[TOTAL Non-Truncated Unadjusted Claims Expenses]]-AN_TME23[[#This Row],[Total Claims Excluded because of Truncation]]</f>
        <v>0</v>
      </c>
      <c r="Z137" s="425">
        <f t="shared" si="9"/>
        <v>0</v>
      </c>
      <c r="AA137" s="425">
        <f>AN_TME23[[#This Row],[TOTAL Non-Truncated Unadjusted Claims Expenses]]+AN_TME23[[#This Row],[TOTAL Non-Claims Expenses]]</f>
        <v>0</v>
      </c>
      <c r="AB137" s="425">
        <f>AN_TME23[[#This Row],[TOTAL Truncated Unadjusted Claims Expenses (A21 -A19)]]+AN_TME23[[#This Row],[TOTAL Non-Claims Expenses]]</f>
        <v>0</v>
      </c>
      <c r="AC137" s="474">
        <f>IFERROR(AN_TME23[[#This Row],[TOTAL Non-Truncated Unadjusted Expenses (A21 + A23)]]/AN_TME23[[#This Row],[Member Months]],0)</f>
        <v>0</v>
      </c>
      <c r="AD137" s="474">
        <f>IFERROR(AN_TME23[[#This Row],[TOTAL Truncated Unadjusted Expenses (A22 + A23)]]/AN_TME23[[#This Row],[Member Months]],0)</f>
        <v>0</v>
      </c>
      <c r="AE137" s="441">
        <f>IFERROR(AN_TME23[[#This Row],[Total Claims Excluded because of Truncation]]/AN_TME23[[#This Row],[Count of Members with Claims Truncated]], 0)</f>
        <v>0</v>
      </c>
      <c r="AF137" s="476">
        <f>IFERROR(AN_TME23[[#This Row],[Total Claims Excluded because of Truncation]]/AN_TME23[[#This Row],[TOTAL Non-Truncated Unadjusted Claims Expenses]], 0)</f>
        <v>0</v>
      </c>
    </row>
    <row r="138" spans="1:32" x14ac:dyDescent="0.25">
      <c r="A138" s="426"/>
      <c r="B138" s="427"/>
      <c r="C138" s="427"/>
      <c r="D138" s="428"/>
      <c r="E138" s="517"/>
      <c r="F138" s="429"/>
      <c r="G138" s="429"/>
      <c r="H138" s="429"/>
      <c r="I138" s="429"/>
      <c r="J138" s="429"/>
      <c r="K138" s="429"/>
      <c r="L138" s="429"/>
      <c r="M138" s="429"/>
      <c r="N138" s="429"/>
      <c r="O138" s="429"/>
      <c r="P138" s="429"/>
      <c r="Q138" s="429"/>
      <c r="R138" s="429"/>
      <c r="S138" s="429"/>
      <c r="T138" s="429"/>
      <c r="U138" s="429"/>
      <c r="V138" s="429"/>
      <c r="W138" s="436"/>
      <c r="X138" s="431">
        <f t="shared" si="8"/>
        <v>0</v>
      </c>
      <c r="Y138" s="431">
        <f>AN_TME23[[#This Row],[TOTAL Non-Truncated Unadjusted Claims Expenses]]-AN_TME23[[#This Row],[Total Claims Excluded because of Truncation]]</f>
        <v>0</v>
      </c>
      <c r="Z138" s="431">
        <f t="shared" si="9"/>
        <v>0</v>
      </c>
      <c r="AA138" s="431">
        <f>AN_TME23[[#This Row],[TOTAL Non-Truncated Unadjusted Claims Expenses]]+AN_TME23[[#This Row],[TOTAL Non-Claims Expenses]]</f>
        <v>0</v>
      </c>
      <c r="AB138" s="431">
        <f>AN_TME23[[#This Row],[TOTAL Truncated Unadjusted Claims Expenses (A21 -A19)]]+AN_TME23[[#This Row],[TOTAL Non-Claims Expenses]]</f>
        <v>0</v>
      </c>
      <c r="AC138" s="475">
        <f>IFERROR(AN_TME23[[#This Row],[TOTAL Non-Truncated Unadjusted Expenses (A21 + A23)]]/AN_TME23[[#This Row],[Member Months]],0)</f>
        <v>0</v>
      </c>
      <c r="AD138" s="475">
        <f>IFERROR(AN_TME23[[#This Row],[TOTAL Truncated Unadjusted Expenses (A22 + A23)]]/AN_TME23[[#This Row],[Member Months]],0)</f>
        <v>0</v>
      </c>
      <c r="AE138" s="441">
        <f>IFERROR(AN_TME23[[#This Row],[Total Claims Excluded because of Truncation]]/AN_TME23[[#This Row],[Count of Members with Claims Truncated]], 0)</f>
        <v>0</v>
      </c>
      <c r="AF138" s="476">
        <f>IFERROR(AN_TME23[[#This Row],[Total Claims Excluded because of Truncation]]/AN_TME23[[#This Row],[TOTAL Non-Truncated Unadjusted Claims Expenses]], 0)</f>
        <v>0</v>
      </c>
    </row>
    <row r="139" spans="1:32" x14ac:dyDescent="0.25">
      <c r="A139" s="420"/>
      <c r="B139" s="421"/>
      <c r="C139" s="421"/>
      <c r="D139" s="422"/>
      <c r="E139" s="517"/>
      <c r="F139" s="423"/>
      <c r="G139" s="423"/>
      <c r="H139" s="423"/>
      <c r="I139" s="423"/>
      <c r="J139" s="423"/>
      <c r="K139" s="423"/>
      <c r="L139" s="423"/>
      <c r="M139" s="423"/>
      <c r="N139" s="423"/>
      <c r="O139" s="423"/>
      <c r="P139" s="423"/>
      <c r="Q139" s="423"/>
      <c r="R139" s="423"/>
      <c r="S139" s="423"/>
      <c r="T139" s="423"/>
      <c r="U139" s="423"/>
      <c r="V139" s="423"/>
      <c r="W139" s="435"/>
      <c r="X139" s="425">
        <f t="shared" si="8"/>
        <v>0</v>
      </c>
      <c r="Y139" s="425">
        <f>AN_TME23[[#This Row],[TOTAL Non-Truncated Unadjusted Claims Expenses]]-AN_TME23[[#This Row],[Total Claims Excluded because of Truncation]]</f>
        <v>0</v>
      </c>
      <c r="Z139" s="425">
        <f t="shared" si="9"/>
        <v>0</v>
      </c>
      <c r="AA139" s="425">
        <f>AN_TME23[[#This Row],[TOTAL Non-Truncated Unadjusted Claims Expenses]]+AN_TME23[[#This Row],[TOTAL Non-Claims Expenses]]</f>
        <v>0</v>
      </c>
      <c r="AB139" s="425">
        <f>AN_TME23[[#This Row],[TOTAL Truncated Unadjusted Claims Expenses (A21 -A19)]]+AN_TME23[[#This Row],[TOTAL Non-Claims Expenses]]</f>
        <v>0</v>
      </c>
      <c r="AC139" s="474">
        <f>IFERROR(AN_TME23[[#This Row],[TOTAL Non-Truncated Unadjusted Expenses (A21 + A23)]]/AN_TME23[[#This Row],[Member Months]],0)</f>
        <v>0</v>
      </c>
      <c r="AD139" s="474">
        <f>IFERROR(AN_TME23[[#This Row],[TOTAL Truncated Unadjusted Expenses (A22 + A23)]]/AN_TME23[[#This Row],[Member Months]],0)</f>
        <v>0</v>
      </c>
      <c r="AE139" s="441">
        <f>IFERROR(AN_TME23[[#This Row],[Total Claims Excluded because of Truncation]]/AN_TME23[[#This Row],[Count of Members with Claims Truncated]], 0)</f>
        <v>0</v>
      </c>
      <c r="AF139" s="476">
        <f>IFERROR(AN_TME23[[#This Row],[Total Claims Excluded because of Truncation]]/AN_TME23[[#This Row],[TOTAL Non-Truncated Unadjusted Claims Expenses]], 0)</f>
        <v>0</v>
      </c>
    </row>
    <row r="140" spans="1:32" x14ac:dyDescent="0.25">
      <c r="A140" s="426"/>
      <c r="B140" s="427"/>
      <c r="C140" s="427"/>
      <c r="D140" s="428"/>
      <c r="E140" s="517"/>
      <c r="F140" s="429"/>
      <c r="G140" s="429"/>
      <c r="H140" s="429"/>
      <c r="I140" s="429"/>
      <c r="J140" s="429"/>
      <c r="K140" s="429"/>
      <c r="L140" s="429"/>
      <c r="M140" s="429"/>
      <c r="N140" s="429"/>
      <c r="O140" s="429"/>
      <c r="P140" s="429"/>
      <c r="Q140" s="429"/>
      <c r="R140" s="429"/>
      <c r="S140" s="429"/>
      <c r="T140" s="429"/>
      <c r="U140" s="429"/>
      <c r="V140" s="429"/>
      <c r="W140" s="436"/>
      <c r="X140" s="431">
        <f t="shared" si="8"/>
        <v>0</v>
      </c>
      <c r="Y140" s="431">
        <f>AN_TME23[[#This Row],[TOTAL Non-Truncated Unadjusted Claims Expenses]]-AN_TME23[[#This Row],[Total Claims Excluded because of Truncation]]</f>
        <v>0</v>
      </c>
      <c r="Z140" s="431">
        <f t="shared" si="9"/>
        <v>0</v>
      </c>
      <c r="AA140" s="431">
        <f>AN_TME23[[#This Row],[TOTAL Non-Truncated Unadjusted Claims Expenses]]+AN_TME23[[#This Row],[TOTAL Non-Claims Expenses]]</f>
        <v>0</v>
      </c>
      <c r="AB140" s="431">
        <f>AN_TME23[[#This Row],[TOTAL Truncated Unadjusted Claims Expenses (A21 -A19)]]+AN_TME23[[#This Row],[TOTAL Non-Claims Expenses]]</f>
        <v>0</v>
      </c>
      <c r="AC140" s="475">
        <f>IFERROR(AN_TME23[[#This Row],[TOTAL Non-Truncated Unadjusted Expenses (A21 + A23)]]/AN_TME23[[#This Row],[Member Months]],0)</f>
        <v>0</v>
      </c>
      <c r="AD140" s="475">
        <f>IFERROR(AN_TME23[[#This Row],[TOTAL Truncated Unadjusted Expenses (A22 + A23)]]/AN_TME23[[#This Row],[Member Months]],0)</f>
        <v>0</v>
      </c>
      <c r="AE140" s="441">
        <f>IFERROR(AN_TME23[[#This Row],[Total Claims Excluded because of Truncation]]/AN_TME23[[#This Row],[Count of Members with Claims Truncated]], 0)</f>
        <v>0</v>
      </c>
      <c r="AF140" s="476">
        <f>IFERROR(AN_TME23[[#This Row],[Total Claims Excluded because of Truncation]]/AN_TME23[[#This Row],[TOTAL Non-Truncated Unadjusted Claims Expenses]], 0)</f>
        <v>0</v>
      </c>
    </row>
    <row r="141" spans="1:32" x14ac:dyDescent="0.25">
      <c r="A141" s="420"/>
      <c r="B141" s="421"/>
      <c r="C141" s="421"/>
      <c r="D141" s="422"/>
      <c r="E141" s="517"/>
      <c r="F141" s="423"/>
      <c r="G141" s="423"/>
      <c r="H141" s="423"/>
      <c r="I141" s="423"/>
      <c r="J141" s="423"/>
      <c r="K141" s="423"/>
      <c r="L141" s="423"/>
      <c r="M141" s="423"/>
      <c r="N141" s="423"/>
      <c r="O141" s="423"/>
      <c r="P141" s="423"/>
      <c r="Q141" s="423"/>
      <c r="R141" s="423"/>
      <c r="S141" s="423"/>
      <c r="T141" s="423"/>
      <c r="U141" s="423"/>
      <c r="V141" s="423"/>
      <c r="W141" s="435"/>
      <c r="X141" s="425">
        <f t="shared" si="8"/>
        <v>0</v>
      </c>
      <c r="Y141" s="425">
        <f>AN_TME23[[#This Row],[TOTAL Non-Truncated Unadjusted Claims Expenses]]-AN_TME23[[#This Row],[Total Claims Excluded because of Truncation]]</f>
        <v>0</v>
      </c>
      <c r="Z141" s="425">
        <f t="shared" si="9"/>
        <v>0</v>
      </c>
      <c r="AA141" s="425">
        <f>AN_TME23[[#This Row],[TOTAL Non-Truncated Unadjusted Claims Expenses]]+AN_TME23[[#This Row],[TOTAL Non-Claims Expenses]]</f>
        <v>0</v>
      </c>
      <c r="AB141" s="425">
        <f>AN_TME23[[#This Row],[TOTAL Truncated Unadjusted Claims Expenses (A21 -A19)]]+AN_TME23[[#This Row],[TOTAL Non-Claims Expenses]]</f>
        <v>0</v>
      </c>
      <c r="AC141" s="474">
        <f>IFERROR(AN_TME23[[#This Row],[TOTAL Non-Truncated Unadjusted Expenses (A21 + A23)]]/AN_TME23[[#This Row],[Member Months]],0)</f>
        <v>0</v>
      </c>
      <c r="AD141" s="474">
        <f>IFERROR(AN_TME23[[#This Row],[TOTAL Truncated Unadjusted Expenses (A22 + A23)]]/AN_TME23[[#This Row],[Member Months]],0)</f>
        <v>0</v>
      </c>
      <c r="AE141" s="441">
        <f>IFERROR(AN_TME23[[#This Row],[Total Claims Excluded because of Truncation]]/AN_TME23[[#This Row],[Count of Members with Claims Truncated]], 0)</f>
        <v>0</v>
      </c>
      <c r="AF141" s="476">
        <f>IFERROR(AN_TME23[[#This Row],[Total Claims Excluded because of Truncation]]/AN_TME23[[#This Row],[TOTAL Non-Truncated Unadjusted Claims Expenses]], 0)</f>
        <v>0</v>
      </c>
    </row>
    <row r="142" spans="1:32" x14ac:dyDescent="0.25">
      <c r="A142" s="426"/>
      <c r="B142" s="427"/>
      <c r="C142" s="427"/>
      <c r="D142" s="428"/>
      <c r="E142" s="517"/>
      <c r="F142" s="429"/>
      <c r="G142" s="429"/>
      <c r="H142" s="429"/>
      <c r="I142" s="429"/>
      <c r="J142" s="429"/>
      <c r="K142" s="429"/>
      <c r="L142" s="429"/>
      <c r="M142" s="429"/>
      <c r="N142" s="429"/>
      <c r="O142" s="429"/>
      <c r="P142" s="429"/>
      <c r="Q142" s="429"/>
      <c r="R142" s="429"/>
      <c r="S142" s="429"/>
      <c r="T142" s="429"/>
      <c r="U142" s="429"/>
      <c r="V142" s="429"/>
      <c r="W142" s="436"/>
      <c r="X142" s="431">
        <f t="shared" si="8"/>
        <v>0</v>
      </c>
      <c r="Y142" s="431">
        <f>AN_TME23[[#This Row],[TOTAL Non-Truncated Unadjusted Claims Expenses]]-AN_TME23[[#This Row],[Total Claims Excluded because of Truncation]]</f>
        <v>0</v>
      </c>
      <c r="Z142" s="431">
        <f t="shared" si="9"/>
        <v>0</v>
      </c>
      <c r="AA142" s="431">
        <f>AN_TME23[[#This Row],[TOTAL Non-Truncated Unadjusted Claims Expenses]]+AN_TME23[[#This Row],[TOTAL Non-Claims Expenses]]</f>
        <v>0</v>
      </c>
      <c r="AB142" s="431">
        <f>AN_TME23[[#This Row],[TOTAL Truncated Unadjusted Claims Expenses (A21 -A19)]]+AN_TME23[[#This Row],[TOTAL Non-Claims Expenses]]</f>
        <v>0</v>
      </c>
      <c r="AC142" s="475">
        <f>IFERROR(AN_TME23[[#This Row],[TOTAL Non-Truncated Unadjusted Expenses (A21 + A23)]]/AN_TME23[[#This Row],[Member Months]],0)</f>
        <v>0</v>
      </c>
      <c r="AD142" s="475">
        <f>IFERROR(AN_TME23[[#This Row],[TOTAL Truncated Unadjusted Expenses (A22 + A23)]]/AN_TME23[[#This Row],[Member Months]],0)</f>
        <v>0</v>
      </c>
      <c r="AE142" s="441">
        <f>IFERROR(AN_TME23[[#This Row],[Total Claims Excluded because of Truncation]]/AN_TME23[[#This Row],[Count of Members with Claims Truncated]], 0)</f>
        <v>0</v>
      </c>
      <c r="AF142" s="476">
        <f>IFERROR(AN_TME23[[#This Row],[Total Claims Excluded because of Truncation]]/AN_TME23[[#This Row],[TOTAL Non-Truncated Unadjusted Claims Expenses]], 0)</f>
        <v>0</v>
      </c>
    </row>
    <row r="143" spans="1:32" x14ac:dyDescent="0.25">
      <c r="A143" s="420"/>
      <c r="B143" s="421"/>
      <c r="C143" s="421"/>
      <c r="D143" s="422"/>
      <c r="E143" s="517"/>
      <c r="F143" s="423"/>
      <c r="G143" s="423"/>
      <c r="H143" s="423"/>
      <c r="I143" s="423"/>
      <c r="J143" s="423"/>
      <c r="K143" s="423"/>
      <c r="L143" s="423"/>
      <c r="M143" s="423"/>
      <c r="N143" s="423"/>
      <c r="O143" s="423"/>
      <c r="P143" s="423"/>
      <c r="Q143" s="423"/>
      <c r="R143" s="423"/>
      <c r="S143" s="423"/>
      <c r="T143" s="423"/>
      <c r="U143" s="423"/>
      <c r="V143" s="423"/>
      <c r="W143" s="435"/>
      <c r="X143" s="425">
        <f t="shared" si="8"/>
        <v>0</v>
      </c>
      <c r="Y143" s="425">
        <f>AN_TME23[[#This Row],[TOTAL Non-Truncated Unadjusted Claims Expenses]]-AN_TME23[[#This Row],[Total Claims Excluded because of Truncation]]</f>
        <v>0</v>
      </c>
      <c r="Z143" s="425">
        <f t="shared" si="9"/>
        <v>0</v>
      </c>
      <c r="AA143" s="425">
        <f>AN_TME23[[#This Row],[TOTAL Non-Truncated Unadjusted Claims Expenses]]+AN_TME23[[#This Row],[TOTAL Non-Claims Expenses]]</f>
        <v>0</v>
      </c>
      <c r="AB143" s="425">
        <f>AN_TME23[[#This Row],[TOTAL Truncated Unadjusted Claims Expenses (A21 -A19)]]+AN_TME23[[#This Row],[TOTAL Non-Claims Expenses]]</f>
        <v>0</v>
      </c>
      <c r="AC143" s="474">
        <f>IFERROR(AN_TME23[[#This Row],[TOTAL Non-Truncated Unadjusted Expenses (A21 + A23)]]/AN_TME23[[#This Row],[Member Months]],0)</f>
        <v>0</v>
      </c>
      <c r="AD143" s="474">
        <f>IFERROR(AN_TME23[[#This Row],[TOTAL Truncated Unadjusted Expenses (A22 + A23)]]/AN_TME23[[#This Row],[Member Months]],0)</f>
        <v>0</v>
      </c>
      <c r="AE143" s="441">
        <f>IFERROR(AN_TME23[[#This Row],[Total Claims Excluded because of Truncation]]/AN_TME23[[#This Row],[Count of Members with Claims Truncated]], 0)</f>
        <v>0</v>
      </c>
      <c r="AF143" s="476">
        <f>IFERROR(AN_TME23[[#This Row],[Total Claims Excluded because of Truncation]]/AN_TME23[[#This Row],[TOTAL Non-Truncated Unadjusted Claims Expenses]], 0)</f>
        <v>0</v>
      </c>
    </row>
    <row r="144" spans="1:32" x14ac:dyDescent="0.25">
      <c r="A144" s="426"/>
      <c r="B144" s="427"/>
      <c r="C144" s="427"/>
      <c r="D144" s="428"/>
      <c r="E144" s="517"/>
      <c r="F144" s="429"/>
      <c r="G144" s="429"/>
      <c r="H144" s="429"/>
      <c r="I144" s="429"/>
      <c r="J144" s="429"/>
      <c r="K144" s="429"/>
      <c r="L144" s="429"/>
      <c r="M144" s="429"/>
      <c r="N144" s="429"/>
      <c r="O144" s="429"/>
      <c r="P144" s="429"/>
      <c r="Q144" s="429"/>
      <c r="R144" s="429"/>
      <c r="S144" s="429"/>
      <c r="T144" s="429"/>
      <c r="U144" s="429"/>
      <c r="V144" s="429"/>
      <c r="W144" s="436"/>
      <c r="X144" s="431">
        <f t="shared" si="8"/>
        <v>0</v>
      </c>
      <c r="Y144" s="431">
        <f>AN_TME23[[#This Row],[TOTAL Non-Truncated Unadjusted Claims Expenses]]-AN_TME23[[#This Row],[Total Claims Excluded because of Truncation]]</f>
        <v>0</v>
      </c>
      <c r="Z144" s="431">
        <f t="shared" si="9"/>
        <v>0</v>
      </c>
      <c r="AA144" s="431">
        <f>AN_TME23[[#This Row],[TOTAL Non-Truncated Unadjusted Claims Expenses]]+AN_TME23[[#This Row],[TOTAL Non-Claims Expenses]]</f>
        <v>0</v>
      </c>
      <c r="AB144" s="431">
        <f>AN_TME23[[#This Row],[TOTAL Truncated Unadjusted Claims Expenses (A21 -A19)]]+AN_TME23[[#This Row],[TOTAL Non-Claims Expenses]]</f>
        <v>0</v>
      </c>
      <c r="AC144" s="475">
        <f>IFERROR(AN_TME23[[#This Row],[TOTAL Non-Truncated Unadjusted Expenses (A21 + A23)]]/AN_TME23[[#This Row],[Member Months]],0)</f>
        <v>0</v>
      </c>
      <c r="AD144" s="475">
        <f>IFERROR(AN_TME23[[#This Row],[TOTAL Truncated Unadjusted Expenses (A22 + A23)]]/AN_TME23[[#This Row],[Member Months]],0)</f>
        <v>0</v>
      </c>
      <c r="AE144" s="441">
        <f>IFERROR(AN_TME23[[#This Row],[Total Claims Excluded because of Truncation]]/AN_TME23[[#This Row],[Count of Members with Claims Truncated]], 0)</f>
        <v>0</v>
      </c>
      <c r="AF144" s="476">
        <f>IFERROR(AN_TME23[[#This Row],[Total Claims Excluded because of Truncation]]/AN_TME23[[#This Row],[TOTAL Non-Truncated Unadjusted Claims Expenses]], 0)</f>
        <v>0</v>
      </c>
    </row>
    <row r="145" spans="1:32" x14ac:dyDescent="0.25">
      <c r="A145" s="420"/>
      <c r="B145" s="421"/>
      <c r="C145" s="421"/>
      <c r="D145" s="422"/>
      <c r="E145" s="517"/>
      <c r="F145" s="423"/>
      <c r="G145" s="423"/>
      <c r="H145" s="423"/>
      <c r="I145" s="423"/>
      <c r="J145" s="423"/>
      <c r="K145" s="423"/>
      <c r="L145" s="423"/>
      <c r="M145" s="423"/>
      <c r="N145" s="423"/>
      <c r="O145" s="423"/>
      <c r="P145" s="423"/>
      <c r="Q145" s="423"/>
      <c r="R145" s="423"/>
      <c r="S145" s="423"/>
      <c r="T145" s="423"/>
      <c r="U145" s="423"/>
      <c r="V145" s="423"/>
      <c r="W145" s="435"/>
      <c r="X145" s="425">
        <f t="shared" si="8"/>
        <v>0</v>
      </c>
      <c r="Y145" s="425">
        <f>AN_TME23[[#This Row],[TOTAL Non-Truncated Unadjusted Claims Expenses]]-AN_TME23[[#This Row],[Total Claims Excluded because of Truncation]]</f>
        <v>0</v>
      </c>
      <c r="Z145" s="425">
        <f t="shared" si="9"/>
        <v>0</v>
      </c>
      <c r="AA145" s="425">
        <f>AN_TME23[[#This Row],[TOTAL Non-Truncated Unadjusted Claims Expenses]]+AN_TME23[[#This Row],[TOTAL Non-Claims Expenses]]</f>
        <v>0</v>
      </c>
      <c r="AB145" s="425">
        <f>AN_TME23[[#This Row],[TOTAL Truncated Unadjusted Claims Expenses (A21 -A19)]]+AN_TME23[[#This Row],[TOTAL Non-Claims Expenses]]</f>
        <v>0</v>
      </c>
      <c r="AC145" s="474">
        <f>IFERROR(AN_TME23[[#This Row],[TOTAL Non-Truncated Unadjusted Expenses (A21 + A23)]]/AN_TME23[[#This Row],[Member Months]],0)</f>
        <v>0</v>
      </c>
      <c r="AD145" s="474">
        <f>IFERROR(AN_TME23[[#This Row],[TOTAL Truncated Unadjusted Expenses (A22 + A23)]]/AN_TME23[[#This Row],[Member Months]],0)</f>
        <v>0</v>
      </c>
      <c r="AE145" s="441">
        <f>IFERROR(AN_TME23[[#This Row],[Total Claims Excluded because of Truncation]]/AN_TME23[[#This Row],[Count of Members with Claims Truncated]], 0)</f>
        <v>0</v>
      </c>
      <c r="AF145" s="476">
        <f>IFERROR(AN_TME23[[#This Row],[Total Claims Excluded because of Truncation]]/AN_TME23[[#This Row],[TOTAL Non-Truncated Unadjusted Claims Expenses]], 0)</f>
        <v>0</v>
      </c>
    </row>
    <row r="146" spans="1:32" x14ac:dyDescent="0.25">
      <c r="A146" s="426"/>
      <c r="B146" s="427"/>
      <c r="C146" s="427"/>
      <c r="D146" s="428"/>
      <c r="E146" s="517"/>
      <c r="F146" s="429"/>
      <c r="G146" s="429"/>
      <c r="H146" s="429"/>
      <c r="I146" s="429"/>
      <c r="J146" s="429"/>
      <c r="K146" s="429"/>
      <c r="L146" s="429"/>
      <c r="M146" s="429"/>
      <c r="N146" s="429"/>
      <c r="O146" s="429"/>
      <c r="P146" s="429"/>
      <c r="Q146" s="429"/>
      <c r="R146" s="429"/>
      <c r="S146" s="429"/>
      <c r="T146" s="429"/>
      <c r="U146" s="429"/>
      <c r="V146" s="429"/>
      <c r="W146" s="436"/>
      <c r="X146" s="431">
        <f t="shared" si="8"/>
        <v>0</v>
      </c>
      <c r="Y146" s="431">
        <f>AN_TME23[[#This Row],[TOTAL Non-Truncated Unadjusted Claims Expenses]]-AN_TME23[[#This Row],[Total Claims Excluded because of Truncation]]</f>
        <v>0</v>
      </c>
      <c r="Z146" s="431">
        <f t="shared" si="9"/>
        <v>0</v>
      </c>
      <c r="AA146" s="431">
        <f>AN_TME23[[#This Row],[TOTAL Non-Truncated Unadjusted Claims Expenses]]+AN_TME23[[#This Row],[TOTAL Non-Claims Expenses]]</f>
        <v>0</v>
      </c>
      <c r="AB146" s="431">
        <f>AN_TME23[[#This Row],[TOTAL Truncated Unadjusted Claims Expenses (A21 -A19)]]+AN_TME23[[#This Row],[TOTAL Non-Claims Expenses]]</f>
        <v>0</v>
      </c>
      <c r="AC146" s="475">
        <f>IFERROR(AN_TME23[[#This Row],[TOTAL Non-Truncated Unadjusted Expenses (A21 + A23)]]/AN_TME23[[#This Row],[Member Months]],0)</f>
        <v>0</v>
      </c>
      <c r="AD146" s="475">
        <f>IFERROR(AN_TME23[[#This Row],[TOTAL Truncated Unadjusted Expenses (A22 + A23)]]/AN_TME23[[#This Row],[Member Months]],0)</f>
        <v>0</v>
      </c>
      <c r="AE146" s="441">
        <f>IFERROR(AN_TME23[[#This Row],[Total Claims Excluded because of Truncation]]/AN_TME23[[#This Row],[Count of Members with Claims Truncated]], 0)</f>
        <v>0</v>
      </c>
      <c r="AF146" s="476">
        <f>IFERROR(AN_TME23[[#This Row],[Total Claims Excluded because of Truncation]]/AN_TME23[[#This Row],[TOTAL Non-Truncated Unadjusted Claims Expenses]], 0)</f>
        <v>0</v>
      </c>
    </row>
    <row r="147" spans="1:32" x14ac:dyDescent="0.25">
      <c r="A147" s="420"/>
      <c r="B147" s="421"/>
      <c r="C147" s="421"/>
      <c r="D147" s="422"/>
      <c r="E147" s="517"/>
      <c r="F147" s="423"/>
      <c r="G147" s="423"/>
      <c r="H147" s="423"/>
      <c r="I147" s="423"/>
      <c r="J147" s="423"/>
      <c r="K147" s="423"/>
      <c r="L147" s="423"/>
      <c r="M147" s="423"/>
      <c r="N147" s="423"/>
      <c r="O147" s="423"/>
      <c r="P147" s="423"/>
      <c r="Q147" s="423"/>
      <c r="R147" s="423"/>
      <c r="S147" s="423"/>
      <c r="T147" s="423"/>
      <c r="U147" s="423"/>
      <c r="V147" s="423"/>
      <c r="W147" s="435"/>
      <c r="X147" s="425">
        <f t="shared" si="8"/>
        <v>0</v>
      </c>
      <c r="Y147" s="425">
        <f>AN_TME23[[#This Row],[TOTAL Non-Truncated Unadjusted Claims Expenses]]-AN_TME23[[#This Row],[Total Claims Excluded because of Truncation]]</f>
        <v>0</v>
      </c>
      <c r="Z147" s="425">
        <f t="shared" si="9"/>
        <v>0</v>
      </c>
      <c r="AA147" s="425">
        <f>AN_TME23[[#This Row],[TOTAL Non-Truncated Unadjusted Claims Expenses]]+AN_TME23[[#This Row],[TOTAL Non-Claims Expenses]]</f>
        <v>0</v>
      </c>
      <c r="AB147" s="425">
        <f>AN_TME23[[#This Row],[TOTAL Truncated Unadjusted Claims Expenses (A21 -A19)]]+AN_TME23[[#This Row],[TOTAL Non-Claims Expenses]]</f>
        <v>0</v>
      </c>
      <c r="AC147" s="474">
        <f>IFERROR(AN_TME23[[#This Row],[TOTAL Non-Truncated Unadjusted Expenses (A21 + A23)]]/AN_TME23[[#This Row],[Member Months]],0)</f>
        <v>0</v>
      </c>
      <c r="AD147" s="474">
        <f>IFERROR(AN_TME23[[#This Row],[TOTAL Truncated Unadjusted Expenses (A22 + A23)]]/AN_TME23[[#This Row],[Member Months]],0)</f>
        <v>0</v>
      </c>
      <c r="AE147" s="441">
        <f>IFERROR(AN_TME23[[#This Row],[Total Claims Excluded because of Truncation]]/AN_TME23[[#This Row],[Count of Members with Claims Truncated]], 0)</f>
        <v>0</v>
      </c>
      <c r="AF147" s="476">
        <f>IFERROR(AN_TME23[[#This Row],[Total Claims Excluded because of Truncation]]/AN_TME23[[#This Row],[TOTAL Non-Truncated Unadjusted Claims Expenses]], 0)</f>
        <v>0</v>
      </c>
    </row>
    <row r="148" spans="1:32" x14ac:dyDescent="0.25">
      <c r="A148" s="426"/>
      <c r="B148" s="427"/>
      <c r="C148" s="427"/>
      <c r="D148" s="428"/>
      <c r="E148" s="517"/>
      <c r="F148" s="429"/>
      <c r="G148" s="429"/>
      <c r="H148" s="429"/>
      <c r="I148" s="429"/>
      <c r="J148" s="429"/>
      <c r="K148" s="429"/>
      <c r="L148" s="429"/>
      <c r="M148" s="429"/>
      <c r="N148" s="429"/>
      <c r="O148" s="429"/>
      <c r="P148" s="429"/>
      <c r="Q148" s="429"/>
      <c r="R148" s="429"/>
      <c r="S148" s="429"/>
      <c r="T148" s="429"/>
      <c r="U148" s="429"/>
      <c r="V148" s="429"/>
      <c r="W148" s="436"/>
      <c r="X148" s="431">
        <f t="shared" si="8"/>
        <v>0</v>
      </c>
      <c r="Y148" s="431">
        <f>AN_TME23[[#This Row],[TOTAL Non-Truncated Unadjusted Claims Expenses]]-AN_TME23[[#This Row],[Total Claims Excluded because of Truncation]]</f>
        <v>0</v>
      </c>
      <c r="Z148" s="431">
        <f t="shared" si="9"/>
        <v>0</v>
      </c>
      <c r="AA148" s="431">
        <f>AN_TME23[[#This Row],[TOTAL Non-Truncated Unadjusted Claims Expenses]]+AN_TME23[[#This Row],[TOTAL Non-Claims Expenses]]</f>
        <v>0</v>
      </c>
      <c r="AB148" s="431">
        <f>AN_TME23[[#This Row],[TOTAL Truncated Unadjusted Claims Expenses (A21 -A19)]]+AN_TME23[[#This Row],[TOTAL Non-Claims Expenses]]</f>
        <v>0</v>
      </c>
      <c r="AC148" s="475">
        <f>IFERROR(AN_TME23[[#This Row],[TOTAL Non-Truncated Unadjusted Expenses (A21 + A23)]]/AN_TME23[[#This Row],[Member Months]],0)</f>
        <v>0</v>
      </c>
      <c r="AD148" s="475">
        <f>IFERROR(AN_TME23[[#This Row],[TOTAL Truncated Unadjusted Expenses (A22 + A23)]]/AN_TME23[[#This Row],[Member Months]],0)</f>
        <v>0</v>
      </c>
      <c r="AE148" s="441">
        <f>IFERROR(AN_TME23[[#This Row],[Total Claims Excluded because of Truncation]]/AN_TME23[[#This Row],[Count of Members with Claims Truncated]], 0)</f>
        <v>0</v>
      </c>
      <c r="AF148" s="476">
        <f>IFERROR(AN_TME23[[#This Row],[Total Claims Excluded because of Truncation]]/AN_TME23[[#This Row],[TOTAL Non-Truncated Unadjusted Claims Expenses]], 0)</f>
        <v>0</v>
      </c>
    </row>
    <row r="149" spans="1:32" x14ac:dyDescent="0.25">
      <c r="A149" s="420"/>
      <c r="B149" s="421"/>
      <c r="C149" s="421"/>
      <c r="D149" s="422"/>
      <c r="E149" s="517"/>
      <c r="F149" s="423"/>
      <c r="G149" s="423"/>
      <c r="H149" s="423"/>
      <c r="I149" s="423"/>
      <c r="J149" s="423"/>
      <c r="K149" s="423"/>
      <c r="L149" s="423"/>
      <c r="M149" s="423"/>
      <c r="N149" s="423"/>
      <c r="O149" s="423"/>
      <c r="P149" s="423"/>
      <c r="Q149" s="423"/>
      <c r="R149" s="423"/>
      <c r="S149" s="423"/>
      <c r="T149" s="423"/>
      <c r="U149" s="423"/>
      <c r="V149" s="423"/>
      <c r="W149" s="435"/>
      <c r="X149" s="425">
        <f t="shared" si="8"/>
        <v>0</v>
      </c>
      <c r="Y149" s="425">
        <f>AN_TME23[[#This Row],[TOTAL Non-Truncated Unadjusted Claims Expenses]]-AN_TME23[[#This Row],[Total Claims Excluded because of Truncation]]</f>
        <v>0</v>
      </c>
      <c r="Z149" s="425">
        <f t="shared" si="9"/>
        <v>0</v>
      </c>
      <c r="AA149" s="425">
        <f>AN_TME23[[#This Row],[TOTAL Non-Truncated Unadjusted Claims Expenses]]+AN_TME23[[#This Row],[TOTAL Non-Claims Expenses]]</f>
        <v>0</v>
      </c>
      <c r="AB149" s="425">
        <f>AN_TME23[[#This Row],[TOTAL Truncated Unadjusted Claims Expenses (A21 -A19)]]+AN_TME23[[#This Row],[TOTAL Non-Claims Expenses]]</f>
        <v>0</v>
      </c>
      <c r="AC149" s="474">
        <f>IFERROR(AN_TME23[[#This Row],[TOTAL Non-Truncated Unadjusted Expenses (A21 + A23)]]/AN_TME23[[#This Row],[Member Months]],0)</f>
        <v>0</v>
      </c>
      <c r="AD149" s="474">
        <f>IFERROR(AN_TME23[[#This Row],[TOTAL Truncated Unadjusted Expenses (A22 + A23)]]/AN_TME23[[#This Row],[Member Months]],0)</f>
        <v>0</v>
      </c>
      <c r="AE149" s="441">
        <f>IFERROR(AN_TME23[[#This Row],[Total Claims Excluded because of Truncation]]/AN_TME23[[#This Row],[Count of Members with Claims Truncated]], 0)</f>
        <v>0</v>
      </c>
      <c r="AF149" s="476">
        <f>IFERROR(AN_TME23[[#This Row],[Total Claims Excluded because of Truncation]]/AN_TME23[[#This Row],[TOTAL Non-Truncated Unadjusted Claims Expenses]], 0)</f>
        <v>0</v>
      </c>
    </row>
    <row r="150" spans="1:32" x14ac:dyDescent="0.25">
      <c r="A150" s="426"/>
      <c r="B150" s="427"/>
      <c r="C150" s="427"/>
      <c r="D150" s="428"/>
      <c r="E150" s="517"/>
      <c r="F150" s="429"/>
      <c r="G150" s="429"/>
      <c r="H150" s="429"/>
      <c r="I150" s="429"/>
      <c r="J150" s="429"/>
      <c r="K150" s="429"/>
      <c r="L150" s="429"/>
      <c r="M150" s="429"/>
      <c r="N150" s="429"/>
      <c r="O150" s="429"/>
      <c r="P150" s="429"/>
      <c r="Q150" s="429"/>
      <c r="R150" s="429"/>
      <c r="S150" s="429"/>
      <c r="T150" s="429"/>
      <c r="U150" s="429"/>
      <c r="V150" s="429"/>
      <c r="W150" s="436"/>
      <c r="X150" s="431">
        <f t="shared" si="8"/>
        <v>0</v>
      </c>
      <c r="Y150" s="431">
        <f>AN_TME23[[#This Row],[TOTAL Non-Truncated Unadjusted Claims Expenses]]-AN_TME23[[#This Row],[Total Claims Excluded because of Truncation]]</f>
        <v>0</v>
      </c>
      <c r="Z150" s="431">
        <f t="shared" si="9"/>
        <v>0</v>
      </c>
      <c r="AA150" s="431">
        <f>AN_TME23[[#This Row],[TOTAL Non-Truncated Unadjusted Claims Expenses]]+AN_TME23[[#This Row],[TOTAL Non-Claims Expenses]]</f>
        <v>0</v>
      </c>
      <c r="AB150" s="431">
        <f>AN_TME23[[#This Row],[TOTAL Truncated Unadjusted Claims Expenses (A21 -A19)]]+AN_TME23[[#This Row],[TOTAL Non-Claims Expenses]]</f>
        <v>0</v>
      </c>
      <c r="AC150" s="475">
        <f>IFERROR(AN_TME23[[#This Row],[TOTAL Non-Truncated Unadjusted Expenses (A21 + A23)]]/AN_TME23[[#This Row],[Member Months]],0)</f>
        <v>0</v>
      </c>
      <c r="AD150" s="475">
        <f>IFERROR(AN_TME23[[#This Row],[TOTAL Truncated Unadjusted Expenses (A22 + A23)]]/AN_TME23[[#This Row],[Member Months]],0)</f>
        <v>0</v>
      </c>
      <c r="AE150" s="441">
        <f>IFERROR(AN_TME23[[#This Row],[Total Claims Excluded because of Truncation]]/AN_TME23[[#This Row],[Count of Members with Claims Truncated]], 0)</f>
        <v>0</v>
      </c>
      <c r="AF150" s="476">
        <f>IFERROR(AN_TME23[[#This Row],[Total Claims Excluded because of Truncation]]/AN_TME23[[#This Row],[TOTAL Non-Truncated Unadjusted Claims Expenses]], 0)</f>
        <v>0</v>
      </c>
    </row>
    <row r="151" spans="1:32" x14ac:dyDescent="0.25">
      <c r="A151" s="420"/>
      <c r="B151" s="421"/>
      <c r="C151" s="421"/>
      <c r="D151" s="422"/>
      <c r="E151" s="517"/>
      <c r="F151" s="423"/>
      <c r="G151" s="423"/>
      <c r="H151" s="423"/>
      <c r="I151" s="423"/>
      <c r="J151" s="423"/>
      <c r="K151" s="423"/>
      <c r="L151" s="423"/>
      <c r="M151" s="423"/>
      <c r="N151" s="423"/>
      <c r="O151" s="423"/>
      <c r="P151" s="423"/>
      <c r="Q151" s="423"/>
      <c r="R151" s="423"/>
      <c r="S151" s="423"/>
      <c r="T151" s="423"/>
      <c r="U151" s="423"/>
      <c r="V151" s="423"/>
      <c r="W151" s="435"/>
      <c r="X151" s="425">
        <f t="shared" si="8"/>
        <v>0</v>
      </c>
      <c r="Y151" s="425">
        <f>AN_TME23[[#This Row],[TOTAL Non-Truncated Unadjusted Claims Expenses]]-AN_TME23[[#This Row],[Total Claims Excluded because of Truncation]]</f>
        <v>0</v>
      </c>
      <c r="Z151" s="425">
        <f t="shared" si="9"/>
        <v>0</v>
      </c>
      <c r="AA151" s="425">
        <f>AN_TME23[[#This Row],[TOTAL Non-Truncated Unadjusted Claims Expenses]]+AN_TME23[[#This Row],[TOTAL Non-Claims Expenses]]</f>
        <v>0</v>
      </c>
      <c r="AB151" s="425">
        <f>AN_TME23[[#This Row],[TOTAL Truncated Unadjusted Claims Expenses (A21 -A19)]]+AN_TME23[[#This Row],[TOTAL Non-Claims Expenses]]</f>
        <v>0</v>
      </c>
      <c r="AC151" s="474">
        <f>IFERROR(AN_TME23[[#This Row],[TOTAL Non-Truncated Unadjusted Expenses (A21 + A23)]]/AN_TME23[[#This Row],[Member Months]],0)</f>
        <v>0</v>
      </c>
      <c r="AD151" s="474">
        <f>IFERROR(AN_TME23[[#This Row],[TOTAL Truncated Unadjusted Expenses (A22 + A23)]]/AN_TME23[[#This Row],[Member Months]],0)</f>
        <v>0</v>
      </c>
      <c r="AE151" s="441">
        <f>IFERROR(AN_TME23[[#This Row],[Total Claims Excluded because of Truncation]]/AN_TME23[[#This Row],[Count of Members with Claims Truncated]], 0)</f>
        <v>0</v>
      </c>
      <c r="AF151" s="476">
        <f>IFERROR(AN_TME23[[#This Row],[Total Claims Excluded because of Truncation]]/AN_TME23[[#This Row],[TOTAL Non-Truncated Unadjusted Claims Expenses]], 0)</f>
        <v>0</v>
      </c>
    </row>
    <row r="152" spans="1:32" x14ac:dyDescent="0.25">
      <c r="A152" s="426"/>
      <c r="B152" s="427"/>
      <c r="C152" s="427"/>
      <c r="D152" s="428"/>
      <c r="E152" s="517"/>
      <c r="F152" s="429"/>
      <c r="G152" s="429"/>
      <c r="H152" s="429"/>
      <c r="I152" s="429"/>
      <c r="J152" s="429"/>
      <c r="K152" s="429"/>
      <c r="L152" s="429"/>
      <c r="M152" s="429"/>
      <c r="N152" s="429"/>
      <c r="O152" s="429"/>
      <c r="P152" s="429"/>
      <c r="Q152" s="429"/>
      <c r="R152" s="429"/>
      <c r="S152" s="429"/>
      <c r="T152" s="429"/>
      <c r="U152" s="429"/>
      <c r="V152" s="429"/>
      <c r="W152" s="436"/>
      <c r="X152" s="431">
        <f t="shared" si="8"/>
        <v>0</v>
      </c>
      <c r="Y152" s="431">
        <f>AN_TME23[[#This Row],[TOTAL Non-Truncated Unadjusted Claims Expenses]]-AN_TME23[[#This Row],[Total Claims Excluded because of Truncation]]</f>
        <v>0</v>
      </c>
      <c r="Z152" s="431">
        <f t="shared" si="9"/>
        <v>0</v>
      </c>
      <c r="AA152" s="431">
        <f>AN_TME23[[#This Row],[TOTAL Non-Truncated Unadjusted Claims Expenses]]+AN_TME23[[#This Row],[TOTAL Non-Claims Expenses]]</f>
        <v>0</v>
      </c>
      <c r="AB152" s="431">
        <f>AN_TME23[[#This Row],[TOTAL Truncated Unadjusted Claims Expenses (A21 -A19)]]+AN_TME23[[#This Row],[TOTAL Non-Claims Expenses]]</f>
        <v>0</v>
      </c>
      <c r="AC152" s="475">
        <f>IFERROR(AN_TME23[[#This Row],[TOTAL Non-Truncated Unadjusted Expenses (A21 + A23)]]/AN_TME23[[#This Row],[Member Months]],0)</f>
        <v>0</v>
      </c>
      <c r="AD152" s="475">
        <f>IFERROR(AN_TME23[[#This Row],[TOTAL Truncated Unadjusted Expenses (A22 + A23)]]/AN_TME23[[#This Row],[Member Months]],0)</f>
        <v>0</v>
      </c>
      <c r="AE152" s="441">
        <f>IFERROR(AN_TME23[[#This Row],[Total Claims Excluded because of Truncation]]/AN_TME23[[#This Row],[Count of Members with Claims Truncated]], 0)</f>
        <v>0</v>
      </c>
      <c r="AF152" s="476">
        <f>IFERROR(AN_TME23[[#This Row],[Total Claims Excluded because of Truncation]]/AN_TME23[[#This Row],[TOTAL Non-Truncated Unadjusted Claims Expenses]], 0)</f>
        <v>0</v>
      </c>
    </row>
    <row r="153" spans="1:32" x14ac:dyDescent="0.25">
      <c r="A153" s="420"/>
      <c r="B153" s="421"/>
      <c r="C153" s="421"/>
      <c r="D153" s="422"/>
      <c r="E153" s="517"/>
      <c r="F153" s="423"/>
      <c r="G153" s="423"/>
      <c r="H153" s="423"/>
      <c r="I153" s="423"/>
      <c r="J153" s="423"/>
      <c r="K153" s="423"/>
      <c r="L153" s="423"/>
      <c r="M153" s="423"/>
      <c r="N153" s="423"/>
      <c r="O153" s="423"/>
      <c r="P153" s="423"/>
      <c r="Q153" s="423"/>
      <c r="R153" s="423"/>
      <c r="S153" s="423"/>
      <c r="T153" s="423"/>
      <c r="U153" s="423"/>
      <c r="V153" s="423"/>
      <c r="W153" s="435"/>
      <c r="X153" s="425">
        <f t="shared" si="8"/>
        <v>0</v>
      </c>
      <c r="Y153" s="425">
        <f>AN_TME23[[#This Row],[TOTAL Non-Truncated Unadjusted Claims Expenses]]-AN_TME23[[#This Row],[Total Claims Excluded because of Truncation]]</f>
        <v>0</v>
      </c>
      <c r="Z153" s="425">
        <f t="shared" si="9"/>
        <v>0</v>
      </c>
      <c r="AA153" s="425">
        <f>AN_TME23[[#This Row],[TOTAL Non-Truncated Unadjusted Claims Expenses]]+AN_TME23[[#This Row],[TOTAL Non-Claims Expenses]]</f>
        <v>0</v>
      </c>
      <c r="AB153" s="425">
        <f>AN_TME23[[#This Row],[TOTAL Truncated Unadjusted Claims Expenses (A21 -A19)]]+AN_TME23[[#This Row],[TOTAL Non-Claims Expenses]]</f>
        <v>0</v>
      </c>
      <c r="AC153" s="474">
        <f>IFERROR(AN_TME23[[#This Row],[TOTAL Non-Truncated Unadjusted Expenses (A21 + A23)]]/AN_TME23[[#This Row],[Member Months]],0)</f>
        <v>0</v>
      </c>
      <c r="AD153" s="474">
        <f>IFERROR(AN_TME23[[#This Row],[TOTAL Truncated Unadjusted Expenses (A22 + A23)]]/AN_TME23[[#This Row],[Member Months]],0)</f>
        <v>0</v>
      </c>
      <c r="AE153" s="441">
        <f>IFERROR(AN_TME23[[#This Row],[Total Claims Excluded because of Truncation]]/AN_TME23[[#This Row],[Count of Members with Claims Truncated]], 0)</f>
        <v>0</v>
      </c>
      <c r="AF153" s="476">
        <f>IFERROR(AN_TME23[[#This Row],[Total Claims Excluded because of Truncation]]/AN_TME23[[#This Row],[TOTAL Non-Truncated Unadjusted Claims Expenses]], 0)</f>
        <v>0</v>
      </c>
    </row>
    <row r="154" spans="1:32" x14ac:dyDescent="0.25">
      <c r="A154" s="426"/>
      <c r="B154" s="427"/>
      <c r="C154" s="427"/>
      <c r="D154" s="428"/>
      <c r="E154" s="517"/>
      <c r="F154" s="429"/>
      <c r="G154" s="429"/>
      <c r="H154" s="429"/>
      <c r="I154" s="429"/>
      <c r="J154" s="429"/>
      <c r="K154" s="429"/>
      <c r="L154" s="429"/>
      <c r="M154" s="429"/>
      <c r="N154" s="429"/>
      <c r="O154" s="429"/>
      <c r="P154" s="429"/>
      <c r="Q154" s="429"/>
      <c r="R154" s="429"/>
      <c r="S154" s="429"/>
      <c r="T154" s="429"/>
      <c r="U154" s="429"/>
      <c r="V154" s="429"/>
      <c r="W154" s="436"/>
      <c r="X154" s="431">
        <f t="shared" si="8"/>
        <v>0</v>
      </c>
      <c r="Y154" s="431">
        <f>AN_TME23[[#This Row],[TOTAL Non-Truncated Unadjusted Claims Expenses]]-AN_TME23[[#This Row],[Total Claims Excluded because of Truncation]]</f>
        <v>0</v>
      </c>
      <c r="Z154" s="431">
        <f t="shared" si="9"/>
        <v>0</v>
      </c>
      <c r="AA154" s="431">
        <f>AN_TME23[[#This Row],[TOTAL Non-Truncated Unadjusted Claims Expenses]]+AN_TME23[[#This Row],[TOTAL Non-Claims Expenses]]</f>
        <v>0</v>
      </c>
      <c r="AB154" s="431">
        <f>AN_TME23[[#This Row],[TOTAL Truncated Unadjusted Claims Expenses (A21 -A19)]]+AN_TME23[[#This Row],[TOTAL Non-Claims Expenses]]</f>
        <v>0</v>
      </c>
      <c r="AC154" s="475">
        <f>IFERROR(AN_TME23[[#This Row],[TOTAL Non-Truncated Unadjusted Expenses (A21 + A23)]]/AN_TME23[[#This Row],[Member Months]],0)</f>
        <v>0</v>
      </c>
      <c r="AD154" s="475">
        <f>IFERROR(AN_TME23[[#This Row],[TOTAL Truncated Unadjusted Expenses (A22 + A23)]]/AN_TME23[[#This Row],[Member Months]],0)</f>
        <v>0</v>
      </c>
      <c r="AE154" s="441">
        <f>IFERROR(AN_TME23[[#This Row],[Total Claims Excluded because of Truncation]]/AN_TME23[[#This Row],[Count of Members with Claims Truncated]], 0)</f>
        <v>0</v>
      </c>
      <c r="AF154" s="476">
        <f>IFERROR(AN_TME23[[#This Row],[Total Claims Excluded because of Truncation]]/AN_TME23[[#This Row],[TOTAL Non-Truncated Unadjusted Claims Expenses]], 0)</f>
        <v>0</v>
      </c>
    </row>
    <row r="155" spans="1:32" x14ac:dyDescent="0.25">
      <c r="A155" s="420"/>
      <c r="B155" s="421"/>
      <c r="C155" s="421"/>
      <c r="D155" s="422"/>
      <c r="E155" s="517"/>
      <c r="F155" s="423"/>
      <c r="G155" s="423"/>
      <c r="H155" s="423"/>
      <c r="I155" s="423"/>
      <c r="J155" s="423"/>
      <c r="K155" s="423"/>
      <c r="L155" s="423"/>
      <c r="M155" s="423"/>
      <c r="N155" s="423"/>
      <c r="O155" s="423"/>
      <c r="P155" s="423"/>
      <c r="Q155" s="423"/>
      <c r="R155" s="423"/>
      <c r="S155" s="423"/>
      <c r="T155" s="423"/>
      <c r="U155" s="423"/>
      <c r="V155" s="423"/>
      <c r="W155" s="435"/>
      <c r="X155" s="425">
        <f t="shared" si="8"/>
        <v>0</v>
      </c>
      <c r="Y155" s="425">
        <f>AN_TME23[[#This Row],[TOTAL Non-Truncated Unadjusted Claims Expenses]]-AN_TME23[[#This Row],[Total Claims Excluded because of Truncation]]</f>
        <v>0</v>
      </c>
      <c r="Z155" s="425">
        <f t="shared" si="9"/>
        <v>0</v>
      </c>
      <c r="AA155" s="425">
        <f>AN_TME23[[#This Row],[TOTAL Non-Truncated Unadjusted Claims Expenses]]+AN_TME23[[#This Row],[TOTAL Non-Claims Expenses]]</f>
        <v>0</v>
      </c>
      <c r="AB155" s="425">
        <f>AN_TME23[[#This Row],[TOTAL Truncated Unadjusted Claims Expenses (A21 -A19)]]+AN_TME23[[#This Row],[TOTAL Non-Claims Expenses]]</f>
        <v>0</v>
      </c>
      <c r="AC155" s="474">
        <f>IFERROR(AN_TME23[[#This Row],[TOTAL Non-Truncated Unadjusted Expenses (A21 + A23)]]/AN_TME23[[#This Row],[Member Months]],0)</f>
        <v>0</v>
      </c>
      <c r="AD155" s="474">
        <f>IFERROR(AN_TME23[[#This Row],[TOTAL Truncated Unadjusted Expenses (A22 + A23)]]/AN_TME23[[#This Row],[Member Months]],0)</f>
        <v>0</v>
      </c>
      <c r="AE155" s="441">
        <f>IFERROR(AN_TME23[[#This Row],[Total Claims Excluded because of Truncation]]/AN_TME23[[#This Row],[Count of Members with Claims Truncated]], 0)</f>
        <v>0</v>
      </c>
      <c r="AF155" s="476">
        <f>IFERROR(AN_TME23[[#This Row],[Total Claims Excluded because of Truncation]]/AN_TME23[[#This Row],[TOTAL Non-Truncated Unadjusted Claims Expenses]], 0)</f>
        <v>0</v>
      </c>
    </row>
    <row r="156" spans="1:32" x14ac:dyDescent="0.25">
      <c r="A156" s="426"/>
      <c r="B156" s="427"/>
      <c r="C156" s="427"/>
      <c r="D156" s="428"/>
      <c r="E156" s="517"/>
      <c r="F156" s="429"/>
      <c r="G156" s="429"/>
      <c r="H156" s="429"/>
      <c r="I156" s="429"/>
      <c r="J156" s="429"/>
      <c r="K156" s="429"/>
      <c r="L156" s="429"/>
      <c r="M156" s="429"/>
      <c r="N156" s="429"/>
      <c r="O156" s="429"/>
      <c r="P156" s="429"/>
      <c r="Q156" s="429"/>
      <c r="R156" s="429"/>
      <c r="S156" s="429"/>
      <c r="T156" s="429"/>
      <c r="U156" s="429"/>
      <c r="V156" s="429"/>
      <c r="W156" s="436"/>
      <c r="X156" s="431">
        <f t="shared" si="8"/>
        <v>0</v>
      </c>
      <c r="Y156" s="431">
        <f>AN_TME23[[#This Row],[TOTAL Non-Truncated Unadjusted Claims Expenses]]-AN_TME23[[#This Row],[Total Claims Excluded because of Truncation]]</f>
        <v>0</v>
      </c>
      <c r="Z156" s="431">
        <f t="shared" si="9"/>
        <v>0</v>
      </c>
      <c r="AA156" s="431">
        <f>AN_TME23[[#This Row],[TOTAL Non-Truncated Unadjusted Claims Expenses]]+AN_TME23[[#This Row],[TOTAL Non-Claims Expenses]]</f>
        <v>0</v>
      </c>
      <c r="AB156" s="431">
        <f>AN_TME23[[#This Row],[TOTAL Truncated Unadjusted Claims Expenses (A21 -A19)]]+AN_TME23[[#This Row],[TOTAL Non-Claims Expenses]]</f>
        <v>0</v>
      </c>
      <c r="AC156" s="475">
        <f>IFERROR(AN_TME23[[#This Row],[TOTAL Non-Truncated Unadjusted Expenses (A21 + A23)]]/AN_TME23[[#This Row],[Member Months]],0)</f>
        <v>0</v>
      </c>
      <c r="AD156" s="475">
        <f>IFERROR(AN_TME23[[#This Row],[TOTAL Truncated Unadjusted Expenses (A22 + A23)]]/AN_TME23[[#This Row],[Member Months]],0)</f>
        <v>0</v>
      </c>
      <c r="AE156" s="441">
        <f>IFERROR(AN_TME23[[#This Row],[Total Claims Excluded because of Truncation]]/AN_TME23[[#This Row],[Count of Members with Claims Truncated]], 0)</f>
        <v>0</v>
      </c>
      <c r="AF156" s="476">
        <f>IFERROR(AN_TME23[[#This Row],[Total Claims Excluded because of Truncation]]/AN_TME23[[#This Row],[TOTAL Non-Truncated Unadjusted Claims Expenses]], 0)</f>
        <v>0</v>
      </c>
    </row>
    <row r="157" spans="1:32" x14ac:dyDescent="0.25">
      <c r="A157" s="420"/>
      <c r="B157" s="421"/>
      <c r="C157" s="421"/>
      <c r="D157" s="422"/>
      <c r="E157" s="517"/>
      <c r="F157" s="423"/>
      <c r="G157" s="423"/>
      <c r="H157" s="423"/>
      <c r="I157" s="423"/>
      <c r="J157" s="423"/>
      <c r="K157" s="423"/>
      <c r="L157" s="423"/>
      <c r="M157" s="423"/>
      <c r="N157" s="423"/>
      <c r="O157" s="423"/>
      <c r="P157" s="423"/>
      <c r="Q157" s="423"/>
      <c r="R157" s="423"/>
      <c r="S157" s="423"/>
      <c r="T157" s="423"/>
      <c r="U157" s="423"/>
      <c r="V157" s="423"/>
      <c r="W157" s="435"/>
      <c r="X157" s="425">
        <f t="shared" si="8"/>
        <v>0</v>
      </c>
      <c r="Y157" s="425">
        <f>AN_TME23[[#This Row],[TOTAL Non-Truncated Unadjusted Claims Expenses]]-AN_TME23[[#This Row],[Total Claims Excluded because of Truncation]]</f>
        <v>0</v>
      </c>
      <c r="Z157" s="425">
        <f t="shared" si="9"/>
        <v>0</v>
      </c>
      <c r="AA157" s="425">
        <f>AN_TME23[[#This Row],[TOTAL Non-Truncated Unadjusted Claims Expenses]]+AN_TME23[[#This Row],[TOTAL Non-Claims Expenses]]</f>
        <v>0</v>
      </c>
      <c r="AB157" s="425">
        <f>AN_TME23[[#This Row],[TOTAL Truncated Unadjusted Claims Expenses (A21 -A19)]]+AN_TME23[[#This Row],[TOTAL Non-Claims Expenses]]</f>
        <v>0</v>
      </c>
      <c r="AC157" s="474">
        <f>IFERROR(AN_TME23[[#This Row],[TOTAL Non-Truncated Unadjusted Expenses (A21 + A23)]]/AN_TME23[[#This Row],[Member Months]],0)</f>
        <v>0</v>
      </c>
      <c r="AD157" s="474">
        <f>IFERROR(AN_TME23[[#This Row],[TOTAL Truncated Unadjusted Expenses (A22 + A23)]]/AN_TME23[[#This Row],[Member Months]],0)</f>
        <v>0</v>
      </c>
      <c r="AE157" s="441">
        <f>IFERROR(AN_TME23[[#This Row],[Total Claims Excluded because of Truncation]]/AN_TME23[[#This Row],[Count of Members with Claims Truncated]], 0)</f>
        <v>0</v>
      </c>
      <c r="AF157" s="476">
        <f>IFERROR(AN_TME23[[#This Row],[Total Claims Excluded because of Truncation]]/AN_TME23[[#This Row],[TOTAL Non-Truncated Unadjusted Claims Expenses]], 0)</f>
        <v>0</v>
      </c>
    </row>
    <row r="158" spans="1:32" x14ac:dyDescent="0.25">
      <c r="A158" s="426"/>
      <c r="B158" s="427"/>
      <c r="C158" s="427"/>
      <c r="D158" s="428"/>
      <c r="E158" s="517"/>
      <c r="F158" s="429"/>
      <c r="G158" s="429"/>
      <c r="H158" s="429"/>
      <c r="I158" s="429"/>
      <c r="J158" s="429"/>
      <c r="K158" s="429"/>
      <c r="L158" s="429"/>
      <c r="M158" s="429"/>
      <c r="N158" s="429"/>
      <c r="O158" s="429"/>
      <c r="P158" s="429"/>
      <c r="Q158" s="429"/>
      <c r="R158" s="429"/>
      <c r="S158" s="429"/>
      <c r="T158" s="429"/>
      <c r="U158" s="429"/>
      <c r="V158" s="429"/>
      <c r="W158" s="436"/>
      <c r="X158" s="431">
        <f t="shared" si="8"/>
        <v>0</v>
      </c>
      <c r="Y158" s="431">
        <f>AN_TME23[[#This Row],[TOTAL Non-Truncated Unadjusted Claims Expenses]]-AN_TME23[[#This Row],[Total Claims Excluded because of Truncation]]</f>
        <v>0</v>
      </c>
      <c r="Z158" s="431">
        <f t="shared" si="9"/>
        <v>0</v>
      </c>
      <c r="AA158" s="431">
        <f>AN_TME23[[#This Row],[TOTAL Non-Truncated Unadjusted Claims Expenses]]+AN_TME23[[#This Row],[TOTAL Non-Claims Expenses]]</f>
        <v>0</v>
      </c>
      <c r="AB158" s="431">
        <f>AN_TME23[[#This Row],[TOTAL Truncated Unadjusted Claims Expenses (A21 -A19)]]+AN_TME23[[#This Row],[TOTAL Non-Claims Expenses]]</f>
        <v>0</v>
      </c>
      <c r="AC158" s="475">
        <f>IFERROR(AN_TME23[[#This Row],[TOTAL Non-Truncated Unadjusted Expenses (A21 + A23)]]/AN_TME23[[#This Row],[Member Months]],0)</f>
        <v>0</v>
      </c>
      <c r="AD158" s="475">
        <f>IFERROR(AN_TME23[[#This Row],[TOTAL Truncated Unadjusted Expenses (A22 + A23)]]/AN_TME23[[#This Row],[Member Months]],0)</f>
        <v>0</v>
      </c>
      <c r="AE158" s="441">
        <f>IFERROR(AN_TME23[[#This Row],[Total Claims Excluded because of Truncation]]/AN_TME23[[#This Row],[Count of Members with Claims Truncated]], 0)</f>
        <v>0</v>
      </c>
      <c r="AF158" s="476">
        <f>IFERROR(AN_TME23[[#This Row],[Total Claims Excluded because of Truncation]]/AN_TME23[[#This Row],[TOTAL Non-Truncated Unadjusted Claims Expenses]], 0)</f>
        <v>0</v>
      </c>
    </row>
    <row r="159" spans="1:32" x14ac:dyDescent="0.25">
      <c r="A159" s="420"/>
      <c r="B159" s="421"/>
      <c r="C159" s="421"/>
      <c r="D159" s="422"/>
      <c r="E159" s="517"/>
      <c r="F159" s="423"/>
      <c r="G159" s="423"/>
      <c r="H159" s="423"/>
      <c r="I159" s="423"/>
      <c r="J159" s="423"/>
      <c r="K159" s="423"/>
      <c r="L159" s="423"/>
      <c r="M159" s="423"/>
      <c r="N159" s="423"/>
      <c r="O159" s="423"/>
      <c r="P159" s="423"/>
      <c r="Q159" s="423"/>
      <c r="R159" s="423"/>
      <c r="S159" s="423"/>
      <c r="T159" s="423"/>
      <c r="U159" s="423"/>
      <c r="V159" s="423"/>
      <c r="W159" s="435"/>
      <c r="X159" s="425">
        <f t="shared" si="8"/>
        <v>0</v>
      </c>
      <c r="Y159" s="425">
        <f>AN_TME23[[#This Row],[TOTAL Non-Truncated Unadjusted Claims Expenses]]-AN_TME23[[#This Row],[Total Claims Excluded because of Truncation]]</f>
        <v>0</v>
      </c>
      <c r="Z159" s="425">
        <f t="shared" si="9"/>
        <v>0</v>
      </c>
      <c r="AA159" s="425">
        <f>AN_TME23[[#This Row],[TOTAL Non-Truncated Unadjusted Claims Expenses]]+AN_TME23[[#This Row],[TOTAL Non-Claims Expenses]]</f>
        <v>0</v>
      </c>
      <c r="AB159" s="425">
        <f>AN_TME23[[#This Row],[TOTAL Truncated Unadjusted Claims Expenses (A21 -A19)]]+AN_TME23[[#This Row],[TOTAL Non-Claims Expenses]]</f>
        <v>0</v>
      </c>
      <c r="AC159" s="474">
        <f>IFERROR(AN_TME23[[#This Row],[TOTAL Non-Truncated Unadjusted Expenses (A21 + A23)]]/AN_TME23[[#This Row],[Member Months]],0)</f>
        <v>0</v>
      </c>
      <c r="AD159" s="474">
        <f>IFERROR(AN_TME23[[#This Row],[TOTAL Truncated Unadjusted Expenses (A22 + A23)]]/AN_TME23[[#This Row],[Member Months]],0)</f>
        <v>0</v>
      </c>
      <c r="AE159" s="441">
        <f>IFERROR(AN_TME23[[#This Row],[Total Claims Excluded because of Truncation]]/AN_TME23[[#This Row],[Count of Members with Claims Truncated]], 0)</f>
        <v>0</v>
      </c>
      <c r="AF159" s="476">
        <f>IFERROR(AN_TME23[[#This Row],[Total Claims Excluded because of Truncation]]/AN_TME23[[#This Row],[TOTAL Non-Truncated Unadjusted Claims Expenses]], 0)</f>
        <v>0</v>
      </c>
    </row>
    <row r="160" spans="1:32" x14ac:dyDescent="0.25">
      <c r="A160" s="426"/>
      <c r="B160" s="427"/>
      <c r="C160" s="427"/>
      <c r="D160" s="428"/>
      <c r="E160" s="517"/>
      <c r="F160" s="429"/>
      <c r="G160" s="429"/>
      <c r="H160" s="429"/>
      <c r="I160" s="429"/>
      <c r="J160" s="429"/>
      <c r="K160" s="429"/>
      <c r="L160" s="429"/>
      <c r="M160" s="429"/>
      <c r="N160" s="429"/>
      <c r="O160" s="429"/>
      <c r="P160" s="429"/>
      <c r="Q160" s="429"/>
      <c r="R160" s="429"/>
      <c r="S160" s="429"/>
      <c r="T160" s="429"/>
      <c r="U160" s="429"/>
      <c r="V160" s="429"/>
      <c r="W160" s="436"/>
      <c r="X160" s="431">
        <f t="shared" si="8"/>
        <v>0</v>
      </c>
      <c r="Y160" s="431">
        <f>AN_TME23[[#This Row],[TOTAL Non-Truncated Unadjusted Claims Expenses]]-AN_TME23[[#This Row],[Total Claims Excluded because of Truncation]]</f>
        <v>0</v>
      </c>
      <c r="Z160" s="431">
        <f t="shared" si="9"/>
        <v>0</v>
      </c>
      <c r="AA160" s="431">
        <f>AN_TME23[[#This Row],[TOTAL Non-Truncated Unadjusted Claims Expenses]]+AN_TME23[[#This Row],[TOTAL Non-Claims Expenses]]</f>
        <v>0</v>
      </c>
      <c r="AB160" s="431">
        <f>AN_TME23[[#This Row],[TOTAL Truncated Unadjusted Claims Expenses (A21 -A19)]]+AN_TME23[[#This Row],[TOTAL Non-Claims Expenses]]</f>
        <v>0</v>
      </c>
      <c r="AC160" s="475">
        <f>IFERROR(AN_TME23[[#This Row],[TOTAL Non-Truncated Unadjusted Expenses (A21 + A23)]]/AN_TME23[[#This Row],[Member Months]],0)</f>
        <v>0</v>
      </c>
      <c r="AD160" s="475">
        <f>IFERROR(AN_TME23[[#This Row],[TOTAL Truncated Unadjusted Expenses (A22 + A23)]]/AN_TME23[[#This Row],[Member Months]],0)</f>
        <v>0</v>
      </c>
      <c r="AE160" s="441">
        <f>IFERROR(AN_TME23[[#This Row],[Total Claims Excluded because of Truncation]]/AN_TME23[[#This Row],[Count of Members with Claims Truncated]], 0)</f>
        <v>0</v>
      </c>
      <c r="AF160" s="476">
        <f>IFERROR(AN_TME23[[#This Row],[Total Claims Excluded because of Truncation]]/AN_TME23[[#This Row],[TOTAL Non-Truncated Unadjusted Claims Expenses]], 0)</f>
        <v>0</v>
      </c>
    </row>
    <row r="161" spans="1:32" x14ac:dyDescent="0.25">
      <c r="A161" s="420"/>
      <c r="B161" s="421"/>
      <c r="C161" s="421"/>
      <c r="D161" s="422"/>
      <c r="E161" s="517"/>
      <c r="F161" s="423"/>
      <c r="G161" s="423"/>
      <c r="H161" s="423"/>
      <c r="I161" s="423"/>
      <c r="J161" s="423"/>
      <c r="K161" s="423"/>
      <c r="L161" s="423"/>
      <c r="M161" s="423"/>
      <c r="N161" s="423"/>
      <c r="O161" s="423"/>
      <c r="P161" s="423"/>
      <c r="Q161" s="423"/>
      <c r="R161" s="423"/>
      <c r="S161" s="423"/>
      <c r="T161" s="423"/>
      <c r="U161" s="423"/>
      <c r="V161" s="423"/>
      <c r="W161" s="435"/>
      <c r="X161" s="425">
        <f t="shared" si="8"/>
        <v>0</v>
      </c>
      <c r="Y161" s="425">
        <f>AN_TME23[[#This Row],[TOTAL Non-Truncated Unadjusted Claims Expenses]]-AN_TME23[[#This Row],[Total Claims Excluded because of Truncation]]</f>
        <v>0</v>
      </c>
      <c r="Z161" s="425">
        <f t="shared" si="9"/>
        <v>0</v>
      </c>
      <c r="AA161" s="425">
        <f>AN_TME23[[#This Row],[TOTAL Non-Truncated Unadjusted Claims Expenses]]+AN_TME23[[#This Row],[TOTAL Non-Claims Expenses]]</f>
        <v>0</v>
      </c>
      <c r="AB161" s="425">
        <f>AN_TME23[[#This Row],[TOTAL Truncated Unadjusted Claims Expenses (A21 -A19)]]+AN_TME23[[#This Row],[TOTAL Non-Claims Expenses]]</f>
        <v>0</v>
      </c>
      <c r="AC161" s="474">
        <f>IFERROR(AN_TME23[[#This Row],[TOTAL Non-Truncated Unadjusted Expenses (A21 + A23)]]/AN_TME23[[#This Row],[Member Months]],0)</f>
        <v>0</v>
      </c>
      <c r="AD161" s="474">
        <f>IFERROR(AN_TME23[[#This Row],[TOTAL Truncated Unadjusted Expenses (A22 + A23)]]/AN_TME23[[#This Row],[Member Months]],0)</f>
        <v>0</v>
      </c>
      <c r="AE161" s="441">
        <f>IFERROR(AN_TME23[[#This Row],[Total Claims Excluded because of Truncation]]/AN_TME23[[#This Row],[Count of Members with Claims Truncated]], 0)</f>
        <v>0</v>
      </c>
      <c r="AF161" s="476">
        <f>IFERROR(AN_TME23[[#This Row],[Total Claims Excluded because of Truncation]]/AN_TME23[[#This Row],[TOTAL Non-Truncated Unadjusted Claims Expenses]], 0)</f>
        <v>0</v>
      </c>
    </row>
    <row r="162" spans="1:32" x14ac:dyDescent="0.25">
      <c r="A162" s="426"/>
      <c r="B162" s="427"/>
      <c r="C162" s="427"/>
      <c r="D162" s="428"/>
      <c r="E162" s="517"/>
      <c r="F162" s="429"/>
      <c r="G162" s="429"/>
      <c r="H162" s="429"/>
      <c r="I162" s="429"/>
      <c r="J162" s="429"/>
      <c r="K162" s="429"/>
      <c r="L162" s="429"/>
      <c r="M162" s="429"/>
      <c r="N162" s="429"/>
      <c r="O162" s="429"/>
      <c r="P162" s="429"/>
      <c r="Q162" s="429"/>
      <c r="R162" s="429"/>
      <c r="S162" s="429"/>
      <c r="T162" s="429"/>
      <c r="U162" s="429"/>
      <c r="V162" s="429"/>
      <c r="W162" s="436"/>
      <c r="X162" s="431">
        <f t="shared" si="8"/>
        <v>0</v>
      </c>
      <c r="Y162" s="431">
        <f>AN_TME23[[#This Row],[TOTAL Non-Truncated Unadjusted Claims Expenses]]-AN_TME23[[#This Row],[Total Claims Excluded because of Truncation]]</f>
        <v>0</v>
      </c>
      <c r="Z162" s="431">
        <f t="shared" si="9"/>
        <v>0</v>
      </c>
      <c r="AA162" s="431">
        <f>AN_TME23[[#This Row],[TOTAL Non-Truncated Unadjusted Claims Expenses]]+AN_TME23[[#This Row],[TOTAL Non-Claims Expenses]]</f>
        <v>0</v>
      </c>
      <c r="AB162" s="431">
        <f>AN_TME23[[#This Row],[TOTAL Truncated Unadjusted Claims Expenses (A21 -A19)]]+AN_TME23[[#This Row],[TOTAL Non-Claims Expenses]]</f>
        <v>0</v>
      </c>
      <c r="AC162" s="475">
        <f>IFERROR(AN_TME23[[#This Row],[TOTAL Non-Truncated Unadjusted Expenses (A21 + A23)]]/AN_TME23[[#This Row],[Member Months]],0)</f>
        <v>0</v>
      </c>
      <c r="AD162" s="475">
        <f>IFERROR(AN_TME23[[#This Row],[TOTAL Truncated Unadjusted Expenses (A22 + A23)]]/AN_TME23[[#This Row],[Member Months]],0)</f>
        <v>0</v>
      </c>
      <c r="AE162" s="441">
        <f>IFERROR(AN_TME23[[#This Row],[Total Claims Excluded because of Truncation]]/AN_TME23[[#This Row],[Count of Members with Claims Truncated]], 0)</f>
        <v>0</v>
      </c>
      <c r="AF162" s="476">
        <f>IFERROR(AN_TME23[[#This Row],[Total Claims Excluded because of Truncation]]/AN_TME23[[#This Row],[TOTAL Non-Truncated Unadjusted Claims Expenses]], 0)</f>
        <v>0</v>
      </c>
    </row>
    <row r="163" spans="1:32" x14ac:dyDescent="0.25">
      <c r="A163" s="420"/>
      <c r="B163" s="421"/>
      <c r="C163" s="421"/>
      <c r="D163" s="422"/>
      <c r="E163" s="517"/>
      <c r="F163" s="423"/>
      <c r="G163" s="423"/>
      <c r="H163" s="423"/>
      <c r="I163" s="423"/>
      <c r="J163" s="423"/>
      <c r="K163" s="423"/>
      <c r="L163" s="423"/>
      <c r="M163" s="423"/>
      <c r="N163" s="423"/>
      <c r="O163" s="423"/>
      <c r="P163" s="423"/>
      <c r="Q163" s="423"/>
      <c r="R163" s="423"/>
      <c r="S163" s="423"/>
      <c r="T163" s="423"/>
      <c r="U163" s="423"/>
      <c r="V163" s="423"/>
      <c r="W163" s="435"/>
      <c r="X163" s="425">
        <f t="shared" si="8"/>
        <v>0</v>
      </c>
      <c r="Y163" s="425">
        <f>AN_TME23[[#This Row],[TOTAL Non-Truncated Unadjusted Claims Expenses]]-AN_TME23[[#This Row],[Total Claims Excluded because of Truncation]]</f>
        <v>0</v>
      </c>
      <c r="Z163" s="425">
        <f t="shared" si="9"/>
        <v>0</v>
      </c>
      <c r="AA163" s="425">
        <f>AN_TME23[[#This Row],[TOTAL Non-Truncated Unadjusted Claims Expenses]]+AN_TME23[[#This Row],[TOTAL Non-Claims Expenses]]</f>
        <v>0</v>
      </c>
      <c r="AB163" s="425">
        <f>AN_TME23[[#This Row],[TOTAL Truncated Unadjusted Claims Expenses (A21 -A19)]]+AN_TME23[[#This Row],[TOTAL Non-Claims Expenses]]</f>
        <v>0</v>
      </c>
      <c r="AC163" s="474">
        <f>IFERROR(AN_TME23[[#This Row],[TOTAL Non-Truncated Unadjusted Expenses (A21 + A23)]]/AN_TME23[[#This Row],[Member Months]],0)</f>
        <v>0</v>
      </c>
      <c r="AD163" s="474">
        <f>IFERROR(AN_TME23[[#This Row],[TOTAL Truncated Unadjusted Expenses (A22 + A23)]]/AN_TME23[[#This Row],[Member Months]],0)</f>
        <v>0</v>
      </c>
      <c r="AE163" s="441">
        <f>IFERROR(AN_TME23[[#This Row],[Total Claims Excluded because of Truncation]]/AN_TME23[[#This Row],[Count of Members with Claims Truncated]], 0)</f>
        <v>0</v>
      </c>
      <c r="AF163" s="476">
        <f>IFERROR(AN_TME23[[#This Row],[Total Claims Excluded because of Truncation]]/AN_TME23[[#This Row],[TOTAL Non-Truncated Unadjusted Claims Expenses]], 0)</f>
        <v>0</v>
      </c>
    </row>
    <row r="164" spans="1:32" x14ac:dyDescent="0.25">
      <c r="A164" s="426"/>
      <c r="B164" s="427"/>
      <c r="C164" s="427"/>
      <c r="D164" s="428"/>
      <c r="E164" s="517"/>
      <c r="F164" s="429"/>
      <c r="G164" s="429"/>
      <c r="H164" s="429"/>
      <c r="I164" s="429"/>
      <c r="J164" s="429"/>
      <c r="K164" s="429"/>
      <c r="L164" s="429"/>
      <c r="M164" s="429"/>
      <c r="N164" s="429"/>
      <c r="O164" s="429"/>
      <c r="P164" s="429"/>
      <c r="Q164" s="429"/>
      <c r="R164" s="429"/>
      <c r="S164" s="429"/>
      <c r="T164" s="429"/>
      <c r="U164" s="429"/>
      <c r="V164" s="429"/>
      <c r="W164" s="436"/>
      <c r="X164" s="431">
        <f t="shared" si="8"/>
        <v>0</v>
      </c>
      <c r="Y164" s="431">
        <f>AN_TME23[[#This Row],[TOTAL Non-Truncated Unadjusted Claims Expenses]]-AN_TME23[[#This Row],[Total Claims Excluded because of Truncation]]</f>
        <v>0</v>
      </c>
      <c r="Z164" s="431">
        <f t="shared" si="9"/>
        <v>0</v>
      </c>
      <c r="AA164" s="431">
        <f>AN_TME23[[#This Row],[TOTAL Non-Truncated Unadjusted Claims Expenses]]+AN_TME23[[#This Row],[TOTAL Non-Claims Expenses]]</f>
        <v>0</v>
      </c>
      <c r="AB164" s="431">
        <f>AN_TME23[[#This Row],[TOTAL Truncated Unadjusted Claims Expenses (A21 -A19)]]+AN_TME23[[#This Row],[TOTAL Non-Claims Expenses]]</f>
        <v>0</v>
      </c>
      <c r="AC164" s="475">
        <f>IFERROR(AN_TME23[[#This Row],[TOTAL Non-Truncated Unadjusted Expenses (A21 + A23)]]/AN_TME23[[#This Row],[Member Months]],0)</f>
        <v>0</v>
      </c>
      <c r="AD164" s="475">
        <f>IFERROR(AN_TME23[[#This Row],[TOTAL Truncated Unadjusted Expenses (A22 + A23)]]/AN_TME23[[#This Row],[Member Months]],0)</f>
        <v>0</v>
      </c>
      <c r="AE164" s="441">
        <f>IFERROR(AN_TME23[[#This Row],[Total Claims Excluded because of Truncation]]/AN_TME23[[#This Row],[Count of Members with Claims Truncated]], 0)</f>
        <v>0</v>
      </c>
      <c r="AF164" s="476">
        <f>IFERROR(AN_TME23[[#This Row],[Total Claims Excluded because of Truncation]]/AN_TME23[[#This Row],[TOTAL Non-Truncated Unadjusted Claims Expenses]], 0)</f>
        <v>0</v>
      </c>
    </row>
    <row r="165" spans="1:32" x14ac:dyDescent="0.25">
      <c r="A165" s="420"/>
      <c r="B165" s="421"/>
      <c r="C165" s="421"/>
      <c r="D165" s="422"/>
      <c r="E165" s="517"/>
      <c r="F165" s="423"/>
      <c r="G165" s="423"/>
      <c r="H165" s="423"/>
      <c r="I165" s="423"/>
      <c r="J165" s="423"/>
      <c r="K165" s="423"/>
      <c r="L165" s="423"/>
      <c r="M165" s="423"/>
      <c r="N165" s="423"/>
      <c r="O165" s="423"/>
      <c r="P165" s="423"/>
      <c r="Q165" s="423"/>
      <c r="R165" s="423"/>
      <c r="S165" s="423"/>
      <c r="T165" s="423"/>
      <c r="U165" s="423"/>
      <c r="V165" s="423"/>
      <c r="W165" s="435"/>
      <c r="X165" s="425">
        <f t="shared" si="8"/>
        <v>0</v>
      </c>
      <c r="Y165" s="425">
        <f>AN_TME23[[#This Row],[TOTAL Non-Truncated Unadjusted Claims Expenses]]-AN_TME23[[#This Row],[Total Claims Excluded because of Truncation]]</f>
        <v>0</v>
      </c>
      <c r="Z165" s="425">
        <f t="shared" si="9"/>
        <v>0</v>
      </c>
      <c r="AA165" s="425">
        <f>AN_TME23[[#This Row],[TOTAL Non-Truncated Unadjusted Claims Expenses]]+AN_TME23[[#This Row],[TOTAL Non-Claims Expenses]]</f>
        <v>0</v>
      </c>
      <c r="AB165" s="425">
        <f>AN_TME23[[#This Row],[TOTAL Truncated Unadjusted Claims Expenses (A21 -A19)]]+AN_TME23[[#This Row],[TOTAL Non-Claims Expenses]]</f>
        <v>0</v>
      </c>
      <c r="AC165" s="474">
        <f>IFERROR(AN_TME23[[#This Row],[TOTAL Non-Truncated Unadjusted Expenses (A21 + A23)]]/AN_TME23[[#This Row],[Member Months]],0)</f>
        <v>0</v>
      </c>
      <c r="AD165" s="474">
        <f>IFERROR(AN_TME23[[#This Row],[TOTAL Truncated Unadjusted Expenses (A22 + A23)]]/AN_TME23[[#This Row],[Member Months]],0)</f>
        <v>0</v>
      </c>
      <c r="AE165" s="441">
        <f>IFERROR(AN_TME23[[#This Row],[Total Claims Excluded because of Truncation]]/AN_TME23[[#This Row],[Count of Members with Claims Truncated]], 0)</f>
        <v>0</v>
      </c>
      <c r="AF165" s="476">
        <f>IFERROR(AN_TME23[[#This Row],[Total Claims Excluded because of Truncation]]/AN_TME23[[#This Row],[TOTAL Non-Truncated Unadjusted Claims Expenses]], 0)</f>
        <v>0</v>
      </c>
    </row>
    <row r="166" spans="1:32" x14ac:dyDescent="0.25">
      <c r="A166" s="426"/>
      <c r="B166" s="427"/>
      <c r="C166" s="427"/>
      <c r="D166" s="428"/>
      <c r="E166" s="517"/>
      <c r="F166" s="429"/>
      <c r="G166" s="429"/>
      <c r="H166" s="429"/>
      <c r="I166" s="429"/>
      <c r="J166" s="429"/>
      <c r="K166" s="429"/>
      <c r="L166" s="429"/>
      <c r="M166" s="429"/>
      <c r="N166" s="429"/>
      <c r="O166" s="429"/>
      <c r="P166" s="429"/>
      <c r="Q166" s="429"/>
      <c r="R166" s="429"/>
      <c r="S166" s="429"/>
      <c r="T166" s="429"/>
      <c r="U166" s="429"/>
      <c r="V166" s="429"/>
      <c r="W166" s="436"/>
      <c r="X166" s="431">
        <f t="shared" si="8"/>
        <v>0</v>
      </c>
      <c r="Y166" s="431">
        <f>AN_TME23[[#This Row],[TOTAL Non-Truncated Unadjusted Claims Expenses]]-AN_TME23[[#This Row],[Total Claims Excluded because of Truncation]]</f>
        <v>0</v>
      </c>
      <c r="Z166" s="431">
        <f t="shared" si="9"/>
        <v>0</v>
      </c>
      <c r="AA166" s="431">
        <f>AN_TME23[[#This Row],[TOTAL Non-Truncated Unadjusted Claims Expenses]]+AN_TME23[[#This Row],[TOTAL Non-Claims Expenses]]</f>
        <v>0</v>
      </c>
      <c r="AB166" s="431">
        <f>AN_TME23[[#This Row],[TOTAL Truncated Unadjusted Claims Expenses (A21 -A19)]]+AN_TME23[[#This Row],[TOTAL Non-Claims Expenses]]</f>
        <v>0</v>
      </c>
      <c r="AC166" s="475">
        <f>IFERROR(AN_TME23[[#This Row],[TOTAL Non-Truncated Unadjusted Expenses (A21 + A23)]]/AN_TME23[[#This Row],[Member Months]],0)</f>
        <v>0</v>
      </c>
      <c r="AD166" s="475">
        <f>IFERROR(AN_TME23[[#This Row],[TOTAL Truncated Unadjusted Expenses (A22 + A23)]]/AN_TME23[[#This Row],[Member Months]],0)</f>
        <v>0</v>
      </c>
      <c r="AE166" s="441">
        <f>IFERROR(AN_TME23[[#This Row],[Total Claims Excluded because of Truncation]]/AN_TME23[[#This Row],[Count of Members with Claims Truncated]], 0)</f>
        <v>0</v>
      </c>
      <c r="AF166" s="476">
        <f>IFERROR(AN_TME23[[#This Row],[Total Claims Excluded because of Truncation]]/AN_TME23[[#This Row],[TOTAL Non-Truncated Unadjusted Claims Expenses]], 0)</f>
        <v>0</v>
      </c>
    </row>
    <row r="167" spans="1:32" x14ac:dyDescent="0.25">
      <c r="A167" s="420"/>
      <c r="B167" s="421"/>
      <c r="C167" s="421"/>
      <c r="D167" s="422"/>
      <c r="E167" s="517"/>
      <c r="F167" s="423"/>
      <c r="G167" s="423"/>
      <c r="H167" s="423"/>
      <c r="I167" s="423"/>
      <c r="J167" s="423"/>
      <c r="K167" s="423"/>
      <c r="L167" s="423"/>
      <c r="M167" s="423"/>
      <c r="N167" s="423"/>
      <c r="O167" s="423"/>
      <c r="P167" s="423"/>
      <c r="Q167" s="423"/>
      <c r="R167" s="423"/>
      <c r="S167" s="423"/>
      <c r="T167" s="423"/>
      <c r="U167" s="423"/>
      <c r="V167" s="423"/>
      <c r="W167" s="435"/>
      <c r="X167" s="425">
        <f t="shared" si="8"/>
        <v>0</v>
      </c>
      <c r="Y167" s="425">
        <f>AN_TME23[[#This Row],[TOTAL Non-Truncated Unadjusted Claims Expenses]]-AN_TME23[[#This Row],[Total Claims Excluded because of Truncation]]</f>
        <v>0</v>
      </c>
      <c r="Z167" s="425">
        <f t="shared" si="9"/>
        <v>0</v>
      </c>
      <c r="AA167" s="425">
        <f>AN_TME23[[#This Row],[TOTAL Non-Truncated Unadjusted Claims Expenses]]+AN_TME23[[#This Row],[TOTAL Non-Claims Expenses]]</f>
        <v>0</v>
      </c>
      <c r="AB167" s="425">
        <f>AN_TME23[[#This Row],[TOTAL Truncated Unadjusted Claims Expenses (A21 -A19)]]+AN_TME23[[#This Row],[TOTAL Non-Claims Expenses]]</f>
        <v>0</v>
      </c>
      <c r="AC167" s="474">
        <f>IFERROR(AN_TME23[[#This Row],[TOTAL Non-Truncated Unadjusted Expenses (A21 + A23)]]/AN_TME23[[#This Row],[Member Months]],0)</f>
        <v>0</v>
      </c>
      <c r="AD167" s="474">
        <f>IFERROR(AN_TME23[[#This Row],[TOTAL Truncated Unadjusted Expenses (A22 + A23)]]/AN_TME23[[#This Row],[Member Months]],0)</f>
        <v>0</v>
      </c>
      <c r="AE167" s="441">
        <f>IFERROR(AN_TME23[[#This Row],[Total Claims Excluded because of Truncation]]/AN_TME23[[#This Row],[Count of Members with Claims Truncated]], 0)</f>
        <v>0</v>
      </c>
      <c r="AF167" s="476">
        <f>IFERROR(AN_TME23[[#This Row],[Total Claims Excluded because of Truncation]]/AN_TME23[[#This Row],[TOTAL Non-Truncated Unadjusted Claims Expenses]], 0)</f>
        <v>0</v>
      </c>
    </row>
    <row r="168" spans="1:32" x14ac:dyDescent="0.25">
      <c r="A168" s="426"/>
      <c r="B168" s="427"/>
      <c r="C168" s="427"/>
      <c r="D168" s="428"/>
      <c r="E168" s="517"/>
      <c r="F168" s="429"/>
      <c r="G168" s="429"/>
      <c r="H168" s="429"/>
      <c r="I168" s="429"/>
      <c r="J168" s="429"/>
      <c r="K168" s="429"/>
      <c r="L168" s="429"/>
      <c r="M168" s="429"/>
      <c r="N168" s="429"/>
      <c r="O168" s="429"/>
      <c r="P168" s="429"/>
      <c r="Q168" s="429"/>
      <c r="R168" s="429"/>
      <c r="S168" s="429"/>
      <c r="T168" s="429"/>
      <c r="U168" s="429"/>
      <c r="V168" s="429"/>
      <c r="W168" s="436"/>
      <c r="X168" s="431">
        <f t="shared" si="8"/>
        <v>0</v>
      </c>
      <c r="Y168" s="431">
        <f>AN_TME23[[#This Row],[TOTAL Non-Truncated Unadjusted Claims Expenses]]-AN_TME23[[#This Row],[Total Claims Excluded because of Truncation]]</f>
        <v>0</v>
      </c>
      <c r="Z168" s="431">
        <f t="shared" si="9"/>
        <v>0</v>
      </c>
      <c r="AA168" s="431">
        <f>AN_TME23[[#This Row],[TOTAL Non-Truncated Unadjusted Claims Expenses]]+AN_TME23[[#This Row],[TOTAL Non-Claims Expenses]]</f>
        <v>0</v>
      </c>
      <c r="AB168" s="431">
        <f>AN_TME23[[#This Row],[TOTAL Truncated Unadjusted Claims Expenses (A21 -A19)]]+AN_TME23[[#This Row],[TOTAL Non-Claims Expenses]]</f>
        <v>0</v>
      </c>
      <c r="AC168" s="475">
        <f>IFERROR(AN_TME23[[#This Row],[TOTAL Non-Truncated Unadjusted Expenses (A21 + A23)]]/AN_TME23[[#This Row],[Member Months]],0)</f>
        <v>0</v>
      </c>
      <c r="AD168" s="475">
        <f>IFERROR(AN_TME23[[#This Row],[TOTAL Truncated Unadjusted Expenses (A22 + A23)]]/AN_TME23[[#This Row],[Member Months]],0)</f>
        <v>0</v>
      </c>
      <c r="AE168" s="441">
        <f>IFERROR(AN_TME23[[#This Row],[Total Claims Excluded because of Truncation]]/AN_TME23[[#This Row],[Count of Members with Claims Truncated]], 0)</f>
        <v>0</v>
      </c>
      <c r="AF168" s="476">
        <f>IFERROR(AN_TME23[[#This Row],[Total Claims Excluded because of Truncation]]/AN_TME23[[#This Row],[TOTAL Non-Truncated Unadjusted Claims Expenses]], 0)</f>
        <v>0</v>
      </c>
    </row>
    <row r="169" spans="1:32" x14ac:dyDescent="0.25">
      <c r="A169" s="420"/>
      <c r="B169" s="421"/>
      <c r="C169" s="421"/>
      <c r="D169" s="422"/>
      <c r="E169" s="517"/>
      <c r="F169" s="423"/>
      <c r="G169" s="423"/>
      <c r="H169" s="423"/>
      <c r="I169" s="423"/>
      <c r="J169" s="423"/>
      <c r="K169" s="423"/>
      <c r="L169" s="423"/>
      <c r="M169" s="423"/>
      <c r="N169" s="423"/>
      <c r="O169" s="423"/>
      <c r="P169" s="423"/>
      <c r="Q169" s="423"/>
      <c r="R169" s="423"/>
      <c r="S169" s="423"/>
      <c r="T169" s="423"/>
      <c r="U169" s="423"/>
      <c r="V169" s="423"/>
      <c r="W169" s="435"/>
      <c r="X169" s="425">
        <f t="shared" si="8"/>
        <v>0</v>
      </c>
      <c r="Y169" s="425">
        <f>AN_TME23[[#This Row],[TOTAL Non-Truncated Unadjusted Claims Expenses]]-AN_TME23[[#This Row],[Total Claims Excluded because of Truncation]]</f>
        <v>0</v>
      </c>
      <c r="Z169" s="425">
        <f t="shared" si="9"/>
        <v>0</v>
      </c>
      <c r="AA169" s="425">
        <f>AN_TME23[[#This Row],[TOTAL Non-Truncated Unadjusted Claims Expenses]]+AN_TME23[[#This Row],[TOTAL Non-Claims Expenses]]</f>
        <v>0</v>
      </c>
      <c r="AB169" s="425">
        <f>AN_TME23[[#This Row],[TOTAL Truncated Unadjusted Claims Expenses (A21 -A19)]]+AN_TME23[[#This Row],[TOTAL Non-Claims Expenses]]</f>
        <v>0</v>
      </c>
      <c r="AC169" s="474">
        <f>IFERROR(AN_TME23[[#This Row],[TOTAL Non-Truncated Unadjusted Expenses (A21 + A23)]]/AN_TME23[[#This Row],[Member Months]],0)</f>
        <v>0</v>
      </c>
      <c r="AD169" s="474">
        <f>IFERROR(AN_TME23[[#This Row],[TOTAL Truncated Unadjusted Expenses (A22 + A23)]]/AN_TME23[[#This Row],[Member Months]],0)</f>
        <v>0</v>
      </c>
      <c r="AE169" s="441">
        <f>IFERROR(AN_TME23[[#This Row],[Total Claims Excluded because of Truncation]]/AN_TME23[[#This Row],[Count of Members with Claims Truncated]], 0)</f>
        <v>0</v>
      </c>
      <c r="AF169" s="476">
        <f>IFERROR(AN_TME23[[#This Row],[Total Claims Excluded because of Truncation]]/AN_TME23[[#This Row],[TOTAL Non-Truncated Unadjusted Claims Expenses]], 0)</f>
        <v>0</v>
      </c>
    </row>
    <row r="170" spans="1:32" x14ac:dyDescent="0.25">
      <c r="A170" s="426"/>
      <c r="B170" s="427"/>
      <c r="C170" s="427"/>
      <c r="D170" s="428"/>
      <c r="E170" s="517"/>
      <c r="F170" s="429"/>
      <c r="G170" s="429"/>
      <c r="H170" s="429"/>
      <c r="I170" s="429"/>
      <c r="J170" s="429"/>
      <c r="K170" s="429"/>
      <c r="L170" s="429"/>
      <c r="M170" s="429"/>
      <c r="N170" s="429"/>
      <c r="O170" s="429"/>
      <c r="P170" s="429"/>
      <c r="Q170" s="429"/>
      <c r="R170" s="429"/>
      <c r="S170" s="429"/>
      <c r="T170" s="429"/>
      <c r="U170" s="429"/>
      <c r="V170" s="429"/>
      <c r="W170" s="436"/>
      <c r="X170" s="431">
        <f t="shared" si="8"/>
        <v>0</v>
      </c>
      <c r="Y170" s="431">
        <f>AN_TME23[[#This Row],[TOTAL Non-Truncated Unadjusted Claims Expenses]]-AN_TME23[[#This Row],[Total Claims Excluded because of Truncation]]</f>
        <v>0</v>
      </c>
      <c r="Z170" s="431">
        <f t="shared" si="9"/>
        <v>0</v>
      </c>
      <c r="AA170" s="431">
        <f>AN_TME23[[#This Row],[TOTAL Non-Truncated Unadjusted Claims Expenses]]+AN_TME23[[#This Row],[TOTAL Non-Claims Expenses]]</f>
        <v>0</v>
      </c>
      <c r="AB170" s="431">
        <f>AN_TME23[[#This Row],[TOTAL Truncated Unadjusted Claims Expenses (A21 -A19)]]+AN_TME23[[#This Row],[TOTAL Non-Claims Expenses]]</f>
        <v>0</v>
      </c>
      <c r="AC170" s="475">
        <f>IFERROR(AN_TME23[[#This Row],[TOTAL Non-Truncated Unadjusted Expenses (A21 + A23)]]/AN_TME23[[#This Row],[Member Months]],0)</f>
        <v>0</v>
      </c>
      <c r="AD170" s="475">
        <f>IFERROR(AN_TME23[[#This Row],[TOTAL Truncated Unadjusted Expenses (A22 + A23)]]/AN_TME23[[#This Row],[Member Months]],0)</f>
        <v>0</v>
      </c>
      <c r="AE170" s="441">
        <f>IFERROR(AN_TME23[[#This Row],[Total Claims Excluded because of Truncation]]/AN_TME23[[#This Row],[Count of Members with Claims Truncated]], 0)</f>
        <v>0</v>
      </c>
      <c r="AF170" s="476">
        <f>IFERROR(AN_TME23[[#This Row],[Total Claims Excluded because of Truncation]]/AN_TME23[[#This Row],[TOTAL Non-Truncated Unadjusted Claims Expenses]], 0)</f>
        <v>0</v>
      </c>
    </row>
    <row r="171" spans="1:32" x14ac:dyDescent="0.25">
      <c r="A171" s="420"/>
      <c r="B171" s="421"/>
      <c r="C171" s="421"/>
      <c r="D171" s="422"/>
      <c r="E171" s="517"/>
      <c r="F171" s="423"/>
      <c r="G171" s="423"/>
      <c r="H171" s="423"/>
      <c r="I171" s="423"/>
      <c r="J171" s="423"/>
      <c r="K171" s="423"/>
      <c r="L171" s="423"/>
      <c r="M171" s="423"/>
      <c r="N171" s="423"/>
      <c r="O171" s="423"/>
      <c r="P171" s="423"/>
      <c r="Q171" s="423"/>
      <c r="R171" s="423"/>
      <c r="S171" s="423"/>
      <c r="T171" s="423"/>
      <c r="U171" s="423"/>
      <c r="V171" s="423"/>
      <c r="W171" s="435"/>
      <c r="X171" s="425">
        <f t="shared" si="8"/>
        <v>0</v>
      </c>
      <c r="Y171" s="425">
        <f>AN_TME23[[#This Row],[TOTAL Non-Truncated Unadjusted Claims Expenses]]-AN_TME23[[#This Row],[Total Claims Excluded because of Truncation]]</f>
        <v>0</v>
      </c>
      <c r="Z171" s="425">
        <f t="shared" si="9"/>
        <v>0</v>
      </c>
      <c r="AA171" s="425">
        <f>AN_TME23[[#This Row],[TOTAL Non-Truncated Unadjusted Claims Expenses]]+AN_TME23[[#This Row],[TOTAL Non-Claims Expenses]]</f>
        <v>0</v>
      </c>
      <c r="AB171" s="425">
        <f>AN_TME23[[#This Row],[TOTAL Truncated Unadjusted Claims Expenses (A21 -A19)]]+AN_TME23[[#This Row],[TOTAL Non-Claims Expenses]]</f>
        <v>0</v>
      </c>
      <c r="AC171" s="474">
        <f>IFERROR(AN_TME23[[#This Row],[TOTAL Non-Truncated Unadjusted Expenses (A21 + A23)]]/AN_TME23[[#This Row],[Member Months]],0)</f>
        <v>0</v>
      </c>
      <c r="AD171" s="474">
        <f>IFERROR(AN_TME23[[#This Row],[TOTAL Truncated Unadjusted Expenses (A22 + A23)]]/AN_TME23[[#This Row],[Member Months]],0)</f>
        <v>0</v>
      </c>
      <c r="AE171" s="441">
        <f>IFERROR(AN_TME23[[#This Row],[Total Claims Excluded because of Truncation]]/AN_TME23[[#This Row],[Count of Members with Claims Truncated]], 0)</f>
        <v>0</v>
      </c>
      <c r="AF171" s="476">
        <f>IFERROR(AN_TME23[[#This Row],[Total Claims Excluded because of Truncation]]/AN_TME23[[#This Row],[TOTAL Non-Truncated Unadjusted Claims Expenses]], 0)</f>
        <v>0</v>
      </c>
    </row>
    <row r="172" spans="1:32" x14ac:dyDescent="0.25">
      <c r="A172" s="426"/>
      <c r="B172" s="427"/>
      <c r="C172" s="427"/>
      <c r="D172" s="428"/>
      <c r="E172" s="517"/>
      <c r="F172" s="429"/>
      <c r="G172" s="429"/>
      <c r="H172" s="429"/>
      <c r="I172" s="429"/>
      <c r="J172" s="429"/>
      <c r="K172" s="429"/>
      <c r="L172" s="429"/>
      <c r="M172" s="429"/>
      <c r="N172" s="429"/>
      <c r="O172" s="429"/>
      <c r="P172" s="429"/>
      <c r="Q172" s="429"/>
      <c r="R172" s="429"/>
      <c r="S172" s="429"/>
      <c r="T172" s="429"/>
      <c r="U172" s="429"/>
      <c r="V172" s="429"/>
      <c r="W172" s="436"/>
      <c r="X172" s="431">
        <f t="shared" si="8"/>
        <v>0</v>
      </c>
      <c r="Y172" s="431">
        <f>AN_TME23[[#This Row],[TOTAL Non-Truncated Unadjusted Claims Expenses]]-AN_TME23[[#This Row],[Total Claims Excluded because of Truncation]]</f>
        <v>0</v>
      </c>
      <c r="Z172" s="431">
        <f t="shared" si="9"/>
        <v>0</v>
      </c>
      <c r="AA172" s="431">
        <f>AN_TME23[[#This Row],[TOTAL Non-Truncated Unadjusted Claims Expenses]]+AN_TME23[[#This Row],[TOTAL Non-Claims Expenses]]</f>
        <v>0</v>
      </c>
      <c r="AB172" s="431">
        <f>AN_TME23[[#This Row],[TOTAL Truncated Unadjusted Claims Expenses (A21 -A19)]]+AN_TME23[[#This Row],[TOTAL Non-Claims Expenses]]</f>
        <v>0</v>
      </c>
      <c r="AC172" s="475">
        <f>IFERROR(AN_TME23[[#This Row],[TOTAL Non-Truncated Unadjusted Expenses (A21 + A23)]]/AN_TME23[[#This Row],[Member Months]],0)</f>
        <v>0</v>
      </c>
      <c r="AD172" s="475">
        <f>IFERROR(AN_TME23[[#This Row],[TOTAL Truncated Unadjusted Expenses (A22 + A23)]]/AN_TME23[[#This Row],[Member Months]],0)</f>
        <v>0</v>
      </c>
      <c r="AE172" s="441">
        <f>IFERROR(AN_TME23[[#This Row],[Total Claims Excluded because of Truncation]]/AN_TME23[[#This Row],[Count of Members with Claims Truncated]], 0)</f>
        <v>0</v>
      </c>
      <c r="AF172" s="476">
        <f>IFERROR(AN_TME23[[#This Row],[Total Claims Excluded because of Truncation]]/AN_TME23[[#This Row],[TOTAL Non-Truncated Unadjusted Claims Expenses]], 0)</f>
        <v>0</v>
      </c>
    </row>
    <row r="173" spans="1:32" x14ac:dyDescent="0.25">
      <c r="A173" s="420"/>
      <c r="B173" s="421"/>
      <c r="C173" s="421"/>
      <c r="D173" s="422"/>
      <c r="E173" s="517"/>
      <c r="F173" s="423"/>
      <c r="G173" s="423"/>
      <c r="H173" s="423"/>
      <c r="I173" s="423"/>
      <c r="J173" s="423"/>
      <c r="K173" s="423"/>
      <c r="L173" s="423"/>
      <c r="M173" s="423"/>
      <c r="N173" s="423"/>
      <c r="O173" s="423"/>
      <c r="P173" s="423"/>
      <c r="Q173" s="423"/>
      <c r="R173" s="423"/>
      <c r="S173" s="423"/>
      <c r="T173" s="423"/>
      <c r="U173" s="423"/>
      <c r="V173" s="423"/>
      <c r="W173" s="435"/>
      <c r="X173" s="425">
        <f t="shared" si="8"/>
        <v>0</v>
      </c>
      <c r="Y173" s="425">
        <f>AN_TME23[[#This Row],[TOTAL Non-Truncated Unadjusted Claims Expenses]]-AN_TME23[[#This Row],[Total Claims Excluded because of Truncation]]</f>
        <v>0</v>
      </c>
      <c r="Z173" s="425">
        <f t="shared" si="9"/>
        <v>0</v>
      </c>
      <c r="AA173" s="425">
        <f>AN_TME23[[#This Row],[TOTAL Non-Truncated Unadjusted Claims Expenses]]+AN_TME23[[#This Row],[TOTAL Non-Claims Expenses]]</f>
        <v>0</v>
      </c>
      <c r="AB173" s="425">
        <f>AN_TME23[[#This Row],[TOTAL Truncated Unadjusted Claims Expenses (A21 -A19)]]+AN_TME23[[#This Row],[TOTAL Non-Claims Expenses]]</f>
        <v>0</v>
      </c>
      <c r="AC173" s="474">
        <f>IFERROR(AN_TME23[[#This Row],[TOTAL Non-Truncated Unadjusted Expenses (A21 + A23)]]/AN_TME23[[#This Row],[Member Months]],0)</f>
        <v>0</v>
      </c>
      <c r="AD173" s="474">
        <f>IFERROR(AN_TME23[[#This Row],[TOTAL Truncated Unadjusted Expenses (A22 + A23)]]/AN_TME23[[#This Row],[Member Months]],0)</f>
        <v>0</v>
      </c>
      <c r="AE173" s="441">
        <f>IFERROR(AN_TME23[[#This Row],[Total Claims Excluded because of Truncation]]/AN_TME23[[#This Row],[Count of Members with Claims Truncated]], 0)</f>
        <v>0</v>
      </c>
      <c r="AF173" s="476">
        <f>IFERROR(AN_TME23[[#This Row],[Total Claims Excluded because of Truncation]]/AN_TME23[[#This Row],[TOTAL Non-Truncated Unadjusted Claims Expenses]], 0)</f>
        <v>0</v>
      </c>
    </row>
    <row r="174" spans="1:32" x14ac:dyDescent="0.25">
      <c r="A174" s="426"/>
      <c r="B174" s="427"/>
      <c r="C174" s="427"/>
      <c r="D174" s="428"/>
      <c r="E174" s="517"/>
      <c r="F174" s="429"/>
      <c r="G174" s="429"/>
      <c r="H174" s="429"/>
      <c r="I174" s="429"/>
      <c r="J174" s="429"/>
      <c r="K174" s="429"/>
      <c r="L174" s="429"/>
      <c r="M174" s="429"/>
      <c r="N174" s="429"/>
      <c r="O174" s="429"/>
      <c r="P174" s="429"/>
      <c r="Q174" s="429"/>
      <c r="R174" s="429"/>
      <c r="S174" s="429"/>
      <c r="T174" s="429"/>
      <c r="U174" s="429"/>
      <c r="V174" s="429"/>
      <c r="W174" s="436"/>
      <c r="X174" s="431">
        <f t="shared" si="8"/>
        <v>0</v>
      </c>
      <c r="Y174" s="431">
        <f>AN_TME23[[#This Row],[TOTAL Non-Truncated Unadjusted Claims Expenses]]-AN_TME23[[#This Row],[Total Claims Excluded because of Truncation]]</f>
        <v>0</v>
      </c>
      <c r="Z174" s="431">
        <f t="shared" si="9"/>
        <v>0</v>
      </c>
      <c r="AA174" s="431">
        <f>AN_TME23[[#This Row],[TOTAL Non-Truncated Unadjusted Claims Expenses]]+AN_TME23[[#This Row],[TOTAL Non-Claims Expenses]]</f>
        <v>0</v>
      </c>
      <c r="AB174" s="431">
        <f>AN_TME23[[#This Row],[TOTAL Truncated Unadjusted Claims Expenses (A21 -A19)]]+AN_TME23[[#This Row],[TOTAL Non-Claims Expenses]]</f>
        <v>0</v>
      </c>
      <c r="AC174" s="475">
        <f>IFERROR(AN_TME23[[#This Row],[TOTAL Non-Truncated Unadjusted Expenses (A21 + A23)]]/AN_TME23[[#This Row],[Member Months]],0)</f>
        <v>0</v>
      </c>
      <c r="AD174" s="475">
        <f>IFERROR(AN_TME23[[#This Row],[TOTAL Truncated Unadjusted Expenses (A22 + A23)]]/AN_TME23[[#This Row],[Member Months]],0)</f>
        <v>0</v>
      </c>
      <c r="AE174" s="441">
        <f>IFERROR(AN_TME23[[#This Row],[Total Claims Excluded because of Truncation]]/AN_TME23[[#This Row],[Count of Members with Claims Truncated]], 0)</f>
        <v>0</v>
      </c>
      <c r="AF174" s="476">
        <f>IFERROR(AN_TME23[[#This Row],[Total Claims Excluded because of Truncation]]/AN_TME23[[#This Row],[TOTAL Non-Truncated Unadjusted Claims Expenses]], 0)</f>
        <v>0</v>
      </c>
    </row>
    <row r="175" spans="1:32" x14ac:dyDescent="0.25">
      <c r="A175" s="420"/>
      <c r="B175" s="421"/>
      <c r="C175" s="421"/>
      <c r="D175" s="422"/>
      <c r="E175" s="517"/>
      <c r="F175" s="423"/>
      <c r="G175" s="423"/>
      <c r="H175" s="423"/>
      <c r="I175" s="423"/>
      <c r="J175" s="423"/>
      <c r="K175" s="423"/>
      <c r="L175" s="423"/>
      <c r="M175" s="423"/>
      <c r="N175" s="423"/>
      <c r="O175" s="423"/>
      <c r="P175" s="423"/>
      <c r="Q175" s="423"/>
      <c r="R175" s="423"/>
      <c r="S175" s="423"/>
      <c r="T175" s="423"/>
      <c r="U175" s="423"/>
      <c r="V175" s="423"/>
      <c r="W175" s="435"/>
      <c r="X175" s="425">
        <f t="shared" si="8"/>
        <v>0</v>
      </c>
      <c r="Y175" s="425">
        <f>AN_TME23[[#This Row],[TOTAL Non-Truncated Unadjusted Claims Expenses]]-AN_TME23[[#This Row],[Total Claims Excluded because of Truncation]]</f>
        <v>0</v>
      </c>
      <c r="Z175" s="425">
        <f t="shared" si="9"/>
        <v>0</v>
      </c>
      <c r="AA175" s="425">
        <f>AN_TME23[[#This Row],[TOTAL Non-Truncated Unadjusted Claims Expenses]]+AN_TME23[[#This Row],[TOTAL Non-Claims Expenses]]</f>
        <v>0</v>
      </c>
      <c r="AB175" s="425">
        <f>AN_TME23[[#This Row],[TOTAL Truncated Unadjusted Claims Expenses (A21 -A19)]]+AN_TME23[[#This Row],[TOTAL Non-Claims Expenses]]</f>
        <v>0</v>
      </c>
      <c r="AC175" s="474">
        <f>IFERROR(AN_TME23[[#This Row],[TOTAL Non-Truncated Unadjusted Expenses (A21 + A23)]]/AN_TME23[[#This Row],[Member Months]],0)</f>
        <v>0</v>
      </c>
      <c r="AD175" s="474">
        <f>IFERROR(AN_TME23[[#This Row],[TOTAL Truncated Unadjusted Expenses (A22 + A23)]]/AN_TME23[[#This Row],[Member Months]],0)</f>
        <v>0</v>
      </c>
      <c r="AE175" s="441">
        <f>IFERROR(AN_TME23[[#This Row],[Total Claims Excluded because of Truncation]]/AN_TME23[[#This Row],[Count of Members with Claims Truncated]], 0)</f>
        <v>0</v>
      </c>
      <c r="AF175" s="476">
        <f>IFERROR(AN_TME23[[#This Row],[Total Claims Excluded because of Truncation]]/AN_TME23[[#This Row],[TOTAL Non-Truncated Unadjusted Claims Expenses]], 0)</f>
        <v>0</v>
      </c>
    </row>
    <row r="176" spans="1:32" x14ac:dyDescent="0.25">
      <c r="A176" s="426"/>
      <c r="B176" s="427"/>
      <c r="C176" s="427"/>
      <c r="D176" s="428"/>
      <c r="E176" s="517"/>
      <c r="F176" s="429"/>
      <c r="G176" s="429"/>
      <c r="H176" s="429"/>
      <c r="I176" s="429"/>
      <c r="J176" s="429"/>
      <c r="K176" s="429"/>
      <c r="L176" s="429"/>
      <c r="M176" s="429"/>
      <c r="N176" s="429"/>
      <c r="O176" s="429"/>
      <c r="P176" s="429"/>
      <c r="Q176" s="429"/>
      <c r="R176" s="429"/>
      <c r="S176" s="429"/>
      <c r="T176" s="429"/>
      <c r="U176" s="429"/>
      <c r="V176" s="429"/>
      <c r="W176" s="436"/>
      <c r="X176" s="431">
        <f t="shared" si="8"/>
        <v>0</v>
      </c>
      <c r="Y176" s="431">
        <f>AN_TME23[[#This Row],[TOTAL Non-Truncated Unadjusted Claims Expenses]]-AN_TME23[[#This Row],[Total Claims Excluded because of Truncation]]</f>
        <v>0</v>
      </c>
      <c r="Z176" s="431">
        <f t="shared" si="9"/>
        <v>0</v>
      </c>
      <c r="AA176" s="431">
        <f>AN_TME23[[#This Row],[TOTAL Non-Truncated Unadjusted Claims Expenses]]+AN_TME23[[#This Row],[TOTAL Non-Claims Expenses]]</f>
        <v>0</v>
      </c>
      <c r="AB176" s="431">
        <f>AN_TME23[[#This Row],[TOTAL Truncated Unadjusted Claims Expenses (A21 -A19)]]+AN_TME23[[#This Row],[TOTAL Non-Claims Expenses]]</f>
        <v>0</v>
      </c>
      <c r="AC176" s="475">
        <f>IFERROR(AN_TME23[[#This Row],[TOTAL Non-Truncated Unadjusted Expenses (A21 + A23)]]/AN_TME23[[#This Row],[Member Months]],0)</f>
        <v>0</v>
      </c>
      <c r="AD176" s="475">
        <f>IFERROR(AN_TME23[[#This Row],[TOTAL Truncated Unadjusted Expenses (A22 + A23)]]/AN_TME23[[#This Row],[Member Months]],0)</f>
        <v>0</v>
      </c>
      <c r="AE176" s="441">
        <f>IFERROR(AN_TME23[[#This Row],[Total Claims Excluded because of Truncation]]/AN_TME23[[#This Row],[Count of Members with Claims Truncated]], 0)</f>
        <v>0</v>
      </c>
      <c r="AF176" s="476">
        <f>IFERROR(AN_TME23[[#This Row],[Total Claims Excluded because of Truncation]]/AN_TME23[[#This Row],[TOTAL Non-Truncated Unadjusted Claims Expenses]], 0)</f>
        <v>0</v>
      </c>
    </row>
    <row r="177" spans="1:32" x14ac:dyDescent="0.25">
      <c r="A177" s="420"/>
      <c r="B177" s="421"/>
      <c r="C177" s="421"/>
      <c r="D177" s="422"/>
      <c r="E177" s="517"/>
      <c r="F177" s="423"/>
      <c r="G177" s="423"/>
      <c r="H177" s="423"/>
      <c r="I177" s="423"/>
      <c r="J177" s="423"/>
      <c r="K177" s="423"/>
      <c r="L177" s="423"/>
      <c r="M177" s="423"/>
      <c r="N177" s="423"/>
      <c r="O177" s="423"/>
      <c r="P177" s="423"/>
      <c r="Q177" s="423"/>
      <c r="R177" s="423"/>
      <c r="S177" s="423"/>
      <c r="T177" s="423"/>
      <c r="U177" s="423"/>
      <c r="V177" s="423"/>
      <c r="W177" s="435"/>
      <c r="X177" s="425">
        <f t="shared" si="8"/>
        <v>0</v>
      </c>
      <c r="Y177" s="425">
        <f>AN_TME23[[#This Row],[TOTAL Non-Truncated Unadjusted Claims Expenses]]-AN_TME23[[#This Row],[Total Claims Excluded because of Truncation]]</f>
        <v>0</v>
      </c>
      <c r="Z177" s="425">
        <f t="shared" si="9"/>
        <v>0</v>
      </c>
      <c r="AA177" s="425">
        <f>AN_TME23[[#This Row],[TOTAL Non-Truncated Unadjusted Claims Expenses]]+AN_TME23[[#This Row],[TOTAL Non-Claims Expenses]]</f>
        <v>0</v>
      </c>
      <c r="AB177" s="425">
        <f>AN_TME23[[#This Row],[TOTAL Truncated Unadjusted Claims Expenses (A21 -A19)]]+AN_TME23[[#This Row],[TOTAL Non-Claims Expenses]]</f>
        <v>0</v>
      </c>
      <c r="AC177" s="474">
        <f>IFERROR(AN_TME23[[#This Row],[TOTAL Non-Truncated Unadjusted Expenses (A21 + A23)]]/AN_TME23[[#This Row],[Member Months]],0)</f>
        <v>0</v>
      </c>
      <c r="AD177" s="474">
        <f>IFERROR(AN_TME23[[#This Row],[TOTAL Truncated Unadjusted Expenses (A22 + A23)]]/AN_TME23[[#This Row],[Member Months]],0)</f>
        <v>0</v>
      </c>
      <c r="AE177" s="441">
        <f>IFERROR(AN_TME23[[#This Row],[Total Claims Excluded because of Truncation]]/AN_TME23[[#This Row],[Count of Members with Claims Truncated]], 0)</f>
        <v>0</v>
      </c>
      <c r="AF177" s="476">
        <f>IFERROR(AN_TME23[[#This Row],[Total Claims Excluded because of Truncation]]/AN_TME23[[#This Row],[TOTAL Non-Truncated Unadjusted Claims Expenses]], 0)</f>
        <v>0</v>
      </c>
    </row>
    <row r="178" spans="1:32" x14ac:dyDescent="0.25">
      <c r="A178" s="426"/>
      <c r="B178" s="427"/>
      <c r="C178" s="427"/>
      <c r="D178" s="428"/>
      <c r="E178" s="517"/>
      <c r="F178" s="429"/>
      <c r="G178" s="429"/>
      <c r="H178" s="429"/>
      <c r="I178" s="429"/>
      <c r="J178" s="429"/>
      <c r="K178" s="429"/>
      <c r="L178" s="429"/>
      <c r="M178" s="429"/>
      <c r="N178" s="429"/>
      <c r="O178" s="429"/>
      <c r="P178" s="429"/>
      <c r="Q178" s="429"/>
      <c r="R178" s="429"/>
      <c r="S178" s="429"/>
      <c r="T178" s="429"/>
      <c r="U178" s="429"/>
      <c r="V178" s="429"/>
      <c r="W178" s="436"/>
      <c r="X178" s="431">
        <f t="shared" si="8"/>
        <v>0</v>
      </c>
      <c r="Y178" s="431">
        <f>AN_TME23[[#This Row],[TOTAL Non-Truncated Unadjusted Claims Expenses]]-AN_TME23[[#This Row],[Total Claims Excluded because of Truncation]]</f>
        <v>0</v>
      </c>
      <c r="Z178" s="431">
        <f t="shared" si="9"/>
        <v>0</v>
      </c>
      <c r="AA178" s="431">
        <f>AN_TME23[[#This Row],[TOTAL Non-Truncated Unadjusted Claims Expenses]]+AN_TME23[[#This Row],[TOTAL Non-Claims Expenses]]</f>
        <v>0</v>
      </c>
      <c r="AB178" s="431">
        <f>AN_TME23[[#This Row],[TOTAL Truncated Unadjusted Claims Expenses (A21 -A19)]]+AN_TME23[[#This Row],[TOTAL Non-Claims Expenses]]</f>
        <v>0</v>
      </c>
      <c r="AC178" s="475">
        <f>IFERROR(AN_TME23[[#This Row],[TOTAL Non-Truncated Unadjusted Expenses (A21 + A23)]]/AN_TME23[[#This Row],[Member Months]],0)</f>
        <v>0</v>
      </c>
      <c r="AD178" s="475">
        <f>IFERROR(AN_TME23[[#This Row],[TOTAL Truncated Unadjusted Expenses (A22 + A23)]]/AN_TME23[[#This Row],[Member Months]],0)</f>
        <v>0</v>
      </c>
      <c r="AE178" s="441">
        <f>IFERROR(AN_TME23[[#This Row],[Total Claims Excluded because of Truncation]]/AN_TME23[[#This Row],[Count of Members with Claims Truncated]], 0)</f>
        <v>0</v>
      </c>
      <c r="AF178" s="476">
        <f>IFERROR(AN_TME23[[#This Row],[Total Claims Excluded because of Truncation]]/AN_TME23[[#This Row],[TOTAL Non-Truncated Unadjusted Claims Expenses]], 0)</f>
        <v>0</v>
      </c>
    </row>
    <row r="179" spans="1:32" x14ac:dyDescent="0.25">
      <c r="A179" s="420"/>
      <c r="B179" s="421"/>
      <c r="C179" s="421"/>
      <c r="D179" s="422"/>
      <c r="E179" s="517"/>
      <c r="F179" s="423"/>
      <c r="G179" s="423"/>
      <c r="H179" s="423"/>
      <c r="I179" s="423"/>
      <c r="J179" s="423"/>
      <c r="K179" s="423"/>
      <c r="L179" s="423"/>
      <c r="M179" s="423"/>
      <c r="N179" s="423"/>
      <c r="O179" s="423"/>
      <c r="P179" s="423"/>
      <c r="Q179" s="423"/>
      <c r="R179" s="423"/>
      <c r="S179" s="423"/>
      <c r="T179" s="423"/>
      <c r="U179" s="423"/>
      <c r="V179" s="423"/>
      <c r="W179" s="435"/>
      <c r="X179" s="425">
        <f t="shared" si="8"/>
        <v>0</v>
      </c>
      <c r="Y179" s="425">
        <f>AN_TME23[[#This Row],[TOTAL Non-Truncated Unadjusted Claims Expenses]]-AN_TME23[[#This Row],[Total Claims Excluded because of Truncation]]</f>
        <v>0</v>
      </c>
      <c r="Z179" s="425">
        <f t="shared" si="9"/>
        <v>0</v>
      </c>
      <c r="AA179" s="425">
        <f>AN_TME23[[#This Row],[TOTAL Non-Truncated Unadjusted Claims Expenses]]+AN_TME23[[#This Row],[TOTAL Non-Claims Expenses]]</f>
        <v>0</v>
      </c>
      <c r="AB179" s="425">
        <f>AN_TME23[[#This Row],[TOTAL Truncated Unadjusted Claims Expenses (A21 -A19)]]+AN_TME23[[#This Row],[TOTAL Non-Claims Expenses]]</f>
        <v>0</v>
      </c>
      <c r="AC179" s="474">
        <f>IFERROR(AN_TME23[[#This Row],[TOTAL Non-Truncated Unadjusted Expenses (A21 + A23)]]/AN_TME23[[#This Row],[Member Months]],0)</f>
        <v>0</v>
      </c>
      <c r="AD179" s="474">
        <f>IFERROR(AN_TME23[[#This Row],[TOTAL Truncated Unadjusted Expenses (A22 + A23)]]/AN_TME23[[#This Row],[Member Months]],0)</f>
        <v>0</v>
      </c>
      <c r="AE179" s="441">
        <f>IFERROR(AN_TME23[[#This Row],[Total Claims Excluded because of Truncation]]/AN_TME23[[#This Row],[Count of Members with Claims Truncated]], 0)</f>
        <v>0</v>
      </c>
      <c r="AF179" s="476">
        <f>IFERROR(AN_TME23[[#This Row],[Total Claims Excluded because of Truncation]]/AN_TME23[[#This Row],[TOTAL Non-Truncated Unadjusted Claims Expenses]], 0)</f>
        <v>0</v>
      </c>
    </row>
    <row r="180" spans="1:32" x14ac:dyDescent="0.25">
      <c r="A180" s="426"/>
      <c r="B180" s="427"/>
      <c r="C180" s="427"/>
      <c r="D180" s="428"/>
      <c r="E180" s="517"/>
      <c r="F180" s="429"/>
      <c r="G180" s="429"/>
      <c r="H180" s="429"/>
      <c r="I180" s="429"/>
      <c r="J180" s="429"/>
      <c r="K180" s="429"/>
      <c r="L180" s="429"/>
      <c r="M180" s="429"/>
      <c r="N180" s="429"/>
      <c r="O180" s="429"/>
      <c r="P180" s="429"/>
      <c r="Q180" s="429"/>
      <c r="R180" s="429"/>
      <c r="S180" s="429"/>
      <c r="T180" s="429"/>
      <c r="U180" s="429"/>
      <c r="V180" s="429"/>
      <c r="W180" s="436"/>
      <c r="X180" s="431">
        <f t="shared" si="8"/>
        <v>0</v>
      </c>
      <c r="Y180" s="431">
        <f>AN_TME23[[#This Row],[TOTAL Non-Truncated Unadjusted Claims Expenses]]-AN_TME23[[#This Row],[Total Claims Excluded because of Truncation]]</f>
        <v>0</v>
      </c>
      <c r="Z180" s="431">
        <f t="shared" si="9"/>
        <v>0</v>
      </c>
      <c r="AA180" s="431">
        <f>AN_TME23[[#This Row],[TOTAL Non-Truncated Unadjusted Claims Expenses]]+AN_TME23[[#This Row],[TOTAL Non-Claims Expenses]]</f>
        <v>0</v>
      </c>
      <c r="AB180" s="431">
        <f>AN_TME23[[#This Row],[TOTAL Truncated Unadjusted Claims Expenses (A21 -A19)]]+AN_TME23[[#This Row],[TOTAL Non-Claims Expenses]]</f>
        <v>0</v>
      </c>
      <c r="AC180" s="475">
        <f>IFERROR(AN_TME23[[#This Row],[TOTAL Non-Truncated Unadjusted Expenses (A21 + A23)]]/AN_TME23[[#This Row],[Member Months]],0)</f>
        <v>0</v>
      </c>
      <c r="AD180" s="475">
        <f>IFERROR(AN_TME23[[#This Row],[TOTAL Truncated Unadjusted Expenses (A22 + A23)]]/AN_TME23[[#This Row],[Member Months]],0)</f>
        <v>0</v>
      </c>
      <c r="AE180" s="441">
        <f>IFERROR(AN_TME23[[#This Row],[Total Claims Excluded because of Truncation]]/AN_TME23[[#This Row],[Count of Members with Claims Truncated]], 0)</f>
        <v>0</v>
      </c>
      <c r="AF180" s="476">
        <f>IFERROR(AN_TME23[[#This Row],[Total Claims Excluded because of Truncation]]/AN_TME23[[#This Row],[TOTAL Non-Truncated Unadjusted Claims Expenses]], 0)</f>
        <v>0</v>
      </c>
    </row>
    <row r="181" spans="1:32" x14ac:dyDescent="0.25">
      <c r="A181" s="420"/>
      <c r="B181" s="421"/>
      <c r="C181" s="421"/>
      <c r="D181" s="422"/>
      <c r="E181" s="517"/>
      <c r="F181" s="423"/>
      <c r="G181" s="423"/>
      <c r="H181" s="423"/>
      <c r="I181" s="423"/>
      <c r="J181" s="423"/>
      <c r="K181" s="423"/>
      <c r="L181" s="423"/>
      <c r="M181" s="423"/>
      <c r="N181" s="423"/>
      <c r="O181" s="423"/>
      <c r="P181" s="423"/>
      <c r="Q181" s="423"/>
      <c r="R181" s="423"/>
      <c r="S181" s="423"/>
      <c r="T181" s="423"/>
      <c r="U181" s="423"/>
      <c r="V181" s="423"/>
      <c r="W181" s="435"/>
      <c r="X181" s="425">
        <f t="shared" si="8"/>
        <v>0</v>
      </c>
      <c r="Y181" s="425">
        <f>AN_TME23[[#This Row],[TOTAL Non-Truncated Unadjusted Claims Expenses]]-AN_TME23[[#This Row],[Total Claims Excluded because of Truncation]]</f>
        <v>0</v>
      </c>
      <c r="Z181" s="425">
        <f t="shared" si="9"/>
        <v>0</v>
      </c>
      <c r="AA181" s="425">
        <f>AN_TME23[[#This Row],[TOTAL Non-Truncated Unadjusted Claims Expenses]]+AN_TME23[[#This Row],[TOTAL Non-Claims Expenses]]</f>
        <v>0</v>
      </c>
      <c r="AB181" s="425">
        <f>AN_TME23[[#This Row],[TOTAL Truncated Unadjusted Claims Expenses (A21 -A19)]]+AN_TME23[[#This Row],[TOTAL Non-Claims Expenses]]</f>
        <v>0</v>
      </c>
      <c r="AC181" s="474">
        <f>IFERROR(AN_TME23[[#This Row],[TOTAL Non-Truncated Unadjusted Expenses (A21 + A23)]]/AN_TME23[[#This Row],[Member Months]],0)</f>
        <v>0</v>
      </c>
      <c r="AD181" s="474">
        <f>IFERROR(AN_TME23[[#This Row],[TOTAL Truncated Unadjusted Expenses (A22 + A23)]]/AN_TME23[[#This Row],[Member Months]],0)</f>
        <v>0</v>
      </c>
      <c r="AE181" s="441">
        <f>IFERROR(AN_TME23[[#This Row],[Total Claims Excluded because of Truncation]]/AN_TME23[[#This Row],[Count of Members with Claims Truncated]], 0)</f>
        <v>0</v>
      </c>
      <c r="AF181" s="476">
        <f>IFERROR(AN_TME23[[#This Row],[Total Claims Excluded because of Truncation]]/AN_TME23[[#This Row],[TOTAL Non-Truncated Unadjusted Claims Expenses]], 0)</f>
        <v>0</v>
      </c>
    </row>
    <row r="182" spans="1:32" x14ac:dyDescent="0.25">
      <c r="A182" s="426"/>
      <c r="B182" s="427"/>
      <c r="C182" s="427"/>
      <c r="D182" s="428"/>
      <c r="E182" s="517"/>
      <c r="F182" s="429"/>
      <c r="G182" s="429"/>
      <c r="H182" s="429"/>
      <c r="I182" s="429"/>
      <c r="J182" s="429"/>
      <c r="K182" s="429"/>
      <c r="L182" s="429"/>
      <c r="M182" s="429"/>
      <c r="N182" s="429"/>
      <c r="O182" s="429"/>
      <c r="P182" s="429"/>
      <c r="Q182" s="429"/>
      <c r="R182" s="429"/>
      <c r="S182" s="429"/>
      <c r="T182" s="429"/>
      <c r="U182" s="429"/>
      <c r="V182" s="429"/>
      <c r="W182" s="436"/>
      <c r="X182" s="431">
        <f t="shared" si="8"/>
        <v>0</v>
      </c>
      <c r="Y182" s="431">
        <f>AN_TME23[[#This Row],[TOTAL Non-Truncated Unadjusted Claims Expenses]]-AN_TME23[[#This Row],[Total Claims Excluded because of Truncation]]</f>
        <v>0</v>
      </c>
      <c r="Z182" s="431">
        <f t="shared" si="9"/>
        <v>0</v>
      </c>
      <c r="AA182" s="431">
        <f>AN_TME23[[#This Row],[TOTAL Non-Truncated Unadjusted Claims Expenses]]+AN_TME23[[#This Row],[TOTAL Non-Claims Expenses]]</f>
        <v>0</v>
      </c>
      <c r="AB182" s="431">
        <f>AN_TME23[[#This Row],[TOTAL Truncated Unadjusted Claims Expenses (A21 -A19)]]+AN_TME23[[#This Row],[TOTAL Non-Claims Expenses]]</f>
        <v>0</v>
      </c>
      <c r="AC182" s="475">
        <f>IFERROR(AN_TME23[[#This Row],[TOTAL Non-Truncated Unadjusted Expenses (A21 + A23)]]/AN_TME23[[#This Row],[Member Months]],0)</f>
        <v>0</v>
      </c>
      <c r="AD182" s="475">
        <f>IFERROR(AN_TME23[[#This Row],[TOTAL Truncated Unadjusted Expenses (A22 + A23)]]/AN_TME23[[#This Row],[Member Months]],0)</f>
        <v>0</v>
      </c>
      <c r="AE182" s="441">
        <f>IFERROR(AN_TME23[[#This Row],[Total Claims Excluded because of Truncation]]/AN_TME23[[#This Row],[Count of Members with Claims Truncated]], 0)</f>
        <v>0</v>
      </c>
      <c r="AF182" s="476">
        <f>IFERROR(AN_TME23[[#This Row],[Total Claims Excluded because of Truncation]]/AN_TME23[[#This Row],[TOTAL Non-Truncated Unadjusted Claims Expenses]], 0)</f>
        <v>0</v>
      </c>
    </row>
    <row r="183" spans="1:32" x14ac:dyDescent="0.25">
      <c r="A183" s="420"/>
      <c r="B183" s="421"/>
      <c r="C183" s="421"/>
      <c r="D183" s="422"/>
      <c r="E183" s="517"/>
      <c r="F183" s="423"/>
      <c r="G183" s="423"/>
      <c r="H183" s="423"/>
      <c r="I183" s="423"/>
      <c r="J183" s="423"/>
      <c r="K183" s="423"/>
      <c r="L183" s="423"/>
      <c r="M183" s="423"/>
      <c r="N183" s="423"/>
      <c r="O183" s="423"/>
      <c r="P183" s="423"/>
      <c r="Q183" s="423"/>
      <c r="R183" s="423"/>
      <c r="S183" s="423"/>
      <c r="T183" s="423"/>
      <c r="U183" s="423"/>
      <c r="V183" s="423"/>
      <c r="W183" s="435"/>
      <c r="X183" s="425">
        <f t="shared" si="8"/>
        <v>0</v>
      </c>
      <c r="Y183" s="425">
        <f>AN_TME23[[#This Row],[TOTAL Non-Truncated Unadjusted Claims Expenses]]-AN_TME23[[#This Row],[Total Claims Excluded because of Truncation]]</f>
        <v>0</v>
      </c>
      <c r="Z183" s="425">
        <f t="shared" si="9"/>
        <v>0</v>
      </c>
      <c r="AA183" s="425">
        <f>AN_TME23[[#This Row],[TOTAL Non-Truncated Unadjusted Claims Expenses]]+AN_TME23[[#This Row],[TOTAL Non-Claims Expenses]]</f>
        <v>0</v>
      </c>
      <c r="AB183" s="425">
        <f>AN_TME23[[#This Row],[TOTAL Truncated Unadjusted Claims Expenses (A21 -A19)]]+AN_TME23[[#This Row],[TOTAL Non-Claims Expenses]]</f>
        <v>0</v>
      </c>
      <c r="AC183" s="474">
        <f>IFERROR(AN_TME23[[#This Row],[TOTAL Non-Truncated Unadjusted Expenses (A21 + A23)]]/AN_TME23[[#This Row],[Member Months]],0)</f>
        <v>0</v>
      </c>
      <c r="AD183" s="474">
        <f>IFERROR(AN_TME23[[#This Row],[TOTAL Truncated Unadjusted Expenses (A22 + A23)]]/AN_TME23[[#This Row],[Member Months]],0)</f>
        <v>0</v>
      </c>
      <c r="AE183" s="441">
        <f>IFERROR(AN_TME23[[#This Row],[Total Claims Excluded because of Truncation]]/AN_TME23[[#This Row],[Count of Members with Claims Truncated]], 0)</f>
        <v>0</v>
      </c>
      <c r="AF183" s="476">
        <f>IFERROR(AN_TME23[[#This Row],[Total Claims Excluded because of Truncation]]/AN_TME23[[#This Row],[TOTAL Non-Truncated Unadjusted Claims Expenses]], 0)</f>
        <v>0</v>
      </c>
    </row>
    <row r="184" spans="1:32" x14ac:dyDescent="0.25">
      <c r="A184" s="426"/>
      <c r="B184" s="427"/>
      <c r="C184" s="427"/>
      <c r="D184" s="428"/>
      <c r="E184" s="517"/>
      <c r="F184" s="429"/>
      <c r="G184" s="429"/>
      <c r="H184" s="429"/>
      <c r="I184" s="429"/>
      <c r="J184" s="429"/>
      <c r="K184" s="429"/>
      <c r="L184" s="429"/>
      <c r="M184" s="429"/>
      <c r="N184" s="429"/>
      <c r="O184" s="429"/>
      <c r="P184" s="429"/>
      <c r="Q184" s="429"/>
      <c r="R184" s="429"/>
      <c r="S184" s="429"/>
      <c r="T184" s="429"/>
      <c r="U184" s="429"/>
      <c r="V184" s="429"/>
      <c r="W184" s="436"/>
      <c r="X184" s="431">
        <f t="shared" si="8"/>
        <v>0</v>
      </c>
      <c r="Y184" s="431">
        <f>AN_TME23[[#This Row],[TOTAL Non-Truncated Unadjusted Claims Expenses]]-AN_TME23[[#This Row],[Total Claims Excluded because of Truncation]]</f>
        <v>0</v>
      </c>
      <c r="Z184" s="431">
        <f t="shared" si="9"/>
        <v>0</v>
      </c>
      <c r="AA184" s="431">
        <f>AN_TME23[[#This Row],[TOTAL Non-Truncated Unadjusted Claims Expenses]]+AN_TME23[[#This Row],[TOTAL Non-Claims Expenses]]</f>
        <v>0</v>
      </c>
      <c r="AB184" s="431">
        <f>AN_TME23[[#This Row],[TOTAL Truncated Unadjusted Claims Expenses (A21 -A19)]]+AN_TME23[[#This Row],[TOTAL Non-Claims Expenses]]</f>
        <v>0</v>
      </c>
      <c r="AC184" s="475">
        <f>IFERROR(AN_TME23[[#This Row],[TOTAL Non-Truncated Unadjusted Expenses (A21 + A23)]]/AN_TME23[[#This Row],[Member Months]],0)</f>
        <v>0</v>
      </c>
      <c r="AD184" s="475">
        <f>IFERROR(AN_TME23[[#This Row],[TOTAL Truncated Unadjusted Expenses (A22 + A23)]]/AN_TME23[[#This Row],[Member Months]],0)</f>
        <v>0</v>
      </c>
      <c r="AE184" s="441">
        <f>IFERROR(AN_TME23[[#This Row],[Total Claims Excluded because of Truncation]]/AN_TME23[[#This Row],[Count of Members with Claims Truncated]], 0)</f>
        <v>0</v>
      </c>
      <c r="AF184" s="476">
        <f>IFERROR(AN_TME23[[#This Row],[Total Claims Excluded because of Truncation]]/AN_TME23[[#This Row],[TOTAL Non-Truncated Unadjusted Claims Expenses]], 0)</f>
        <v>0</v>
      </c>
    </row>
    <row r="185" spans="1:32" x14ac:dyDescent="0.25">
      <c r="A185" s="420"/>
      <c r="B185" s="421"/>
      <c r="C185" s="421"/>
      <c r="D185" s="422"/>
      <c r="E185" s="517"/>
      <c r="F185" s="423"/>
      <c r="G185" s="423"/>
      <c r="H185" s="423"/>
      <c r="I185" s="423"/>
      <c r="J185" s="423"/>
      <c r="K185" s="423"/>
      <c r="L185" s="423"/>
      <c r="M185" s="423"/>
      <c r="N185" s="423"/>
      <c r="O185" s="423"/>
      <c r="P185" s="423"/>
      <c r="Q185" s="423"/>
      <c r="R185" s="423"/>
      <c r="S185" s="423"/>
      <c r="T185" s="423"/>
      <c r="U185" s="423"/>
      <c r="V185" s="423"/>
      <c r="W185" s="435"/>
      <c r="X185" s="425">
        <f t="shared" si="8"/>
        <v>0</v>
      </c>
      <c r="Y185" s="425">
        <f>AN_TME23[[#This Row],[TOTAL Non-Truncated Unadjusted Claims Expenses]]-AN_TME23[[#This Row],[Total Claims Excluded because of Truncation]]</f>
        <v>0</v>
      </c>
      <c r="Z185" s="425">
        <f t="shared" si="9"/>
        <v>0</v>
      </c>
      <c r="AA185" s="425">
        <f>AN_TME23[[#This Row],[TOTAL Non-Truncated Unadjusted Claims Expenses]]+AN_TME23[[#This Row],[TOTAL Non-Claims Expenses]]</f>
        <v>0</v>
      </c>
      <c r="AB185" s="425">
        <f>AN_TME23[[#This Row],[TOTAL Truncated Unadjusted Claims Expenses (A21 -A19)]]+AN_TME23[[#This Row],[TOTAL Non-Claims Expenses]]</f>
        <v>0</v>
      </c>
      <c r="AC185" s="474">
        <f>IFERROR(AN_TME23[[#This Row],[TOTAL Non-Truncated Unadjusted Expenses (A21 + A23)]]/AN_TME23[[#This Row],[Member Months]],0)</f>
        <v>0</v>
      </c>
      <c r="AD185" s="474">
        <f>IFERROR(AN_TME23[[#This Row],[TOTAL Truncated Unadjusted Expenses (A22 + A23)]]/AN_TME23[[#This Row],[Member Months]],0)</f>
        <v>0</v>
      </c>
      <c r="AE185" s="441">
        <f>IFERROR(AN_TME23[[#This Row],[Total Claims Excluded because of Truncation]]/AN_TME23[[#This Row],[Count of Members with Claims Truncated]], 0)</f>
        <v>0</v>
      </c>
      <c r="AF185" s="476">
        <f>IFERROR(AN_TME23[[#This Row],[Total Claims Excluded because of Truncation]]/AN_TME23[[#This Row],[TOTAL Non-Truncated Unadjusted Claims Expenses]], 0)</f>
        <v>0</v>
      </c>
    </row>
    <row r="186" spans="1:32" x14ac:dyDescent="0.25">
      <c r="A186" s="426"/>
      <c r="B186" s="427"/>
      <c r="C186" s="427"/>
      <c r="D186" s="428"/>
      <c r="E186" s="517"/>
      <c r="F186" s="429"/>
      <c r="G186" s="429"/>
      <c r="H186" s="429"/>
      <c r="I186" s="429"/>
      <c r="J186" s="429"/>
      <c r="K186" s="429"/>
      <c r="L186" s="429"/>
      <c r="M186" s="429"/>
      <c r="N186" s="429"/>
      <c r="O186" s="429"/>
      <c r="P186" s="429"/>
      <c r="Q186" s="429"/>
      <c r="R186" s="429"/>
      <c r="S186" s="429"/>
      <c r="T186" s="429"/>
      <c r="U186" s="429"/>
      <c r="V186" s="429"/>
      <c r="W186" s="436"/>
      <c r="X186" s="431">
        <f t="shared" si="8"/>
        <v>0</v>
      </c>
      <c r="Y186" s="431">
        <f>AN_TME23[[#This Row],[TOTAL Non-Truncated Unadjusted Claims Expenses]]-AN_TME23[[#This Row],[Total Claims Excluded because of Truncation]]</f>
        <v>0</v>
      </c>
      <c r="Z186" s="431">
        <f t="shared" si="9"/>
        <v>0</v>
      </c>
      <c r="AA186" s="431">
        <f>AN_TME23[[#This Row],[TOTAL Non-Truncated Unadjusted Claims Expenses]]+AN_TME23[[#This Row],[TOTAL Non-Claims Expenses]]</f>
        <v>0</v>
      </c>
      <c r="AB186" s="431">
        <f>AN_TME23[[#This Row],[TOTAL Truncated Unadjusted Claims Expenses (A21 -A19)]]+AN_TME23[[#This Row],[TOTAL Non-Claims Expenses]]</f>
        <v>0</v>
      </c>
      <c r="AC186" s="475">
        <f>IFERROR(AN_TME23[[#This Row],[TOTAL Non-Truncated Unadjusted Expenses (A21 + A23)]]/AN_TME23[[#This Row],[Member Months]],0)</f>
        <v>0</v>
      </c>
      <c r="AD186" s="475">
        <f>IFERROR(AN_TME23[[#This Row],[TOTAL Truncated Unadjusted Expenses (A22 + A23)]]/AN_TME23[[#This Row],[Member Months]],0)</f>
        <v>0</v>
      </c>
      <c r="AE186" s="441">
        <f>IFERROR(AN_TME23[[#This Row],[Total Claims Excluded because of Truncation]]/AN_TME23[[#This Row],[Count of Members with Claims Truncated]], 0)</f>
        <v>0</v>
      </c>
      <c r="AF186" s="476">
        <f>IFERROR(AN_TME23[[#This Row],[Total Claims Excluded because of Truncation]]/AN_TME23[[#This Row],[TOTAL Non-Truncated Unadjusted Claims Expenses]], 0)</f>
        <v>0</v>
      </c>
    </row>
    <row r="187" spans="1:32" x14ac:dyDescent="0.25">
      <c r="A187" s="420"/>
      <c r="B187" s="421"/>
      <c r="C187" s="421"/>
      <c r="D187" s="422"/>
      <c r="E187" s="517"/>
      <c r="F187" s="423"/>
      <c r="G187" s="423"/>
      <c r="H187" s="423"/>
      <c r="I187" s="423"/>
      <c r="J187" s="423"/>
      <c r="K187" s="423"/>
      <c r="L187" s="423"/>
      <c r="M187" s="423"/>
      <c r="N187" s="423"/>
      <c r="O187" s="423"/>
      <c r="P187" s="423"/>
      <c r="Q187" s="423"/>
      <c r="R187" s="423"/>
      <c r="S187" s="423"/>
      <c r="T187" s="423"/>
      <c r="U187" s="423"/>
      <c r="V187" s="423"/>
      <c r="W187" s="435"/>
      <c r="X187" s="425">
        <f t="shared" si="8"/>
        <v>0</v>
      </c>
      <c r="Y187" s="425">
        <f>AN_TME23[[#This Row],[TOTAL Non-Truncated Unadjusted Claims Expenses]]-AN_TME23[[#This Row],[Total Claims Excluded because of Truncation]]</f>
        <v>0</v>
      </c>
      <c r="Z187" s="425">
        <f t="shared" si="9"/>
        <v>0</v>
      </c>
      <c r="AA187" s="425">
        <f>AN_TME23[[#This Row],[TOTAL Non-Truncated Unadjusted Claims Expenses]]+AN_TME23[[#This Row],[TOTAL Non-Claims Expenses]]</f>
        <v>0</v>
      </c>
      <c r="AB187" s="425">
        <f>AN_TME23[[#This Row],[TOTAL Truncated Unadjusted Claims Expenses (A21 -A19)]]+AN_TME23[[#This Row],[TOTAL Non-Claims Expenses]]</f>
        <v>0</v>
      </c>
      <c r="AC187" s="474">
        <f>IFERROR(AN_TME23[[#This Row],[TOTAL Non-Truncated Unadjusted Expenses (A21 + A23)]]/AN_TME23[[#This Row],[Member Months]],0)</f>
        <v>0</v>
      </c>
      <c r="AD187" s="474">
        <f>IFERROR(AN_TME23[[#This Row],[TOTAL Truncated Unadjusted Expenses (A22 + A23)]]/AN_TME23[[#This Row],[Member Months]],0)</f>
        <v>0</v>
      </c>
      <c r="AE187" s="441">
        <f>IFERROR(AN_TME23[[#This Row],[Total Claims Excluded because of Truncation]]/AN_TME23[[#This Row],[Count of Members with Claims Truncated]], 0)</f>
        <v>0</v>
      </c>
      <c r="AF187" s="476">
        <f>IFERROR(AN_TME23[[#This Row],[Total Claims Excluded because of Truncation]]/AN_TME23[[#This Row],[TOTAL Non-Truncated Unadjusted Claims Expenses]], 0)</f>
        <v>0</v>
      </c>
    </row>
    <row r="188" spans="1:32" x14ac:dyDescent="0.25">
      <c r="A188" s="426"/>
      <c r="B188" s="427"/>
      <c r="C188" s="427"/>
      <c r="D188" s="428"/>
      <c r="E188" s="517"/>
      <c r="F188" s="429"/>
      <c r="G188" s="429"/>
      <c r="H188" s="429"/>
      <c r="I188" s="429"/>
      <c r="J188" s="429"/>
      <c r="K188" s="429"/>
      <c r="L188" s="429"/>
      <c r="M188" s="429"/>
      <c r="N188" s="429"/>
      <c r="O188" s="429"/>
      <c r="P188" s="429"/>
      <c r="Q188" s="429"/>
      <c r="R188" s="429"/>
      <c r="S188" s="429"/>
      <c r="T188" s="429"/>
      <c r="U188" s="429"/>
      <c r="V188" s="429"/>
      <c r="W188" s="436"/>
      <c r="X188" s="431">
        <f t="shared" si="8"/>
        <v>0</v>
      </c>
      <c r="Y188" s="431">
        <f>AN_TME23[[#This Row],[TOTAL Non-Truncated Unadjusted Claims Expenses]]-AN_TME23[[#This Row],[Total Claims Excluded because of Truncation]]</f>
        <v>0</v>
      </c>
      <c r="Z188" s="431">
        <f t="shared" si="9"/>
        <v>0</v>
      </c>
      <c r="AA188" s="431">
        <f>AN_TME23[[#This Row],[TOTAL Non-Truncated Unadjusted Claims Expenses]]+AN_TME23[[#This Row],[TOTAL Non-Claims Expenses]]</f>
        <v>0</v>
      </c>
      <c r="AB188" s="431">
        <f>AN_TME23[[#This Row],[TOTAL Truncated Unadjusted Claims Expenses (A21 -A19)]]+AN_TME23[[#This Row],[TOTAL Non-Claims Expenses]]</f>
        <v>0</v>
      </c>
      <c r="AC188" s="475">
        <f>IFERROR(AN_TME23[[#This Row],[TOTAL Non-Truncated Unadjusted Expenses (A21 + A23)]]/AN_TME23[[#This Row],[Member Months]],0)</f>
        <v>0</v>
      </c>
      <c r="AD188" s="475">
        <f>IFERROR(AN_TME23[[#This Row],[TOTAL Truncated Unadjusted Expenses (A22 + A23)]]/AN_TME23[[#This Row],[Member Months]],0)</f>
        <v>0</v>
      </c>
      <c r="AE188" s="441">
        <f>IFERROR(AN_TME23[[#This Row],[Total Claims Excluded because of Truncation]]/AN_TME23[[#This Row],[Count of Members with Claims Truncated]], 0)</f>
        <v>0</v>
      </c>
      <c r="AF188" s="476">
        <f>IFERROR(AN_TME23[[#This Row],[Total Claims Excluded because of Truncation]]/AN_TME23[[#This Row],[TOTAL Non-Truncated Unadjusted Claims Expenses]], 0)</f>
        <v>0</v>
      </c>
    </row>
    <row r="189" spans="1:32" x14ac:dyDescent="0.25">
      <c r="A189" s="420"/>
      <c r="B189" s="421"/>
      <c r="C189" s="421"/>
      <c r="D189" s="422"/>
      <c r="E189" s="517"/>
      <c r="F189" s="423"/>
      <c r="G189" s="423"/>
      <c r="H189" s="423"/>
      <c r="I189" s="423"/>
      <c r="J189" s="423"/>
      <c r="K189" s="423"/>
      <c r="L189" s="423"/>
      <c r="M189" s="423"/>
      <c r="N189" s="423"/>
      <c r="O189" s="423"/>
      <c r="P189" s="423"/>
      <c r="Q189" s="423"/>
      <c r="R189" s="423"/>
      <c r="S189" s="423"/>
      <c r="T189" s="423"/>
      <c r="U189" s="423"/>
      <c r="V189" s="423"/>
      <c r="W189" s="435"/>
      <c r="X189" s="425">
        <f t="shared" si="8"/>
        <v>0</v>
      </c>
      <c r="Y189" s="425">
        <f>AN_TME23[[#This Row],[TOTAL Non-Truncated Unadjusted Claims Expenses]]-AN_TME23[[#This Row],[Total Claims Excluded because of Truncation]]</f>
        <v>0</v>
      </c>
      <c r="Z189" s="425">
        <f t="shared" si="9"/>
        <v>0</v>
      </c>
      <c r="AA189" s="425">
        <f>AN_TME23[[#This Row],[TOTAL Non-Truncated Unadjusted Claims Expenses]]+AN_TME23[[#This Row],[TOTAL Non-Claims Expenses]]</f>
        <v>0</v>
      </c>
      <c r="AB189" s="425">
        <f>AN_TME23[[#This Row],[TOTAL Truncated Unadjusted Claims Expenses (A21 -A19)]]+AN_TME23[[#This Row],[TOTAL Non-Claims Expenses]]</f>
        <v>0</v>
      </c>
      <c r="AC189" s="474">
        <f>IFERROR(AN_TME23[[#This Row],[TOTAL Non-Truncated Unadjusted Expenses (A21 + A23)]]/AN_TME23[[#This Row],[Member Months]],0)</f>
        <v>0</v>
      </c>
      <c r="AD189" s="474">
        <f>IFERROR(AN_TME23[[#This Row],[TOTAL Truncated Unadjusted Expenses (A22 + A23)]]/AN_TME23[[#This Row],[Member Months]],0)</f>
        <v>0</v>
      </c>
      <c r="AE189" s="441">
        <f>IFERROR(AN_TME23[[#This Row],[Total Claims Excluded because of Truncation]]/AN_TME23[[#This Row],[Count of Members with Claims Truncated]], 0)</f>
        <v>0</v>
      </c>
      <c r="AF189" s="476">
        <f>IFERROR(AN_TME23[[#This Row],[Total Claims Excluded because of Truncation]]/AN_TME23[[#This Row],[TOTAL Non-Truncated Unadjusted Claims Expenses]], 0)</f>
        <v>0</v>
      </c>
    </row>
    <row r="190" spans="1:32" x14ac:dyDescent="0.25">
      <c r="A190" s="426"/>
      <c r="B190" s="427"/>
      <c r="C190" s="427"/>
      <c r="D190" s="428"/>
      <c r="E190" s="517"/>
      <c r="F190" s="429"/>
      <c r="G190" s="429"/>
      <c r="H190" s="429"/>
      <c r="I190" s="429"/>
      <c r="J190" s="429"/>
      <c r="K190" s="429"/>
      <c r="L190" s="429"/>
      <c r="M190" s="429"/>
      <c r="N190" s="429"/>
      <c r="O190" s="429"/>
      <c r="P190" s="429"/>
      <c r="Q190" s="429"/>
      <c r="R190" s="429"/>
      <c r="S190" s="429"/>
      <c r="T190" s="429"/>
      <c r="U190" s="429"/>
      <c r="V190" s="429"/>
      <c r="W190" s="436"/>
      <c r="X190" s="431">
        <f t="shared" si="8"/>
        <v>0</v>
      </c>
      <c r="Y190" s="431">
        <f>AN_TME23[[#This Row],[TOTAL Non-Truncated Unadjusted Claims Expenses]]-AN_TME23[[#This Row],[Total Claims Excluded because of Truncation]]</f>
        <v>0</v>
      </c>
      <c r="Z190" s="431">
        <f t="shared" si="9"/>
        <v>0</v>
      </c>
      <c r="AA190" s="431">
        <f>AN_TME23[[#This Row],[TOTAL Non-Truncated Unadjusted Claims Expenses]]+AN_TME23[[#This Row],[TOTAL Non-Claims Expenses]]</f>
        <v>0</v>
      </c>
      <c r="AB190" s="431">
        <f>AN_TME23[[#This Row],[TOTAL Truncated Unadjusted Claims Expenses (A21 -A19)]]+AN_TME23[[#This Row],[TOTAL Non-Claims Expenses]]</f>
        <v>0</v>
      </c>
      <c r="AC190" s="475">
        <f>IFERROR(AN_TME23[[#This Row],[TOTAL Non-Truncated Unadjusted Expenses (A21 + A23)]]/AN_TME23[[#This Row],[Member Months]],0)</f>
        <v>0</v>
      </c>
      <c r="AD190" s="475">
        <f>IFERROR(AN_TME23[[#This Row],[TOTAL Truncated Unadjusted Expenses (A22 + A23)]]/AN_TME23[[#This Row],[Member Months]],0)</f>
        <v>0</v>
      </c>
      <c r="AE190" s="441">
        <f>IFERROR(AN_TME23[[#This Row],[Total Claims Excluded because of Truncation]]/AN_TME23[[#This Row],[Count of Members with Claims Truncated]], 0)</f>
        <v>0</v>
      </c>
      <c r="AF190" s="476">
        <f>IFERROR(AN_TME23[[#This Row],[Total Claims Excluded because of Truncation]]/AN_TME23[[#This Row],[TOTAL Non-Truncated Unadjusted Claims Expenses]], 0)</f>
        <v>0</v>
      </c>
    </row>
    <row r="191" spans="1:32" x14ac:dyDescent="0.25">
      <c r="A191" s="420"/>
      <c r="B191" s="421"/>
      <c r="C191" s="421"/>
      <c r="D191" s="422"/>
      <c r="E191" s="517"/>
      <c r="F191" s="423"/>
      <c r="G191" s="423"/>
      <c r="H191" s="423"/>
      <c r="I191" s="423"/>
      <c r="J191" s="423"/>
      <c r="K191" s="423"/>
      <c r="L191" s="423"/>
      <c r="M191" s="423"/>
      <c r="N191" s="423"/>
      <c r="O191" s="423"/>
      <c r="P191" s="423"/>
      <c r="Q191" s="423"/>
      <c r="R191" s="423"/>
      <c r="S191" s="423"/>
      <c r="T191" s="423"/>
      <c r="U191" s="423"/>
      <c r="V191" s="423"/>
      <c r="W191" s="435"/>
      <c r="X191" s="425">
        <f t="shared" si="8"/>
        <v>0</v>
      </c>
      <c r="Y191" s="425">
        <f>AN_TME23[[#This Row],[TOTAL Non-Truncated Unadjusted Claims Expenses]]-AN_TME23[[#This Row],[Total Claims Excluded because of Truncation]]</f>
        <v>0</v>
      </c>
      <c r="Z191" s="425">
        <f t="shared" si="9"/>
        <v>0</v>
      </c>
      <c r="AA191" s="425">
        <f>AN_TME23[[#This Row],[TOTAL Non-Truncated Unadjusted Claims Expenses]]+AN_TME23[[#This Row],[TOTAL Non-Claims Expenses]]</f>
        <v>0</v>
      </c>
      <c r="AB191" s="425">
        <f>AN_TME23[[#This Row],[TOTAL Truncated Unadjusted Claims Expenses (A21 -A19)]]+AN_TME23[[#This Row],[TOTAL Non-Claims Expenses]]</f>
        <v>0</v>
      </c>
      <c r="AC191" s="474">
        <f>IFERROR(AN_TME23[[#This Row],[TOTAL Non-Truncated Unadjusted Expenses (A21 + A23)]]/AN_TME23[[#This Row],[Member Months]],0)</f>
        <v>0</v>
      </c>
      <c r="AD191" s="474">
        <f>IFERROR(AN_TME23[[#This Row],[TOTAL Truncated Unadjusted Expenses (A22 + A23)]]/AN_TME23[[#This Row],[Member Months]],0)</f>
        <v>0</v>
      </c>
      <c r="AE191" s="441">
        <f>IFERROR(AN_TME23[[#This Row],[Total Claims Excluded because of Truncation]]/AN_TME23[[#This Row],[Count of Members with Claims Truncated]], 0)</f>
        <v>0</v>
      </c>
      <c r="AF191" s="476">
        <f>IFERROR(AN_TME23[[#This Row],[Total Claims Excluded because of Truncation]]/AN_TME23[[#This Row],[TOTAL Non-Truncated Unadjusted Claims Expenses]], 0)</f>
        <v>0</v>
      </c>
    </row>
    <row r="192" spans="1:32" x14ac:dyDescent="0.25">
      <c r="A192" s="426"/>
      <c r="B192" s="427"/>
      <c r="C192" s="427"/>
      <c r="D192" s="428"/>
      <c r="E192" s="517"/>
      <c r="F192" s="429"/>
      <c r="G192" s="429"/>
      <c r="H192" s="429"/>
      <c r="I192" s="429"/>
      <c r="J192" s="429"/>
      <c r="K192" s="429"/>
      <c r="L192" s="429"/>
      <c r="M192" s="429"/>
      <c r="N192" s="429"/>
      <c r="O192" s="429"/>
      <c r="P192" s="429"/>
      <c r="Q192" s="429"/>
      <c r="R192" s="429"/>
      <c r="S192" s="429"/>
      <c r="T192" s="429"/>
      <c r="U192" s="429"/>
      <c r="V192" s="429"/>
      <c r="W192" s="436"/>
      <c r="X192" s="431">
        <f t="shared" si="8"/>
        <v>0</v>
      </c>
      <c r="Y192" s="431">
        <f>AN_TME23[[#This Row],[TOTAL Non-Truncated Unadjusted Claims Expenses]]-AN_TME23[[#This Row],[Total Claims Excluded because of Truncation]]</f>
        <v>0</v>
      </c>
      <c r="Z192" s="431">
        <f t="shared" si="9"/>
        <v>0</v>
      </c>
      <c r="AA192" s="431">
        <f>AN_TME23[[#This Row],[TOTAL Non-Truncated Unadjusted Claims Expenses]]+AN_TME23[[#This Row],[TOTAL Non-Claims Expenses]]</f>
        <v>0</v>
      </c>
      <c r="AB192" s="431">
        <f>AN_TME23[[#This Row],[TOTAL Truncated Unadjusted Claims Expenses (A21 -A19)]]+AN_TME23[[#This Row],[TOTAL Non-Claims Expenses]]</f>
        <v>0</v>
      </c>
      <c r="AC192" s="475">
        <f>IFERROR(AN_TME23[[#This Row],[TOTAL Non-Truncated Unadjusted Expenses (A21 + A23)]]/AN_TME23[[#This Row],[Member Months]],0)</f>
        <v>0</v>
      </c>
      <c r="AD192" s="475">
        <f>IFERROR(AN_TME23[[#This Row],[TOTAL Truncated Unadjusted Expenses (A22 + A23)]]/AN_TME23[[#This Row],[Member Months]],0)</f>
        <v>0</v>
      </c>
      <c r="AE192" s="441">
        <f>IFERROR(AN_TME23[[#This Row],[Total Claims Excluded because of Truncation]]/AN_TME23[[#This Row],[Count of Members with Claims Truncated]], 0)</f>
        <v>0</v>
      </c>
      <c r="AF192" s="476">
        <f>IFERROR(AN_TME23[[#This Row],[Total Claims Excluded because of Truncation]]/AN_TME23[[#This Row],[TOTAL Non-Truncated Unadjusted Claims Expenses]], 0)</f>
        <v>0</v>
      </c>
    </row>
    <row r="193" spans="1:32" x14ac:dyDescent="0.25">
      <c r="A193" s="420"/>
      <c r="B193" s="421"/>
      <c r="C193" s="421"/>
      <c r="D193" s="422"/>
      <c r="E193" s="517"/>
      <c r="F193" s="423"/>
      <c r="G193" s="423"/>
      <c r="H193" s="423"/>
      <c r="I193" s="423"/>
      <c r="J193" s="423"/>
      <c r="K193" s="423"/>
      <c r="L193" s="423"/>
      <c r="M193" s="423"/>
      <c r="N193" s="423"/>
      <c r="O193" s="423"/>
      <c r="P193" s="423"/>
      <c r="Q193" s="423"/>
      <c r="R193" s="423"/>
      <c r="S193" s="423"/>
      <c r="T193" s="423"/>
      <c r="U193" s="423"/>
      <c r="V193" s="423"/>
      <c r="W193" s="435"/>
      <c r="X193" s="425">
        <f t="shared" si="8"/>
        <v>0</v>
      </c>
      <c r="Y193" s="425">
        <f>AN_TME23[[#This Row],[TOTAL Non-Truncated Unadjusted Claims Expenses]]-AN_TME23[[#This Row],[Total Claims Excluded because of Truncation]]</f>
        <v>0</v>
      </c>
      <c r="Z193" s="425">
        <f t="shared" si="9"/>
        <v>0</v>
      </c>
      <c r="AA193" s="425">
        <f>AN_TME23[[#This Row],[TOTAL Non-Truncated Unadjusted Claims Expenses]]+AN_TME23[[#This Row],[TOTAL Non-Claims Expenses]]</f>
        <v>0</v>
      </c>
      <c r="AB193" s="425">
        <f>AN_TME23[[#This Row],[TOTAL Truncated Unadjusted Claims Expenses (A21 -A19)]]+AN_TME23[[#This Row],[TOTAL Non-Claims Expenses]]</f>
        <v>0</v>
      </c>
      <c r="AC193" s="474">
        <f>IFERROR(AN_TME23[[#This Row],[TOTAL Non-Truncated Unadjusted Expenses (A21 + A23)]]/AN_TME23[[#This Row],[Member Months]],0)</f>
        <v>0</v>
      </c>
      <c r="AD193" s="474">
        <f>IFERROR(AN_TME23[[#This Row],[TOTAL Truncated Unadjusted Expenses (A22 + A23)]]/AN_TME23[[#This Row],[Member Months]],0)</f>
        <v>0</v>
      </c>
      <c r="AE193" s="441">
        <f>IFERROR(AN_TME23[[#This Row],[Total Claims Excluded because of Truncation]]/AN_TME23[[#This Row],[Count of Members with Claims Truncated]], 0)</f>
        <v>0</v>
      </c>
      <c r="AF193" s="476">
        <f>IFERROR(AN_TME23[[#This Row],[Total Claims Excluded because of Truncation]]/AN_TME23[[#This Row],[TOTAL Non-Truncated Unadjusted Claims Expenses]], 0)</f>
        <v>0</v>
      </c>
    </row>
    <row r="194" spans="1:32" x14ac:dyDescent="0.25">
      <c r="A194" s="426"/>
      <c r="B194" s="427"/>
      <c r="C194" s="427"/>
      <c r="D194" s="428"/>
      <c r="E194" s="517"/>
      <c r="F194" s="429"/>
      <c r="G194" s="429"/>
      <c r="H194" s="429"/>
      <c r="I194" s="429"/>
      <c r="J194" s="429"/>
      <c r="K194" s="429"/>
      <c r="L194" s="429"/>
      <c r="M194" s="429"/>
      <c r="N194" s="429"/>
      <c r="O194" s="429"/>
      <c r="P194" s="429"/>
      <c r="Q194" s="429"/>
      <c r="R194" s="429"/>
      <c r="S194" s="429"/>
      <c r="T194" s="429"/>
      <c r="U194" s="429"/>
      <c r="V194" s="429"/>
      <c r="W194" s="436"/>
      <c r="X194" s="431">
        <f t="shared" si="8"/>
        <v>0</v>
      </c>
      <c r="Y194" s="431">
        <f>AN_TME23[[#This Row],[TOTAL Non-Truncated Unadjusted Claims Expenses]]-AN_TME23[[#This Row],[Total Claims Excluded because of Truncation]]</f>
        <v>0</v>
      </c>
      <c r="Z194" s="431">
        <f t="shared" si="9"/>
        <v>0</v>
      </c>
      <c r="AA194" s="431">
        <f>AN_TME23[[#This Row],[TOTAL Non-Truncated Unadjusted Claims Expenses]]+AN_TME23[[#This Row],[TOTAL Non-Claims Expenses]]</f>
        <v>0</v>
      </c>
      <c r="AB194" s="431">
        <f>AN_TME23[[#This Row],[TOTAL Truncated Unadjusted Claims Expenses (A21 -A19)]]+AN_TME23[[#This Row],[TOTAL Non-Claims Expenses]]</f>
        <v>0</v>
      </c>
      <c r="AC194" s="475">
        <f>IFERROR(AN_TME23[[#This Row],[TOTAL Non-Truncated Unadjusted Expenses (A21 + A23)]]/AN_TME23[[#This Row],[Member Months]],0)</f>
        <v>0</v>
      </c>
      <c r="AD194" s="475">
        <f>IFERROR(AN_TME23[[#This Row],[TOTAL Truncated Unadjusted Expenses (A22 + A23)]]/AN_TME23[[#This Row],[Member Months]],0)</f>
        <v>0</v>
      </c>
      <c r="AE194" s="441">
        <f>IFERROR(AN_TME23[[#This Row],[Total Claims Excluded because of Truncation]]/AN_TME23[[#This Row],[Count of Members with Claims Truncated]], 0)</f>
        <v>0</v>
      </c>
      <c r="AF194" s="476">
        <f>IFERROR(AN_TME23[[#This Row],[Total Claims Excluded because of Truncation]]/AN_TME23[[#This Row],[TOTAL Non-Truncated Unadjusted Claims Expenses]], 0)</f>
        <v>0</v>
      </c>
    </row>
    <row r="195" spans="1:32" x14ac:dyDescent="0.25">
      <c r="A195" s="420"/>
      <c r="B195" s="421"/>
      <c r="C195" s="421"/>
      <c r="D195" s="422"/>
      <c r="E195" s="517"/>
      <c r="F195" s="423"/>
      <c r="G195" s="423"/>
      <c r="H195" s="423"/>
      <c r="I195" s="423"/>
      <c r="J195" s="423"/>
      <c r="K195" s="423"/>
      <c r="L195" s="423"/>
      <c r="M195" s="423"/>
      <c r="N195" s="423"/>
      <c r="O195" s="423"/>
      <c r="P195" s="423"/>
      <c r="Q195" s="423"/>
      <c r="R195" s="423"/>
      <c r="S195" s="423"/>
      <c r="T195" s="423"/>
      <c r="U195" s="423"/>
      <c r="V195" s="423"/>
      <c r="W195" s="435"/>
      <c r="X195" s="425">
        <f t="shared" si="8"/>
        <v>0</v>
      </c>
      <c r="Y195" s="425">
        <f>AN_TME23[[#This Row],[TOTAL Non-Truncated Unadjusted Claims Expenses]]-AN_TME23[[#This Row],[Total Claims Excluded because of Truncation]]</f>
        <v>0</v>
      </c>
      <c r="Z195" s="425">
        <f t="shared" si="9"/>
        <v>0</v>
      </c>
      <c r="AA195" s="425">
        <f>AN_TME23[[#This Row],[TOTAL Non-Truncated Unadjusted Claims Expenses]]+AN_TME23[[#This Row],[TOTAL Non-Claims Expenses]]</f>
        <v>0</v>
      </c>
      <c r="AB195" s="425">
        <f>AN_TME23[[#This Row],[TOTAL Truncated Unadjusted Claims Expenses (A21 -A19)]]+AN_TME23[[#This Row],[TOTAL Non-Claims Expenses]]</f>
        <v>0</v>
      </c>
      <c r="AC195" s="474">
        <f>IFERROR(AN_TME23[[#This Row],[TOTAL Non-Truncated Unadjusted Expenses (A21 + A23)]]/AN_TME23[[#This Row],[Member Months]],0)</f>
        <v>0</v>
      </c>
      <c r="AD195" s="474">
        <f>IFERROR(AN_TME23[[#This Row],[TOTAL Truncated Unadjusted Expenses (A22 + A23)]]/AN_TME23[[#This Row],[Member Months]],0)</f>
        <v>0</v>
      </c>
      <c r="AE195" s="441">
        <f>IFERROR(AN_TME23[[#This Row],[Total Claims Excluded because of Truncation]]/AN_TME23[[#This Row],[Count of Members with Claims Truncated]], 0)</f>
        <v>0</v>
      </c>
      <c r="AF195" s="476">
        <f>IFERROR(AN_TME23[[#This Row],[Total Claims Excluded because of Truncation]]/AN_TME23[[#This Row],[TOTAL Non-Truncated Unadjusted Claims Expenses]], 0)</f>
        <v>0</v>
      </c>
    </row>
    <row r="196" spans="1:32" x14ac:dyDescent="0.25">
      <c r="A196" s="426"/>
      <c r="B196" s="427"/>
      <c r="C196" s="427"/>
      <c r="D196" s="428"/>
      <c r="E196" s="517"/>
      <c r="F196" s="429"/>
      <c r="G196" s="429"/>
      <c r="H196" s="429"/>
      <c r="I196" s="429"/>
      <c r="J196" s="429"/>
      <c r="K196" s="429"/>
      <c r="L196" s="429"/>
      <c r="M196" s="429"/>
      <c r="N196" s="429"/>
      <c r="O196" s="429"/>
      <c r="P196" s="429"/>
      <c r="Q196" s="429"/>
      <c r="R196" s="429"/>
      <c r="S196" s="429"/>
      <c r="T196" s="429"/>
      <c r="U196" s="429"/>
      <c r="V196" s="429"/>
      <c r="W196" s="436"/>
      <c r="X196" s="431">
        <f t="shared" si="8"/>
        <v>0</v>
      </c>
      <c r="Y196" s="431">
        <f>AN_TME23[[#This Row],[TOTAL Non-Truncated Unadjusted Claims Expenses]]-AN_TME23[[#This Row],[Total Claims Excluded because of Truncation]]</f>
        <v>0</v>
      </c>
      <c r="Z196" s="431">
        <f t="shared" si="9"/>
        <v>0</v>
      </c>
      <c r="AA196" s="431">
        <f>AN_TME23[[#This Row],[TOTAL Non-Truncated Unadjusted Claims Expenses]]+AN_TME23[[#This Row],[TOTAL Non-Claims Expenses]]</f>
        <v>0</v>
      </c>
      <c r="AB196" s="431">
        <f>AN_TME23[[#This Row],[TOTAL Truncated Unadjusted Claims Expenses (A21 -A19)]]+AN_TME23[[#This Row],[TOTAL Non-Claims Expenses]]</f>
        <v>0</v>
      </c>
      <c r="AC196" s="475">
        <f>IFERROR(AN_TME23[[#This Row],[TOTAL Non-Truncated Unadjusted Expenses (A21 + A23)]]/AN_TME23[[#This Row],[Member Months]],0)</f>
        <v>0</v>
      </c>
      <c r="AD196" s="475">
        <f>IFERROR(AN_TME23[[#This Row],[TOTAL Truncated Unadjusted Expenses (A22 + A23)]]/AN_TME23[[#This Row],[Member Months]],0)</f>
        <v>0</v>
      </c>
      <c r="AE196" s="441">
        <f>IFERROR(AN_TME23[[#This Row],[Total Claims Excluded because of Truncation]]/AN_TME23[[#This Row],[Count of Members with Claims Truncated]], 0)</f>
        <v>0</v>
      </c>
      <c r="AF196" s="476">
        <f>IFERROR(AN_TME23[[#This Row],[Total Claims Excluded because of Truncation]]/AN_TME23[[#This Row],[TOTAL Non-Truncated Unadjusted Claims Expenses]], 0)</f>
        <v>0</v>
      </c>
    </row>
    <row r="197" spans="1:32" x14ac:dyDescent="0.25">
      <c r="A197" s="420"/>
      <c r="B197" s="421"/>
      <c r="C197" s="421"/>
      <c r="D197" s="422"/>
      <c r="E197" s="517"/>
      <c r="F197" s="423"/>
      <c r="G197" s="423"/>
      <c r="H197" s="423"/>
      <c r="I197" s="423"/>
      <c r="J197" s="423"/>
      <c r="K197" s="423"/>
      <c r="L197" s="423"/>
      <c r="M197" s="423"/>
      <c r="N197" s="423"/>
      <c r="O197" s="423"/>
      <c r="P197" s="423"/>
      <c r="Q197" s="423"/>
      <c r="R197" s="423"/>
      <c r="S197" s="423"/>
      <c r="T197" s="423"/>
      <c r="U197" s="423"/>
      <c r="V197" s="423"/>
      <c r="W197" s="435"/>
      <c r="X197" s="425">
        <f t="shared" si="8"/>
        <v>0</v>
      </c>
      <c r="Y197" s="425">
        <f>AN_TME23[[#This Row],[TOTAL Non-Truncated Unadjusted Claims Expenses]]-AN_TME23[[#This Row],[Total Claims Excluded because of Truncation]]</f>
        <v>0</v>
      </c>
      <c r="Z197" s="425">
        <f t="shared" si="9"/>
        <v>0</v>
      </c>
      <c r="AA197" s="425">
        <f>AN_TME23[[#This Row],[TOTAL Non-Truncated Unadjusted Claims Expenses]]+AN_TME23[[#This Row],[TOTAL Non-Claims Expenses]]</f>
        <v>0</v>
      </c>
      <c r="AB197" s="425">
        <f>AN_TME23[[#This Row],[TOTAL Truncated Unadjusted Claims Expenses (A21 -A19)]]+AN_TME23[[#This Row],[TOTAL Non-Claims Expenses]]</f>
        <v>0</v>
      </c>
      <c r="AC197" s="474">
        <f>IFERROR(AN_TME23[[#This Row],[TOTAL Non-Truncated Unadjusted Expenses (A21 + A23)]]/AN_TME23[[#This Row],[Member Months]],0)</f>
        <v>0</v>
      </c>
      <c r="AD197" s="474">
        <f>IFERROR(AN_TME23[[#This Row],[TOTAL Truncated Unadjusted Expenses (A22 + A23)]]/AN_TME23[[#This Row],[Member Months]],0)</f>
        <v>0</v>
      </c>
      <c r="AE197" s="441">
        <f>IFERROR(AN_TME23[[#This Row],[Total Claims Excluded because of Truncation]]/AN_TME23[[#This Row],[Count of Members with Claims Truncated]], 0)</f>
        <v>0</v>
      </c>
      <c r="AF197" s="476">
        <f>IFERROR(AN_TME23[[#This Row],[Total Claims Excluded because of Truncation]]/AN_TME23[[#This Row],[TOTAL Non-Truncated Unadjusted Claims Expenses]], 0)</f>
        <v>0</v>
      </c>
    </row>
    <row r="198" spans="1:32" x14ac:dyDescent="0.25">
      <c r="A198" s="426"/>
      <c r="B198" s="427"/>
      <c r="C198" s="427"/>
      <c r="D198" s="428"/>
      <c r="E198" s="517"/>
      <c r="F198" s="429"/>
      <c r="G198" s="429"/>
      <c r="H198" s="429"/>
      <c r="I198" s="429"/>
      <c r="J198" s="429"/>
      <c r="K198" s="429"/>
      <c r="L198" s="429"/>
      <c r="M198" s="429"/>
      <c r="N198" s="429"/>
      <c r="O198" s="429"/>
      <c r="P198" s="429"/>
      <c r="Q198" s="429"/>
      <c r="R198" s="429"/>
      <c r="S198" s="429"/>
      <c r="T198" s="429"/>
      <c r="U198" s="429"/>
      <c r="V198" s="429"/>
      <c r="W198" s="436"/>
      <c r="X198" s="431">
        <f t="shared" si="8"/>
        <v>0</v>
      </c>
      <c r="Y198" s="431">
        <f>AN_TME23[[#This Row],[TOTAL Non-Truncated Unadjusted Claims Expenses]]-AN_TME23[[#This Row],[Total Claims Excluded because of Truncation]]</f>
        <v>0</v>
      </c>
      <c r="Z198" s="431">
        <f t="shared" si="9"/>
        <v>0</v>
      </c>
      <c r="AA198" s="431">
        <f>AN_TME23[[#This Row],[TOTAL Non-Truncated Unadjusted Claims Expenses]]+AN_TME23[[#This Row],[TOTAL Non-Claims Expenses]]</f>
        <v>0</v>
      </c>
      <c r="AB198" s="431">
        <f>AN_TME23[[#This Row],[TOTAL Truncated Unadjusted Claims Expenses (A21 -A19)]]+AN_TME23[[#This Row],[TOTAL Non-Claims Expenses]]</f>
        <v>0</v>
      </c>
      <c r="AC198" s="475">
        <f>IFERROR(AN_TME23[[#This Row],[TOTAL Non-Truncated Unadjusted Expenses (A21 + A23)]]/AN_TME23[[#This Row],[Member Months]],0)</f>
        <v>0</v>
      </c>
      <c r="AD198" s="475">
        <f>IFERROR(AN_TME23[[#This Row],[TOTAL Truncated Unadjusted Expenses (A22 + A23)]]/AN_TME23[[#This Row],[Member Months]],0)</f>
        <v>0</v>
      </c>
      <c r="AE198" s="441">
        <f>IFERROR(AN_TME23[[#This Row],[Total Claims Excluded because of Truncation]]/AN_TME23[[#This Row],[Count of Members with Claims Truncated]], 0)</f>
        <v>0</v>
      </c>
      <c r="AF198" s="476">
        <f>IFERROR(AN_TME23[[#This Row],[Total Claims Excluded because of Truncation]]/AN_TME23[[#This Row],[TOTAL Non-Truncated Unadjusted Claims Expenses]], 0)</f>
        <v>0</v>
      </c>
    </row>
    <row r="199" spans="1:32" x14ac:dyDescent="0.25">
      <c r="A199" s="420"/>
      <c r="B199" s="421"/>
      <c r="C199" s="421"/>
      <c r="D199" s="422"/>
      <c r="E199" s="517"/>
      <c r="F199" s="423"/>
      <c r="G199" s="423"/>
      <c r="H199" s="423"/>
      <c r="I199" s="423"/>
      <c r="J199" s="423"/>
      <c r="K199" s="423"/>
      <c r="L199" s="423"/>
      <c r="M199" s="423"/>
      <c r="N199" s="423"/>
      <c r="O199" s="423"/>
      <c r="P199" s="423"/>
      <c r="Q199" s="423"/>
      <c r="R199" s="423"/>
      <c r="S199" s="423"/>
      <c r="T199" s="423"/>
      <c r="U199" s="423"/>
      <c r="V199" s="423"/>
      <c r="W199" s="435"/>
      <c r="X199" s="425">
        <f t="shared" ref="X199:X200" si="10">SUM(F199:H199)+SUM(J199:N199)</f>
        <v>0</v>
      </c>
      <c r="Y199" s="425">
        <f>AN_TME23[[#This Row],[TOTAL Non-Truncated Unadjusted Claims Expenses]]-AN_TME23[[#This Row],[Total Claims Excluded because of Truncation]]</f>
        <v>0</v>
      </c>
      <c r="Z199" s="425">
        <f t="shared" ref="Z199:Z200" si="11">SUM(O199:T199)</f>
        <v>0</v>
      </c>
      <c r="AA199" s="425">
        <f>AN_TME23[[#This Row],[TOTAL Non-Truncated Unadjusted Claims Expenses]]+AN_TME23[[#This Row],[TOTAL Non-Claims Expenses]]</f>
        <v>0</v>
      </c>
      <c r="AB199" s="425">
        <f>AN_TME23[[#This Row],[TOTAL Truncated Unadjusted Claims Expenses (A21 -A19)]]+AN_TME23[[#This Row],[TOTAL Non-Claims Expenses]]</f>
        <v>0</v>
      </c>
      <c r="AC199" s="474">
        <f>IFERROR(AN_TME23[[#This Row],[TOTAL Non-Truncated Unadjusted Expenses (A21 + A23)]]/AN_TME23[[#This Row],[Member Months]],0)</f>
        <v>0</v>
      </c>
      <c r="AD199" s="474">
        <f>IFERROR(AN_TME23[[#This Row],[TOTAL Truncated Unadjusted Expenses (A22 + A23)]]/AN_TME23[[#This Row],[Member Months]],0)</f>
        <v>0</v>
      </c>
      <c r="AE199" s="441">
        <f>IFERROR(AN_TME23[[#This Row],[Total Claims Excluded because of Truncation]]/AN_TME23[[#This Row],[Count of Members with Claims Truncated]], 0)</f>
        <v>0</v>
      </c>
      <c r="AF199" s="476">
        <f>IFERROR(AN_TME23[[#This Row],[Total Claims Excluded because of Truncation]]/AN_TME23[[#This Row],[TOTAL Non-Truncated Unadjusted Claims Expenses]], 0)</f>
        <v>0</v>
      </c>
    </row>
    <row r="200" spans="1:32" x14ac:dyDescent="0.25">
      <c r="A200" s="426"/>
      <c r="B200" s="427"/>
      <c r="C200" s="427"/>
      <c r="D200" s="428"/>
      <c r="E200" s="517"/>
      <c r="F200" s="429"/>
      <c r="G200" s="429"/>
      <c r="H200" s="429"/>
      <c r="I200" s="429"/>
      <c r="J200" s="429"/>
      <c r="K200" s="429"/>
      <c r="L200" s="429"/>
      <c r="M200" s="429"/>
      <c r="N200" s="429"/>
      <c r="O200" s="429"/>
      <c r="P200" s="429"/>
      <c r="Q200" s="429"/>
      <c r="R200" s="429"/>
      <c r="S200" s="429"/>
      <c r="T200" s="429"/>
      <c r="U200" s="429"/>
      <c r="V200" s="429"/>
      <c r="W200" s="436"/>
      <c r="X200" s="431">
        <f t="shared" si="10"/>
        <v>0</v>
      </c>
      <c r="Y200" s="431">
        <f>AN_TME23[[#This Row],[TOTAL Non-Truncated Unadjusted Claims Expenses]]-AN_TME23[[#This Row],[Total Claims Excluded because of Truncation]]</f>
        <v>0</v>
      </c>
      <c r="Z200" s="431">
        <f t="shared" si="11"/>
        <v>0</v>
      </c>
      <c r="AA200" s="431">
        <f>AN_TME23[[#This Row],[TOTAL Non-Truncated Unadjusted Claims Expenses]]+AN_TME23[[#This Row],[TOTAL Non-Claims Expenses]]</f>
        <v>0</v>
      </c>
      <c r="AB200" s="431">
        <f>AN_TME23[[#This Row],[TOTAL Truncated Unadjusted Claims Expenses (A21 -A19)]]+AN_TME23[[#This Row],[TOTAL Non-Claims Expenses]]</f>
        <v>0</v>
      </c>
      <c r="AC200" s="475">
        <f>IFERROR(AN_TME23[[#This Row],[TOTAL Non-Truncated Unadjusted Expenses (A21 + A23)]]/AN_TME23[[#This Row],[Member Months]],0)</f>
        <v>0</v>
      </c>
      <c r="AD200" s="475">
        <f>IFERROR(AN_TME23[[#This Row],[TOTAL Truncated Unadjusted Expenses (A22 + A23)]]/AN_TME23[[#This Row],[Member Months]],0)</f>
        <v>0</v>
      </c>
      <c r="AE200" s="441">
        <f>IFERROR(AN_TME23[[#This Row],[Total Claims Excluded because of Truncation]]/AN_TME23[[#This Row],[Count of Members with Claims Truncated]], 0)</f>
        <v>0</v>
      </c>
      <c r="AF200" s="476">
        <f>IFERROR(AN_TME23[[#This Row],[Total Claims Excluded because of Truncation]]/AN_TME23[[#This Row],[TOTAL Non-Truncated Unadjusted Claims Expenses]], 0)</f>
        <v>0</v>
      </c>
    </row>
  </sheetData>
  <sheetProtection algorithmName="SHA-512" hashValue="1KJ/cG86jcBACUw6tvpd0hBO6h/GsCbtFRLf3b1K1DwaXYLUkFnZOWHfXmCi55SuhX3bItQv+5n2F2VC/bcSqg==" saltValue="ZdbKREjBoe1XAyKUWhN6+g==" spinCount="100000" sheet="1" insertRows="0"/>
  <protectedRanges>
    <protectedRange sqref="A11:B200 D11:D200 F11:AF200" name="Range1"/>
    <protectedRange sqref="C11:C200" name="Range1_3"/>
    <protectedRange sqref="E11:E47" name="Range1_2"/>
  </protectedRanges>
  <mergeCells count="6">
    <mergeCell ref="F2:G2"/>
    <mergeCell ref="F3:G6"/>
    <mergeCell ref="I2:J2"/>
    <mergeCell ref="I3:J6"/>
    <mergeCell ref="L2:M2"/>
    <mergeCell ref="L3:M6"/>
  </mergeCells>
  <conditionalFormatting sqref="F3:G6">
    <cfRule type="containsText" dxfId="146" priority="7" operator="containsText" text="Good">
      <formula>NOT(ISERROR(SEARCH("Good",F3)))</formula>
    </cfRule>
    <cfRule type="notContainsText" dxfId="145" priority="8" operator="notContains" text="Good">
      <formula>ISERROR(SEARCH("Good",F3))</formula>
    </cfRule>
  </conditionalFormatting>
  <conditionalFormatting sqref="I3:J6">
    <cfRule type="containsText" dxfId="144" priority="5" operator="containsText" text="Good">
      <formula>NOT(ISERROR(SEARCH("Good",I3)))</formula>
    </cfRule>
    <cfRule type="notContainsText" dxfId="143" priority="6" operator="notContains" text="Good">
      <formula>ISERROR(SEARCH("Good",I3))</formula>
    </cfRule>
  </conditionalFormatting>
  <conditionalFormatting sqref="L3">
    <cfRule type="notContainsText" dxfId="142" priority="3" operator="notContains" text="Good">
      <formula>ISERROR(SEARCH("Good",L3))</formula>
    </cfRule>
    <cfRule type="containsText" dxfId="141" priority="4" operator="containsText" text="Good">
      <formula>NOT(ISERROR(SEARCH("Good",L3)))</formula>
    </cfRule>
  </conditionalFormatting>
  <conditionalFormatting sqref="AE11:AE200">
    <cfRule type="cellIs" dxfId="140" priority="1" operator="greaterThanOrEqual">
      <formula>250000</formula>
    </cfRule>
  </conditionalFormatting>
  <conditionalFormatting sqref="AF11:AF200">
    <cfRule type="cellIs" dxfId="139" priority="2" operator="greaterThan">
      <formula>0.1</formula>
    </cfRule>
  </conditionalFormatting>
  <dataValidations xWindow="378" yWindow="687" count="9">
    <dataValidation type="decimal" operator="lessThanOrEqual" allowBlank="1" showInputMessage="1" showErrorMessage="1" error="See Definitions tab._x000a_Report as a negative number." prompt="See Definitions tab._x000a_Report as a negative number." sqref="S11:S200" xr:uid="{640DCC39-B2A6-4714-ABF2-F80D0D59F2CF}">
      <formula1>0</formula1>
    </dataValidation>
    <dataValidation type="decimal" operator="greaterThan" allowBlank="1" showInputMessage="1" showErrorMessage="1" error="See Definitions tab._x000a_No negative values." prompt="See Definitions tab._x000a_No negative values." sqref="H14:I72 H76:I200" xr:uid="{2091D85B-1146-4019-936B-3B0D118664A0}">
      <formula1>0</formula1>
    </dataValidation>
    <dataValidation type="decimal" operator="greaterThanOrEqual" allowBlank="1" showInputMessage="1" showErrorMessage="1" error="See Definitions tab._x000a_No negative values." prompt="See Definitions tab._x000a_No negative values." sqref="Q11:R47 J14:P47 G14:G72 J48:R72 Q73:R109 J76:P109 G76:G200 J110:R200 U11:W200" xr:uid="{46150AD2-3AAE-45AC-ABE5-694C9FF4A045}">
      <formula1>0</formula1>
    </dataValidation>
    <dataValidation type="decimal" operator="greaterThanOrEqual" allowBlank="1" showInputMessage="1" showErrorMessage="1" error="See Definitions tab._x000a_No negative values." prompt="See Definitions tab._x000a_No negative values._x000a_" sqref="G11:P13 E11:F200 G73:P75" xr:uid="{413F3C7E-5C14-4A7B-95FE-FEFC2B979A5D}">
      <formula1>0</formula1>
    </dataValidation>
    <dataValidation type="textLength" operator="equal" allowBlank="1" showInputMessage="1" showErrorMessage="1" error="Please input the insurance category being reported." prompt="Insurance Category Codes:_x000a_1 = Medicare Managed Care_x000a_2 = Medicaid and Medicaid MCOs_x000a_3 = Commerical: Full-Claims_x000a_4 = Commercial: Partial-Claims_x000a_5 = Medicare Expenditures for Duals_x000a_6 = Medicaid Expenditures for Duals_x000a_7 = Other" sqref="B11:B200" xr:uid="{1F66E41A-DC7B-4CB8-B43C-3D7156771A44}">
      <formula1>1</formula1>
    </dataValidation>
    <dataValidation type="whole" allowBlank="1" showInputMessage="1" showErrorMessage="1" error="Please input the OHS-assigned organizational ID of the Advanced Network or the Carrier Overall ID (100). " prompt="If inputting Advanced Network-level TME, please input the OHS-assigned organizational ID of the Advanced Network._x000a_If inputting insurance carrier-level TME, please input the Carrier Overall ID (100)." sqref="A11:A200" xr:uid="{41DDC26E-B56E-4834-AEE1-53494C743C80}">
      <formula1>100</formula1>
      <formula2>999</formula2>
    </dataValidation>
    <dataValidation type="decimal" operator="greaterThan" allowBlank="1" showInputMessage="1" showErrorMessage="1" error="The number of unique members participating in a plan each month with a medical benefit, regardless of whether the member has any paid claims." prompt="The number of unique members participating in a plan each month with a medical benefit, regardless of whether the member has any paid claims." sqref="D11:D200" xr:uid="{92DA14CB-C985-42BC-BBB7-5C9AAF038FC0}">
      <formula1>0</formula1>
    </dataValidation>
    <dataValidation allowBlank="1" showInputMessage="1" showErrorMessage="1" prompt="See Definitions tab." sqref="T11:T200" xr:uid="{F122DE72-EECF-4418-A469-C484116F61F0}"/>
    <dataValidation type="textLength" operator="equal" allowBlank="1" showInputMessage="1" showErrorMessage="1" error="Please input the insurance category being reported." prompt="Hierarchy Field Codes:_x000a_1 = Member Selection_x000a_2 = Contract Arrangement_x000a_3 = Utilization_x000a_4 = Unattributed Member Months_x000a_5 = Payer Overall" sqref="C11:C200" xr:uid="{1892BCF7-1D9E-4762-8CE6-9922DAF7109B}">
      <formula1>1</formula1>
    </dataValidation>
  </dataValidations>
  <hyperlinks>
    <hyperlink ref="F2:G2" location="'Data Validation'!B4:B20" display="Check" xr:uid="{A7B38BEB-2E4B-434C-B070-EE29234A2385}"/>
    <hyperlink ref="I2:J2" location="'Data Validation'!B4:B20" display="Check for Truncated and Non-Truncated Spending" xr:uid="{D82084EF-00EE-4177-9B0B-E1B7F59BBD84}"/>
    <hyperlink ref="L2:M2" location="'Advanced Network - 2022'!AD10:AE10" display="Check for Average Truncated Claims Per Member" xr:uid="{9968F198-9D75-490F-9AAA-BCD5961049D1}"/>
  </hyperlinks>
  <pageMargins left="0.7" right="0.7" top="0.75" bottom="0.75" header="0.3" footer="0.3"/>
  <pageSetup orientation="portrait" r:id="rId1"/>
  <drawing r:id="rId2"/>
  <tableParts count="1">
    <tablePart r:id="rId3"/>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A4BBA5-8C9E-49E0-B482-5D72AD4E923F}">
  <sheetPr codeName="Sheet10">
    <tabColor theme="4"/>
  </sheetPr>
  <dimension ref="A1:D23"/>
  <sheetViews>
    <sheetView zoomScaleNormal="100" workbookViewId="0">
      <selection activeCell="C27" sqref="C27"/>
    </sheetView>
  </sheetViews>
  <sheetFormatPr defaultColWidth="9.140625" defaultRowHeight="15" x14ac:dyDescent="0.25"/>
  <cols>
    <col min="1" max="1" width="25" customWidth="1"/>
    <col min="2" max="4" width="29" customWidth="1"/>
  </cols>
  <sheetData>
    <row r="1" spans="1:4" x14ac:dyDescent="0.25">
      <c r="A1" s="1" t="s">
        <v>160</v>
      </c>
    </row>
    <row r="2" spans="1:4" x14ac:dyDescent="0.25">
      <c r="A2" s="1" t="s">
        <v>223</v>
      </c>
    </row>
    <row r="4" spans="1:4" x14ac:dyDescent="0.25">
      <c r="A4" t="s">
        <v>161</v>
      </c>
    </row>
    <row r="5" spans="1:4" x14ac:dyDescent="0.25">
      <c r="A5" s="176" t="s">
        <v>180</v>
      </c>
    </row>
    <row r="6" spans="1:4" x14ac:dyDescent="0.25">
      <c r="A6" s="176"/>
    </row>
    <row r="7" spans="1:4" x14ac:dyDescent="0.25">
      <c r="A7" s="176"/>
    </row>
    <row r="8" spans="1:4" x14ac:dyDescent="0.25">
      <c r="A8" s="176"/>
    </row>
    <row r="9" spans="1:4" x14ac:dyDescent="0.25">
      <c r="B9" s="4" t="s">
        <v>181</v>
      </c>
      <c r="C9" s="4" t="s">
        <v>182</v>
      </c>
      <c r="D9" s="4" t="s">
        <v>183</v>
      </c>
    </row>
    <row r="10" spans="1:4" s="183" customFormat="1" x14ac:dyDescent="0.25">
      <c r="A10" s="181" t="s">
        <v>61</v>
      </c>
      <c r="B10" s="184" t="s">
        <v>136</v>
      </c>
      <c r="C10" s="184" t="s">
        <v>137</v>
      </c>
      <c r="D10" s="182" t="s">
        <v>222</v>
      </c>
    </row>
    <row r="11" spans="1:4" x14ac:dyDescent="0.25">
      <c r="A11" s="386"/>
      <c r="B11" s="387"/>
      <c r="C11" s="387"/>
      <c r="D11" s="438">
        <f>RX_REBATES22[[#This Row],[Retail Pharmacy Rebates]]+RX_REBATES22[[#This Row],[Medical Pharmacy Rebates]]</f>
        <v>0</v>
      </c>
    </row>
    <row r="12" spans="1:4" x14ac:dyDescent="0.25">
      <c r="A12" s="389"/>
      <c r="B12" s="390"/>
      <c r="C12" s="390"/>
      <c r="D12" s="439">
        <f>RX_REBATES22[[#This Row],[Retail Pharmacy Rebates]]+RX_REBATES22[[#This Row],[Medical Pharmacy Rebates]]</f>
        <v>0</v>
      </c>
    </row>
    <row r="13" spans="1:4" x14ac:dyDescent="0.25">
      <c r="A13" s="386"/>
      <c r="B13" s="387"/>
      <c r="C13" s="387"/>
      <c r="D13" s="438">
        <f>RX_REBATES22[[#This Row],[Retail Pharmacy Rebates]]+RX_REBATES22[[#This Row],[Medical Pharmacy Rebates]]</f>
        <v>0</v>
      </c>
    </row>
    <row r="14" spans="1:4" x14ac:dyDescent="0.25">
      <c r="A14" s="389"/>
      <c r="B14" s="390"/>
      <c r="C14" s="390"/>
      <c r="D14" s="391">
        <f>RX_REBATES22[[#This Row],[Retail Pharmacy Rebates]]+RX_REBATES22[[#This Row],[Medical Pharmacy Rebates]]</f>
        <v>0</v>
      </c>
    </row>
    <row r="15" spans="1:4" x14ac:dyDescent="0.25">
      <c r="A15" s="386"/>
      <c r="B15" s="387"/>
      <c r="C15" s="387"/>
      <c r="D15" s="388">
        <f>RX_REBATES22[[#This Row],[Retail Pharmacy Rebates]]+RX_REBATES22[[#This Row],[Medical Pharmacy Rebates]]</f>
        <v>0</v>
      </c>
    </row>
    <row r="16" spans="1:4" x14ac:dyDescent="0.25">
      <c r="A16" s="389"/>
      <c r="B16" s="390"/>
      <c r="C16" s="390"/>
      <c r="D16" s="391">
        <f>RX_REBATES22[[#This Row],[Retail Pharmacy Rebates]]+RX_REBATES22[[#This Row],[Medical Pharmacy Rebates]]</f>
        <v>0</v>
      </c>
    </row>
    <row r="17" spans="1:4" x14ac:dyDescent="0.25">
      <c r="A17" s="392"/>
      <c r="B17" s="393"/>
      <c r="C17" s="393"/>
      <c r="D17" s="394">
        <f>RX_REBATES22[[#This Row],[Retail Pharmacy Rebates]]+RX_REBATES22[[#This Row],[Medical Pharmacy Rebates]]</f>
        <v>0</v>
      </c>
    </row>
    <row r="23" spans="1:4" ht="12.75" customHeight="1" x14ac:dyDescent="0.25"/>
  </sheetData>
  <sheetProtection algorithmName="SHA-512" hashValue="S6yzLzCugmhRqsob5isrlZT1HquLuoY+WOZ5VTtEDEnHlCZZflbB0HYwqUYxIh5xspcM0ZhZN9DE5vnnt/LSaQ==" saltValue="rgFIZu4HC1MTypE/EsdMIA==" spinCount="100000" sheet="1" objects="1" scenarios="1"/>
  <protectedRanges>
    <protectedRange sqref="A11:D17" name="Range1"/>
  </protectedRanges>
  <dataValidations count="3">
    <dataValidation type="decimal" operator="lessThanOrEqual" allowBlank="1" showInputMessage="1" showErrorMessage="1" error="See Definitions tab._x000a_Report as a negative value." prompt="See Definitions tab._x000a_Report as a negative value." sqref="D11:D17" xr:uid="{BFED2D3D-5485-4D22-9F32-AC6D92B50819}">
      <formula1>0</formula1>
    </dataValidation>
    <dataValidation type="textLength" operator="equal" allowBlank="1" showInputMessage="1" showErrorMessage="1" error="Please input the appropriate insurance category code." prompt="Insurance Category:_x000a_1 = Medicare and Medicare Managed Care_x000a_2 = Medicaid and Medicaid MCOs_x000a_3 = Commerical: Full-Claims_x000a_4 = Commercial: Partial-Adjusted_x000a_5 = Medicare Expenditures for Duals_x000a_6 =  Medicaid Expenditures for Duals_x000a_7 = Other" sqref="A11:A17" xr:uid="{271D8AB2-C049-4089-A98F-5777FD606117}">
      <formula1>1</formula1>
    </dataValidation>
    <dataValidation type="decimal" operator="lessThanOrEqual" allowBlank="1" showInputMessage="1" showErrorMessage="1" error="See &quot;Definitions&quot; tab._x000a_Report as a negative value." prompt="See &quot;Definitions&quot; tab._x000a_Report as a negative value." sqref="B11:C17" xr:uid="{04E03ACF-4B47-4011-94FD-495B0B1DF051}">
      <formula1>0</formula1>
    </dataValidation>
  </dataValidations>
  <pageMargins left="0.7" right="0.7" top="0.75" bottom="0.75" header="0.3" footer="0.3"/>
  <drawing r:id="rId1"/>
  <tableParts count="1">
    <tablePart r:id="rId2"/>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A93E46-1F2F-4EAD-9886-8F2BDFCCF314}">
  <sheetPr codeName="Sheet11">
    <tabColor theme="3"/>
  </sheetPr>
  <dimension ref="A1:D23"/>
  <sheetViews>
    <sheetView zoomScaleNormal="100" workbookViewId="0">
      <selection activeCell="D13" sqref="D13"/>
    </sheetView>
  </sheetViews>
  <sheetFormatPr defaultColWidth="9.140625" defaultRowHeight="15" x14ac:dyDescent="0.25"/>
  <cols>
    <col min="1" max="1" width="25" customWidth="1"/>
    <col min="2" max="4" width="29" customWidth="1"/>
  </cols>
  <sheetData>
    <row r="1" spans="1:4" x14ac:dyDescent="0.25">
      <c r="A1" s="1" t="s">
        <v>160</v>
      </c>
    </row>
    <row r="2" spans="1:4" x14ac:dyDescent="0.25">
      <c r="A2" s="1" t="s">
        <v>425</v>
      </c>
    </row>
    <row r="4" spans="1:4" x14ac:dyDescent="0.25">
      <c r="A4" t="s">
        <v>161</v>
      </c>
    </row>
    <row r="5" spans="1:4" x14ac:dyDescent="0.25">
      <c r="A5" s="176" t="s">
        <v>180</v>
      </c>
    </row>
    <row r="6" spans="1:4" x14ac:dyDescent="0.25">
      <c r="A6" s="176"/>
    </row>
    <row r="7" spans="1:4" x14ac:dyDescent="0.25">
      <c r="A7" s="176"/>
    </row>
    <row r="8" spans="1:4" x14ac:dyDescent="0.25">
      <c r="A8" s="176"/>
    </row>
    <row r="9" spans="1:4" x14ac:dyDescent="0.25">
      <c r="B9" s="4" t="s">
        <v>181</v>
      </c>
      <c r="C9" s="4" t="s">
        <v>182</v>
      </c>
      <c r="D9" s="4" t="s">
        <v>183</v>
      </c>
    </row>
    <row r="10" spans="1:4" s="183" customFormat="1" x14ac:dyDescent="0.25">
      <c r="A10" s="181" t="s">
        <v>61</v>
      </c>
      <c r="B10" s="184" t="s">
        <v>136</v>
      </c>
      <c r="C10" s="184" t="s">
        <v>137</v>
      </c>
      <c r="D10" s="182" t="s">
        <v>222</v>
      </c>
    </row>
    <row r="11" spans="1:4" x14ac:dyDescent="0.25">
      <c r="A11" s="386"/>
      <c r="B11" s="387"/>
      <c r="C11" s="387"/>
      <c r="D11" s="388">
        <f>RX_REBATES23[[#This Row],[Retail Pharmacy Rebates]]+RX_REBATES23[[#This Row],[Medical Pharmacy Rebates]]</f>
        <v>0</v>
      </c>
    </row>
    <row r="12" spans="1:4" x14ac:dyDescent="0.25">
      <c r="A12" s="389"/>
      <c r="B12" s="390"/>
      <c r="C12" s="390"/>
      <c r="D12" s="391">
        <f>RX_REBATES23[[#This Row],[Retail Pharmacy Rebates]]+RX_REBATES23[[#This Row],[Medical Pharmacy Rebates]]</f>
        <v>0</v>
      </c>
    </row>
    <row r="13" spans="1:4" x14ac:dyDescent="0.25">
      <c r="A13" s="386"/>
      <c r="B13" s="387"/>
      <c r="C13" s="387"/>
      <c r="D13" s="388">
        <f>RX_REBATES23[[#This Row],[Retail Pharmacy Rebates]]+RX_REBATES23[[#This Row],[Medical Pharmacy Rebates]]</f>
        <v>0</v>
      </c>
    </row>
    <row r="14" spans="1:4" x14ac:dyDescent="0.25">
      <c r="A14" s="389"/>
      <c r="B14" s="390"/>
      <c r="C14" s="390"/>
      <c r="D14" s="391">
        <f>RX_REBATES23[[#This Row],[Retail Pharmacy Rebates]]+RX_REBATES23[[#This Row],[Medical Pharmacy Rebates]]</f>
        <v>0</v>
      </c>
    </row>
    <row r="15" spans="1:4" x14ac:dyDescent="0.25">
      <c r="A15" s="386"/>
      <c r="B15" s="387"/>
      <c r="C15" s="387"/>
      <c r="D15" s="388">
        <f>RX_REBATES23[[#This Row],[Retail Pharmacy Rebates]]+RX_REBATES23[[#This Row],[Medical Pharmacy Rebates]]</f>
        <v>0</v>
      </c>
    </row>
    <row r="16" spans="1:4" x14ac:dyDescent="0.25">
      <c r="A16" s="389"/>
      <c r="B16" s="390"/>
      <c r="C16" s="390"/>
      <c r="D16" s="391">
        <f>RX_REBATES23[[#This Row],[Retail Pharmacy Rebates]]+RX_REBATES23[[#This Row],[Medical Pharmacy Rebates]]</f>
        <v>0</v>
      </c>
    </row>
    <row r="17" spans="1:4" x14ac:dyDescent="0.25">
      <c r="A17" s="392"/>
      <c r="B17" s="393"/>
      <c r="C17" s="393"/>
      <c r="D17" s="394">
        <f>RX_REBATES23[[#This Row],[Retail Pharmacy Rebates]]+RX_REBATES23[[#This Row],[Medical Pharmacy Rebates]]</f>
        <v>0</v>
      </c>
    </row>
    <row r="23" spans="1:4" ht="12.75" customHeight="1" x14ac:dyDescent="0.25"/>
  </sheetData>
  <sheetProtection algorithmName="SHA-512" hashValue="FfD8N83A5HBGfE22Aq9Rfd6/xPSf0ipHsvp353N5X+RvUHG6mh6gVqgFwqWqdXL6HP0M8oKkMSpEbT2m7D+t1g==" saltValue="46EdzdauCdeJNIW7vV/2Ug==" spinCount="100000" sheet="1" objects="1" scenarios="1"/>
  <protectedRanges>
    <protectedRange sqref="A11:D17" name="Range1"/>
  </protectedRanges>
  <dataValidations count="3">
    <dataValidation type="textLength" operator="equal" allowBlank="1" showInputMessage="1" showErrorMessage="1" error="Please input the appropriate insurance category code." prompt="Insurance Category:_x000a_1 = Medicare and Medicare Managed Care_x000a_2 = Medicaid and Medicaid MCOs_x000a_3 = Commerical: Full-Claims_x000a_4 = Commercial: Partial-Adjusted_x000a_5 = Medicare Expenditures for Duals_x000a_6 = Medicaid Expenditures for Duals_x000a_7 = Other" sqref="A11:A17" xr:uid="{9838E754-9421-4C75-861D-FD5CCD012A40}">
      <formula1>1</formula1>
    </dataValidation>
    <dataValidation type="decimal" operator="lessThanOrEqual" allowBlank="1" showInputMessage="1" showErrorMessage="1" error="See Definitions tab._x000a_Report as a negative value." prompt="See Definitions tab._x000a_Report as a negative value." sqref="D11:D17" xr:uid="{B9DEB5D9-15CC-47BE-817D-081CFEFD6975}">
      <formula1>0</formula1>
    </dataValidation>
    <dataValidation type="decimal" operator="lessThanOrEqual" allowBlank="1" showInputMessage="1" showErrorMessage="1" error="See &quot;Definitions&quot; tab._x000a_Report as a negative value." prompt="See &quot;Definitions&quot; tab._x000a_Report as a negative value." sqref="B11:C17" xr:uid="{CFC186DD-393A-44F0-A5CA-923280C2FDC2}">
      <formula1>0</formula1>
    </dataValidation>
  </dataValidations>
  <pageMargins left="0.7" right="0.7" top="0.75" bottom="0.75" header="0.3" footer="0.3"/>
  <drawing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026CC1A160F2C4E953D5C17456E6333" ma:contentTypeVersion="16" ma:contentTypeDescription="Create a new document." ma:contentTypeScope="" ma:versionID="01bc4b30ec15f9e2754d2b0f6337cf84">
  <xsd:schema xmlns:xsd="http://www.w3.org/2001/XMLSchema" xmlns:xs="http://www.w3.org/2001/XMLSchema" xmlns:p="http://schemas.microsoft.com/office/2006/metadata/properties" xmlns:ns2="3ca2d690-4b65-48b8-b367-984c1bbb45de" xmlns:ns3="d29a8555-db37-4257-91ea-e6d336cdedf2" targetNamespace="http://schemas.microsoft.com/office/2006/metadata/properties" ma:root="true" ma:fieldsID="91d4340abb10c46f6a1c76810111431e" ns2:_="" ns3:_="">
    <xsd:import namespace="3ca2d690-4b65-48b8-b367-984c1bbb45de"/>
    <xsd:import namespace="d29a8555-db37-4257-91ea-e6d336cdedf2"/>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LengthInSeconds" minOccurs="0"/>
                <xsd:element ref="ns3:SharedWithUsers" minOccurs="0"/>
                <xsd:element ref="ns3:SharedWithDetails" minOccurs="0"/>
                <xsd:element ref="ns2:MediaServiceDateTaken"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ca2d690-4b65-48b8-b367-984c1bbb45d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364c4022-8a08-492a-8fd9-63f32d903773"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MediaServiceDateTaken" ma:index="21" nillable="true" ma:displayName="MediaServiceDateTaken" ma:hidden="true" ma:internalName="MediaServiceDateTaken" ma:readOnly="true">
      <xsd:simpleType>
        <xsd:restriction base="dms:Text"/>
      </xsd:simple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29a8555-db37-4257-91ea-e6d336cdedf2"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d20fe0fe-7f6e-40d9-b998-99db2d565673}" ma:internalName="TaxCatchAll" ma:showField="CatchAllData" ma:web="d29a8555-db37-4257-91ea-e6d336cdedf2">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d29a8555-db37-4257-91ea-e6d336cdedf2" xsi:nil="true"/>
    <lcf76f155ced4ddcb4097134ff3c332f xmlns="3ca2d690-4b65-48b8-b367-984c1bbb45de">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8C441EF7-6E89-4B0E-8399-48837CC2EC5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ca2d690-4b65-48b8-b367-984c1bbb45de"/>
    <ds:schemaRef ds:uri="d29a8555-db37-4257-91ea-e6d336cdedf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2905D3B5-1811-4FE3-8AD6-B1E9EEA0A849}">
  <ds:schemaRefs>
    <ds:schemaRef ds:uri="http://schemas.microsoft.com/sharepoint/v3/contenttype/forms"/>
  </ds:schemaRefs>
</ds:datastoreItem>
</file>

<file path=customXml/itemProps3.xml><?xml version="1.0" encoding="utf-8"?>
<ds:datastoreItem xmlns:ds="http://schemas.openxmlformats.org/officeDocument/2006/customXml" ds:itemID="{3972BC8B-BFF5-4C15-9C69-9329B096B366}">
  <ds:schemaRefs>
    <ds:schemaRef ds:uri="http://schemas.microsoft.com/office/2006/metadata/properties"/>
    <ds:schemaRef ds:uri="http://schemas.microsoft.com/office/infopath/2007/PartnerControls"/>
    <ds:schemaRef ds:uri="d29a8555-db37-4257-91ea-e6d336cdedf2"/>
    <ds:schemaRef ds:uri="3ca2d690-4b65-48b8-b367-984c1bbb45d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19</vt:i4>
      </vt:variant>
      <vt:variant>
        <vt:lpstr>Named Ranges</vt:lpstr>
      </vt:variant>
      <vt:variant>
        <vt:i4>7</vt:i4>
      </vt:variant>
    </vt:vector>
  </HeadingPairs>
  <TitlesOfParts>
    <vt:vector size="26" baseType="lpstr">
      <vt:lpstr>Contents</vt:lpstr>
      <vt:lpstr>Reference Tables</vt:lpstr>
      <vt:lpstr>Definitions</vt:lpstr>
      <vt:lpstr>HD-TME - 2022</vt:lpstr>
      <vt:lpstr>HD-TME - 2023</vt:lpstr>
      <vt:lpstr>Advanced Network - 2022</vt:lpstr>
      <vt:lpstr>Advanced Network - 2023</vt:lpstr>
      <vt:lpstr>RX Rebates - 2022</vt:lpstr>
      <vt:lpstr>RX Rebates - 2023</vt:lpstr>
      <vt:lpstr>LOB Enrollment</vt:lpstr>
      <vt:lpstr>Standard Deviation - 2022</vt:lpstr>
      <vt:lpstr>Standard Deviation - 2023</vt:lpstr>
      <vt:lpstr>Age_Sex Factors - 2022</vt:lpstr>
      <vt:lpstr>Age_Sex Factors - 2023</vt:lpstr>
      <vt:lpstr>Mandatory Questions</vt:lpstr>
      <vt:lpstr>Validation by Market</vt:lpstr>
      <vt:lpstr>Validation by Provider</vt:lpstr>
      <vt:lpstr>Data Validation</vt:lpstr>
      <vt:lpstr>Data Validation Backup</vt:lpstr>
      <vt:lpstr>AdvNet_MMs</vt:lpstr>
      <vt:lpstr>Backtotop</vt:lpstr>
      <vt:lpstr>MMConsistencybyICC</vt:lpstr>
      <vt:lpstr>MMConsistencybyMkt</vt:lpstr>
      <vt:lpstr>ReasonablenessPMPMs</vt:lpstr>
      <vt:lpstr>TruncSpendingSDbyMkt</vt:lpstr>
      <vt:lpstr>TruncSpendMembersbyICC</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Deepti</dc:creator>
  <cp:keywords/>
  <dc:description/>
  <cp:lastModifiedBy>Christopher Romero-Gutierrez</cp:lastModifiedBy>
  <cp:revision/>
  <dcterms:created xsi:type="dcterms:W3CDTF">2014-03-21T15:16:19Z</dcterms:created>
  <dcterms:modified xsi:type="dcterms:W3CDTF">2024-06-18T18:17:48Z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0x0101006026CC1A160F2C4E953D5C17456E6333</vt:lpwstr>
  </property>
  <property fmtid="{D5CDD505-2E9C-101B-9397-08002B2CF9AE}" pid="3" name="AuthorIds_UIVersion_1024">
    <vt:lpwstr>17</vt:lpwstr>
  </property>
  <property fmtid="{D5CDD505-2E9C-101B-9397-08002B2CF9AE}" pid="4" name="AuthorIds_UIVersion_2048">
    <vt:lpwstr>22</vt:lpwstr>
  </property>
  <property fmtid="{D5CDD505-2E9C-101B-9397-08002B2CF9AE}" pid="5" name="AuthorIds_UIVersion_512">
    <vt:lpwstr>17</vt:lpwstr>
  </property>
  <property fmtid="{D5CDD505-2E9C-101B-9397-08002B2CF9AE}" pid="6" name="MediaServiceImageTags">
    <vt:lpwstr/>
  </property>
</Properties>
</file>